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namedSheetViews/namedSheetView1.xml" ContentType="application/vnd.ms-excel.namedsheetviews+xml"/>
  <Override PartName="/xl/pivotTables/pivotTable8.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9.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bscrwanda-my.sharepoint.com/personal/datainterns_bsc_rw/Documents/Documents/BSC docs/2023/june Report/"/>
    </mc:Choice>
  </mc:AlternateContent>
  <xr:revisionPtr revIDLastSave="468" documentId="8_{20CCE86B-B510-4F8C-B516-D065B53694D3}" xr6:coauthVersionLast="47" xr6:coauthVersionMax="47" xr10:uidLastSave="{2CE6D66A-8AA2-49B2-96F9-7E91C1A0EBD9}"/>
  <bookViews>
    <workbookView xWindow="-108" yWindow="-108" windowWidth="23256" windowHeight="12456" tabRatio="502" firstSheet="6" activeTab="6" xr2:uid="{E3362675-D5C4-489F-8D40-0C9BDDF834ED}"/>
  </bookViews>
  <sheets>
    <sheet name="Providers Reports" sheetId="18" state="hidden" r:id="rId1"/>
    <sheet name="GoR vs Private" sheetId="24" state="hidden" r:id="rId2"/>
    <sheet name="AM BW Accounts" sheetId="25" state="hidden" r:id="rId3"/>
    <sheet name="HLIS report" sheetId="37" state="hidden" r:id="rId4"/>
    <sheet name="Top Customers" sheetId="32" state="hidden" r:id="rId5"/>
    <sheet name="BW Breakdown" sheetId="42" state="hidden" r:id="rId6"/>
    <sheet name="Product Performance June-2023" sheetId="44" r:id="rId7"/>
    <sheet name="AM Performance June-2023" sheetId="45" r:id="rId8"/>
    <sheet name="June-2023 Sales Report" sheetId="1" r:id="rId9"/>
    <sheet name="Settings" sheetId="15" state="hidden" r:id="rId10"/>
    <sheet name="Contracts Statuses" sheetId="26" state="hidden" r:id="rId11"/>
    <sheet name="ISPs Report" sheetId="31" state="hidden" r:id="rId12"/>
  </sheets>
  <externalReferences>
    <externalReference r:id="rId13"/>
    <externalReference r:id="rId14"/>
    <externalReference r:id="rId15"/>
    <externalReference r:id="rId16"/>
    <externalReference r:id="rId17"/>
    <externalReference r:id="rId18"/>
    <externalReference r:id="rId19"/>
    <externalReference r:id="rId20"/>
  </externalReferences>
  <definedNames>
    <definedName name="_xlnm._FilterDatabase" localSheetId="8" hidden="1">'June-2023 Sales Report'!$A$1:$Z$2351</definedName>
    <definedName name="Slicer_Month">#N/A</definedName>
    <definedName name="Slicer_Product">#N/A</definedName>
    <definedName name="Slicer_Year">#N/A</definedName>
  </definedNames>
  <calcPr calcId="191029"/>
  <pivotCaches>
    <pivotCache cacheId="0" r:id="rId21"/>
  </pivotCaches>
  <extLst>
    <ext xmlns:x14="http://schemas.microsoft.com/office/spreadsheetml/2009/9/main" uri="{BBE1A952-AA13-448e-AADC-164F8A28A991}">
      <x14:slicerCaches>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340" i="1" l="1"/>
  <c r="N2339" i="1"/>
  <c r="O2339" i="1" s="1"/>
  <c r="N2338" i="1"/>
  <c r="O2338" i="1" s="1"/>
  <c r="S2339" i="1"/>
  <c r="T2339" i="1"/>
  <c r="U2339" i="1"/>
  <c r="V2339" i="1" s="1" a="1"/>
  <c r="V2339" i="1" s="1"/>
  <c r="S2338" i="1"/>
  <c r="T2338" i="1"/>
  <c r="U2338" i="1"/>
  <c r="V2338" i="1" s="1" a="1"/>
  <c r="V2338" i="1" s="1"/>
  <c r="N2336" i="1"/>
  <c r="U2351" i="1"/>
  <c r="T2351" i="1"/>
  <c r="S2351" i="1"/>
  <c r="O2351" i="1"/>
  <c r="C24" i="44" l="1"/>
  <c r="C23" i="44"/>
  <c r="C22" i="44"/>
  <c r="L41" i="45"/>
  <c r="K41" i="45"/>
  <c r="J41" i="45"/>
  <c r="I41" i="45"/>
  <c r="I42" i="45" s="1"/>
  <c r="G41" i="45"/>
  <c r="F41" i="45"/>
  <c r="E41" i="45"/>
  <c r="D41" i="45"/>
  <c r="C41" i="45"/>
  <c r="B41" i="45"/>
  <c r="B39" i="45"/>
  <c r="C39" i="45"/>
  <c r="D39" i="45"/>
  <c r="E39" i="45"/>
  <c r="F39" i="45"/>
  <c r="G39" i="45"/>
  <c r="H39" i="45"/>
  <c r="I39" i="45"/>
  <c r="J39" i="45"/>
  <c r="K39" i="45"/>
  <c r="L39" i="45"/>
  <c r="M39" i="45"/>
  <c r="B40" i="45"/>
  <c r="C40" i="45"/>
  <c r="D40" i="45"/>
  <c r="E40" i="45"/>
  <c r="F40" i="45"/>
  <c r="G40" i="45"/>
  <c r="H40" i="45"/>
  <c r="I40" i="45"/>
  <c r="J40" i="45"/>
  <c r="K40" i="45"/>
  <c r="L40" i="45"/>
  <c r="M40" i="45"/>
  <c r="B24" i="45"/>
  <c r="C24" i="45"/>
  <c r="D24" i="45"/>
  <c r="E24" i="45"/>
  <c r="F24" i="45"/>
  <c r="G24" i="45"/>
  <c r="H24" i="45"/>
  <c r="I24" i="45"/>
  <c r="J24" i="45"/>
  <c r="K24" i="45"/>
  <c r="L24" i="45"/>
  <c r="M24" i="45"/>
  <c r="B25" i="45"/>
  <c r="C25" i="45"/>
  <c r="D25" i="45"/>
  <c r="E25" i="45"/>
  <c r="F25" i="45"/>
  <c r="G25" i="45"/>
  <c r="H25" i="45"/>
  <c r="I25" i="45"/>
  <c r="J25" i="45"/>
  <c r="K25" i="45"/>
  <c r="L25" i="45"/>
  <c r="M25" i="45"/>
  <c r="B26" i="45"/>
  <c r="C26" i="45"/>
  <c r="D26" i="45"/>
  <c r="E26" i="45"/>
  <c r="F26" i="45"/>
  <c r="G26" i="45"/>
  <c r="H26" i="45"/>
  <c r="I26" i="45"/>
  <c r="J26" i="45"/>
  <c r="K26" i="45"/>
  <c r="L26" i="45"/>
  <c r="M26" i="45"/>
  <c r="B27" i="45"/>
  <c r="C27" i="45"/>
  <c r="D27" i="45"/>
  <c r="E27" i="45"/>
  <c r="F27" i="45"/>
  <c r="G27" i="45"/>
  <c r="H27" i="45"/>
  <c r="I27" i="45"/>
  <c r="J27" i="45"/>
  <c r="K27" i="45"/>
  <c r="L27" i="45"/>
  <c r="M27" i="45"/>
  <c r="B28" i="45"/>
  <c r="C28" i="45"/>
  <c r="D28" i="45"/>
  <c r="E28" i="45"/>
  <c r="F28" i="45"/>
  <c r="G28" i="45"/>
  <c r="H28" i="45"/>
  <c r="I28" i="45"/>
  <c r="J28" i="45"/>
  <c r="K28" i="45"/>
  <c r="L28" i="45"/>
  <c r="M28" i="45"/>
  <c r="B29" i="45"/>
  <c r="C29" i="45"/>
  <c r="D29" i="45"/>
  <c r="E29" i="45"/>
  <c r="F29" i="45"/>
  <c r="G29" i="45"/>
  <c r="H29" i="45"/>
  <c r="I29" i="45"/>
  <c r="J29" i="45"/>
  <c r="K29" i="45"/>
  <c r="L29" i="45"/>
  <c r="M29" i="45"/>
  <c r="B30" i="45"/>
  <c r="C30" i="45"/>
  <c r="D30" i="45"/>
  <c r="E30" i="45"/>
  <c r="F30" i="45"/>
  <c r="G30" i="45"/>
  <c r="H30" i="45"/>
  <c r="I30" i="45"/>
  <c r="J30" i="45"/>
  <c r="K30" i="45"/>
  <c r="L30" i="45"/>
  <c r="M30" i="45"/>
  <c r="B31" i="45"/>
  <c r="C31" i="45"/>
  <c r="D31" i="45"/>
  <c r="E31" i="45"/>
  <c r="F31" i="45"/>
  <c r="G31" i="45"/>
  <c r="H31" i="45"/>
  <c r="I31" i="45"/>
  <c r="J31" i="45"/>
  <c r="K31" i="45"/>
  <c r="L31" i="45"/>
  <c r="M31" i="45"/>
  <c r="B32" i="45"/>
  <c r="C32" i="45"/>
  <c r="D32" i="45"/>
  <c r="E32" i="45"/>
  <c r="F32" i="45"/>
  <c r="G32" i="45"/>
  <c r="H32" i="45"/>
  <c r="I32" i="45"/>
  <c r="J32" i="45"/>
  <c r="K32" i="45"/>
  <c r="L32" i="45"/>
  <c r="M32" i="45"/>
  <c r="B33" i="45"/>
  <c r="C33" i="45"/>
  <c r="D33" i="45"/>
  <c r="E33" i="45"/>
  <c r="F33" i="45"/>
  <c r="G33" i="45"/>
  <c r="H33" i="45"/>
  <c r="I33" i="45"/>
  <c r="J33" i="45"/>
  <c r="K33" i="45"/>
  <c r="L33" i="45"/>
  <c r="M33" i="45"/>
  <c r="B34" i="45"/>
  <c r="C34" i="45"/>
  <c r="D34" i="45"/>
  <c r="E34" i="45"/>
  <c r="F34" i="45"/>
  <c r="G34" i="45"/>
  <c r="H34" i="45"/>
  <c r="I34" i="45"/>
  <c r="J34" i="45"/>
  <c r="K34" i="45"/>
  <c r="L34" i="45"/>
  <c r="M34" i="45"/>
  <c r="B35" i="45"/>
  <c r="C35" i="45"/>
  <c r="D35" i="45"/>
  <c r="E35" i="45"/>
  <c r="F35" i="45"/>
  <c r="G35" i="45"/>
  <c r="H35" i="45"/>
  <c r="I35" i="45"/>
  <c r="J35" i="45"/>
  <c r="K35" i="45"/>
  <c r="L35" i="45"/>
  <c r="M35" i="45"/>
  <c r="B36" i="45"/>
  <c r="C36" i="45"/>
  <c r="D36" i="45"/>
  <c r="E36" i="45"/>
  <c r="F36" i="45"/>
  <c r="G36" i="45"/>
  <c r="H36" i="45"/>
  <c r="I36" i="45"/>
  <c r="J36" i="45"/>
  <c r="K36" i="45"/>
  <c r="L36" i="45"/>
  <c r="M36" i="45"/>
  <c r="B37" i="45"/>
  <c r="C37" i="45"/>
  <c r="D37" i="45"/>
  <c r="E37" i="45"/>
  <c r="F37" i="45"/>
  <c r="G37" i="45"/>
  <c r="H37" i="45"/>
  <c r="I37" i="45"/>
  <c r="J37" i="45"/>
  <c r="K37" i="45"/>
  <c r="L37" i="45"/>
  <c r="M37" i="45"/>
  <c r="B38" i="45"/>
  <c r="C38" i="45"/>
  <c r="D38" i="45"/>
  <c r="E38" i="45"/>
  <c r="F38" i="45"/>
  <c r="G38" i="45"/>
  <c r="H38" i="45"/>
  <c r="I38" i="45"/>
  <c r="J38" i="45"/>
  <c r="K38" i="45"/>
  <c r="L38" i="45"/>
  <c r="M38" i="45"/>
  <c r="A39" i="45"/>
  <c r="A25" i="45"/>
  <c r="A26" i="45"/>
  <c r="A27" i="45"/>
  <c r="A28" i="45"/>
  <c r="A29" i="45"/>
  <c r="A30" i="45"/>
  <c r="A31" i="45"/>
  <c r="A32" i="45"/>
  <c r="A33" i="45"/>
  <c r="A34" i="45"/>
  <c r="A35" i="45"/>
  <c r="A36" i="45"/>
  <c r="A37" i="45"/>
  <c r="A38" i="45"/>
  <c r="C36" i="44"/>
  <c r="C35" i="44"/>
  <c r="C34" i="44"/>
  <c r="C33" i="44"/>
  <c r="C32" i="44"/>
  <c r="C31" i="44"/>
  <c r="C30" i="44"/>
  <c r="C29" i="44"/>
  <c r="C28" i="44"/>
  <c r="C27" i="44"/>
  <c r="C26" i="44"/>
  <c r="D26" i="44" s="1"/>
  <c r="C25" i="44"/>
  <c r="B22" i="44"/>
  <c r="B23" i="44"/>
  <c r="B24" i="44"/>
  <c r="D24" i="44" s="1"/>
  <c r="B25" i="44"/>
  <c r="B26" i="44"/>
  <c r="B27" i="44"/>
  <c r="B28" i="44"/>
  <c r="B29" i="44"/>
  <c r="B30" i="44"/>
  <c r="B31" i="44"/>
  <c r="B32" i="44"/>
  <c r="B33" i="44"/>
  <c r="B34" i="44"/>
  <c r="B35" i="44"/>
  <c r="D35" i="44" s="1"/>
  <c r="B36" i="44"/>
  <c r="B37" i="44"/>
  <c r="A23" i="44"/>
  <c r="A24" i="44"/>
  <c r="A25" i="44"/>
  <c r="A26" i="44"/>
  <c r="A27" i="44"/>
  <c r="A28" i="44"/>
  <c r="A29" i="44"/>
  <c r="A30" i="44"/>
  <c r="A31" i="44"/>
  <c r="A32" i="44"/>
  <c r="A33" i="44"/>
  <c r="A34" i="44"/>
  <c r="A35" i="44"/>
  <c r="A36" i="44"/>
  <c r="A37" i="44"/>
  <c r="A22" i="44"/>
  <c r="D22" i="44" l="1"/>
  <c r="D32" i="44"/>
  <c r="F42" i="45"/>
  <c r="E42" i="45"/>
  <c r="D29" i="44"/>
  <c r="D25" i="44"/>
  <c r="D34" i="44"/>
  <c r="D33" i="44"/>
  <c r="D27" i="44"/>
  <c r="D30" i="44"/>
  <c r="M41" i="45"/>
  <c r="M42" i="45" s="1"/>
  <c r="K42" i="45"/>
  <c r="C42" i="45"/>
  <c r="B42" i="45"/>
  <c r="D31" i="44"/>
  <c r="D42" i="45"/>
  <c r="D28" i="44"/>
  <c r="D36" i="44"/>
  <c r="D23" i="44"/>
  <c r="L42" i="45"/>
  <c r="G42" i="45"/>
  <c r="J42" i="45"/>
  <c r="C37" i="44"/>
  <c r="D37" i="44" s="1"/>
  <c r="N2348" i="1"/>
  <c r="O2348" i="1" s="1"/>
  <c r="N2349" i="1"/>
  <c r="O2349" i="1" s="1"/>
  <c r="N2350" i="1"/>
  <c r="O2350" i="1" s="1"/>
  <c r="N2347" i="1"/>
  <c r="O2347" i="1" s="1"/>
  <c r="U2340" i="1"/>
  <c r="U2341" i="1"/>
  <c r="U2342" i="1"/>
  <c r="U2343" i="1"/>
  <c r="U2344" i="1"/>
  <c r="U2345" i="1"/>
  <c r="U2346" i="1"/>
  <c r="U2347" i="1"/>
  <c r="U2348" i="1"/>
  <c r="U2349" i="1"/>
  <c r="U2350" i="1"/>
  <c r="T2340" i="1"/>
  <c r="T2341" i="1"/>
  <c r="T2342" i="1"/>
  <c r="T2343" i="1"/>
  <c r="T2344" i="1"/>
  <c r="T2345" i="1"/>
  <c r="T2346" i="1"/>
  <c r="T2347" i="1"/>
  <c r="T2348" i="1"/>
  <c r="T2349" i="1"/>
  <c r="T2350" i="1"/>
  <c r="S2340" i="1"/>
  <c r="S2341" i="1"/>
  <c r="S2342" i="1"/>
  <c r="S2343" i="1"/>
  <c r="S2344" i="1"/>
  <c r="S2345" i="1"/>
  <c r="S2346" i="1"/>
  <c r="S2347" i="1"/>
  <c r="S2348" i="1"/>
  <c r="S2349" i="1"/>
  <c r="S2350" i="1"/>
  <c r="O2341" i="1"/>
  <c r="O2342" i="1"/>
  <c r="O2343" i="1"/>
  <c r="O2344" i="1"/>
  <c r="O2345" i="1"/>
  <c r="O2346" i="1"/>
  <c r="U2335" i="1"/>
  <c r="U2336" i="1"/>
  <c r="U2337" i="1"/>
  <c r="T2336" i="1"/>
  <c r="T2337" i="1"/>
  <c r="T2335" i="1"/>
  <c r="S2335" i="1"/>
  <c r="S2336" i="1"/>
  <c r="S2337" i="1"/>
  <c r="N2337" i="1"/>
  <c r="O2337" i="1" s="1"/>
  <c r="O2336" i="1"/>
  <c r="U2334" i="1"/>
  <c r="T2334" i="1"/>
  <c r="S2334" i="1"/>
  <c r="N2335" i="1"/>
  <c r="O2335" i="1" s="1"/>
  <c r="N2334" i="1"/>
  <c r="O2334" i="1" s="1"/>
  <c r="U2326" i="1"/>
  <c r="U2327" i="1"/>
  <c r="U2328" i="1"/>
  <c r="U2329" i="1"/>
  <c r="U2330" i="1"/>
  <c r="U2331" i="1"/>
  <c r="U2332" i="1"/>
  <c r="U2333" i="1"/>
  <c r="T2326" i="1"/>
  <c r="T2327" i="1"/>
  <c r="T2328" i="1"/>
  <c r="T2329" i="1"/>
  <c r="T2330" i="1"/>
  <c r="T2331" i="1"/>
  <c r="T2332" i="1"/>
  <c r="T2333" i="1"/>
  <c r="S2326" i="1"/>
  <c r="S2327" i="1"/>
  <c r="S2328" i="1"/>
  <c r="S2329" i="1"/>
  <c r="S2330" i="1"/>
  <c r="S2331" i="1"/>
  <c r="S2332" i="1"/>
  <c r="S2333" i="1"/>
  <c r="N2333" i="1"/>
  <c r="O2333" i="1" s="1"/>
  <c r="N2332" i="1"/>
  <c r="O2332" i="1" s="1"/>
  <c r="N2331" i="1"/>
  <c r="O2331" i="1" s="1"/>
  <c r="N2330" i="1"/>
  <c r="O2330" i="1" s="1"/>
  <c r="N2329" i="1"/>
  <c r="O2329" i="1" s="1"/>
  <c r="N2328" i="1"/>
  <c r="O2328" i="1" s="1"/>
  <c r="N2327" i="1"/>
  <c r="O2327" i="1" s="1"/>
  <c r="N2326" i="1"/>
  <c r="O2326" i="1" s="1"/>
  <c r="U2322" i="1"/>
  <c r="U2323" i="1"/>
  <c r="U2324" i="1"/>
  <c r="U2325" i="1"/>
  <c r="T2322" i="1"/>
  <c r="T2323" i="1"/>
  <c r="T2324" i="1"/>
  <c r="T2325" i="1"/>
  <c r="S2322" i="1"/>
  <c r="S2323" i="1"/>
  <c r="S2324" i="1"/>
  <c r="S2325" i="1"/>
  <c r="N2325" i="1"/>
  <c r="O2325" i="1" s="1"/>
  <c r="N2324" i="1"/>
  <c r="O2324" i="1" s="1"/>
  <c r="N2323" i="1"/>
  <c r="O2323" i="1" s="1"/>
  <c r="N2322" i="1"/>
  <c r="O2322" i="1" s="1"/>
  <c r="U2321" i="1" l="1"/>
  <c r="U2318" i="1"/>
  <c r="U2319" i="1"/>
  <c r="U2320" i="1"/>
  <c r="T2318" i="1"/>
  <c r="T2319" i="1"/>
  <c r="T2320" i="1"/>
  <c r="T2321" i="1"/>
  <c r="S2318" i="1"/>
  <c r="S2319" i="1"/>
  <c r="S2320" i="1"/>
  <c r="S2321" i="1"/>
  <c r="O2317" i="1"/>
  <c r="N2319" i="1"/>
  <c r="O2319" i="1" s="1"/>
  <c r="N2320" i="1"/>
  <c r="O2320" i="1" s="1"/>
  <c r="N2321" i="1"/>
  <c r="O2321" i="1" s="1"/>
  <c r="N2318" i="1"/>
  <c r="O2318" i="1" s="1"/>
  <c r="U2317" i="1"/>
  <c r="V2317" i="1" s="1" a="1"/>
  <c r="V2317" i="1" s="1"/>
  <c r="T2317" i="1"/>
  <c r="S2317" i="1"/>
  <c r="U2316" i="1"/>
  <c r="V2316" i="1" s="1" a="1"/>
  <c r="V2316" i="1" s="1"/>
  <c r="T2316" i="1"/>
  <c r="S2316" i="1"/>
  <c r="O2316" i="1"/>
  <c r="U2315" i="1"/>
  <c r="V2315" i="1" s="1" a="1"/>
  <c r="V2315" i="1" s="1"/>
  <c r="T2315" i="1"/>
  <c r="S2315" i="1"/>
  <c r="O2315" i="1"/>
  <c r="U2314" i="1"/>
  <c r="V2314" i="1" s="1" a="1"/>
  <c r="V2314" i="1" s="1"/>
  <c r="T2314" i="1"/>
  <c r="S2314" i="1"/>
  <c r="O2314" i="1"/>
  <c r="O312" i="1"/>
  <c r="U191" i="1"/>
  <c r="O2312" i="1"/>
  <c r="O2313" i="1"/>
  <c r="S2312" i="1"/>
  <c r="S2313" i="1"/>
  <c r="T2312" i="1"/>
  <c r="T2313" i="1"/>
  <c r="U2312" i="1"/>
  <c r="V2312" i="1" s="1" a="1"/>
  <c r="V2312" i="1" s="1"/>
  <c r="U2313" i="1"/>
  <c r="V2313" i="1" s="1" a="1"/>
  <c r="V2313" i="1" s="1"/>
  <c r="O2301" i="1"/>
  <c r="S2301" i="1"/>
  <c r="T2301" i="1"/>
  <c r="U2301" i="1"/>
  <c r="V2301" i="1" s="1" a="1"/>
  <c r="V2301" i="1" s="1"/>
  <c r="O2311" i="1"/>
  <c r="S2311" i="1"/>
  <c r="T2311" i="1"/>
  <c r="U2311" i="1"/>
  <c r="V2311" i="1" s="1" a="1"/>
  <c r="V2311" i="1" s="1"/>
  <c r="O2308" i="1"/>
  <c r="O2309" i="1"/>
  <c r="O2310" i="1"/>
  <c r="S2308" i="1"/>
  <c r="S2309" i="1"/>
  <c r="S2310" i="1"/>
  <c r="T2308" i="1"/>
  <c r="T2309" i="1"/>
  <c r="T2310" i="1"/>
  <c r="U2308" i="1"/>
  <c r="V2308" i="1" s="1" a="1"/>
  <c r="V2308" i="1" s="1"/>
  <c r="U2309" i="1"/>
  <c r="V2309" i="1" s="1" a="1"/>
  <c r="V2309" i="1" s="1"/>
  <c r="U2310" i="1"/>
  <c r="V2310" i="1" s="1" a="1"/>
  <c r="V2310" i="1" s="1"/>
  <c r="O2304" i="1"/>
  <c r="O2305" i="1"/>
  <c r="O2306" i="1"/>
  <c r="O2307" i="1"/>
  <c r="S2304" i="1"/>
  <c r="S2305" i="1"/>
  <c r="S2306" i="1"/>
  <c r="S2307" i="1"/>
  <c r="T2304" i="1"/>
  <c r="T2305" i="1"/>
  <c r="T2306" i="1"/>
  <c r="T2307" i="1"/>
  <c r="U2304" i="1"/>
  <c r="V2304" i="1" s="1" a="1"/>
  <c r="V2304" i="1" s="1"/>
  <c r="U2305" i="1"/>
  <c r="V2305" i="1" s="1" a="1"/>
  <c r="V2305" i="1" s="1"/>
  <c r="U2306" i="1"/>
  <c r="V2306" i="1" s="1" a="1"/>
  <c r="V2306" i="1" s="1"/>
  <c r="U2307" i="1"/>
  <c r="V2307" i="1" s="1" a="1"/>
  <c r="V2307" i="1" s="1"/>
  <c r="O2294" i="1"/>
  <c r="O2295" i="1"/>
  <c r="O2296" i="1"/>
  <c r="O2297" i="1"/>
  <c r="O2298" i="1"/>
  <c r="O2299" i="1"/>
  <c r="O2300" i="1"/>
  <c r="O2302" i="1"/>
  <c r="O2303" i="1"/>
  <c r="S2294" i="1"/>
  <c r="S2295" i="1"/>
  <c r="S2296" i="1"/>
  <c r="S2297" i="1"/>
  <c r="S2298" i="1"/>
  <c r="S2299" i="1"/>
  <c r="S2300" i="1"/>
  <c r="S2302" i="1"/>
  <c r="S2303" i="1"/>
  <c r="T2294" i="1"/>
  <c r="T2295" i="1"/>
  <c r="T2296" i="1"/>
  <c r="T2297" i="1"/>
  <c r="T2298" i="1"/>
  <c r="T2299" i="1"/>
  <c r="T2300" i="1"/>
  <c r="T2302" i="1"/>
  <c r="T2303" i="1"/>
  <c r="U2294" i="1"/>
  <c r="V2294" i="1" s="1" a="1"/>
  <c r="V2294" i="1" s="1"/>
  <c r="U2295" i="1"/>
  <c r="V2295" i="1" s="1" a="1"/>
  <c r="V2295" i="1" s="1"/>
  <c r="U2296" i="1"/>
  <c r="V2296" i="1" s="1" a="1"/>
  <c r="V2296" i="1" s="1"/>
  <c r="U2297" i="1"/>
  <c r="V2297" i="1" s="1" a="1"/>
  <c r="V2297" i="1" s="1"/>
  <c r="U2298" i="1"/>
  <c r="V2298" i="1" s="1" a="1"/>
  <c r="V2298" i="1" s="1"/>
  <c r="U2299" i="1"/>
  <c r="V2299" i="1" s="1" a="1"/>
  <c r="V2299" i="1" s="1"/>
  <c r="U2300" i="1"/>
  <c r="V2300" i="1" s="1" a="1"/>
  <c r="V2300" i="1" s="1"/>
  <c r="U2302" i="1"/>
  <c r="V2302" i="1" s="1" a="1"/>
  <c r="V2302" i="1" s="1"/>
  <c r="U2303" i="1"/>
  <c r="V2303" i="1" s="1" a="1"/>
  <c r="V2303" i="1" s="1"/>
  <c r="O2293" i="1"/>
  <c r="S2293" i="1"/>
  <c r="T2293" i="1"/>
  <c r="U2293" i="1"/>
  <c r="V2293" i="1" s="1" a="1"/>
  <c r="V2293" i="1" s="1"/>
  <c r="U2292" i="1"/>
  <c r="V2292" i="1" s="1" a="1"/>
  <c r="V2292" i="1" s="1"/>
  <c r="T2292" i="1"/>
  <c r="S2292" i="1"/>
  <c r="O90" i="1"/>
  <c r="S90" i="1"/>
  <c r="T90" i="1"/>
  <c r="U90" i="1"/>
  <c r="V90" i="1" s="1" a="1"/>
  <c r="V90" i="1" s="1"/>
  <c r="U115" i="1"/>
  <c r="V115" i="1" s="1" a="1"/>
  <c r="V115" i="1" s="1"/>
  <c r="T115" i="1"/>
  <c r="S115" i="1"/>
  <c r="O115" i="1"/>
  <c r="U114" i="1"/>
  <c r="V114" i="1" s="1" a="1"/>
  <c r="V114" i="1" s="1"/>
  <c r="T114" i="1"/>
  <c r="O114" i="1"/>
  <c r="O2292" i="1"/>
  <c r="U41" i="1"/>
  <c r="U1900" i="1"/>
  <c r="V1900" i="1" s="1" a="1"/>
  <c r="V1900" i="1" s="1"/>
  <c r="T1900" i="1"/>
  <c r="S1900" i="1"/>
  <c r="O1900" i="1"/>
  <c r="O1493" i="1"/>
  <c r="S1493" i="1"/>
  <c r="T1493" i="1"/>
  <c r="U1493" i="1"/>
  <c r="V1493" i="1" s="1" a="1"/>
  <c r="V1493" i="1" s="1"/>
  <c r="N1210" i="1"/>
  <c r="U1849" i="1"/>
  <c r="V1849" i="1" s="1" a="1"/>
  <c r="V1849" i="1" s="1"/>
  <c r="U1850" i="1"/>
  <c r="V1850" i="1" s="1" a="1"/>
  <c r="V1850" i="1" s="1"/>
  <c r="U1851" i="1"/>
  <c r="V1851" i="1" s="1" a="1"/>
  <c r="V1851" i="1" s="1"/>
  <c r="U1852" i="1"/>
  <c r="V1852" i="1" s="1" a="1"/>
  <c r="V1852" i="1" s="1"/>
  <c r="U1853" i="1"/>
  <c r="V1853" i="1" s="1" a="1"/>
  <c r="V1853" i="1" s="1"/>
  <c r="U1854" i="1"/>
  <c r="V1854" i="1" s="1" a="1"/>
  <c r="V1854" i="1" s="1"/>
  <c r="T1849" i="1"/>
  <c r="T1850" i="1"/>
  <c r="T1851" i="1"/>
  <c r="T1852" i="1"/>
  <c r="T1853" i="1"/>
  <c r="T1854" i="1"/>
  <c r="S1849" i="1"/>
  <c r="S1850" i="1"/>
  <c r="S1851" i="1"/>
  <c r="S1852" i="1"/>
  <c r="S1853" i="1"/>
  <c r="S1854" i="1"/>
  <c r="N1853" i="1"/>
  <c r="O1853" i="1" s="1"/>
  <c r="N1852" i="1"/>
  <c r="O1852" i="1" s="1"/>
  <c r="N1850" i="1"/>
  <c r="O1850" i="1" s="1"/>
  <c r="N1849" i="1"/>
  <c r="O1849" i="1" s="1"/>
  <c r="N1851" i="1"/>
  <c r="O1851" i="1" s="1"/>
  <c r="N1854" i="1"/>
  <c r="O1854" i="1" s="1"/>
  <c r="N1848" i="1"/>
  <c r="O1848" i="1" s="1"/>
  <c r="S1848" i="1"/>
  <c r="U1848" i="1"/>
  <c r="V1848" i="1" s="1" a="1"/>
  <c r="V1848" i="1" s="1"/>
  <c r="T1848" i="1"/>
  <c r="O1705" i="1"/>
  <c r="F8" i="42" l="1"/>
  <c r="F9" i="42" s="1"/>
  <c r="G8" i="42" l="1"/>
  <c r="G7" i="42"/>
  <c r="F10" i="42"/>
  <c r="F11" i="42" s="1"/>
  <c r="J8" i="42"/>
  <c r="J7" i="42" s="1"/>
  <c r="K7" i="42" s="1"/>
  <c r="J2" i="42"/>
  <c r="K2" i="42" s="1"/>
  <c r="F3" i="42"/>
  <c r="K4" i="42"/>
  <c r="K5" i="42"/>
  <c r="K6" i="42"/>
  <c r="K3" i="42"/>
  <c r="E5" i="42"/>
  <c r="E4" i="42"/>
  <c r="N2057" i="1"/>
  <c r="O2057" i="1" s="1"/>
  <c r="U2057" i="1"/>
  <c r="V2057" i="1" s="1" a="1"/>
  <c r="V2057" i="1" s="1"/>
  <c r="T2057" i="1"/>
  <c r="S2057" i="1"/>
  <c r="S1340" i="1"/>
  <c r="T1340" i="1"/>
  <c r="S582" i="1"/>
  <c r="T582" i="1"/>
  <c r="S583" i="1"/>
  <c r="T583" i="1"/>
  <c r="S584" i="1"/>
  <c r="T584" i="1"/>
  <c r="S1375" i="1"/>
  <c r="T1375" i="1"/>
  <c r="S486" i="1"/>
  <c r="T486" i="1"/>
  <c r="S487" i="1"/>
  <c r="T487" i="1"/>
  <c r="S1704" i="1"/>
  <c r="T1704" i="1"/>
  <c r="S366" i="1"/>
  <c r="T366" i="1"/>
  <c r="S367" i="1"/>
  <c r="T367" i="1"/>
  <c r="S1122" i="1"/>
  <c r="T1122" i="1"/>
  <c r="S588" i="1"/>
  <c r="T588" i="1"/>
  <c r="S3" i="1"/>
  <c r="T3" i="1"/>
  <c r="S4" i="1"/>
  <c r="T4" i="1"/>
  <c r="S1939" i="1"/>
  <c r="T1939" i="1"/>
  <c r="S1940" i="1"/>
  <c r="T1940" i="1"/>
  <c r="S1941" i="1"/>
  <c r="T1941" i="1"/>
  <c r="S1943" i="1"/>
  <c r="T1943" i="1"/>
  <c r="T1990" i="1"/>
  <c r="S5" i="1"/>
  <c r="T5" i="1"/>
  <c r="S6" i="1"/>
  <c r="T6" i="1"/>
  <c r="S7" i="1"/>
  <c r="T7" i="1"/>
  <c r="S8" i="1"/>
  <c r="T8" i="1"/>
  <c r="S9" i="1"/>
  <c r="T9" i="1"/>
  <c r="S12" i="1"/>
  <c r="T12" i="1"/>
  <c r="S22" i="1"/>
  <c r="T22" i="1"/>
  <c r="S23" i="1"/>
  <c r="T23" i="1"/>
  <c r="S134" i="1"/>
  <c r="T134" i="1"/>
  <c r="S137" i="1"/>
  <c r="T137" i="1"/>
  <c r="S138" i="1"/>
  <c r="T138" i="1"/>
  <c r="S139" i="1"/>
  <c r="T139" i="1"/>
  <c r="S140" i="1"/>
  <c r="T140" i="1"/>
  <c r="S141" i="1"/>
  <c r="T141" i="1"/>
  <c r="S142" i="1"/>
  <c r="T142" i="1"/>
  <c r="S143" i="1"/>
  <c r="T143" i="1"/>
  <c r="S144" i="1"/>
  <c r="T144" i="1"/>
  <c r="S145" i="1"/>
  <c r="T145" i="1"/>
  <c r="S146" i="1"/>
  <c r="T146" i="1"/>
  <c r="S147" i="1"/>
  <c r="T147" i="1"/>
  <c r="S148" i="1"/>
  <c r="T148" i="1"/>
  <c r="S149" i="1"/>
  <c r="T149" i="1"/>
  <c r="S150" i="1"/>
  <c r="T150" i="1"/>
  <c r="S628" i="1"/>
  <c r="T628" i="1"/>
  <c r="S1462" i="1"/>
  <c r="T1462" i="1"/>
  <c r="S1463" i="1"/>
  <c r="T1463" i="1"/>
  <c r="S338" i="1"/>
  <c r="T338" i="1"/>
  <c r="S1354" i="1"/>
  <c r="T1354" i="1"/>
  <c r="S24" i="1"/>
  <c r="T24" i="1"/>
  <c r="S25" i="1"/>
  <c r="T25" i="1"/>
  <c r="S26" i="1"/>
  <c r="T26" i="1"/>
  <c r="S650" i="1"/>
  <c r="T650" i="1"/>
  <c r="S651" i="1"/>
  <c r="T651" i="1"/>
  <c r="S652" i="1"/>
  <c r="T652" i="1"/>
  <c r="S653" i="1"/>
  <c r="T653" i="1"/>
  <c r="S654" i="1"/>
  <c r="T654" i="1"/>
  <c r="S655" i="1"/>
  <c r="T655" i="1"/>
  <c r="S656" i="1"/>
  <c r="T656" i="1"/>
  <c r="S657" i="1"/>
  <c r="T657" i="1"/>
  <c r="S658" i="1"/>
  <c r="T658" i="1"/>
  <c r="S659" i="1"/>
  <c r="T659" i="1"/>
  <c r="S660" i="1"/>
  <c r="T660" i="1"/>
  <c r="S661" i="1"/>
  <c r="T661" i="1"/>
  <c r="S662" i="1"/>
  <c r="T662" i="1"/>
  <c r="S663" i="1"/>
  <c r="T663" i="1"/>
  <c r="S664" i="1"/>
  <c r="T664" i="1"/>
  <c r="S665" i="1"/>
  <c r="T665" i="1"/>
  <c r="S666" i="1"/>
  <c r="T666" i="1"/>
  <c r="S667" i="1"/>
  <c r="T667" i="1"/>
  <c r="S668" i="1"/>
  <c r="T668" i="1"/>
  <c r="S669" i="1"/>
  <c r="T669" i="1"/>
  <c r="S670" i="1"/>
  <c r="T670" i="1"/>
  <c r="S671" i="1"/>
  <c r="T671" i="1"/>
  <c r="S672" i="1"/>
  <c r="T672" i="1"/>
  <c r="S673" i="1"/>
  <c r="T673" i="1"/>
  <c r="S674" i="1"/>
  <c r="T674" i="1"/>
  <c r="S675" i="1"/>
  <c r="T675" i="1"/>
  <c r="S676" i="1"/>
  <c r="T676" i="1"/>
  <c r="S677" i="1"/>
  <c r="T677" i="1"/>
  <c r="S678" i="1"/>
  <c r="T678" i="1"/>
  <c r="S257" i="1"/>
  <c r="T257" i="1"/>
  <c r="S64" i="1"/>
  <c r="T64" i="1"/>
  <c r="S1124" i="1"/>
  <c r="T1124" i="1"/>
  <c r="S119" i="1"/>
  <c r="T119" i="1"/>
  <c r="S120" i="1"/>
  <c r="T120" i="1"/>
  <c r="S121" i="1"/>
  <c r="T121" i="1"/>
  <c r="S122" i="1"/>
  <c r="T122" i="1"/>
  <c r="S123" i="1"/>
  <c r="T123" i="1"/>
  <c r="S124" i="1"/>
  <c r="T124" i="1"/>
  <c r="S125" i="1"/>
  <c r="T125" i="1"/>
  <c r="S126" i="1"/>
  <c r="T126" i="1"/>
  <c r="S127" i="1"/>
  <c r="T127" i="1"/>
  <c r="S128" i="1"/>
  <c r="T128" i="1"/>
  <c r="S129" i="1"/>
  <c r="T129" i="1"/>
  <c r="S130" i="1"/>
  <c r="T130" i="1"/>
  <c r="S131" i="1"/>
  <c r="T131" i="1"/>
  <c r="S1376" i="1"/>
  <c r="T1376" i="1"/>
  <c r="S1377" i="1"/>
  <c r="T1377" i="1"/>
  <c r="S1378" i="1"/>
  <c r="T1378" i="1"/>
  <c r="S1379" i="1"/>
  <c r="T1379" i="1"/>
  <c r="S1380" i="1"/>
  <c r="T1380" i="1"/>
  <c r="S282" i="1"/>
  <c r="T282" i="1"/>
  <c r="S283" i="1"/>
  <c r="T283" i="1"/>
  <c r="S284" i="1"/>
  <c r="T284" i="1"/>
  <c r="S285" i="1"/>
  <c r="T285" i="1"/>
  <c r="S286" i="1"/>
  <c r="T286" i="1"/>
  <c r="S287" i="1"/>
  <c r="T287" i="1"/>
  <c r="S288" i="1"/>
  <c r="T288" i="1"/>
  <c r="S289" i="1"/>
  <c r="T289" i="1"/>
  <c r="S290" i="1"/>
  <c r="T290" i="1"/>
  <c r="S291" i="1"/>
  <c r="T291" i="1"/>
  <c r="S292" i="1"/>
  <c r="T292" i="1"/>
  <c r="S293" i="1"/>
  <c r="T293" i="1"/>
  <c r="S294" i="1"/>
  <c r="T294" i="1"/>
  <c r="S2253" i="1"/>
  <c r="T2253" i="1"/>
  <c r="S158" i="1"/>
  <c r="T158" i="1"/>
  <c r="S159" i="1"/>
  <c r="T159" i="1"/>
  <c r="S160" i="1"/>
  <c r="T160" i="1"/>
  <c r="S161" i="1"/>
  <c r="T161" i="1"/>
  <c r="S162" i="1"/>
  <c r="T162" i="1"/>
  <c r="S163" i="1"/>
  <c r="T163" i="1"/>
  <c r="S164" i="1"/>
  <c r="T164" i="1"/>
  <c r="S165" i="1"/>
  <c r="T165" i="1"/>
  <c r="S166" i="1"/>
  <c r="T166" i="1"/>
  <c r="S1125" i="1"/>
  <c r="T1125" i="1"/>
  <c r="S1126" i="1"/>
  <c r="T1126" i="1"/>
  <c r="S2256" i="1"/>
  <c r="T2256" i="1"/>
  <c r="S1334" i="1"/>
  <c r="T1334" i="1"/>
  <c r="S1325" i="1"/>
  <c r="T1325" i="1"/>
  <c r="S1326" i="1"/>
  <c r="T1326" i="1"/>
  <c r="S2190" i="1"/>
  <c r="T2190" i="1"/>
  <c r="S1322" i="1"/>
  <c r="T1322" i="1"/>
  <c r="S2197" i="1"/>
  <c r="T2197" i="1"/>
  <c r="S2214" i="1"/>
  <c r="T2214" i="1"/>
  <c r="S2215" i="1"/>
  <c r="T2215" i="1"/>
  <c r="S580" i="1"/>
  <c r="T580" i="1"/>
  <c r="S581" i="1"/>
  <c r="T581" i="1"/>
  <c r="S1335" i="1"/>
  <c r="T1335" i="1"/>
  <c r="S1374" i="1"/>
  <c r="T1374" i="1"/>
  <c r="S510" i="1"/>
  <c r="T510" i="1"/>
  <c r="S538" i="1"/>
  <c r="T538" i="1"/>
  <c r="S539" i="1"/>
  <c r="T539" i="1"/>
  <c r="S540" i="1"/>
  <c r="T540" i="1"/>
  <c r="S541" i="1"/>
  <c r="T541" i="1"/>
  <c r="S542" i="1"/>
  <c r="T542" i="1"/>
  <c r="S256" i="1"/>
  <c r="T256" i="1"/>
  <c r="S341" i="1"/>
  <c r="T341" i="1"/>
  <c r="S1944" i="1"/>
  <c r="T1944" i="1"/>
  <c r="S2191" i="1"/>
  <c r="T2191" i="1"/>
  <c r="S2192" i="1"/>
  <c r="T2192" i="1"/>
  <c r="S2223" i="1"/>
  <c r="T2223" i="1"/>
  <c r="S2224" i="1"/>
  <c r="T2224" i="1"/>
  <c r="S45" i="1"/>
  <c r="T45" i="1"/>
  <c r="S46" i="1"/>
  <c r="T46" i="1"/>
  <c r="S47" i="1"/>
  <c r="T47" i="1"/>
  <c r="S48" i="1"/>
  <c r="T48" i="1"/>
  <c r="S49" i="1"/>
  <c r="T49" i="1"/>
  <c r="S50" i="1"/>
  <c r="T50" i="1"/>
  <c r="S51" i="1"/>
  <c r="T51" i="1"/>
  <c r="S52" i="1"/>
  <c r="T52" i="1"/>
  <c r="S53" i="1"/>
  <c r="T53" i="1"/>
  <c r="S54" i="1"/>
  <c r="T54" i="1"/>
  <c r="S258" i="1"/>
  <c r="T258" i="1"/>
  <c r="S259" i="1"/>
  <c r="T259" i="1"/>
  <c r="S308" i="1"/>
  <c r="T308" i="1"/>
  <c r="S1965" i="1"/>
  <c r="T1965" i="1"/>
  <c r="S531" i="1"/>
  <c r="T531" i="1"/>
  <c r="S488" i="1"/>
  <c r="T488" i="1"/>
  <c r="S2082" i="1"/>
  <c r="S1464" i="1"/>
  <c r="T1464" i="1"/>
  <c r="S543" i="1"/>
  <c r="T543" i="1"/>
  <c r="S2282" i="1"/>
  <c r="T2282" i="1"/>
  <c r="S1381" i="1"/>
  <c r="T1381" i="1"/>
  <c r="S2098" i="1"/>
  <c r="T2098" i="1"/>
  <c r="S2066" i="1"/>
  <c r="T2066" i="1"/>
  <c r="S1706" i="1"/>
  <c r="T1706" i="1"/>
  <c r="S1707" i="1"/>
  <c r="T1707" i="1"/>
  <c r="S1708" i="1"/>
  <c r="T1708" i="1"/>
  <c r="S1709" i="1"/>
  <c r="T1709" i="1"/>
  <c r="S1710" i="1"/>
  <c r="T1710" i="1"/>
  <c r="S1711" i="1"/>
  <c r="T1711" i="1"/>
  <c r="S1712" i="1"/>
  <c r="T1712" i="1"/>
  <c r="S1713" i="1"/>
  <c r="T1713" i="1"/>
  <c r="S1714" i="1"/>
  <c r="T1714" i="1"/>
  <c r="S1715" i="1"/>
  <c r="T1715" i="1"/>
  <c r="S1716" i="1"/>
  <c r="T1716" i="1"/>
  <c r="S1717" i="1"/>
  <c r="T1717" i="1"/>
  <c r="S1718" i="1"/>
  <c r="T1718" i="1"/>
  <c r="S1719" i="1"/>
  <c r="T1719" i="1"/>
  <c r="S1720" i="1"/>
  <c r="T1720" i="1"/>
  <c r="S1721" i="1"/>
  <c r="T1721" i="1"/>
  <c r="S1722" i="1"/>
  <c r="T1722" i="1"/>
  <c r="S1723" i="1"/>
  <c r="T1723" i="1"/>
  <c r="S1724" i="1"/>
  <c r="T1724" i="1"/>
  <c r="S1725" i="1"/>
  <c r="T1725" i="1"/>
  <c r="S1726" i="1"/>
  <c r="T1726" i="1"/>
  <c r="S1727" i="1"/>
  <c r="T1727" i="1"/>
  <c r="S1728" i="1"/>
  <c r="T1728" i="1"/>
  <c r="S1729" i="1"/>
  <c r="T1729" i="1"/>
  <c r="S1730" i="1"/>
  <c r="T1730" i="1"/>
  <c r="S1731" i="1"/>
  <c r="T1731" i="1"/>
  <c r="S1732" i="1"/>
  <c r="T1732" i="1"/>
  <c r="S1733" i="1"/>
  <c r="T1733" i="1"/>
  <c r="S1734" i="1"/>
  <c r="T1734" i="1"/>
  <c r="S1735" i="1"/>
  <c r="T1735" i="1"/>
  <c r="S1736" i="1"/>
  <c r="T1736" i="1"/>
  <c r="S1737" i="1"/>
  <c r="T1737" i="1"/>
  <c r="S1738" i="1"/>
  <c r="T1738" i="1"/>
  <c r="S1739" i="1"/>
  <c r="T1739" i="1"/>
  <c r="S1740" i="1"/>
  <c r="T1740" i="1"/>
  <c r="S1741" i="1"/>
  <c r="T1741" i="1"/>
  <c r="S1742" i="1"/>
  <c r="T1742" i="1"/>
  <c r="S1743" i="1"/>
  <c r="T1743" i="1"/>
  <c r="S1744" i="1"/>
  <c r="T1744" i="1"/>
  <c r="S1745" i="1"/>
  <c r="T1745" i="1"/>
  <c r="S1746" i="1"/>
  <c r="T1746" i="1"/>
  <c r="S1747" i="1"/>
  <c r="T1747" i="1"/>
  <c r="S1748" i="1"/>
  <c r="T1748" i="1"/>
  <c r="S1749" i="1"/>
  <c r="T1749" i="1"/>
  <c r="S1750" i="1"/>
  <c r="T1750" i="1"/>
  <c r="S81" i="1"/>
  <c r="T81" i="1"/>
  <c r="S644" i="1"/>
  <c r="T644" i="1"/>
  <c r="S645" i="1"/>
  <c r="T645" i="1"/>
  <c r="S1433" i="1"/>
  <c r="T1433" i="1"/>
  <c r="S1434" i="1"/>
  <c r="T1434" i="1"/>
  <c r="S1435" i="1"/>
  <c r="T1435" i="1"/>
  <c r="S1279" i="1"/>
  <c r="T1279" i="1"/>
  <c r="S1280" i="1"/>
  <c r="T1280" i="1"/>
  <c r="S1966" i="1"/>
  <c r="T1966" i="1"/>
  <c r="S1967" i="1"/>
  <c r="T1967" i="1"/>
  <c r="S1968" i="1"/>
  <c r="T1968" i="1"/>
  <c r="S1489" i="1"/>
  <c r="T1489" i="1"/>
  <c r="S260" i="1"/>
  <c r="T260" i="1"/>
  <c r="S242" i="1"/>
  <c r="T242" i="1"/>
  <c r="S243" i="1"/>
  <c r="T243" i="1"/>
  <c r="S244" i="1"/>
  <c r="T244" i="1"/>
  <c r="S1882" i="1"/>
  <c r="T1882" i="1"/>
  <c r="S679" i="1"/>
  <c r="T679" i="1"/>
  <c r="S1465" i="1"/>
  <c r="T1465" i="1"/>
  <c r="S544" i="1"/>
  <c r="T544" i="1"/>
  <c r="S1127" i="1"/>
  <c r="T1127" i="1"/>
  <c r="S167" i="1"/>
  <c r="T167" i="1"/>
  <c r="S1128" i="1"/>
  <c r="T1128" i="1"/>
  <c r="S55" i="1"/>
  <c r="T55" i="1"/>
  <c r="S1404" i="1"/>
  <c r="T1404" i="1"/>
  <c r="S1490" i="1"/>
  <c r="T1490" i="1"/>
  <c r="S2283" i="1"/>
  <c r="T2283" i="1"/>
  <c r="S1129" i="1"/>
  <c r="T1129" i="1"/>
  <c r="S1396" i="1"/>
  <c r="T1396" i="1"/>
  <c r="S1397" i="1"/>
  <c r="T1397" i="1"/>
  <c r="S1398" i="1"/>
  <c r="T1398" i="1"/>
  <c r="S2269" i="1"/>
  <c r="T2269" i="1"/>
  <c r="S1491" i="1"/>
  <c r="T1491" i="1"/>
  <c r="S276" i="1"/>
  <c r="T276" i="1"/>
  <c r="S277" i="1"/>
  <c r="T277" i="1"/>
  <c r="S1255" i="1"/>
  <c r="T1255" i="1"/>
  <c r="S680" i="1"/>
  <c r="T680" i="1"/>
  <c r="S1889" i="1"/>
  <c r="T1889" i="1"/>
  <c r="S1890" i="1"/>
  <c r="T1890" i="1"/>
  <c r="S1891" i="1"/>
  <c r="T1891" i="1"/>
  <c r="S309" i="1"/>
  <c r="T309" i="1"/>
  <c r="S310" i="1"/>
  <c r="T310" i="1"/>
  <c r="S344" i="1"/>
  <c r="T344" i="1"/>
  <c r="S545" i="1"/>
  <c r="T545" i="1"/>
  <c r="S513" i="1"/>
  <c r="T513" i="1"/>
  <c r="S819" i="1"/>
  <c r="T819" i="1"/>
  <c r="S546" i="1"/>
  <c r="T546" i="1"/>
  <c r="S547" i="1"/>
  <c r="T547" i="1"/>
  <c r="S2254" i="1"/>
  <c r="T2254" i="1"/>
  <c r="S2255" i="1"/>
  <c r="T2255" i="1"/>
  <c r="S820" i="1"/>
  <c r="T820" i="1"/>
  <c r="S1130" i="1"/>
  <c r="T1130" i="1"/>
  <c r="S1131" i="1"/>
  <c r="T1131" i="1"/>
  <c r="S548" i="1"/>
  <c r="T548" i="1"/>
  <c r="S281" i="1"/>
  <c r="T281" i="1"/>
  <c r="S317" i="1"/>
  <c r="T317" i="1"/>
  <c r="S318" i="1"/>
  <c r="T318" i="1"/>
  <c r="S319" i="1"/>
  <c r="T319" i="1"/>
  <c r="S320" i="1"/>
  <c r="T320" i="1"/>
  <c r="S321" i="1"/>
  <c r="T321" i="1"/>
  <c r="S322" i="1"/>
  <c r="T322" i="1"/>
  <c r="S323" i="1"/>
  <c r="T323" i="1"/>
  <c r="S324" i="1"/>
  <c r="T324" i="1"/>
  <c r="S325" i="1"/>
  <c r="T325" i="1"/>
  <c r="S326" i="1"/>
  <c r="T326" i="1"/>
  <c r="S327" i="1"/>
  <c r="T327" i="1"/>
  <c r="S328" i="1"/>
  <c r="T328" i="1"/>
  <c r="S329" i="1"/>
  <c r="T329" i="1"/>
  <c r="S330" i="1"/>
  <c r="T330" i="1"/>
  <c r="S331" i="1"/>
  <c r="T331" i="1"/>
  <c r="S332" i="1"/>
  <c r="T332" i="1"/>
  <c r="S333" i="1"/>
  <c r="T333" i="1"/>
  <c r="S334" i="1"/>
  <c r="T334" i="1"/>
  <c r="S335" i="1"/>
  <c r="T335" i="1"/>
  <c r="S336" i="1"/>
  <c r="T336" i="1"/>
  <c r="S337" i="1"/>
  <c r="T337" i="1"/>
  <c r="S2257" i="1"/>
  <c r="T2257" i="1"/>
  <c r="S2258" i="1"/>
  <c r="T2258" i="1"/>
  <c r="S2259" i="1"/>
  <c r="T2259" i="1"/>
  <c r="S2260" i="1"/>
  <c r="T2260" i="1"/>
  <c r="S30" i="1"/>
  <c r="T30" i="1"/>
  <c r="S31" i="1"/>
  <c r="T31" i="1"/>
  <c r="S32" i="1"/>
  <c r="T32" i="1"/>
  <c r="S33" i="1"/>
  <c r="T33" i="1"/>
  <c r="S1892" i="1"/>
  <c r="T1892" i="1"/>
  <c r="S1893" i="1"/>
  <c r="T1893" i="1"/>
  <c r="S1894" i="1"/>
  <c r="T1894" i="1"/>
  <c r="S1895" i="1"/>
  <c r="T1895" i="1"/>
  <c r="S1896" i="1"/>
  <c r="T1896" i="1"/>
  <c r="S1897" i="1"/>
  <c r="T1897" i="1"/>
  <c r="S1898" i="1"/>
  <c r="T1898" i="1"/>
  <c r="S1899" i="1"/>
  <c r="T1899" i="1"/>
  <c r="S2099" i="1"/>
  <c r="T2099" i="1"/>
  <c r="S2025" i="1"/>
  <c r="T2025" i="1"/>
  <c r="S2186" i="1"/>
  <c r="T2186" i="1"/>
  <c r="S2187" i="1"/>
  <c r="T2187" i="1"/>
  <c r="S1436" i="1"/>
  <c r="T1436" i="1"/>
  <c r="S589" i="1"/>
  <c r="T589" i="1"/>
  <c r="S2213" i="1"/>
  <c r="T2213" i="1"/>
  <c r="S1401" i="1"/>
  <c r="T1401" i="1"/>
  <c r="S1402" i="1"/>
  <c r="T1402" i="1"/>
  <c r="S1403" i="1"/>
  <c r="T1403" i="1"/>
  <c r="S2131" i="1"/>
  <c r="T2131" i="1"/>
  <c r="S2132" i="1"/>
  <c r="T2132" i="1"/>
  <c r="S2133" i="1"/>
  <c r="T2133" i="1"/>
  <c r="S2134" i="1"/>
  <c r="T2134" i="1"/>
  <c r="S2135" i="1"/>
  <c r="T2135" i="1"/>
  <c r="S2136" i="1"/>
  <c r="T2136" i="1"/>
  <c r="S2137" i="1"/>
  <c r="T2137" i="1"/>
  <c r="S2138" i="1"/>
  <c r="T2138" i="1"/>
  <c r="S2139" i="1"/>
  <c r="T2139" i="1"/>
  <c r="S168" i="1"/>
  <c r="T168" i="1"/>
  <c r="S169" i="1"/>
  <c r="T169" i="1"/>
  <c r="S170" i="1"/>
  <c r="T170" i="1"/>
  <c r="S1439" i="1"/>
  <c r="T1439" i="1"/>
  <c r="S1440" i="1"/>
  <c r="T1440" i="1"/>
  <c r="S1441" i="1"/>
  <c r="T1441" i="1"/>
  <c r="S1442" i="1"/>
  <c r="T1442" i="1"/>
  <c r="S1443" i="1"/>
  <c r="T1443" i="1"/>
  <c r="S1444" i="1"/>
  <c r="T1444" i="1"/>
  <c r="S1445" i="1"/>
  <c r="T1445" i="1"/>
  <c r="S1446" i="1"/>
  <c r="T1446" i="1"/>
  <c r="S1447" i="1"/>
  <c r="T1447" i="1"/>
  <c r="S354" i="1"/>
  <c r="T354" i="1"/>
  <c r="S1938" i="1"/>
  <c r="T1938" i="1"/>
  <c r="S1951" i="1"/>
  <c r="T1951" i="1"/>
  <c r="S2140" i="1"/>
  <c r="T2140" i="1"/>
  <c r="S2141" i="1"/>
  <c r="T2141" i="1"/>
  <c r="S2142" i="1"/>
  <c r="T2142" i="1"/>
  <c r="S2143" i="1"/>
  <c r="T2143" i="1"/>
  <c r="S133" i="1"/>
  <c r="T133" i="1"/>
  <c r="S368" i="1"/>
  <c r="T368" i="1"/>
  <c r="S1751" i="1"/>
  <c r="T1751" i="1"/>
  <c r="S2216" i="1"/>
  <c r="T2216" i="1"/>
  <c r="S2217" i="1"/>
  <c r="T2217" i="1"/>
  <c r="S1969" i="1"/>
  <c r="T1969" i="1"/>
  <c r="S1970" i="1"/>
  <c r="T1970" i="1"/>
  <c r="S1971" i="1"/>
  <c r="T1971" i="1"/>
  <c r="S1972" i="1"/>
  <c r="T1972" i="1"/>
  <c r="S1973" i="1"/>
  <c r="T1973" i="1"/>
  <c r="S1132" i="1"/>
  <c r="T1132" i="1"/>
  <c r="S1133" i="1"/>
  <c r="T1133" i="1"/>
  <c r="S2270" i="1"/>
  <c r="T2270" i="1"/>
  <c r="S2271" i="1"/>
  <c r="T2271" i="1"/>
  <c r="S1341" i="1"/>
  <c r="T1341" i="1"/>
  <c r="S629" i="1"/>
  <c r="T629" i="1"/>
  <c r="S1419" i="1"/>
  <c r="T1419" i="1"/>
  <c r="S261" i="1"/>
  <c r="T261" i="1"/>
  <c r="S56" i="1"/>
  <c r="T56" i="1"/>
  <c r="S681" i="1"/>
  <c r="T681" i="1"/>
  <c r="S2083" i="1"/>
  <c r="T2083" i="1"/>
  <c r="S171" i="1"/>
  <c r="T171" i="1"/>
  <c r="S2084" i="1"/>
  <c r="T2084" i="1"/>
  <c r="S2284" i="1"/>
  <c r="T2284" i="1"/>
  <c r="S2285" i="1"/>
  <c r="T2285" i="1"/>
  <c r="S2286" i="1"/>
  <c r="T2286" i="1"/>
  <c r="S2085" i="1"/>
  <c r="S2261" i="1"/>
  <c r="T2261" i="1"/>
  <c r="S549" i="1"/>
  <c r="T549" i="1"/>
  <c r="S1880" i="1"/>
  <c r="T1880" i="1"/>
  <c r="S1881" i="1"/>
  <c r="T1881" i="1"/>
  <c r="S82" i="1"/>
  <c r="T82" i="1"/>
  <c r="S83" i="1"/>
  <c r="T83" i="1"/>
  <c r="S84" i="1"/>
  <c r="T84" i="1"/>
  <c r="S85" i="1"/>
  <c r="T85" i="1"/>
  <c r="S86" i="1"/>
  <c r="T86" i="1"/>
  <c r="S87" i="1"/>
  <c r="T87" i="1"/>
  <c r="S88" i="1"/>
  <c r="T88" i="1"/>
  <c r="S2290" i="1"/>
  <c r="T2290" i="1"/>
  <c r="S274" i="1"/>
  <c r="T274" i="1"/>
  <c r="S72" i="1"/>
  <c r="T72" i="1"/>
  <c r="S73" i="1"/>
  <c r="T73" i="1"/>
  <c r="S1884" i="1"/>
  <c r="T1884" i="1"/>
  <c r="S2080" i="1"/>
  <c r="T2080" i="1"/>
  <c r="S2100" i="1"/>
  <c r="T2100" i="1"/>
  <c r="S74" i="1"/>
  <c r="T74" i="1"/>
  <c r="S75" i="1"/>
  <c r="T75" i="1"/>
  <c r="S2058" i="1"/>
  <c r="T2058" i="1"/>
  <c r="S2059" i="1"/>
  <c r="T2059" i="1"/>
  <c r="S2060" i="1"/>
  <c r="T2060" i="1"/>
  <c r="S2061" i="1"/>
  <c r="T2061" i="1"/>
  <c r="S2262" i="1"/>
  <c r="T2262" i="1"/>
  <c r="S2263" i="1"/>
  <c r="T2263" i="1"/>
  <c r="S1901" i="1"/>
  <c r="T1901" i="1"/>
  <c r="S1355" i="1"/>
  <c r="T1355" i="1"/>
  <c r="S1356" i="1"/>
  <c r="T1356" i="1"/>
  <c r="S1357" i="1"/>
  <c r="T1357" i="1"/>
  <c r="S1358" i="1"/>
  <c r="T1358" i="1"/>
  <c r="S1359" i="1"/>
  <c r="T1359" i="1"/>
  <c r="S1360" i="1"/>
  <c r="T1360" i="1"/>
  <c r="S1361" i="1"/>
  <c r="T1361" i="1"/>
  <c r="S1362" i="1"/>
  <c r="T1362" i="1"/>
  <c r="S1363" i="1"/>
  <c r="T1363" i="1"/>
  <c r="S1364" i="1"/>
  <c r="T1364" i="1"/>
  <c r="S1365" i="1"/>
  <c r="T1365" i="1"/>
  <c r="S1366" i="1"/>
  <c r="T1366" i="1"/>
  <c r="S1367" i="1"/>
  <c r="T1367" i="1"/>
  <c r="S1368" i="1"/>
  <c r="T1368" i="1"/>
  <c r="S1369" i="1"/>
  <c r="T1369" i="1"/>
  <c r="S1370" i="1"/>
  <c r="T1370" i="1"/>
  <c r="S1371" i="1"/>
  <c r="T1371" i="1"/>
  <c r="S1372" i="1"/>
  <c r="T1372" i="1"/>
  <c r="S1373" i="1"/>
  <c r="T1373" i="1"/>
  <c r="S489" i="1"/>
  <c r="T489" i="1"/>
  <c r="S1342" i="1"/>
  <c r="T1342" i="1"/>
  <c r="S1343" i="1"/>
  <c r="T1343" i="1"/>
  <c r="S342" i="1"/>
  <c r="T342" i="1"/>
  <c r="S343" i="1"/>
  <c r="T343" i="1"/>
  <c r="S515" i="1"/>
  <c r="T515" i="1"/>
  <c r="S1256" i="1"/>
  <c r="T1256" i="1"/>
  <c r="S1257" i="1"/>
  <c r="T1257" i="1"/>
  <c r="S1703" i="1"/>
  <c r="T1703" i="1"/>
  <c r="S262" i="1"/>
  <c r="T262" i="1"/>
  <c r="S646" i="1"/>
  <c r="T646" i="1"/>
  <c r="S13" i="1"/>
  <c r="T13" i="1"/>
  <c r="S1857" i="1"/>
  <c r="T1857" i="1"/>
  <c r="S1858" i="1"/>
  <c r="T1858" i="1"/>
  <c r="S1859" i="1"/>
  <c r="T1859" i="1"/>
  <c r="S1860" i="1"/>
  <c r="T1860" i="1"/>
  <c r="S1448" i="1"/>
  <c r="T1448" i="1"/>
  <c r="S278" i="1"/>
  <c r="T278" i="1"/>
  <c r="S530" i="1"/>
  <c r="T530" i="1"/>
  <c r="S550" i="1"/>
  <c r="T550" i="1"/>
  <c r="S551" i="1"/>
  <c r="T551" i="1"/>
  <c r="S2086" i="1"/>
  <c r="T2086" i="1"/>
  <c r="S2087" i="1"/>
  <c r="T2087" i="1"/>
  <c r="S1902" i="1"/>
  <c r="T1902" i="1"/>
  <c r="S1903" i="1"/>
  <c r="T1903" i="1"/>
  <c r="S1904" i="1"/>
  <c r="T1904" i="1"/>
  <c r="S2248" i="1"/>
  <c r="T2248" i="1"/>
  <c r="S478" i="1"/>
  <c r="T478" i="1"/>
  <c r="S1492" i="1"/>
  <c r="T1492" i="1"/>
  <c r="S311" i="1"/>
  <c r="T311" i="1"/>
  <c r="S1418" i="1"/>
  <c r="T1418" i="1"/>
  <c r="S1905" i="1"/>
  <c r="T1905" i="1"/>
  <c r="S590" i="1"/>
  <c r="T590" i="1"/>
  <c r="S591" i="1"/>
  <c r="T591" i="1"/>
  <c r="S516" i="1"/>
  <c r="T516" i="1"/>
  <c r="S1988" i="1"/>
  <c r="T1988" i="1"/>
  <c r="S2088" i="1"/>
  <c r="T2088" i="1"/>
  <c r="S2089" i="1"/>
  <c r="T2089" i="1"/>
  <c r="S2249" i="1"/>
  <c r="T2249" i="1"/>
  <c r="S172" i="1"/>
  <c r="T172" i="1"/>
  <c r="S246" i="1"/>
  <c r="T246" i="1"/>
  <c r="S247" i="1"/>
  <c r="T247" i="1"/>
  <c r="S1879" i="1"/>
  <c r="T1879" i="1"/>
  <c r="S2188" i="1"/>
  <c r="T2188" i="1"/>
  <c r="S345" i="1"/>
  <c r="T345" i="1"/>
  <c r="S346" i="1"/>
  <c r="T346" i="1"/>
  <c r="S347" i="1"/>
  <c r="T347" i="1"/>
  <c r="S821" i="1"/>
  <c r="T821" i="1"/>
  <c r="S1134" i="1"/>
  <c r="T1134" i="1"/>
  <c r="S1135" i="1"/>
  <c r="T1135" i="1"/>
  <c r="S1136" i="1"/>
  <c r="T1136" i="1"/>
  <c r="S1275" i="1"/>
  <c r="T1275" i="1"/>
  <c r="S1933" i="1"/>
  <c r="T1933" i="1"/>
  <c r="S1934" i="1"/>
  <c r="T1934" i="1"/>
  <c r="S1935" i="1"/>
  <c r="T1935" i="1"/>
  <c r="S1974" i="1"/>
  <c r="T1974" i="1"/>
  <c r="S1975" i="1"/>
  <c r="T1975" i="1"/>
  <c r="S1976" i="1"/>
  <c r="T1976" i="1"/>
  <c r="S1977" i="1"/>
  <c r="T1977" i="1"/>
  <c r="S2287" i="1"/>
  <c r="T2287" i="1"/>
  <c r="S1420" i="1"/>
  <c r="T1420" i="1"/>
  <c r="S1421" i="1"/>
  <c r="T1421" i="1"/>
  <c r="S1422" i="1"/>
  <c r="T1422" i="1"/>
  <c r="S1423" i="1"/>
  <c r="T1423" i="1"/>
  <c r="S1424" i="1"/>
  <c r="T1424" i="1"/>
  <c r="S1425" i="1"/>
  <c r="T1425" i="1"/>
  <c r="S1426" i="1"/>
  <c r="T1426" i="1"/>
  <c r="S1427" i="1"/>
  <c r="T1427" i="1"/>
  <c r="S1428" i="1"/>
  <c r="T1428" i="1"/>
  <c r="S89" i="1"/>
  <c r="T89" i="1"/>
  <c r="S29" i="1"/>
  <c r="T29" i="1"/>
  <c r="S1916" i="1"/>
  <c r="T1916" i="1"/>
  <c r="S2231" i="1"/>
  <c r="T2231" i="1"/>
  <c r="S2232" i="1"/>
  <c r="T2232" i="1"/>
  <c r="S2233" i="1"/>
  <c r="T2233" i="1"/>
  <c r="S2234" i="1"/>
  <c r="T2234" i="1"/>
  <c r="S2235" i="1"/>
  <c r="T2235" i="1"/>
  <c r="S2236" i="1"/>
  <c r="T2236" i="1"/>
  <c r="S2237" i="1"/>
  <c r="T2237" i="1"/>
  <c r="S2238" i="1"/>
  <c r="T2238" i="1"/>
  <c r="S2239" i="1"/>
  <c r="T2239" i="1"/>
  <c r="S2240" i="1"/>
  <c r="T2240" i="1"/>
  <c r="S2241" i="1"/>
  <c r="T2241" i="1"/>
  <c r="S2242" i="1"/>
  <c r="T2242" i="1"/>
  <c r="S2243" i="1"/>
  <c r="T2243" i="1"/>
  <c r="S2244" i="1"/>
  <c r="T2244" i="1"/>
  <c r="S2245" i="1"/>
  <c r="T2245" i="1"/>
  <c r="S2246" i="1"/>
  <c r="T2246" i="1"/>
  <c r="S2247" i="1"/>
  <c r="T2247" i="1"/>
  <c r="S1932" i="1"/>
  <c r="T1932" i="1"/>
  <c r="S1416" i="1"/>
  <c r="T1416" i="1"/>
  <c r="S1137" i="1"/>
  <c r="T1137" i="1"/>
  <c r="S1138" i="1"/>
  <c r="T1138" i="1"/>
  <c r="S1950" i="1"/>
  <c r="T1950" i="1"/>
  <c r="S1952" i="1"/>
  <c r="T1952" i="1"/>
  <c r="S173" i="1"/>
  <c r="T173" i="1"/>
  <c r="S1991" i="1"/>
  <c r="T1991" i="1"/>
  <c r="S1139" i="1"/>
  <c r="T1139" i="1"/>
  <c r="S1140" i="1"/>
  <c r="T1140" i="1"/>
  <c r="S1953" i="1"/>
  <c r="T1953" i="1"/>
  <c r="S2288" i="1"/>
  <c r="T2288" i="1"/>
  <c r="S822" i="1"/>
  <c r="T822" i="1"/>
  <c r="S823" i="1"/>
  <c r="T823" i="1"/>
  <c r="S824" i="1"/>
  <c r="T824" i="1"/>
  <c r="S825" i="1"/>
  <c r="T825" i="1"/>
  <c r="S1141" i="1"/>
  <c r="T1141" i="1"/>
  <c r="S1142" i="1"/>
  <c r="T1142" i="1"/>
  <c r="S174" i="1"/>
  <c r="T174" i="1"/>
  <c r="S175" i="1"/>
  <c r="T175" i="1"/>
  <c r="S176" i="1"/>
  <c r="T176" i="1"/>
  <c r="S177" i="1"/>
  <c r="T177" i="1"/>
  <c r="S178" i="1"/>
  <c r="T178" i="1"/>
  <c r="S179" i="1"/>
  <c r="T179" i="1"/>
  <c r="S180" i="1"/>
  <c r="T180" i="1"/>
  <c r="S181" i="1"/>
  <c r="T181" i="1"/>
  <c r="S1281" i="1"/>
  <c r="T1281" i="1"/>
  <c r="S1282" i="1"/>
  <c r="T1282" i="1"/>
  <c r="S1344" i="1"/>
  <c r="T1344" i="1"/>
  <c r="S1752" i="1"/>
  <c r="T1752" i="1"/>
  <c r="S91" i="1"/>
  <c r="T91" i="1"/>
  <c r="S1936" i="1"/>
  <c r="T1936" i="1"/>
  <c r="S1937" i="1"/>
  <c r="T1937" i="1"/>
  <c r="S182" i="1"/>
  <c r="T182" i="1"/>
  <c r="S490" i="1"/>
  <c r="T490" i="1"/>
  <c r="S491" i="1"/>
  <c r="T491" i="1"/>
  <c r="S492" i="1"/>
  <c r="T492" i="1"/>
  <c r="S1118" i="1"/>
  <c r="T1118" i="1"/>
  <c r="S1119" i="1"/>
  <c r="T1119" i="1"/>
  <c r="S1120" i="1"/>
  <c r="T1120" i="1"/>
  <c r="S1121" i="1"/>
  <c r="T1121" i="1"/>
  <c r="S1143" i="1"/>
  <c r="T1143" i="1"/>
  <c r="S1144" i="1"/>
  <c r="T1144" i="1"/>
  <c r="S135" i="1"/>
  <c r="T135" i="1"/>
  <c r="S1855" i="1"/>
  <c r="T1855" i="1"/>
  <c r="S1856" i="1"/>
  <c r="T1856" i="1"/>
  <c r="S2225" i="1"/>
  <c r="T2225" i="1"/>
  <c r="S2226" i="1"/>
  <c r="T2226" i="1"/>
  <c r="S2227" i="1"/>
  <c r="T2227" i="1"/>
  <c r="S2228" i="1"/>
  <c r="T2228" i="1"/>
  <c r="S2229" i="1"/>
  <c r="T2229" i="1"/>
  <c r="S2230" i="1"/>
  <c r="T2230" i="1"/>
  <c r="S2272" i="1"/>
  <c r="T2272" i="1"/>
  <c r="S592" i="1"/>
  <c r="T592" i="1"/>
  <c r="S593" i="1"/>
  <c r="T593" i="1"/>
  <c r="T594" i="1"/>
  <c r="S595" i="1"/>
  <c r="T595" i="1"/>
  <c r="S596" i="1"/>
  <c r="T596" i="1"/>
  <c r="S568" i="1"/>
  <c r="T568" i="1"/>
  <c r="S183" i="1"/>
  <c r="T183" i="1"/>
  <c r="S1145" i="1"/>
  <c r="T1145" i="1"/>
  <c r="S1146" i="1"/>
  <c r="T1146" i="1"/>
  <c r="S1382" i="1"/>
  <c r="T1382" i="1"/>
  <c r="S2064" i="1"/>
  <c r="T2064" i="1"/>
  <c r="S92" i="1"/>
  <c r="T92" i="1"/>
  <c r="S93" i="1"/>
  <c r="T93" i="1"/>
  <c r="S94" i="1"/>
  <c r="T94" i="1"/>
  <c r="S369" i="1"/>
  <c r="T369" i="1"/>
  <c r="S95" i="1"/>
  <c r="T95" i="1"/>
  <c r="S184" i="1"/>
  <c r="T184" i="1"/>
  <c r="S263" i="1"/>
  <c r="T263" i="1"/>
  <c r="S264" i="1"/>
  <c r="T264" i="1"/>
  <c r="S265" i="1"/>
  <c r="T265" i="1"/>
  <c r="S493" i="1"/>
  <c r="T493" i="1"/>
  <c r="S494" i="1"/>
  <c r="T494" i="1"/>
  <c r="S495" i="1"/>
  <c r="T495" i="1"/>
  <c r="S496" i="1"/>
  <c r="T496" i="1"/>
  <c r="S497" i="1"/>
  <c r="T497" i="1"/>
  <c r="S498" i="1"/>
  <c r="T498" i="1"/>
  <c r="S499" i="1"/>
  <c r="T499" i="1"/>
  <c r="S500" i="1"/>
  <c r="T500" i="1"/>
  <c r="S501" i="1"/>
  <c r="T501" i="1"/>
  <c r="S502" i="1"/>
  <c r="T502" i="1"/>
  <c r="S517" i="1"/>
  <c r="T517" i="1"/>
  <c r="S1283" i="1"/>
  <c r="T1283" i="1"/>
  <c r="S1284" i="1"/>
  <c r="T1284" i="1"/>
  <c r="S1285" i="1"/>
  <c r="T1285" i="1"/>
  <c r="S1336" i="1"/>
  <c r="T1336" i="1"/>
  <c r="S1494" i="1"/>
  <c r="T1494" i="1"/>
  <c r="S1429" i="1"/>
  <c r="T1429" i="1"/>
  <c r="S57" i="1"/>
  <c r="T57" i="1"/>
  <c r="S58" i="1"/>
  <c r="T58" i="1"/>
  <c r="S27" i="1"/>
  <c r="T27" i="1"/>
  <c r="S28" i="1"/>
  <c r="T28" i="1"/>
  <c r="S826" i="1"/>
  <c r="T826" i="1"/>
  <c r="S827" i="1"/>
  <c r="T827" i="1"/>
  <c r="S828" i="1"/>
  <c r="T828" i="1"/>
  <c r="S829" i="1"/>
  <c r="T829" i="1"/>
  <c r="S830" i="1"/>
  <c r="T830" i="1"/>
  <c r="S831" i="1"/>
  <c r="T831" i="1"/>
  <c r="S552" i="1"/>
  <c r="T552" i="1"/>
  <c r="S553" i="1"/>
  <c r="T553" i="1"/>
  <c r="S554" i="1"/>
  <c r="T554" i="1"/>
  <c r="S1475" i="1"/>
  <c r="T1475" i="1"/>
  <c r="S1405" i="1"/>
  <c r="T1405" i="1"/>
  <c r="S1406" i="1"/>
  <c r="T1406" i="1"/>
  <c r="S1407" i="1"/>
  <c r="T1407" i="1"/>
  <c r="S1408" i="1"/>
  <c r="T1408" i="1"/>
  <c r="S1409" i="1"/>
  <c r="T1409" i="1"/>
  <c r="S1410" i="1"/>
  <c r="T1410" i="1"/>
  <c r="S1411" i="1"/>
  <c r="T1411" i="1"/>
  <c r="S1412" i="1"/>
  <c r="T1412" i="1"/>
  <c r="S1413" i="1"/>
  <c r="T1413" i="1"/>
  <c r="S1861" i="1"/>
  <c r="T1861" i="1"/>
  <c r="S1862" i="1"/>
  <c r="T1862" i="1"/>
  <c r="S1863" i="1"/>
  <c r="T1863" i="1"/>
  <c r="S1209" i="1"/>
  <c r="T1209" i="1"/>
  <c r="S457" i="1"/>
  <c r="T457" i="1"/>
  <c r="S597" i="1"/>
  <c r="T597" i="1"/>
  <c r="S598" i="1"/>
  <c r="T598" i="1"/>
  <c r="S599" i="1"/>
  <c r="T599" i="1"/>
  <c r="S682" i="1"/>
  <c r="T682" i="1"/>
  <c r="S1210" i="1"/>
  <c r="T1210" i="1"/>
  <c r="S1211" i="1"/>
  <c r="T1211" i="1"/>
  <c r="S1212" i="1"/>
  <c r="T1212" i="1"/>
  <c r="S1213" i="1"/>
  <c r="T1213" i="1"/>
  <c r="S832" i="1"/>
  <c r="T832" i="1"/>
  <c r="S833" i="1"/>
  <c r="T833" i="1"/>
  <c r="S834" i="1"/>
  <c r="T834" i="1"/>
  <c r="S835" i="1"/>
  <c r="T835" i="1"/>
  <c r="S836" i="1"/>
  <c r="T836" i="1"/>
  <c r="S837" i="1"/>
  <c r="T837" i="1"/>
  <c r="S838" i="1"/>
  <c r="T838" i="1"/>
  <c r="S839" i="1"/>
  <c r="T839" i="1"/>
  <c r="S840" i="1"/>
  <c r="T840" i="1"/>
  <c r="S841" i="1"/>
  <c r="T841" i="1"/>
  <c r="S842" i="1"/>
  <c r="T842" i="1"/>
  <c r="S339" i="1"/>
  <c r="T339" i="1"/>
  <c r="S503" i="1"/>
  <c r="T503" i="1"/>
  <c r="S504" i="1"/>
  <c r="T504" i="1"/>
  <c r="S505" i="1"/>
  <c r="T505" i="1"/>
  <c r="S506" i="1"/>
  <c r="T506" i="1"/>
  <c r="S507" i="1"/>
  <c r="T507" i="1"/>
  <c r="S508" i="1"/>
  <c r="T508" i="1"/>
  <c r="S1430" i="1"/>
  <c r="T1430" i="1"/>
  <c r="S348" i="1"/>
  <c r="T348" i="1"/>
  <c r="S349" i="1"/>
  <c r="T349" i="1"/>
  <c r="S350" i="1"/>
  <c r="T350" i="1"/>
  <c r="S351" i="1"/>
  <c r="T351" i="1"/>
  <c r="S352" i="1"/>
  <c r="T352" i="1"/>
  <c r="S353" i="1"/>
  <c r="T353" i="1"/>
  <c r="S1449" i="1"/>
  <c r="T1449" i="1"/>
  <c r="S1992" i="1"/>
  <c r="T1992" i="1"/>
  <c r="S1993" i="1"/>
  <c r="T1993" i="1"/>
  <c r="S1994" i="1"/>
  <c r="T1994" i="1"/>
  <c r="S10" i="1"/>
  <c r="T10" i="1"/>
  <c r="S340" i="1"/>
  <c r="T340" i="1"/>
  <c r="S370" i="1"/>
  <c r="T370" i="1"/>
  <c r="S371" i="1"/>
  <c r="T371" i="1"/>
  <c r="S565" i="1"/>
  <c r="T565" i="1"/>
  <c r="S566" i="1"/>
  <c r="T566" i="1"/>
  <c r="S567" i="1"/>
  <c r="T567" i="1"/>
  <c r="S570" i="1"/>
  <c r="T570" i="1"/>
  <c r="S65" i="1"/>
  <c r="T65" i="1"/>
  <c r="S66" i="1"/>
  <c r="T66" i="1"/>
  <c r="S67" i="1"/>
  <c r="T67" i="1"/>
  <c r="S68" i="1"/>
  <c r="T68" i="1"/>
  <c r="S69" i="1"/>
  <c r="T69" i="1"/>
  <c r="S41" i="1"/>
  <c r="T41" i="1"/>
  <c r="S42" i="1"/>
  <c r="T42" i="1"/>
  <c r="S43" i="1"/>
  <c r="T43" i="1"/>
  <c r="S555" i="1"/>
  <c r="T555" i="1"/>
  <c r="S1123" i="1"/>
  <c r="T1123" i="1"/>
  <c r="S843" i="1"/>
  <c r="T843" i="1"/>
  <c r="S844" i="1"/>
  <c r="T844" i="1"/>
  <c r="S845" i="1"/>
  <c r="T845" i="1"/>
  <c r="S846" i="1"/>
  <c r="T846" i="1"/>
  <c r="S847" i="1"/>
  <c r="T847" i="1"/>
  <c r="S848" i="1"/>
  <c r="T848" i="1"/>
  <c r="S1224" i="1"/>
  <c r="T1224" i="1"/>
  <c r="S1225" i="1"/>
  <c r="T1225" i="1"/>
  <c r="S1226" i="1"/>
  <c r="T1226" i="1"/>
  <c r="S1227" i="1"/>
  <c r="T1227" i="1"/>
  <c r="S312" i="1"/>
  <c r="T312" i="1"/>
  <c r="S313" i="1"/>
  <c r="T313" i="1"/>
  <c r="S480" i="1"/>
  <c r="T480" i="1"/>
  <c r="S481" i="1"/>
  <c r="T481" i="1"/>
  <c r="S482" i="1"/>
  <c r="T482" i="1"/>
  <c r="S483" i="1"/>
  <c r="T483" i="1"/>
  <c r="S818" i="1"/>
  <c r="T818" i="1"/>
  <c r="S19" i="1"/>
  <c r="T19" i="1"/>
  <c r="S20" i="1"/>
  <c r="T20" i="1"/>
  <c r="S21" i="1"/>
  <c r="T21" i="1"/>
  <c r="S1228" i="1"/>
  <c r="T1228" i="1"/>
  <c r="S1229" i="1"/>
  <c r="T1229" i="1"/>
  <c r="S1230" i="1"/>
  <c r="T1230" i="1"/>
  <c r="S1231" i="1"/>
  <c r="T1231" i="1"/>
  <c r="S1232" i="1"/>
  <c r="T1232" i="1"/>
  <c r="S1233" i="1"/>
  <c r="T1233" i="1"/>
  <c r="S1234" i="1"/>
  <c r="T1234" i="1"/>
  <c r="S1235" i="1"/>
  <c r="T1235" i="1"/>
  <c r="S1236" i="1"/>
  <c r="T1236" i="1"/>
  <c r="S1237" i="1"/>
  <c r="T1237" i="1"/>
  <c r="S1238" i="1"/>
  <c r="T1238" i="1"/>
  <c r="S1239" i="1"/>
  <c r="T1239" i="1"/>
  <c r="S1240" i="1"/>
  <c r="T1240" i="1"/>
  <c r="S1241" i="1"/>
  <c r="T1241" i="1"/>
  <c r="S1242" i="1"/>
  <c r="T1242" i="1"/>
  <c r="S1243" i="1"/>
  <c r="T1243" i="1"/>
  <c r="S1244" i="1"/>
  <c r="T1244" i="1"/>
  <c r="S1245" i="1"/>
  <c r="T1245" i="1"/>
  <c r="S1246" i="1"/>
  <c r="T1246" i="1"/>
  <c r="S1247" i="1"/>
  <c r="T1247" i="1"/>
  <c r="S532" i="1"/>
  <c r="T532" i="1"/>
  <c r="S533" i="1"/>
  <c r="T533" i="1"/>
  <c r="S534" i="1"/>
  <c r="T534" i="1"/>
  <c r="S571" i="1"/>
  <c r="T571" i="1"/>
  <c r="S572" i="1"/>
  <c r="T572" i="1"/>
  <c r="S573" i="1"/>
  <c r="T573" i="1"/>
  <c r="S574" i="1"/>
  <c r="T574" i="1"/>
  <c r="S575" i="1"/>
  <c r="T575" i="1"/>
  <c r="S576" i="1"/>
  <c r="T576" i="1"/>
  <c r="S577" i="1"/>
  <c r="T577" i="1"/>
  <c r="S578" i="1"/>
  <c r="T578" i="1"/>
  <c r="S801" i="1"/>
  <c r="T801" i="1"/>
  <c r="S1031" i="1"/>
  <c r="T1031" i="1"/>
  <c r="S1032" i="1"/>
  <c r="T1032" i="1"/>
  <c r="S1033" i="1"/>
  <c r="T1033" i="1"/>
  <c r="S1034" i="1"/>
  <c r="T1034" i="1"/>
  <c r="S1035" i="1"/>
  <c r="T1035" i="1"/>
  <c r="S1036" i="1"/>
  <c r="T1036" i="1"/>
  <c r="S1037" i="1"/>
  <c r="T1037" i="1"/>
  <c r="S1038" i="1"/>
  <c r="T1038" i="1"/>
  <c r="S1039" i="1"/>
  <c r="T1039" i="1"/>
  <c r="S1040" i="1"/>
  <c r="T1040" i="1"/>
  <c r="S1041" i="1"/>
  <c r="T1041" i="1"/>
  <c r="S1042" i="1"/>
  <c r="T1042" i="1"/>
  <c r="S1043" i="1"/>
  <c r="T1043" i="1"/>
  <c r="S1044" i="1"/>
  <c r="T1044" i="1"/>
  <c r="S1045" i="1"/>
  <c r="T1045" i="1"/>
  <c r="S1046" i="1"/>
  <c r="T1046" i="1"/>
  <c r="S1047" i="1"/>
  <c r="T1047" i="1"/>
  <c r="S1048" i="1"/>
  <c r="T1048" i="1"/>
  <c r="S1049" i="1"/>
  <c r="T1049" i="1"/>
  <c r="S1050" i="1"/>
  <c r="T1050" i="1"/>
  <c r="S1051" i="1"/>
  <c r="T1051" i="1"/>
  <c r="S1052" i="1"/>
  <c r="T1052" i="1"/>
  <c r="S1053" i="1"/>
  <c r="T1053" i="1"/>
  <c r="S1054" i="1"/>
  <c r="T1054" i="1"/>
  <c r="S1055" i="1"/>
  <c r="T1055" i="1"/>
  <c r="S1056" i="1"/>
  <c r="T1056" i="1"/>
  <c r="S1057" i="1"/>
  <c r="T1057" i="1"/>
  <c r="S1058" i="1"/>
  <c r="T1058" i="1"/>
  <c r="S1059" i="1"/>
  <c r="T1059" i="1"/>
  <c r="S1060" i="1"/>
  <c r="T1060" i="1"/>
  <c r="S1061" i="1"/>
  <c r="T1061" i="1"/>
  <c r="S1062" i="1"/>
  <c r="T1062" i="1"/>
  <c r="S1063" i="1"/>
  <c r="T1063" i="1"/>
  <c r="S1064" i="1"/>
  <c r="T1064" i="1"/>
  <c r="S1065" i="1"/>
  <c r="T1065" i="1"/>
  <c r="S1066" i="1"/>
  <c r="T1066" i="1"/>
  <c r="S1067" i="1"/>
  <c r="T1067" i="1"/>
  <c r="S1068" i="1"/>
  <c r="T1068" i="1"/>
  <c r="S1069" i="1"/>
  <c r="T1069" i="1"/>
  <c r="S1070" i="1"/>
  <c r="T1070" i="1"/>
  <c r="S1071" i="1"/>
  <c r="T1071" i="1"/>
  <c r="S1072" i="1"/>
  <c r="T1072" i="1"/>
  <c r="S1073" i="1"/>
  <c r="T1073" i="1"/>
  <c r="S1074" i="1"/>
  <c r="T1074" i="1"/>
  <c r="S1075" i="1"/>
  <c r="T1075" i="1"/>
  <c r="S1076" i="1"/>
  <c r="T1076" i="1"/>
  <c r="S1077" i="1"/>
  <c r="T1077" i="1"/>
  <c r="S1078" i="1"/>
  <c r="T1078" i="1"/>
  <c r="S1079" i="1"/>
  <c r="T1079" i="1"/>
  <c r="S1080" i="1"/>
  <c r="T1080" i="1"/>
  <c r="S1081" i="1"/>
  <c r="T1081" i="1"/>
  <c r="S1082" i="1"/>
  <c r="T1082" i="1"/>
  <c r="S1083" i="1"/>
  <c r="T1083" i="1"/>
  <c r="S1084" i="1"/>
  <c r="T1084" i="1"/>
  <c r="S1085" i="1"/>
  <c r="T1085" i="1"/>
  <c r="S1086" i="1"/>
  <c r="T1086" i="1"/>
  <c r="S1087" i="1"/>
  <c r="T1087" i="1"/>
  <c r="S1088" i="1"/>
  <c r="T1088" i="1"/>
  <c r="S1089" i="1"/>
  <c r="T1089" i="1"/>
  <c r="S1090" i="1"/>
  <c r="T1090" i="1"/>
  <c r="S1091" i="1"/>
  <c r="T1091" i="1"/>
  <c r="S1092" i="1"/>
  <c r="T1092" i="1"/>
  <c r="S1093" i="1"/>
  <c r="T1093" i="1"/>
  <c r="S1094" i="1"/>
  <c r="T1094" i="1"/>
  <c r="S1095" i="1"/>
  <c r="T1095" i="1"/>
  <c r="S1096" i="1"/>
  <c r="T1096" i="1"/>
  <c r="S1097" i="1"/>
  <c r="T1097" i="1"/>
  <c r="S1098" i="1"/>
  <c r="T1098" i="1"/>
  <c r="S1099" i="1"/>
  <c r="T1099" i="1"/>
  <c r="S1100" i="1"/>
  <c r="T1100" i="1"/>
  <c r="S1101" i="1"/>
  <c r="T1101" i="1"/>
  <c r="S1102" i="1"/>
  <c r="T1102" i="1"/>
  <c r="S1103" i="1"/>
  <c r="T1103" i="1"/>
  <c r="S1104" i="1"/>
  <c r="T1104" i="1"/>
  <c r="S1105" i="1"/>
  <c r="T1105" i="1"/>
  <c r="S1106" i="1"/>
  <c r="T1106" i="1"/>
  <c r="S1107" i="1"/>
  <c r="T1107" i="1"/>
  <c r="S1108" i="1"/>
  <c r="T1108" i="1"/>
  <c r="S1109" i="1"/>
  <c r="T1109" i="1"/>
  <c r="S1110" i="1"/>
  <c r="T1110" i="1"/>
  <c r="S1111" i="1"/>
  <c r="T1111" i="1"/>
  <c r="S1112" i="1"/>
  <c r="T1112" i="1"/>
  <c r="S1113" i="1"/>
  <c r="T1113" i="1"/>
  <c r="S1114" i="1"/>
  <c r="T1114" i="1"/>
  <c r="S1115" i="1"/>
  <c r="T1115" i="1"/>
  <c r="S1116" i="1"/>
  <c r="T1116" i="1"/>
  <c r="S1117" i="1"/>
  <c r="T1117" i="1"/>
  <c r="S314" i="1"/>
  <c r="T314" i="1"/>
  <c r="S518" i="1"/>
  <c r="T518" i="1"/>
  <c r="S519" i="1"/>
  <c r="T519" i="1"/>
  <c r="S520" i="1"/>
  <c r="T520" i="1"/>
  <c r="S521" i="1"/>
  <c r="T521" i="1"/>
  <c r="S535" i="1"/>
  <c r="T535" i="1"/>
  <c r="S536" i="1"/>
  <c r="T536" i="1"/>
  <c r="S556" i="1"/>
  <c r="T556" i="1"/>
  <c r="S557" i="1"/>
  <c r="T557" i="1"/>
  <c r="S558" i="1"/>
  <c r="T558" i="1"/>
  <c r="S559" i="1"/>
  <c r="T559" i="1"/>
  <c r="S1961" i="1"/>
  <c r="T1961" i="1"/>
  <c r="S1147" i="1"/>
  <c r="T1147" i="1"/>
  <c r="S1148" i="1"/>
  <c r="T1148" i="1"/>
  <c r="S2081" i="1"/>
  <c r="T2081" i="1"/>
  <c r="S1258" i="1"/>
  <c r="T1258" i="1"/>
  <c r="S1259" i="1"/>
  <c r="T1259" i="1"/>
  <c r="S1260" i="1"/>
  <c r="T1260" i="1"/>
  <c r="S1261" i="1"/>
  <c r="T1261" i="1"/>
  <c r="S1262" i="1"/>
  <c r="T1262" i="1"/>
  <c r="S1263" i="1"/>
  <c r="T1263" i="1"/>
  <c r="S1264" i="1"/>
  <c r="T1264" i="1"/>
  <c r="S1265" i="1"/>
  <c r="T1265" i="1"/>
  <c r="S1266" i="1"/>
  <c r="T1266" i="1"/>
  <c r="S1267" i="1"/>
  <c r="T1267" i="1"/>
  <c r="S1149" i="1"/>
  <c r="T1149" i="1"/>
  <c r="S1150" i="1"/>
  <c r="T1150" i="1"/>
  <c r="S1383" i="1"/>
  <c r="T1383" i="1"/>
  <c r="S1151" i="1"/>
  <c r="T1151" i="1"/>
  <c r="S1152" i="1"/>
  <c r="T1152" i="1"/>
  <c r="S1286" i="1"/>
  <c r="T1286" i="1"/>
  <c r="S1978" i="1"/>
  <c r="T1978" i="1"/>
  <c r="S683" i="1"/>
  <c r="T683" i="1"/>
  <c r="S1153" i="1"/>
  <c r="T1153" i="1"/>
  <c r="S1154" i="1"/>
  <c r="T1154" i="1"/>
  <c r="S1155" i="1"/>
  <c r="T1155" i="1"/>
  <c r="S1156" i="1"/>
  <c r="T1156" i="1"/>
  <c r="S1157" i="1"/>
  <c r="T1157" i="1"/>
  <c r="S1158" i="1"/>
  <c r="T1158" i="1"/>
  <c r="S1159" i="1"/>
  <c r="T1159" i="1"/>
  <c r="S1160" i="1"/>
  <c r="T1160" i="1"/>
  <c r="S1161" i="1"/>
  <c r="T1161" i="1"/>
  <c r="S1162" i="1"/>
  <c r="T1162" i="1"/>
  <c r="T560" i="1"/>
  <c r="S1345" i="1"/>
  <c r="T1345" i="1"/>
  <c r="S1346" i="1"/>
  <c r="T1346" i="1"/>
  <c r="S1347" i="1"/>
  <c r="T1347" i="1"/>
  <c r="S453" i="1"/>
  <c r="T453" i="1"/>
  <c r="S454" i="1"/>
  <c r="T454" i="1"/>
  <c r="S455" i="1"/>
  <c r="T455" i="1"/>
  <c r="S456" i="1"/>
  <c r="T456" i="1"/>
  <c r="S795" i="1"/>
  <c r="T795" i="1"/>
  <c r="S1163" i="1"/>
  <c r="T1163" i="1"/>
  <c r="S1164" i="1"/>
  <c r="T1164" i="1"/>
  <c r="S1954" i="1"/>
  <c r="T1954" i="1"/>
  <c r="S2090" i="1"/>
  <c r="T2090" i="1"/>
  <c r="S1753" i="1"/>
  <c r="T1753" i="1"/>
  <c r="S2028" i="1"/>
  <c r="T2028" i="1"/>
  <c r="S2029" i="1"/>
  <c r="T2029" i="1"/>
  <c r="S2030" i="1"/>
  <c r="T2030" i="1"/>
  <c r="S2031" i="1"/>
  <c r="T2031" i="1"/>
  <c r="S2032" i="1"/>
  <c r="T2032" i="1"/>
  <c r="S2033" i="1"/>
  <c r="T2033" i="1"/>
  <c r="S2034" i="1"/>
  <c r="T2034" i="1"/>
  <c r="S2035" i="1"/>
  <c r="T2035" i="1"/>
  <c r="S2036" i="1"/>
  <c r="T2036" i="1"/>
  <c r="S2037" i="1"/>
  <c r="T2037" i="1"/>
  <c r="S2038" i="1"/>
  <c r="T2038" i="1"/>
  <c r="S2039" i="1"/>
  <c r="T2039" i="1"/>
  <c r="S2040" i="1"/>
  <c r="T2040" i="1"/>
  <c r="S2041" i="1"/>
  <c r="T2041" i="1"/>
  <c r="S2042" i="1"/>
  <c r="T2042" i="1"/>
  <c r="S2043" i="1"/>
  <c r="T2043" i="1"/>
  <c r="S2044" i="1"/>
  <c r="T2044" i="1"/>
  <c r="S2045" i="1"/>
  <c r="T2045" i="1"/>
  <c r="S2046" i="1"/>
  <c r="T2046" i="1"/>
  <c r="S2047" i="1"/>
  <c r="T2047" i="1"/>
  <c r="S2048" i="1"/>
  <c r="T2048" i="1"/>
  <c r="S2049" i="1"/>
  <c r="T2049" i="1"/>
  <c r="S2050" i="1"/>
  <c r="T2050" i="1"/>
  <c r="S2051" i="1"/>
  <c r="T2051" i="1"/>
  <c r="S2052" i="1"/>
  <c r="T2052" i="1"/>
  <c r="S2053" i="1"/>
  <c r="T2053" i="1"/>
  <c r="S1917" i="1"/>
  <c r="T1917" i="1"/>
  <c r="S1945" i="1"/>
  <c r="T1945" i="1"/>
  <c r="S1946" i="1"/>
  <c r="T1946" i="1"/>
  <c r="S2054" i="1"/>
  <c r="T2054" i="1"/>
  <c r="S96" i="1"/>
  <c r="T96" i="1"/>
  <c r="S849" i="1"/>
  <c r="T849" i="1"/>
  <c r="S18" i="1"/>
  <c r="T18" i="1"/>
  <c r="S1437" i="1"/>
  <c r="T1437" i="1"/>
  <c r="S1438" i="1"/>
  <c r="T1438" i="1"/>
  <c r="S850" i="1"/>
  <c r="T850" i="1"/>
  <c r="S851" i="1"/>
  <c r="T851" i="1"/>
  <c r="S852" i="1"/>
  <c r="T852" i="1"/>
  <c r="S853" i="1"/>
  <c r="T853" i="1"/>
  <c r="S2055" i="1"/>
  <c r="T2055" i="1"/>
  <c r="S2056" i="1"/>
  <c r="T2056" i="1"/>
  <c r="S2218" i="1"/>
  <c r="T2218" i="1"/>
  <c r="S2219" i="1"/>
  <c r="T2219" i="1"/>
  <c r="S2220" i="1"/>
  <c r="T2220" i="1"/>
  <c r="S1268" i="1"/>
  <c r="T1268" i="1"/>
  <c r="S1384" i="1"/>
  <c r="T1384" i="1"/>
  <c r="S1431" i="1"/>
  <c r="T1431" i="1"/>
  <c r="S2273" i="1"/>
  <c r="T2273" i="1"/>
  <c r="S2274" i="1"/>
  <c r="T2274" i="1"/>
  <c r="S1883" i="1"/>
  <c r="T1883" i="1"/>
  <c r="S1324" i="1"/>
  <c r="T1324" i="1"/>
  <c r="S1918" i="1"/>
  <c r="T1918" i="1"/>
  <c r="S1919" i="1"/>
  <c r="T1919" i="1"/>
  <c r="S1450" i="1"/>
  <c r="T1450" i="1"/>
  <c r="S1451" i="1"/>
  <c r="T1451" i="1"/>
  <c r="S1452" i="1"/>
  <c r="T1452" i="1"/>
  <c r="S59" i="1"/>
  <c r="T59" i="1"/>
  <c r="S1920" i="1"/>
  <c r="T1920" i="1"/>
  <c r="S185" i="1"/>
  <c r="T185" i="1"/>
  <c r="S186" i="1"/>
  <c r="T186" i="1"/>
  <c r="S1754" i="1"/>
  <c r="T1754" i="1"/>
  <c r="T1906" i="1"/>
  <c r="T1907" i="1"/>
  <c r="T1908" i="1"/>
  <c r="T1909" i="1"/>
  <c r="T1910" i="1"/>
  <c r="T1911" i="1"/>
  <c r="S372" i="1"/>
  <c r="T372" i="1"/>
  <c r="S373" i="1"/>
  <c r="T373" i="1"/>
  <c r="S374" i="1"/>
  <c r="T374" i="1"/>
  <c r="S375" i="1"/>
  <c r="T375" i="1"/>
  <c r="S376" i="1"/>
  <c r="T376" i="1"/>
  <c r="S377" i="1"/>
  <c r="T377" i="1"/>
  <c r="S378" i="1"/>
  <c r="T378" i="1"/>
  <c r="S379" i="1"/>
  <c r="T379" i="1"/>
  <c r="S187" i="1"/>
  <c r="T187" i="1"/>
  <c r="S188" i="1"/>
  <c r="T188" i="1"/>
  <c r="S189" i="1"/>
  <c r="T189" i="1"/>
  <c r="S190" i="1"/>
  <c r="T190" i="1"/>
  <c r="S191" i="1"/>
  <c r="T191" i="1"/>
  <c r="S1488" i="1"/>
  <c r="T1488" i="1"/>
  <c r="S151" i="1"/>
  <c r="T151" i="1"/>
  <c r="S152" i="1"/>
  <c r="T152" i="1"/>
  <c r="S153" i="1"/>
  <c r="T153" i="1"/>
  <c r="S1456" i="1"/>
  <c r="T1456" i="1"/>
  <c r="S1457" i="1"/>
  <c r="T1457" i="1"/>
  <c r="S1458" i="1"/>
  <c r="T1458" i="1"/>
  <c r="S1459" i="1"/>
  <c r="T1459" i="1"/>
  <c r="S192" i="1"/>
  <c r="T192" i="1"/>
  <c r="S193" i="1"/>
  <c r="T193" i="1"/>
  <c r="S194" i="1"/>
  <c r="T194" i="1"/>
  <c r="S195" i="1"/>
  <c r="T195" i="1"/>
  <c r="S1755" i="1"/>
  <c r="T1755" i="1"/>
  <c r="S1756" i="1"/>
  <c r="T1756" i="1"/>
  <c r="S1757" i="1"/>
  <c r="T1757" i="1"/>
  <c r="S1758" i="1"/>
  <c r="T1758" i="1"/>
  <c r="S1759" i="1"/>
  <c r="T1759" i="1"/>
  <c r="S1760" i="1"/>
  <c r="T1760" i="1"/>
  <c r="S1761" i="1"/>
  <c r="T1761" i="1"/>
  <c r="S1762" i="1"/>
  <c r="T1762" i="1"/>
  <c r="S1763" i="1"/>
  <c r="T1763" i="1"/>
  <c r="S1764" i="1"/>
  <c r="T1764" i="1"/>
  <c r="S1765" i="1"/>
  <c r="T1765" i="1"/>
  <c r="S1766" i="1"/>
  <c r="T1766" i="1"/>
  <c r="S1767" i="1"/>
  <c r="T1767" i="1"/>
  <c r="S1768" i="1"/>
  <c r="T1768" i="1"/>
  <c r="S1769" i="1"/>
  <c r="T1769" i="1"/>
  <c r="S1770" i="1"/>
  <c r="T1770" i="1"/>
  <c r="S1771" i="1"/>
  <c r="T1771" i="1"/>
  <c r="S1772" i="1"/>
  <c r="T1772" i="1"/>
  <c r="S1773" i="1"/>
  <c r="T1773" i="1"/>
  <c r="S1774" i="1"/>
  <c r="T1774" i="1"/>
  <c r="S1775" i="1"/>
  <c r="T1775" i="1"/>
  <c r="S1776" i="1"/>
  <c r="T1776" i="1"/>
  <c r="S1777" i="1"/>
  <c r="T1777" i="1"/>
  <c r="S1778" i="1"/>
  <c r="T1778" i="1"/>
  <c r="S1779" i="1"/>
  <c r="T1779" i="1"/>
  <c r="S1780" i="1"/>
  <c r="T1780" i="1"/>
  <c r="S1781" i="1"/>
  <c r="T1781" i="1"/>
  <c r="S1782" i="1"/>
  <c r="T1782" i="1"/>
  <c r="S1783" i="1"/>
  <c r="T1783" i="1"/>
  <c r="S1784" i="1"/>
  <c r="T1784" i="1"/>
  <c r="S1785" i="1"/>
  <c r="T1785" i="1"/>
  <c r="S1786" i="1"/>
  <c r="T1786" i="1"/>
  <c r="S1787" i="1"/>
  <c r="T1787" i="1"/>
  <c r="S1788" i="1"/>
  <c r="T1788" i="1"/>
  <c r="S1789" i="1"/>
  <c r="T1789" i="1"/>
  <c r="S1790" i="1"/>
  <c r="T1790" i="1"/>
  <c r="S1791" i="1"/>
  <c r="T1791" i="1"/>
  <c r="S1792" i="1"/>
  <c r="T1792" i="1"/>
  <c r="S1793" i="1"/>
  <c r="T1793" i="1"/>
  <c r="S1794" i="1"/>
  <c r="T1794" i="1"/>
  <c r="S1795" i="1"/>
  <c r="T1795" i="1"/>
  <c r="S1796" i="1"/>
  <c r="T1796" i="1"/>
  <c r="S1797" i="1"/>
  <c r="T1797" i="1"/>
  <c r="S1798" i="1"/>
  <c r="T1798" i="1"/>
  <c r="S1799" i="1"/>
  <c r="T1799" i="1"/>
  <c r="S1800" i="1"/>
  <c r="T1800" i="1"/>
  <c r="S1801" i="1"/>
  <c r="T1801" i="1"/>
  <c r="S1802" i="1"/>
  <c r="T1802" i="1"/>
  <c r="S1803" i="1"/>
  <c r="T1803" i="1"/>
  <c r="S1804" i="1"/>
  <c r="T1804" i="1"/>
  <c r="S1805" i="1"/>
  <c r="T1805" i="1"/>
  <c r="S1806" i="1"/>
  <c r="T1806" i="1"/>
  <c r="S1807" i="1"/>
  <c r="T1807" i="1"/>
  <c r="S1808" i="1"/>
  <c r="T1808" i="1"/>
  <c r="S1809" i="1"/>
  <c r="T1809" i="1"/>
  <c r="S1810" i="1"/>
  <c r="T1810" i="1"/>
  <c r="T2266" i="1"/>
  <c r="T2267" i="1"/>
  <c r="T2268" i="1"/>
  <c r="S196" i="1"/>
  <c r="T196" i="1"/>
  <c r="S197" i="1"/>
  <c r="T197" i="1"/>
  <c r="S280" i="1"/>
  <c r="T280" i="1"/>
  <c r="S2101" i="1"/>
  <c r="T2101" i="1"/>
  <c r="S2102" i="1"/>
  <c r="T2102" i="1"/>
  <c r="S2103" i="1"/>
  <c r="T2103" i="1"/>
  <c r="S2104" i="1"/>
  <c r="T2104" i="1"/>
  <c r="S2105" i="1"/>
  <c r="T2105" i="1"/>
  <c r="S2106" i="1"/>
  <c r="T2106" i="1"/>
  <c r="S2107" i="1"/>
  <c r="T2107" i="1"/>
  <c r="S2108" i="1"/>
  <c r="T2108" i="1"/>
  <c r="S2109" i="1"/>
  <c r="T2109" i="1"/>
  <c r="S2110" i="1"/>
  <c r="T2110" i="1"/>
  <c r="S2111" i="1"/>
  <c r="T2111" i="1"/>
  <c r="S2112" i="1"/>
  <c r="T2112" i="1"/>
  <c r="S2113" i="1"/>
  <c r="T2113" i="1"/>
  <c r="S2114" i="1"/>
  <c r="T2114" i="1"/>
  <c r="S2115" i="1"/>
  <c r="T2115" i="1"/>
  <c r="S2116" i="1"/>
  <c r="T2116" i="1"/>
  <c r="S2117" i="1"/>
  <c r="T2117" i="1"/>
  <c r="S2118" i="1"/>
  <c r="T2118" i="1"/>
  <c r="S2119" i="1"/>
  <c r="T2119" i="1"/>
  <c r="S2120" i="1"/>
  <c r="T2120" i="1"/>
  <c r="S2121" i="1"/>
  <c r="T2121" i="1"/>
  <c r="S2122" i="1"/>
  <c r="T2122" i="1"/>
  <c r="S2123" i="1"/>
  <c r="T2123" i="1"/>
  <c r="S2124" i="1"/>
  <c r="T2124" i="1"/>
  <c r="S2125" i="1"/>
  <c r="T2125" i="1"/>
  <c r="S2126" i="1"/>
  <c r="T2126" i="1"/>
  <c r="S2127" i="1"/>
  <c r="T2127" i="1"/>
  <c r="S2128" i="1"/>
  <c r="T2128" i="1"/>
  <c r="S2129" i="1"/>
  <c r="T2129" i="1"/>
  <c r="S2130" i="1"/>
  <c r="T2130" i="1"/>
  <c r="S198" i="1"/>
  <c r="T198" i="1"/>
  <c r="S380" i="1"/>
  <c r="T380" i="1"/>
  <c r="S1432" i="1"/>
  <c r="T1432" i="1"/>
  <c r="S2067" i="1"/>
  <c r="T2067" i="1"/>
  <c r="S1248" i="1"/>
  <c r="T1248" i="1"/>
  <c r="S1249" i="1"/>
  <c r="T1249" i="1"/>
  <c r="S1250" i="1"/>
  <c r="T1250" i="1"/>
  <c r="S1251" i="1"/>
  <c r="T1251" i="1"/>
  <c r="S1252" i="1"/>
  <c r="T1252" i="1"/>
  <c r="S1253" i="1"/>
  <c r="T1253" i="1"/>
  <c r="S1254" i="1"/>
  <c r="T1254" i="1"/>
  <c r="S854" i="1"/>
  <c r="T854" i="1"/>
  <c r="S855" i="1"/>
  <c r="T855" i="1"/>
  <c r="S856" i="1"/>
  <c r="T856" i="1"/>
  <c r="S857" i="1"/>
  <c r="T857" i="1"/>
  <c r="S858" i="1"/>
  <c r="T858" i="1"/>
  <c r="S859" i="1"/>
  <c r="T859" i="1"/>
  <c r="S2194" i="1"/>
  <c r="T2194" i="1"/>
  <c r="S2195" i="1"/>
  <c r="T2195" i="1"/>
  <c r="S600" i="1"/>
  <c r="T600" i="1"/>
  <c r="S601" i="1"/>
  <c r="T601" i="1"/>
  <c r="S602" i="1"/>
  <c r="T602" i="1"/>
  <c r="S603" i="1"/>
  <c r="T603" i="1"/>
  <c r="S604" i="1"/>
  <c r="T604" i="1"/>
  <c r="S605" i="1"/>
  <c r="T605" i="1"/>
  <c r="S606" i="1"/>
  <c r="T606" i="1"/>
  <c r="S607" i="1"/>
  <c r="T607" i="1"/>
  <c r="S608" i="1"/>
  <c r="T608" i="1"/>
  <c r="S609" i="1"/>
  <c r="T609" i="1"/>
  <c r="S610" i="1"/>
  <c r="T610" i="1"/>
  <c r="S611" i="1"/>
  <c r="T611" i="1"/>
  <c r="S612" i="1"/>
  <c r="T612" i="1"/>
  <c r="S613" i="1"/>
  <c r="T613" i="1"/>
  <c r="S614" i="1"/>
  <c r="T614" i="1"/>
  <c r="S615" i="1"/>
  <c r="T615" i="1"/>
  <c r="S616" i="1"/>
  <c r="T616" i="1"/>
  <c r="S617" i="1"/>
  <c r="T617" i="1"/>
  <c r="S618" i="1"/>
  <c r="T618" i="1"/>
  <c r="S619" i="1"/>
  <c r="T619" i="1"/>
  <c r="S620" i="1"/>
  <c r="T620" i="1"/>
  <c r="S621" i="1"/>
  <c r="T621" i="1"/>
  <c r="S622" i="1"/>
  <c r="T622" i="1"/>
  <c r="S623" i="1"/>
  <c r="T623" i="1"/>
  <c r="S624" i="1"/>
  <c r="T624" i="1"/>
  <c r="S860" i="1"/>
  <c r="T860" i="1"/>
  <c r="S1165" i="1"/>
  <c r="T1165" i="1"/>
  <c r="S1166" i="1"/>
  <c r="T1166" i="1"/>
  <c r="S630" i="1"/>
  <c r="T630" i="1"/>
  <c r="S631" i="1"/>
  <c r="T631" i="1"/>
  <c r="S632" i="1"/>
  <c r="T632" i="1"/>
  <c r="S633" i="1"/>
  <c r="T633" i="1"/>
  <c r="S634" i="1"/>
  <c r="T634" i="1"/>
  <c r="S635" i="1"/>
  <c r="T635" i="1"/>
  <c r="S636" i="1"/>
  <c r="T636" i="1"/>
  <c r="S637" i="1"/>
  <c r="T637" i="1"/>
  <c r="S2092" i="1"/>
  <c r="T2092" i="1"/>
  <c r="S2093" i="1"/>
  <c r="T2093" i="1"/>
  <c r="S2094" i="1"/>
  <c r="T2094" i="1"/>
  <c r="S2095" i="1"/>
  <c r="T2095" i="1"/>
  <c r="S2096" i="1"/>
  <c r="T2096" i="1"/>
  <c r="S2097" i="1"/>
  <c r="T2097" i="1"/>
  <c r="S1864" i="1"/>
  <c r="T1864" i="1"/>
  <c r="S1865" i="1"/>
  <c r="T1865" i="1"/>
  <c r="S1979" i="1"/>
  <c r="T1979" i="1"/>
  <c r="S1959" i="1"/>
  <c r="T1959" i="1"/>
  <c r="S295" i="1"/>
  <c r="T295" i="1"/>
  <c r="S296" i="1"/>
  <c r="T296" i="1"/>
  <c r="S297" i="1"/>
  <c r="T297" i="1"/>
  <c r="S298" i="1"/>
  <c r="T298" i="1"/>
  <c r="S299" i="1"/>
  <c r="T299" i="1"/>
  <c r="S300" i="1"/>
  <c r="T300" i="1"/>
  <c r="S301" i="1"/>
  <c r="T301" i="1"/>
  <c r="S302" i="1"/>
  <c r="T302" i="1"/>
  <c r="S1962" i="1"/>
  <c r="T1962" i="1"/>
  <c r="S1963" i="1"/>
  <c r="T1963" i="1"/>
  <c r="S1964" i="1"/>
  <c r="T1964" i="1"/>
  <c r="S2289" i="1"/>
  <c r="T2289" i="1"/>
  <c r="S154" i="1"/>
  <c r="T154" i="1"/>
  <c r="S155" i="1"/>
  <c r="T155" i="1"/>
  <c r="S156" i="1"/>
  <c r="T156" i="1"/>
  <c r="S157" i="1"/>
  <c r="T157" i="1"/>
  <c r="S2250" i="1"/>
  <c r="T2250" i="1"/>
  <c r="S2251" i="1"/>
  <c r="T2251" i="1"/>
  <c r="S2252" i="1"/>
  <c r="T2252" i="1"/>
  <c r="S1414" i="1"/>
  <c r="T1414" i="1"/>
  <c r="S1886" i="1"/>
  <c r="T1886" i="1"/>
  <c r="S1887" i="1"/>
  <c r="T1887" i="1"/>
  <c r="S796" i="1"/>
  <c r="T796" i="1"/>
  <c r="S797" i="1"/>
  <c r="T797" i="1"/>
  <c r="S798" i="1"/>
  <c r="T798" i="1"/>
  <c r="S799" i="1"/>
  <c r="T799" i="1"/>
  <c r="S800" i="1"/>
  <c r="T800" i="1"/>
  <c r="S1276" i="1"/>
  <c r="T1276" i="1"/>
  <c r="S1277" i="1"/>
  <c r="T1277" i="1"/>
  <c r="S44" i="1"/>
  <c r="T44" i="1"/>
  <c r="S14" i="1"/>
  <c r="T14" i="1"/>
  <c r="S15" i="1"/>
  <c r="T15" i="1"/>
  <c r="S861" i="1"/>
  <c r="T861" i="1"/>
  <c r="S862" i="1"/>
  <c r="T862" i="1"/>
  <c r="S863" i="1"/>
  <c r="T863" i="1"/>
  <c r="S1866" i="1"/>
  <c r="T1866" i="1"/>
  <c r="S1867" i="1"/>
  <c r="T1867" i="1"/>
  <c r="S1868" i="1"/>
  <c r="T1868" i="1"/>
  <c r="S864" i="1"/>
  <c r="T864" i="1"/>
  <c r="S865" i="1"/>
  <c r="T865" i="1"/>
  <c r="S866" i="1"/>
  <c r="T866" i="1"/>
  <c r="S561" i="1"/>
  <c r="T561" i="1"/>
  <c r="S1995" i="1"/>
  <c r="T1995" i="1"/>
  <c r="S1996" i="1"/>
  <c r="T1996" i="1"/>
  <c r="S1997" i="1"/>
  <c r="T1997" i="1"/>
  <c r="S1998" i="1"/>
  <c r="T1998" i="1"/>
  <c r="S1999" i="1"/>
  <c r="T1999" i="1"/>
  <c r="S2000" i="1"/>
  <c r="T2000" i="1"/>
  <c r="S2001" i="1"/>
  <c r="T2001" i="1"/>
  <c r="S2002" i="1"/>
  <c r="T2002" i="1"/>
  <c r="S2003" i="1"/>
  <c r="T2003" i="1"/>
  <c r="S97" i="1"/>
  <c r="T97" i="1"/>
  <c r="S98" i="1"/>
  <c r="T98" i="1"/>
  <c r="S99" i="1"/>
  <c r="T99" i="1"/>
  <c r="S100" i="1"/>
  <c r="T100" i="1"/>
  <c r="S101" i="1"/>
  <c r="T101" i="1"/>
  <c r="S132" i="1"/>
  <c r="T132" i="1"/>
  <c r="S136" i="1"/>
  <c r="T136" i="1"/>
  <c r="S1287" i="1"/>
  <c r="T1287" i="1"/>
  <c r="S2264" i="1"/>
  <c r="T2264" i="1"/>
  <c r="S2265" i="1"/>
  <c r="T2265" i="1"/>
  <c r="S867" i="1"/>
  <c r="T867" i="1"/>
  <c r="S1885" i="1"/>
  <c r="T1885" i="1"/>
  <c r="S684" i="1"/>
  <c r="T684" i="1"/>
  <c r="S685" i="1"/>
  <c r="T685" i="1"/>
  <c r="S686" i="1"/>
  <c r="T686" i="1"/>
  <c r="S687" i="1"/>
  <c r="T687" i="1"/>
  <c r="S688" i="1"/>
  <c r="T688" i="1"/>
  <c r="S2068" i="1"/>
  <c r="T2068" i="1"/>
  <c r="S1395" i="1"/>
  <c r="T1395" i="1"/>
  <c r="S279" i="1"/>
  <c r="T279" i="1"/>
  <c r="S2062" i="1"/>
  <c r="T2062" i="1"/>
  <c r="S2063" i="1"/>
  <c r="T2063" i="1"/>
  <c r="S1921" i="1"/>
  <c r="T1921" i="1"/>
  <c r="S1955" i="1"/>
  <c r="T1955" i="1"/>
  <c r="S1956" i="1"/>
  <c r="T1956" i="1"/>
  <c r="S562" i="1"/>
  <c r="T562" i="1"/>
  <c r="S1869" i="1"/>
  <c r="T1869" i="1"/>
  <c r="S522" i="1"/>
  <c r="T522" i="1"/>
  <c r="S523" i="1"/>
  <c r="T523" i="1"/>
  <c r="S524" i="1"/>
  <c r="T524" i="1"/>
  <c r="S525" i="1"/>
  <c r="T525" i="1"/>
  <c r="S1288" i="1"/>
  <c r="T1288" i="1"/>
  <c r="S1289" i="1"/>
  <c r="T1289" i="1"/>
  <c r="S1290" i="1"/>
  <c r="T1290" i="1"/>
  <c r="S1291" i="1"/>
  <c r="T1291" i="1"/>
  <c r="S1292" i="1"/>
  <c r="T1292" i="1"/>
  <c r="S1293" i="1"/>
  <c r="T1293" i="1"/>
  <c r="S1294" i="1"/>
  <c r="T1294" i="1"/>
  <c r="S1295" i="1"/>
  <c r="T1295" i="1"/>
  <c r="S1296" i="1"/>
  <c r="T1296" i="1"/>
  <c r="S1297" i="1"/>
  <c r="T1297" i="1"/>
  <c r="S1298" i="1"/>
  <c r="T1298" i="1"/>
  <c r="S1299" i="1"/>
  <c r="T1299" i="1"/>
  <c r="S1300" i="1"/>
  <c r="T1300" i="1"/>
  <c r="S1301" i="1"/>
  <c r="T1301" i="1"/>
  <c r="S1302" i="1"/>
  <c r="T1302" i="1"/>
  <c r="S102" i="1"/>
  <c r="T102" i="1"/>
  <c r="S103" i="1"/>
  <c r="T103" i="1"/>
  <c r="S104" i="1"/>
  <c r="T104" i="1"/>
  <c r="S105" i="1"/>
  <c r="T105" i="1"/>
  <c r="S106" i="1"/>
  <c r="T106" i="1"/>
  <c r="S107" i="1"/>
  <c r="T107" i="1"/>
  <c r="S108" i="1"/>
  <c r="T108" i="1"/>
  <c r="S563" i="1"/>
  <c r="T563" i="1"/>
  <c r="S579" i="1"/>
  <c r="T579" i="1"/>
  <c r="S381" i="1"/>
  <c r="T381" i="1"/>
  <c r="S382" i="1"/>
  <c r="T382" i="1"/>
  <c r="S802" i="1"/>
  <c r="T802" i="1"/>
  <c r="S803" i="1"/>
  <c r="T803" i="1"/>
  <c r="S804" i="1"/>
  <c r="T804" i="1"/>
  <c r="S805" i="1"/>
  <c r="T805" i="1"/>
  <c r="S806" i="1"/>
  <c r="T806" i="1"/>
  <c r="S807" i="1"/>
  <c r="T807" i="1"/>
  <c r="S808" i="1"/>
  <c r="T808" i="1"/>
  <c r="S809" i="1"/>
  <c r="T809" i="1"/>
  <c r="S810" i="1"/>
  <c r="T810" i="1"/>
  <c r="S355" i="1"/>
  <c r="T355" i="1"/>
  <c r="S356" i="1"/>
  <c r="T356" i="1"/>
  <c r="S357" i="1"/>
  <c r="T357" i="1"/>
  <c r="S358" i="1"/>
  <c r="T358" i="1"/>
  <c r="S359" i="1"/>
  <c r="T359" i="1"/>
  <c r="S360" i="1"/>
  <c r="T360" i="1"/>
  <c r="S361" i="1"/>
  <c r="T361" i="1"/>
  <c r="S362" i="1"/>
  <c r="T362" i="1"/>
  <c r="S816" i="1"/>
  <c r="T816" i="1"/>
  <c r="S817" i="1"/>
  <c r="T817" i="1"/>
  <c r="S1214" i="1"/>
  <c r="T1214" i="1"/>
  <c r="S1215" i="1"/>
  <c r="T1215" i="1"/>
  <c r="S1216" i="1"/>
  <c r="T1216" i="1"/>
  <c r="S1217" i="1"/>
  <c r="T1217" i="1"/>
  <c r="S1218" i="1"/>
  <c r="T1218" i="1"/>
  <c r="S1219" i="1"/>
  <c r="T1219" i="1"/>
  <c r="S1220" i="1"/>
  <c r="T1220" i="1"/>
  <c r="S1221" i="1"/>
  <c r="T1221" i="1"/>
  <c r="S526" i="1"/>
  <c r="T526" i="1"/>
  <c r="S1207" i="1"/>
  <c r="T1207" i="1"/>
  <c r="S585" i="1"/>
  <c r="T585" i="1"/>
  <c r="S586" i="1"/>
  <c r="T586" i="1"/>
  <c r="S587" i="1"/>
  <c r="T587" i="1"/>
  <c r="S638" i="1"/>
  <c r="T638" i="1"/>
  <c r="S639" i="1"/>
  <c r="T639" i="1"/>
  <c r="S640" i="1"/>
  <c r="T640" i="1"/>
  <c r="S647" i="1"/>
  <c r="T647" i="1"/>
  <c r="S868" i="1"/>
  <c r="T868" i="1"/>
  <c r="S869" i="1"/>
  <c r="T869" i="1"/>
  <c r="S870" i="1"/>
  <c r="T870" i="1"/>
  <c r="S871" i="1"/>
  <c r="T871" i="1"/>
  <c r="S872" i="1"/>
  <c r="T872" i="1"/>
  <c r="S873" i="1"/>
  <c r="T873" i="1"/>
  <c r="S874" i="1"/>
  <c r="T874" i="1"/>
  <c r="S689" i="1"/>
  <c r="T689" i="1"/>
  <c r="S690" i="1"/>
  <c r="T690" i="1"/>
  <c r="S813" i="1"/>
  <c r="T813" i="1"/>
  <c r="S691" i="1"/>
  <c r="T691" i="1"/>
  <c r="S692" i="1"/>
  <c r="T692" i="1"/>
  <c r="S693" i="1"/>
  <c r="T693" i="1"/>
  <c r="S694" i="1"/>
  <c r="T694" i="1"/>
  <c r="S695" i="1"/>
  <c r="T695" i="1"/>
  <c r="S696" i="1"/>
  <c r="T696" i="1"/>
  <c r="S697" i="1"/>
  <c r="T697" i="1"/>
  <c r="S698" i="1"/>
  <c r="T698" i="1"/>
  <c r="S699" i="1"/>
  <c r="T699" i="1"/>
  <c r="S700" i="1"/>
  <c r="T700" i="1"/>
  <c r="S701" i="1"/>
  <c r="T701" i="1"/>
  <c r="S702" i="1"/>
  <c r="T702" i="1"/>
  <c r="S703" i="1"/>
  <c r="T703" i="1"/>
  <c r="S704" i="1"/>
  <c r="T704" i="1"/>
  <c r="S705" i="1"/>
  <c r="T705" i="1"/>
  <c r="S1811" i="1"/>
  <c r="T1811" i="1"/>
  <c r="S1812" i="1"/>
  <c r="T1812" i="1"/>
  <c r="S1813" i="1"/>
  <c r="T1813" i="1"/>
  <c r="S1814" i="1"/>
  <c r="T1814" i="1"/>
  <c r="S1815" i="1"/>
  <c r="T1815" i="1"/>
  <c r="S1816" i="1"/>
  <c r="T1816" i="1"/>
  <c r="S1817" i="1"/>
  <c r="T1817" i="1"/>
  <c r="S1818" i="1"/>
  <c r="T1818" i="1"/>
  <c r="S1819" i="1"/>
  <c r="T1819" i="1"/>
  <c r="S1820" i="1"/>
  <c r="T1820" i="1"/>
  <c r="S1821" i="1"/>
  <c r="T1821" i="1"/>
  <c r="S1822" i="1"/>
  <c r="T1822" i="1"/>
  <c r="S1823" i="1"/>
  <c r="T1823" i="1"/>
  <c r="S1824" i="1"/>
  <c r="T1824" i="1"/>
  <c r="S1825" i="1"/>
  <c r="T1825" i="1"/>
  <c r="S1476" i="1"/>
  <c r="T1476" i="1"/>
  <c r="S1477" i="1"/>
  <c r="T1477" i="1"/>
  <c r="S1478" i="1"/>
  <c r="T1478" i="1"/>
  <c r="S1479" i="1"/>
  <c r="T1479" i="1"/>
  <c r="S1480" i="1"/>
  <c r="T1480" i="1"/>
  <c r="S1481" i="1"/>
  <c r="T1481" i="1"/>
  <c r="S1482" i="1"/>
  <c r="T1482" i="1"/>
  <c r="S1483" i="1"/>
  <c r="T1483" i="1"/>
  <c r="S1484" i="1"/>
  <c r="T1484" i="1"/>
  <c r="S1485" i="1"/>
  <c r="T1485" i="1"/>
  <c r="S1486" i="1"/>
  <c r="T1486" i="1"/>
  <c r="S1487" i="1"/>
  <c r="T1487" i="1"/>
  <c r="S625" i="1"/>
  <c r="T625" i="1"/>
  <c r="S626" i="1"/>
  <c r="T626" i="1"/>
  <c r="S627" i="1"/>
  <c r="T627" i="1"/>
  <c r="S199" i="1"/>
  <c r="T199" i="1"/>
  <c r="S200" i="1"/>
  <c r="T200" i="1"/>
  <c r="S248" i="1"/>
  <c r="T248" i="1"/>
  <c r="S249" i="1"/>
  <c r="T249" i="1"/>
  <c r="S250" i="1"/>
  <c r="T250" i="1"/>
  <c r="S251" i="1"/>
  <c r="T251" i="1"/>
  <c r="S1495" i="1"/>
  <c r="T1495" i="1"/>
  <c r="S109" i="1"/>
  <c r="T109" i="1"/>
  <c r="S110" i="1"/>
  <c r="T110" i="1"/>
  <c r="S509" i="1"/>
  <c r="T509" i="1"/>
  <c r="S1870" i="1"/>
  <c r="T1870" i="1"/>
  <c r="S1871" i="1"/>
  <c r="T1871" i="1"/>
  <c r="S1960" i="1"/>
  <c r="T1960" i="1"/>
  <c r="S1167" i="1"/>
  <c r="T1167" i="1"/>
  <c r="S383" i="1"/>
  <c r="T383" i="1"/>
  <c r="S384" i="1"/>
  <c r="T384" i="1"/>
  <c r="S1466" i="1"/>
  <c r="T1466" i="1"/>
  <c r="S1467" i="1"/>
  <c r="T1467" i="1"/>
  <c r="S1468" i="1"/>
  <c r="T1468" i="1"/>
  <c r="S1469" i="1"/>
  <c r="T1469" i="1"/>
  <c r="S1470" i="1"/>
  <c r="T1470" i="1"/>
  <c r="S1947" i="1"/>
  <c r="T1947" i="1"/>
  <c r="S1948" i="1"/>
  <c r="T1948" i="1"/>
  <c r="S1949" i="1"/>
  <c r="T1949" i="1"/>
  <c r="S111" i="1"/>
  <c r="T111" i="1"/>
  <c r="S112" i="1"/>
  <c r="T112" i="1"/>
  <c r="T113" i="1"/>
  <c r="S116" i="1"/>
  <c r="T116" i="1"/>
  <c r="S117" i="1"/>
  <c r="T117" i="1"/>
  <c r="S118" i="1"/>
  <c r="T118" i="1"/>
  <c r="S1348" i="1"/>
  <c r="T1348" i="1"/>
  <c r="S1417" i="1"/>
  <c r="T1417" i="1"/>
  <c r="S2193" i="1"/>
  <c r="T2193" i="1"/>
  <c r="S245" i="1"/>
  <c r="T245" i="1"/>
  <c r="S275" i="1"/>
  <c r="T275" i="1"/>
  <c r="S2004" i="1"/>
  <c r="T2004" i="1"/>
  <c r="S2005" i="1"/>
  <c r="T2005" i="1"/>
  <c r="S2006" i="1"/>
  <c r="T2006" i="1"/>
  <c r="S1337" i="1"/>
  <c r="T1337" i="1"/>
  <c r="S1338" i="1"/>
  <c r="T1338" i="1"/>
  <c r="S1339" i="1"/>
  <c r="T1339" i="1"/>
  <c r="S201" i="1"/>
  <c r="T201" i="1"/>
  <c r="S202" i="1"/>
  <c r="T202" i="1"/>
  <c r="S203" i="1"/>
  <c r="T203" i="1"/>
  <c r="S204" i="1"/>
  <c r="T204" i="1"/>
  <c r="S205" i="1"/>
  <c r="T205" i="1"/>
  <c r="S206" i="1"/>
  <c r="T206" i="1"/>
  <c r="S207" i="1"/>
  <c r="T207" i="1"/>
  <c r="S208" i="1"/>
  <c r="T208" i="1"/>
  <c r="S209" i="1"/>
  <c r="T209" i="1"/>
  <c r="S210" i="1"/>
  <c r="T210" i="1"/>
  <c r="S211" i="1"/>
  <c r="T211" i="1"/>
  <c r="S212" i="1"/>
  <c r="T212" i="1"/>
  <c r="S213" i="1"/>
  <c r="T213" i="1"/>
  <c r="S214" i="1"/>
  <c r="T214" i="1"/>
  <c r="S215" i="1"/>
  <c r="T215" i="1"/>
  <c r="S216" i="1"/>
  <c r="T216" i="1"/>
  <c r="S217" i="1"/>
  <c r="T217" i="1"/>
  <c r="S218" i="1"/>
  <c r="T218" i="1"/>
  <c r="S219" i="1"/>
  <c r="T219" i="1"/>
  <c r="S1496" i="1"/>
  <c r="T1496" i="1"/>
  <c r="S1497" i="1"/>
  <c r="T1497" i="1"/>
  <c r="S1498" i="1"/>
  <c r="T1498" i="1"/>
  <c r="S1499" i="1"/>
  <c r="T1499" i="1"/>
  <c r="S1500" i="1"/>
  <c r="T1500" i="1"/>
  <c r="S1501" i="1"/>
  <c r="T1501" i="1"/>
  <c r="S1502" i="1"/>
  <c r="T1502" i="1"/>
  <c r="S1503" i="1"/>
  <c r="T1503" i="1"/>
  <c r="S1504" i="1"/>
  <c r="T1504" i="1"/>
  <c r="S1505" i="1"/>
  <c r="T1505" i="1"/>
  <c r="S1506" i="1"/>
  <c r="T1506" i="1"/>
  <c r="S1507" i="1"/>
  <c r="T1507" i="1"/>
  <c r="S1508" i="1"/>
  <c r="T1508" i="1"/>
  <c r="S1509" i="1"/>
  <c r="T1509" i="1"/>
  <c r="S1510" i="1"/>
  <c r="T1510" i="1"/>
  <c r="S1511" i="1"/>
  <c r="T1511" i="1"/>
  <c r="S1512" i="1"/>
  <c r="T1512" i="1"/>
  <c r="S1513" i="1"/>
  <c r="T1513" i="1"/>
  <c r="S1514" i="1"/>
  <c r="T1514" i="1"/>
  <c r="S1515" i="1"/>
  <c r="T1515" i="1"/>
  <c r="S1516" i="1"/>
  <c r="T1516" i="1"/>
  <c r="S1517" i="1"/>
  <c r="T1517" i="1"/>
  <c r="S1518" i="1"/>
  <c r="T1518" i="1"/>
  <c r="S1519" i="1"/>
  <c r="T1519" i="1"/>
  <c r="S1520" i="1"/>
  <c r="T1520" i="1"/>
  <c r="S1521" i="1"/>
  <c r="T1521" i="1"/>
  <c r="S1522" i="1"/>
  <c r="T1522" i="1"/>
  <c r="S1523" i="1"/>
  <c r="T1523" i="1"/>
  <c r="S1524" i="1"/>
  <c r="T1524" i="1"/>
  <c r="S1525" i="1"/>
  <c r="T1525" i="1"/>
  <c r="S1526" i="1"/>
  <c r="T1526" i="1"/>
  <c r="S1527" i="1"/>
  <c r="T1527" i="1"/>
  <c r="S1528" i="1"/>
  <c r="T1528" i="1"/>
  <c r="S1529" i="1"/>
  <c r="T1529" i="1"/>
  <c r="S1530" i="1"/>
  <c r="T1530" i="1"/>
  <c r="S1531" i="1"/>
  <c r="T1531" i="1"/>
  <c r="S1532" i="1"/>
  <c r="T1532" i="1"/>
  <c r="S1533" i="1"/>
  <c r="T1533" i="1"/>
  <c r="S1534" i="1"/>
  <c r="T1534" i="1"/>
  <c r="S1535" i="1"/>
  <c r="T1535" i="1"/>
  <c r="S1536" i="1"/>
  <c r="T1536" i="1"/>
  <c r="S1537" i="1"/>
  <c r="T1537" i="1"/>
  <c r="S1538" i="1"/>
  <c r="T1538" i="1"/>
  <c r="S1539" i="1"/>
  <c r="T1539" i="1"/>
  <c r="S1540" i="1"/>
  <c r="T1540" i="1"/>
  <c r="S1541" i="1"/>
  <c r="T1541" i="1"/>
  <c r="S1542" i="1"/>
  <c r="T1542" i="1"/>
  <c r="S1543" i="1"/>
  <c r="T1543" i="1"/>
  <c r="S1544" i="1"/>
  <c r="T1544" i="1"/>
  <c r="S1545" i="1"/>
  <c r="T1545" i="1"/>
  <c r="S1546" i="1"/>
  <c r="T1546" i="1"/>
  <c r="S1547" i="1"/>
  <c r="T1547" i="1"/>
  <c r="S1548" i="1"/>
  <c r="T1548" i="1"/>
  <c r="S1549" i="1"/>
  <c r="T1549" i="1"/>
  <c r="S1550" i="1"/>
  <c r="T1550" i="1"/>
  <c r="S1551" i="1"/>
  <c r="T1551" i="1"/>
  <c r="S1552" i="1"/>
  <c r="T1552" i="1"/>
  <c r="S1553" i="1"/>
  <c r="T1553" i="1"/>
  <c r="S1554" i="1"/>
  <c r="T1554" i="1"/>
  <c r="S1555" i="1"/>
  <c r="T1555" i="1"/>
  <c r="S1556" i="1"/>
  <c r="T1556" i="1"/>
  <c r="S1557" i="1"/>
  <c r="T1557" i="1"/>
  <c r="S1558" i="1"/>
  <c r="T1558" i="1"/>
  <c r="S1559" i="1"/>
  <c r="T1559" i="1"/>
  <c r="S1560" i="1"/>
  <c r="T1560" i="1"/>
  <c r="S1561" i="1"/>
  <c r="T1561" i="1"/>
  <c r="S1562" i="1"/>
  <c r="T1562" i="1"/>
  <c r="S1563" i="1"/>
  <c r="T1563" i="1"/>
  <c r="S1564" i="1"/>
  <c r="T1564" i="1"/>
  <c r="S1565" i="1"/>
  <c r="T1565" i="1"/>
  <c r="S1566" i="1"/>
  <c r="T1566" i="1"/>
  <c r="S1567" i="1"/>
  <c r="T1567" i="1"/>
  <c r="S1568" i="1"/>
  <c r="T1568" i="1"/>
  <c r="S1569" i="1"/>
  <c r="T1569" i="1"/>
  <c r="S1570" i="1"/>
  <c r="T1570" i="1"/>
  <c r="S1571" i="1"/>
  <c r="T1571" i="1"/>
  <c r="S1572" i="1"/>
  <c r="T1572" i="1"/>
  <c r="S1573" i="1"/>
  <c r="T1573" i="1"/>
  <c r="S1574" i="1"/>
  <c r="T1574" i="1"/>
  <c r="S1575" i="1"/>
  <c r="T1575" i="1"/>
  <c r="S1576" i="1"/>
  <c r="T1576" i="1"/>
  <c r="S1577" i="1"/>
  <c r="T1577" i="1"/>
  <c r="S1578" i="1"/>
  <c r="T1578" i="1"/>
  <c r="S1579" i="1"/>
  <c r="T1579" i="1"/>
  <c r="S1580" i="1"/>
  <c r="T1580" i="1"/>
  <c r="S1581" i="1"/>
  <c r="T1581" i="1"/>
  <c r="S1582" i="1"/>
  <c r="T1582" i="1"/>
  <c r="S1583" i="1"/>
  <c r="T1583" i="1"/>
  <c r="S1584" i="1"/>
  <c r="T1584" i="1"/>
  <c r="S1585" i="1"/>
  <c r="T1585" i="1"/>
  <c r="S1586" i="1"/>
  <c r="T1586" i="1"/>
  <c r="S1587" i="1"/>
  <c r="T1587" i="1"/>
  <c r="S1588" i="1"/>
  <c r="T1588" i="1"/>
  <c r="S1589" i="1"/>
  <c r="T1589" i="1"/>
  <c r="S1590" i="1"/>
  <c r="T1590" i="1"/>
  <c r="S1591" i="1"/>
  <c r="T1591" i="1"/>
  <c r="S1592" i="1"/>
  <c r="T1592" i="1"/>
  <c r="S1593" i="1"/>
  <c r="T1593" i="1"/>
  <c r="S1594" i="1"/>
  <c r="T1594" i="1"/>
  <c r="S1595" i="1"/>
  <c r="T1595" i="1"/>
  <c r="S1596" i="1"/>
  <c r="T1596" i="1"/>
  <c r="S1597" i="1"/>
  <c r="T1597" i="1"/>
  <c r="S1598" i="1"/>
  <c r="T1598" i="1"/>
  <c r="S1599" i="1"/>
  <c r="T1599" i="1"/>
  <c r="S1600" i="1"/>
  <c r="T1600" i="1"/>
  <c r="S1601" i="1"/>
  <c r="T1601" i="1"/>
  <c r="S1602" i="1"/>
  <c r="T1602" i="1"/>
  <c r="S1603" i="1"/>
  <c r="T1603" i="1"/>
  <c r="S1604" i="1"/>
  <c r="T1604" i="1"/>
  <c r="S1605" i="1"/>
  <c r="T1605" i="1"/>
  <c r="S1606" i="1"/>
  <c r="T1606" i="1"/>
  <c r="S1607" i="1"/>
  <c r="T1607" i="1"/>
  <c r="S1608" i="1"/>
  <c r="T1608" i="1"/>
  <c r="S1609" i="1"/>
  <c r="T1609" i="1"/>
  <c r="S1610" i="1"/>
  <c r="T1610" i="1"/>
  <c r="S1611" i="1"/>
  <c r="T1611" i="1"/>
  <c r="S1612" i="1"/>
  <c r="T1612" i="1"/>
  <c r="S1613" i="1"/>
  <c r="T1613" i="1"/>
  <c r="S1614" i="1"/>
  <c r="T1614" i="1"/>
  <c r="S1615" i="1"/>
  <c r="T1615" i="1"/>
  <c r="S1616" i="1"/>
  <c r="T1616" i="1"/>
  <c r="S1617" i="1"/>
  <c r="T1617" i="1"/>
  <c r="S1618" i="1"/>
  <c r="T1618" i="1"/>
  <c r="S1619" i="1"/>
  <c r="T1619" i="1"/>
  <c r="S1620" i="1"/>
  <c r="T1620" i="1"/>
  <c r="S1621" i="1"/>
  <c r="T1621" i="1"/>
  <c r="S1622" i="1"/>
  <c r="T1622" i="1"/>
  <c r="S1623" i="1"/>
  <c r="T1623" i="1"/>
  <c r="S1624" i="1"/>
  <c r="T1624" i="1"/>
  <c r="S1625" i="1"/>
  <c r="T1625" i="1"/>
  <c r="S1626" i="1"/>
  <c r="T1626" i="1"/>
  <c r="S1627" i="1"/>
  <c r="T1627" i="1"/>
  <c r="S1628" i="1"/>
  <c r="T1628" i="1"/>
  <c r="S1629" i="1"/>
  <c r="T1629" i="1"/>
  <c r="S1630" i="1"/>
  <c r="T1630" i="1"/>
  <c r="S1631" i="1"/>
  <c r="T1631" i="1"/>
  <c r="S1632" i="1"/>
  <c r="T1632" i="1"/>
  <c r="S1633" i="1"/>
  <c r="T1633" i="1"/>
  <c r="S1634" i="1"/>
  <c r="T1634" i="1"/>
  <c r="S1635" i="1"/>
  <c r="T1635" i="1"/>
  <c r="S1636" i="1"/>
  <c r="T1636" i="1"/>
  <c r="S1637" i="1"/>
  <c r="T1637" i="1"/>
  <c r="S1638" i="1"/>
  <c r="T1638" i="1"/>
  <c r="S1639" i="1"/>
  <c r="T1639" i="1"/>
  <c r="S1640" i="1"/>
  <c r="T1640" i="1"/>
  <c r="S1641" i="1"/>
  <c r="T1641" i="1"/>
  <c r="S1642" i="1"/>
  <c r="T1642" i="1"/>
  <c r="S1643" i="1"/>
  <c r="T1643" i="1"/>
  <c r="S1644" i="1"/>
  <c r="T1644" i="1"/>
  <c r="S1645" i="1"/>
  <c r="T1645" i="1"/>
  <c r="S1646" i="1"/>
  <c r="T1646" i="1"/>
  <c r="S1647" i="1"/>
  <c r="T1647" i="1"/>
  <c r="S1648" i="1"/>
  <c r="T1648" i="1"/>
  <c r="S1649" i="1"/>
  <c r="T1649" i="1"/>
  <c r="S1650" i="1"/>
  <c r="T1650" i="1"/>
  <c r="S1651" i="1"/>
  <c r="T1651" i="1"/>
  <c r="S1652" i="1"/>
  <c r="T1652" i="1"/>
  <c r="S1653" i="1"/>
  <c r="T1653" i="1"/>
  <c r="S1654" i="1"/>
  <c r="T1654" i="1"/>
  <c r="S1655" i="1"/>
  <c r="T1655" i="1"/>
  <c r="S1656" i="1"/>
  <c r="T1656" i="1"/>
  <c r="S1657" i="1"/>
  <c r="T1657" i="1"/>
  <c r="S1658" i="1"/>
  <c r="T1658" i="1"/>
  <c r="S1659" i="1"/>
  <c r="T1659" i="1"/>
  <c r="S1660" i="1"/>
  <c r="T1660" i="1"/>
  <c r="S1661" i="1"/>
  <c r="T1661" i="1"/>
  <c r="S1662" i="1"/>
  <c r="T1662" i="1"/>
  <c r="S1663" i="1"/>
  <c r="T1663" i="1"/>
  <c r="S1664" i="1"/>
  <c r="T1664" i="1"/>
  <c r="S1665" i="1"/>
  <c r="T1665" i="1"/>
  <c r="S1666" i="1"/>
  <c r="T1666" i="1"/>
  <c r="S1667" i="1"/>
  <c r="T1667" i="1"/>
  <c r="S1668" i="1"/>
  <c r="T1668" i="1"/>
  <c r="S1669" i="1"/>
  <c r="T1669" i="1"/>
  <c r="S1670" i="1"/>
  <c r="T1670" i="1"/>
  <c r="S1671" i="1"/>
  <c r="T1671" i="1"/>
  <c r="S1672" i="1"/>
  <c r="T1672" i="1"/>
  <c r="S1673" i="1"/>
  <c r="T1673" i="1"/>
  <c r="S1674" i="1"/>
  <c r="T1674" i="1"/>
  <c r="S1675" i="1"/>
  <c r="T1675" i="1"/>
  <c r="S1676" i="1"/>
  <c r="T1676" i="1"/>
  <c r="S1677" i="1"/>
  <c r="T1677" i="1"/>
  <c r="S1678" i="1"/>
  <c r="T1678" i="1"/>
  <c r="S1679" i="1"/>
  <c r="T1679" i="1"/>
  <c r="S1680" i="1"/>
  <c r="T1680" i="1"/>
  <c r="S1681" i="1"/>
  <c r="T1681" i="1"/>
  <c r="S1682" i="1"/>
  <c r="T1682" i="1"/>
  <c r="S1683" i="1"/>
  <c r="T1683" i="1"/>
  <c r="S1684" i="1"/>
  <c r="T1684" i="1"/>
  <c r="S1685" i="1"/>
  <c r="T1685" i="1"/>
  <c r="S1686" i="1"/>
  <c r="T1686" i="1"/>
  <c r="S1687" i="1"/>
  <c r="T1687" i="1"/>
  <c r="S1688" i="1"/>
  <c r="T1688" i="1"/>
  <c r="S1689" i="1"/>
  <c r="T1689" i="1"/>
  <c r="S1690" i="1"/>
  <c r="T1690" i="1"/>
  <c r="S1691" i="1"/>
  <c r="T1691" i="1"/>
  <c r="S1692" i="1"/>
  <c r="T1692" i="1"/>
  <c r="S1693" i="1"/>
  <c r="T1693" i="1"/>
  <c r="S1694" i="1"/>
  <c r="T1694" i="1"/>
  <c r="S2007" i="1"/>
  <c r="T2007" i="1"/>
  <c r="S2008" i="1"/>
  <c r="T2008" i="1"/>
  <c r="S2009" i="1"/>
  <c r="T2009" i="1"/>
  <c r="S2010" i="1"/>
  <c r="T2010" i="1"/>
  <c r="S641" i="1"/>
  <c r="T641" i="1"/>
  <c r="S642" i="1"/>
  <c r="T642" i="1"/>
  <c r="S811" i="1"/>
  <c r="T811" i="1"/>
  <c r="S2065" i="1"/>
  <c r="T2065" i="1"/>
  <c r="S812" i="1"/>
  <c r="T812" i="1"/>
  <c r="S1826" i="1"/>
  <c r="T1826" i="1"/>
  <c r="S1827" i="1"/>
  <c r="T1827" i="1"/>
  <c r="S1828" i="1"/>
  <c r="T1828" i="1"/>
  <c r="S1829" i="1"/>
  <c r="T1829" i="1"/>
  <c r="S1830" i="1"/>
  <c r="T1830" i="1"/>
  <c r="S1831" i="1"/>
  <c r="T1831" i="1"/>
  <c r="S1832" i="1"/>
  <c r="T1832" i="1"/>
  <c r="S1833" i="1"/>
  <c r="T1833" i="1"/>
  <c r="S1834" i="1"/>
  <c r="T1834" i="1"/>
  <c r="S1835" i="1"/>
  <c r="T1835" i="1"/>
  <c r="S1836" i="1"/>
  <c r="T1836" i="1"/>
  <c r="S1837" i="1"/>
  <c r="T1837" i="1"/>
  <c r="S1838" i="1"/>
  <c r="T1838" i="1"/>
  <c r="S1839" i="1"/>
  <c r="T1839" i="1"/>
  <c r="S1840" i="1"/>
  <c r="T1840" i="1"/>
  <c r="S1841" i="1"/>
  <c r="T1841" i="1"/>
  <c r="S1842" i="1"/>
  <c r="T1842" i="1"/>
  <c r="S1843" i="1"/>
  <c r="T1843" i="1"/>
  <c r="S1844" i="1"/>
  <c r="T1844" i="1"/>
  <c r="S1845" i="1"/>
  <c r="T1845" i="1"/>
  <c r="S1846" i="1"/>
  <c r="T1846" i="1"/>
  <c r="S1847" i="1"/>
  <c r="T1847" i="1"/>
  <c r="S875" i="1"/>
  <c r="T875" i="1"/>
  <c r="S876" i="1"/>
  <c r="T876" i="1"/>
  <c r="S877" i="1"/>
  <c r="T877" i="1"/>
  <c r="S1980" i="1"/>
  <c r="T1980" i="1"/>
  <c r="S1981" i="1"/>
  <c r="T1981" i="1"/>
  <c r="S1982" i="1"/>
  <c r="T1982" i="1"/>
  <c r="S1983" i="1"/>
  <c r="T1983" i="1"/>
  <c r="S1984" i="1"/>
  <c r="T1984" i="1"/>
  <c r="S878" i="1"/>
  <c r="T878" i="1"/>
  <c r="S1349" i="1"/>
  <c r="T1349" i="1"/>
  <c r="S879" i="1"/>
  <c r="T879" i="1"/>
  <c r="S880" i="1"/>
  <c r="T880" i="1"/>
  <c r="S881" i="1"/>
  <c r="T881" i="1"/>
  <c r="S882" i="1"/>
  <c r="T882" i="1"/>
  <c r="S883" i="1"/>
  <c r="T883" i="1"/>
  <c r="S884" i="1"/>
  <c r="T884" i="1"/>
  <c r="S220" i="1"/>
  <c r="T220" i="1"/>
  <c r="S221" i="1"/>
  <c r="T221" i="1"/>
  <c r="S222" i="1"/>
  <c r="T222" i="1"/>
  <c r="S223" i="1"/>
  <c r="T223" i="1"/>
  <c r="S224" i="1"/>
  <c r="T224" i="1"/>
  <c r="S225" i="1"/>
  <c r="T225" i="1"/>
  <c r="S226" i="1"/>
  <c r="T226" i="1"/>
  <c r="S227" i="1"/>
  <c r="T227" i="1"/>
  <c r="S706" i="1"/>
  <c r="T706" i="1"/>
  <c r="S707" i="1"/>
  <c r="T707" i="1"/>
  <c r="S708" i="1"/>
  <c r="T708" i="1"/>
  <c r="S709" i="1"/>
  <c r="T709" i="1"/>
  <c r="S710" i="1"/>
  <c r="T710" i="1"/>
  <c r="S711" i="1"/>
  <c r="T711" i="1"/>
  <c r="S712" i="1"/>
  <c r="T712" i="1"/>
  <c r="S713" i="1"/>
  <c r="T713" i="1"/>
  <c r="S714" i="1"/>
  <c r="T714" i="1"/>
  <c r="S715" i="1"/>
  <c r="T715" i="1"/>
  <c r="S716" i="1"/>
  <c r="T716" i="1"/>
  <c r="S717" i="1"/>
  <c r="T717" i="1"/>
  <c r="S718" i="1"/>
  <c r="T718" i="1"/>
  <c r="S719" i="1"/>
  <c r="T719" i="1"/>
  <c r="S720" i="1"/>
  <c r="T720" i="1"/>
  <c r="S721" i="1"/>
  <c r="T721" i="1"/>
  <c r="S722" i="1"/>
  <c r="T722" i="1"/>
  <c r="S723" i="1"/>
  <c r="T723" i="1"/>
  <c r="S724" i="1"/>
  <c r="T724" i="1"/>
  <c r="S725" i="1"/>
  <c r="T725" i="1"/>
  <c r="S726" i="1"/>
  <c r="T726" i="1"/>
  <c r="S727" i="1"/>
  <c r="T727" i="1"/>
  <c r="S728" i="1"/>
  <c r="T728" i="1"/>
  <c r="S729" i="1"/>
  <c r="T729" i="1"/>
  <c r="S730" i="1"/>
  <c r="T730" i="1"/>
  <c r="S731" i="1"/>
  <c r="T731" i="1"/>
  <c r="S732" i="1"/>
  <c r="T732" i="1"/>
  <c r="S733" i="1"/>
  <c r="T733" i="1"/>
  <c r="S734" i="1"/>
  <c r="T734" i="1"/>
  <c r="S735" i="1"/>
  <c r="T735" i="1"/>
  <c r="S736" i="1"/>
  <c r="T736" i="1"/>
  <c r="S737" i="1"/>
  <c r="T737" i="1"/>
  <c r="S738" i="1"/>
  <c r="T738" i="1"/>
  <c r="S739" i="1"/>
  <c r="T739" i="1"/>
  <c r="S740" i="1"/>
  <c r="T740" i="1"/>
  <c r="S741" i="1"/>
  <c r="T741" i="1"/>
  <c r="S742" i="1"/>
  <c r="T742" i="1"/>
  <c r="S743" i="1"/>
  <c r="T743" i="1"/>
  <c r="S744" i="1"/>
  <c r="T744" i="1"/>
  <c r="S745" i="1"/>
  <c r="T745" i="1"/>
  <c r="S2196" i="1"/>
  <c r="T2196" i="1"/>
  <c r="S2275" i="1"/>
  <c r="T2275" i="1"/>
  <c r="S2276" i="1"/>
  <c r="T2276" i="1"/>
  <c r="S1460" i="1"/>
  <c r="T1460" i="1"/>
  <c r="S1461" i="1"/>
  <c r="T1461" i="1"/>
  <c r="S2144" i="1"/>
  <c r="T2144" i="1"/>
  <c r="S2145" i="1"/>
  <c r="T2145" i="1"/>
  <c r="S2146" i="1"/>
  <c r="T2146" i="1"/>
  <c r="S2147" i="1"/>
  <c r="T2147" i="1"/>
  <c r="S2148" i="1"/>
  <c r="T2148" i="1"/>
  <c r="S2149" i="1"/>
  <c r="T2149" i="1"/>
  <c r="S2150" i="1"/>
  <c r="T2150" i="1"/>
  <c r="S2151" i="1"/>
  <c r="T2151" i="1"/>
  <c r="S2152" i="1"/>
  <c r="T2152" i="1"/>
  <c r="S2153" i="1"/>
  <c r="T2153" i="1"/>
  <c r="S2154" i="1"/>
  <c r="T2154" i="1"/>
  <c r="S2155" i="1"/>
  <c r="T2155" i="1"/>
  <c r="S2156" i="1"/>
  <c r="T2156" i="1"/>
  <c r="S2157" i="1"/>
  <c r="T2157" i="1"/>
  <c r="S2158" i="1"/>
  <c r="T2158" i="1"/>
  <c r="S2159" i="1"/>
  <c r="T2159" i="1"/>
  <c r="S2160" i="1"/>
  <c r="T2160" i="1"/>
  <c r="S2161" i="1"/>
  <c r="T2161" i="1"/>
  <c r="S2162" i="1"/>
  <c r="T2162" i="1"/>
  <c r="S2163" i="1"/>
  <c r="T2163" i="1"/>
  <c r="S2164" i="1"/>
  <c r="T2164" i="1"/>
  <c r="S2165" i="1"/>
  <c r="T2165" i="1"/>
  <c r="S2166" i="1"/>
  <c r="T2166" i="1"/>
  <c r="S2167" i="1"/>
  <c r="T2167" i="1"/>
  <c r="S2168" i="1"/>
  <c r="T2168" i="1"/>
  <c r="S2169" i="1"/>
  <c r="T2169" i="1"/>
  <c r="S2170" i="1"/>
  <c r="T2170" i="1"/>
  <c r="S2171" i="1"/>
  <c r="T2171" i="1"/>
  <c r="S2172" i="1"/>
  <c r="T2172" i="1"/>
  <c r="S2173" i="1"/>
  <c r="T2173" i="1"/>
  <c r="S2174" i="1"/>
  <c r="T2174" i="1"/>
  <c r="S2175" i="1"/>
  <c r="T2175" i="1"/>
  <c r="T2176" i="1"/>
  <c r="S2177" i="1"/>
  <c r="T2177" i="1"/>
  <c r="S2178" i="1"/>
  <c r="T2178" i="1"/>
  <c r="S2179" i="1"/>
  <c r="T2179" i="1"/>
  <c r="S2180" i="1"/>
  <c r="T2180" i="1"/>
  <c r="S2181" i="1"/>
  <c r="T2181" i="1"/>
  <c r="S2182" i="1"/>
  <c r="T2182" i="1"/>
  <c r="S2183" i="1"/>
  <c r="T2183" i="1"/>
  <c r="S2184" i="1"/>
  <c r="T2184" i="1"/>
  <c r="S2185" i="1"/>
  <c r="T2185" i="1"/>
  <c r="S643" i="1"/>
  <c r="T643" i="1"/>
  <c r="S746" i="1"/>
  <c r="T746" i="1"/>
  <c r="S747" i="1"/>
  <c r="T747" i="1"/>
  <c r="S1208" i="1"/>
  <c r="T1208" i="1"/>
  <c r="S885" i="1"/>
  <c r="T885" i="1"/>
  <c r="S886" i="1"/>
  <c r="T886" i="1"/>
  <c r="S887" i="1"/>
  <c r="T887" i="1"/>
  <c r="S888" i="1"/>
  <c r="T888" i="1"/>
  <c r="S16" i="1"/>
  <c r="T16" i="1"/>
  <c r="S479" i="1"/>
  <c r="T479" i="1"/>
  <c r="S511" i="1"/>
  <c r="T511" i="1"/>
  <c r="S512" i="1"/>
  <c r="T512" i="1"/>
  <c r="S889" i="1"/>
  <c r="T889" i="1"/>
  <c r="S890" i="1"/>
  <c r="T890" i="1"/>
  <c r="S891" i="1"/>
  <c r="T891" i="1"/>
  <c r="S892" i="1"/>
  <c r="T892" i="1"/>
  <c r="S893" i="1"/>
  <c r="T893" i="1"/>
  <c r="S894" i="1"/>
  <c r="T894" i="1"/>
  <c r="S895" i="1"/>
  <c r="T895" i="1"/>
  <c r="S896" i="1"/>
  <c r="T896" i="1"/>
  <c r="S897" i="1"/>
  <c r="T897" i="1"/>
  <c r="S898" i="1"/>
  <c r="T898" i="1"/>
  <c r="S899" i="1"/>
  <c r="T899" i="1"/>
  <c r="S900" i="1"/>
  <c r="T900" i="1"/>
  <c r="S901" i="1"/>
  <c r="T901" i="1"/>
  <c r="S902" i="1"/>
  <c r="T902" i="1"/>
  <c r="S903" i="1"/>
  <c r="T903" i="1"/>
  <c r="S904" i="1"/>
  <c r="T904" i="1"/>
  <c r="S905" i="1"/>
  <c r="T905" i="1"/>
  <c r="S906" i="1"/>
  <c r="T906" i="1"/>
  <c r="S907" i="1"/>
  <c r="T907" i="1"/>
  <c r="S908" i="1"/>
  <c r="T908" i="1"/>
  <c r="S909" i="1"/>
  <c r="T909" i="1"/>
  <c r="S910" i="1"/>
  <c r="T910" i="1"/>
  <c r="S911" i="1"/>
  <c r="T911" i="1"/>
  <c r="S912" i="1"/>
  <c r="T912" i="1"/>
  <c r="S913" i="1"/>
  <c r="T913" i="1"/>
  <c r="S914" i="1"/>
  <c r="T914" i="1"/>
  <c r="S915" i="1"/>
  <c r="T915" i="1"/>
  <c r="S916" i="1"/>
  <c r="T916" i="1"/>
  <c r="S917" i="1"/>
  <c r="T917" i="1"/>
  <c r="S918" i="1"/>
  <c r="T918" i="1"/>
  <c r="S919" i="1"/>
  <c r="T919" i="1"/>
  <c r="S920" i="1"/>
  <c r="T920" i="1"/>
  <c r="S921" i="1"/>
  <c r="T921" i="1"/>
  <c r="S922" i="1"/>
  <c r="T922" i="1"/>
  <c r="S923" i="1"/>
  <c r="T923" i="1"/>
  <c r="S924" i="1"/>
  <c r="T924" i="1"/>
  <c r="S925" i="1"/>
  <c r="T925" i="1"/>
  <c r="S926" i="1"/>
  <c r="T926" i="1"/>
  <c r="S927" i="1"/>
  <c r="T927" i="1"/>
  <c r="S928" i="1"/>
  <c r="T928" i="1"/>
  <c r="S929" i="1"/>
  <c r="T929" i="1"/>
  <c r="S930" i="1"/>
  <c r="T930" i="1"/>
  <c r="S931" i="1"/>
  <c r="T931" i="1"/>
  <c r="S932" i="1"/>
  <c r="T932" i="1"/>
  <c r="S933" i="1"/>
  <c r="T933" i="1"/>
  <c r="S934" i="1"/>
  <c r="T934" i="1"/>
  <c r="S935" i="1"/>
  <c r="T935" i="1"/>
  <c r="S936" i="1"/>
  <c r="T936" i="1"/>
  <c r="S937" i="1"/>
  <c r="T937" i="1"/>
  <c r="S938" i="1"/>
  <c r="T938" i="1"/>
  <c r="S939" i="1"/>
  <c r="T939" i="1"/>
  <c r="S940" i="1"/>
  <c r="T940" i="1"/>
  <c r="S941" i="1"/>
  <c r="T941" i="1"/>
  <c r="S942" i="1"/>
  <c r="T942" i="1"/>
  <c r="S943" i="1"/>
  <c r="T943" i="1"/>
  <c r="S944" i="1"/>
  <c r="T944" i="1"/>
  <c r="S945" i="1"/>
  <c r="T945" i="1"/>
  <c r="S946" i="1"/>
  <c r="T946" i="1"/>
  <c r="S947" i="1"/>
  <c r="T947" i="1"/>
  <c r="S948" i="1"/>
  <c r="T948" i="1"/>
  <c r="S949" i="1"/>
  <c r="T949" i="1"/>
  <c r="S950" i="1"/>
  <c r="T950" i="1"/>
  <c r="S951" i="1"/>
  <c r="T951" i="1"/>
  <c r="S952" i="1"/>
  <c r="T952" i="1"/>
  <c r="S953" i="1"/>
  <c r="T953" i="1"/>
  <c r="S748" i="1"/>
  <c r="T748" i="1"/>
  <c r="S385" i="1"/>
  <c r="T385" i="1"/>
  <c r="S386" i="1"/>
  <c r="T386" i="1"/>
  <c r="S387" i="1"/>
  <c r="T387" i="1"/>
  <c r="S60" i="1"/>
  <c r="T60" i="1"/>
  <c r="S71" i="1"/>
  <c r="T71" i="1"/>
  <c r="S76" i="1"/>
  <c r="T76" i="1"/>
  <c r="S77" i="1"/>
  <c r="T77" i="1"/>
  <c r="S266" i="1"/>
  <c r="T266" i="1"/>
  <c r="S363" i="1"/>
  <c r="T363" i="1"/>
  <c r="S364" i="1"/>
  <c r="T364" i="1"/>
  <c r="S514" i="1"/>
  <c r="T514" i="1"/>
  <c r="S954" i="1"/>
  <c r="T954" i="1"/>
  <c r="S955" i="1"/>
  <c r="T955" i="1"/>
  <c r="S956" i="1"/>
  <c r="T956" i="1"/>
  <c r="S957" i="1"/>
  <c r="T957" i="1"/>
  <c r="S958" i="1"/>
  <c r="T958" i="1"/>
  <c r="S959" i="1"/>
  <c r="T959" i="1"/>
  <c r="S960" i="1"/>
  <c r="T960" i="1"/>
  <c r="S961" i="1"/>
  <c r="T961" i="1"/>
  <c r="S962" i="1"/>
  <c r="T962" i="1"/>
  <c r="S963" i="1"/>
  <c r="T963" i="1"/>
  <c r="S964" i="1"/>
  <c r="T964" i="1"/>
  <c r="S965" i="1"/>
  <c r="T965" i="1"/>
  <c r="S966" i="1"/>
  <c r="T966" i="1"/>
  <c r="S967" i="1"/>
  <c r="T967" i="1"/>
  <c r="S968" i="1"/>
  <c r="T968" i="1"/>
  <c r="S969" i="1"/>
  <c r="T969" i="1"/>
  <c r="S970" i="1"/>
  <c r="T970" i="1"/>
  <c r="S971" i="1"/>
  <c r="T971" i="1"/>
  <c r="S972" i="1"/>
  <c r="T972" i="1"/>
  <c r="S973" i="1"/>
  <c r="T973" i="1"/>
  <c r="S974" i="1"/>
  <c r="T974" i="1"/>
  <c r="S975" i="1"/>
  <c r="T975" i="1"/>
  <c r="S976" i="1"/>
  <c r="T976" i="1"/>
  <c r="S977" i="1"/>
  <c r="T977" i="1"/>
  <c r="S978" i="1"/>
  <c r="T978" i="1"/>
  <c r="S979" i="1"/>
  <c r="T979" i="1"/>
  <c r="S980" i="1"/>
  <c r="T980" i="1"/>
  <c r="S981" i="1"/>
  <c r="T981" i="1"/>
  <c r="S982" i="1"/>
  <c r="T982" i="1"/>
  <c r="S983" i="1"/>
  <c r="T983" i="1"/>
  <c r="S984" i="1"/>
  <c r="T984" i="1"/>
  <c r="S985" i="1"/>
  <c r="T985" i="1"/>
  <c r="S986" i="1"/>
  <c r="T986" i="1"/>
  <c r="S987" i="1"/>
  <c r="T987" i="1"/>
  <c r="S988" i="1"/>
  <c r="T988" i="1"/>
  <c r="S989" i="1"/>
  <c r="T989" i="1"/>
  <c r="S990" i="1"/>
  <c r="T990" i="1"/>
  <c r="S991" i="1"/>
  <c r="T991" i="1"/>
  <c r="S992" i="1"/>
  <c r="T992" i="1"/>
  <c r="S993" i="1"/>
  <c r="T993" i="1"/>
  <c r="S994" i="1"/>
  <c r="T994" i="1"/>
  <c r="S995" i="1"/>
  <c r="T995" i="1"/>
  <c r="S996" i="1"/>
  <c r="T996" i="1"/>
  <c r="S997" i="1"/>
  <c r="T997" i="1"/>
  <c r="S998" i="1"/>
  <c r="T998" i="1"/>
  <c r="S999" i="1"/>
  <c r="T999" i="1"/>
  <c r="S1000" i="1"/>
  <c r="T1000" i="1"/>
  <c r="S1001" i="1"/>
  <c r="T1001" i="1"/>
  <c r="S1321" i="1"/>
  <c r="T1321" i="1"/>
  <c r="S1223" i="1"/>
  <c r="T1223" i="1"/>
  <c r="S2011" i="1"/>
  <c r="T2011" i="1"/>
  <c r="S2012" i="1"/>
  <c r="T2012" i="1"/>
  <c r="S2013" i="1"/>
  <c r="T2013" i="1"/>
  <c r="S2014" i="1"/>
  <c r="T2014" i="1"/>
  <c r="S1269" i="1"/>
  <c r="T1269" i="1"/>
  <c r="S1002" i="1"/>
  <c r="T1002" i="1"/>
  <c r="S1003" i="1"/>
  <c r="T1003" i="1"/>
  <c r="S1004" i="1"/>
  <c r="T1004" i="1"/>
  <c r="S1005" i="1"/>
  <c r="T1005" i="1"/>
  <c r="S1323" i="1"/>
  <c r="T1323" i="1"/>
  <c r="S1985" i="1"/>
  <c r="T1985" i="1"/>
  <c r="S1986" i="1"/>
  <c r="T1986" i="1"/>
  <c r="S1987" i="1"/>
  <c r="T1987" i="1"/>
  <c r="S2069" i="1"/>
  <c r="T2069" i="1"/>
  <c r="S2070" i="1"/>
  <c r="T2070" i="1"/>
  <c r="S2071" i="1"/>
  <c r="T2071" i="1"/>
  <c r="S2072" i="1"/>
  <c r="T2072" i="1"/>
  <c r="S2073" i="1"/>
  <c r="T2073" i="1"/>
  <c r="S2074" i="1"/>
  <c r="T2074" i="1"/>
  <c r="S2075" i="1"/>
  <c r="T2075" i="1"/>
  <c r="S2076" i="1"/>
  <c r="T2076" i="1"/>
  <c r="S2077" i="1"/>
  <c r="T2077" i="1"/>
  <c r="S2078" i="1"/>
  <c r="T2078" i="1"/>
  <c r="S814" i="1"/>
  <c r="T814" i="1"/>
  <c r="S1168" i="1"/>
  <c r="T1168" i="1"/>
  <c r="S2277" i="1"/>
  <c r="T2277" i="1"/>
  <c r="S2278" i="1"/>
  <c r="T2278" i="1"/>
  <c r="S1385" i="1"/>
  <c r="T1385" i="1"/>
  <c r="S1386" i="1"/>
  <c r="T1386" i="1"/>
  <c r="S1387" i="1"/>
  <c r="T1387" i="1"/>
  <c r="S1388" i="1"/>
  <c r="T1388" i="1"/>
  <c r="S1389" i="1"/>
  <c r="T1389" i="1"/>
  <c r="S1390" i="1"/>
  <c r="T1390" i="1"/>
  <c r="S1391" i="1"/>
  <c r="T1391" i="1"/>
  <c r="S1392" i="1"/>
  <c r="T1392" i="1"/>
  <c r="S1393" i="1"/>
  <c r="T1393" i="1"/>
  <c r="S1394" i="1"/>
  <c r="T1394" i="1"/>
  <c r="S1270" i="1"/>
  <c r="T1270" i="1"/>
  <c r="S1271" i="1"/>
  <c r="T1271" i="1"/>
  <c r="S1272" i="1"/>
  <c r="T1272" i="1"/>
  <c r="S2015" i="1"/>
  <c r="T2015" i="1"/>
  <c r="S2016" i="1"/>
  <c r="T2016" i="1"/>
  <c r="S2017" i="1"/>
  <c r="T2017" i="1"/>
  <c r="S2018" i="1"/>
  <c r="T2018" i="1"/>
  <c r="S1006" i="1"/>
  <c r="T1006" i="1"/>
  <c r="S1007" i="1"/>
  <c r="T1007" i="1"/>
  <c r="S1008" i="1"/>
  <c r="T1008" i="1"/>
  <c r="S1009" i="1"/>
  <c r="T1009" i="1"/>
  <c r="S1010" i="1"/>
  <c r="T1010" i="1"/>
  <c r="S1011" i="1"/>
  <c r="T1011" i="1"/>
  <c r="S1012" i="1"/>
  <c r="T1012" i="1"/>
  <c r="S1013" i="1"/>
  <c r="T1013" i="1"/>
  <c r="S1014" i="1"/>
  <c r="T1014" i="1"/>
  <c r="S1015" i="1"/>
  <c r="T1015" i="1"/>
  <c r="S1016" i="1"/>
  <c r="T1016" i="1"/>
  <c r="S1017" i="1"/>
  <c r="T1017" i="1"/>
  <c r="S1018" i="1"/>
  <c r="T1018" i="1"/>
  <c r="S1019" i="1"/>
  <c r="T1019" i="1"/>
  <c r="S1020" i="1"/>
  <c r="T1020" i="1"/>
  <c r="S1350" i="1"/>
  <c r="T1350" i="1"/>
  <c r="S1351" i="1"/>
  <c r="T1351" i="1"/>
  <c r="S252" i="1"/>
  <c r="T252" i="1"/>
  <c r="S1471" i="1"/>
  <c r="T1471" i="1"/>
  <c r="S1472" i="1"/>
  <c r="T1472" i="1"/>
  <c r="S34" i="1"/>
  <c r="T34" i="1"/>
  <c r="S35" i="1"/>
  <c r="T35" i="1"/>
  <c r="S36" i="1"/>
  <c r="T36" i="1"/>
  <c r="S37" i="1"/>
  <c r="T37" i="1"/>
  <c r="S38" i="1"/>
  <c r="T38" i="1"/>
  <c r="S39" i="1"/>
  <c r="T39" i="1"/>
  <c r="S40" i="1"/>
  <c r="T40" i="1"/>
  <c r="S1222" i="1"/>
  <c r="T1222" i="1"/>
  <c r="S2" i="1"/>
  <c r="T2" i="1"/>
  <c r="S228" i="1"/>
  <c r="T228" i="1"/>
  <c r="S229" i="1"/>
  <c r="T229" i="1"/>
  <c r="S230" i="1"/>
  <c r="T230" i="1"/>
  <c r="S231" i="1"/>
  <c r="T231" i="1"/>
  <c r="S232" i="1"/>
  <c r="T232" i="1"/>
  <c r="S233" i="1"/>
  <c r="T233" i="1"/>
  <c r="S267" i="1"/>
  <c r="T267" i="1"/>
  <c r="S268" i="1"/>
  <c r="T268" i="1"/>
  <c r="S1915" i="1"/>
  <c r="T1915" i="1"/>
  <c r="S815" i="1"/>
  <c r="T815" i="1"/>
  <c r="S315" i="1"/>
  <c r="T315" i="1"/>
  <c r="S1303" i="1"/>
  <c r="T1303" i="1"/>
  <c r="S1304" i="1"/>
  <c r="T1304" i="1"/>
  <c r="S1912" i="1"/>
  <c r="T1912" i="1"/>
  <c r="S253" i="1"/>
  <c r="T253" i="1"/>
  <c r="S254" i="1"/>
  <c r="T254" i="1"/>
  <c r="S255" i="1"/>
  <c r="T255" i="1"/>
  <c r="S388" i="1"/>
  <c r="T388" i="1"/>
  <c r="S389" i="1"/>
  <c r="T389" i="1"/>
  <c r="S527" i="1"/>
  <c r="T527" i="1"/>
  <c r="S458" i="1"/>
  <c r="T458" i="1"/>
  <c r="S459" i="1"/>
  <c r="T459" i="1"/>
  <c r="S460" i="1"/>
  <c r="T460" i="1"/>
  <c r="S461" i="1"/>
  <c r="T461" i="1"/>
  <c r="S462" i="1"/>
  <c r="T462" i="1"/>
  <c r="S463" i="1"/>
  <c r="T463" i="1"/>
  <c r="S464" i="1"/>
  <c r="T464" i="1"/>
  <c r="S465" i="1"/>
  <c r="T465" i="1"/>
  <c r="S466" i="1"/>
  <c r="T466" i="1"/>
  <c r="S467" i="1"/>
  <c r="T467" i="1"/>
  <c r="S468" i="1"/>
  <c r="T468" i="1"/>
  <c r="S469" i="1"/>
  <c r="T469" i="1"/>
  <c r="S470" i="1"/>
  <c r="T470" i="1"/>
  <c r="S471" i="1"/>
  <c r="T471" i="1"/>
  <c r="S472" i="1"/>
  <c r="T472" i="1"/>
  <c r="S473" i="1"/>
  <c r="T473" i="1"/>
  <c r="S474" i="1"/>
  <c r="T474" i="1"/>
  <c r="S475" i="1"/>
  <c r="T475" i="1"/>
  <c r="S476" i="1"/>
  <c r="T476" i="1"/>
  <c r="S477" i="1"/>
  <c r="T477" i="1"/>
  <c r="S1021" i="1"/>
  <c r="T1021" i="1"/>
  <c r="S1872" i="1"/>
  <c r="T1872" i="1"/>
  <c r="S1873" i="1"/>
  <c r="T1873" i="1"/>
  <c r="S1874" i="1"/>
  <c r="T1874" i="1"/>
  <c r="S2079" i="1"/>
  <c r="T2079" i="1"/>
  <c r="S61" i="1"/>
  <c r="T61" i="1"/>
  <c r="S62" i="1"/>
  <c r="T62" i="1"/>
  <c r="S63" i="1"/>
  <c r="T63" i="1"/>
  <c r="S1913" i="1"/>
  <c r="T1913" i="1"/>
  <c r="S1914" i="1"/>
  <c r="T1914" i="1"/>
  <c r="S2026" i="1"/>
  <c r="T2026" i="1"/>
  <c r="S2027" i="1"/>
  <c r="T2027" i="1"/>
  <c r="S1453" i="1"/>
  <c r="T1453" i="1"/>
  <c r="S1454" i="1"/>
  <c r="T1454" i="1"/>
  <c r="S1455" i="1"/>
  <c r="T1455" i="1"/>
  <c r="S11" i="1"/>
  <c r="T11" i="1"/>
  <c r="S1327" i="1"/>
  <c r="T1327" i="1"/>
  <c r="S1328" i="1"/>
  <c r="T1328" i="1"/>
  <c r="S1329" i="1"/>
  <c r="T1329" i="1"/>
  <c r="S1330" i="1"/>
  <c r="T1330" i="1"/>
  <c r="S1331" i="1"/>
  <c r="T1331" i="1"/>
  <c r="S303" i="1"/>
  <c r="T303" i="1"/>
  <c r="S304" i="1"/>
  <c r="T304" i="1"/>
  <c r="S305" i="1"/>
  <c r="T305" i="1"/>
  <c r="S306" i="1"/>
  <c r="T306" i="1"/>
  <c r="S307" i="1"/>
  <c r="T307" i="1"/>
  <c r="S2279" i="1"/>
  <c r="T2279" i="1"/>
  <c r="S1695" i="1"/>
  <c r="T1695" i="1"/>
  <c r="S1305" i="1"/>
  <c r="T1305" i="1"/>
  <c r="S1353" i="1"/>
  <c r="T1353" i="1"/>
  <c r="S1473" i="1"/>
  <c r="T1473" i="1"/>
  <c r="S2280" i="1"/>
  <c r="T2280" i="1"/>
  <c r="S2281" i="1"/>
  <c r="T2281" i="1"/>
  <c r="S234" i="1"/>
  <c r="T234" i="1"/>
  <c r="S316" i="1"/>
  <c r="T316" i="1"/>
  <c r="S1306" i="1"/>
  <c r="T1306" i="1"/>
  <c r="S569" i="1"/>
  <c r="T569" i="1"/>
  <c r="S1875" i="1"/>
  <c r="T1875" i="1"/>
  <c r="S1876" i="1"/>
  <c r="T1876" i="1"/>
  <c r="S1877" i="1"/>
  <c r="T1877" i="1"/>
  <c r="S484" i="1"/>
  <c r="T484" i="1"/>
  <c r="S485" i="1"/>
  <c r="T485" i="1"/>
  <c r="S564" i="1"/>
  <c r="T564" i="1"/>
  <c r="S1307" i="1"/>
  <c r="T1307" i="1"/>
  <c r="S1308" i="1"/>
  <c r="T1308" i="1"/>
  <c r="S1309" i="1"/>
  <c r="T1309" i="1"/>
  <c r="S1310" i="1"/>
  <c r="T1310" i="1"/>
  <c r="S1311" i="1"/>
  <c r="T1311" i="1"/>
  <c r="S1312" i="1"/>
  <c r="T1312" i="1"/>
  <c r="S1313" i="1"/>
  <c r="T1313" i="1"/>
  <c r="S1314" i="1"/>
  <c r="T1314" i="1"/>
  <c r="S1315" i="1"/>
  <c r="T1315" i="1"/>
  <c r="S1316" i="1"/>
  <c r="T1316" i="1"/>
  <c r="S1705" i="1"/>
  <c r="T1705" i="1"/>
  <c r="S1278" i="1"/>
  <c r="T1278" i="1"/>
  <c r="S1888" i="1"/>
  <c r="T1888" i="1"/>
  <c r="S78" i="1"/>
  <c r="T78" i="1"/>
  <c r="S79" i="1"/>
  <c r="T79" i="1"/>
  <c r="S80" i="1"/>
  <c r="T80" i="1"/>
  <c r="S1169" i="1"/>
  <c r="T1169" i="1"/>
  <c r="S1170" i="1"/>
  <c r="T1170" i="1"/>
  <c r="S2091" i="1"/>
  <c r="T2091" i="1"/>
  <c r="S648" i="1"/>
  <c r="T648" i="1"/>
  <c r="S649" i="1"/>
  <c r="T649" i="1"/>
  <c r="S749" i="1"/>
  <c r="T749" i="1"/>
  <c r="S750" i="1"/>
  <c r="T750" i="1"/>
  <c r="S751" i="1"/>
  <c r="T751" i="1"/>
  <c r="S752" i="1"/>
  <c r="T752" i="1"/>
  <c r="S753" i="1"/>
  <c r="T753" i="1"/>
  <c r="S754" i="1"/>
  <c r="T754" i="1"/>
  <c r="S755" i="1"/>
  <c r="T755" i="1"/>
  <c r="S756" i="1"/>
  <c r="T756" i="1"/>
  <c r="S757" i="1"/>
  <c r="T757" i="1"/>
  <c r="S758" i="1"/>
  <c r="T758" i="1"/>
  <c r="S759" i="1"/>
  <c r="T759" i="1"/>
  <c r="S760" i="1"/>
  <c r="T760" i="1"/>
  <c r="S761" i="1"/>
  <c r="T761" i="1"/>
  <c r="S762" i="1"/>
  <c r="T762" i="1"/>
  <c r="S763" i="1"/>
  <c r="T763" i="1"/>
  <c r="S764" i="1"/>
  <c r="T764" i="1"/>
  <c r="S765" i="1"/>
  <c r="T765" i="1"/>
  <c r="S766" i="1"/>
  <c r="T766" i="1"/>
  <c r="S767" i="1"/>
  <c r="T767" i="1"/>
  <c r="S768" i="1"/>
  <c r="T768" i="1"/>
  <c r="S769" i="1"/>
  <c r="T769" i="1"/>
  <c r="S770" i="1"/>
  <c r="T770" i="1"/>
  <c r="S771" i="1"/>
  <c r="T771" i="1"/>
  <c r="S772" i="1"/>
  <c r="T772" i="1"/>
  <c r="S773" i="1"/>
  <c r="T773" i="1"/>
  <c r="S774" i="1"/>
  <c r="T774" i="1"/>
  <c r="S775" i="1"/>
  <c r="T775" i="1"/>
  <c r="S776" i="1"/>
  <c r="T776" i="1"/>
  <c r="S777" i="1"/>
  <c r="T777" i="1"/>
  <c r="S778" i="1"/>
  <c r="T778" i="1"/>
  <c r="S779" i="1"/>
  <c r="T779" i="1"/>
  <c r="S780" i="1"/>
  <c r="T780" i="1"/>
  <c r="S781" i="1"/>
  <c r="T781" i="1"/>
  <c r="S782" i="1"/>
  <c r="T782" i="1"/>
  <c r="S783" i="1"/>
  <c r="T783" i="1"/>
  <c r="S784" i="1"/>
  <c r="T784" i="1"/>
  <c r="S785" i="1"/>
  <c r="T785" i="1"/>
  <c r="S786" i="1"/>
  <c r="T786" i="1"/>
  <c r="S787" i="1"/>
  <c r="T787" i="1"/>
  <c r="S788" i="1"/>
  <c r="T788" i="1"/>
  <c r="S789" i="1"/>
  <c r="T789" i="1"/>
  <c r="S790" i="1"/>
  <c r="T790" i="1"/>
  <c r="S791" i="1"/>
  <c r="T791" i="1"/>
  <c r="S792" i="1"/>
  <c r="T792" i="1"/>
  <c r="S793" i="1"/>
  <c r="T793" i="1"/>
  <c r="S794" i="1"/>
  <c r="T794" i="1"/>
  <c r="S1022" i="1"/>
  <c r="T1022" i="1"/>
  <c r="S1023" i="1"/>
  <c r="T1023" i="1"/>
  <c r="S1024" i="1"/>
  <c r="T1024" i="1"/>
  <c r="S1025" i="1"/>
  <c r="T1025" i="1"/>
  <c r="S1026" i="1"/>
  <c r="T1026" i="1"/>
  <c r="S1027" i="1"/>
  <c r="T1027" i="1"/>
  <c r="S1028" i="1"/>
  <c r="T1028" i="1"/>
  <c r="S1029" i="1"/>
  <c r="T1029" i="1"/>
  <c r="S2291" i="1"/>
  <c r="T2291" i="1"/>
  <c r="S1317" i="1"/>
  <c r="T1317" i="1"/>
  <c r="S1957" i="1"/>
  <c r="T1957" i="1"/>
  <c r="S1273" i="1"/>
  <c r="T1273" i="1"/>
  <c r="S1318" i="1"/>
  <c r="T1318" i="1"/>
  <c r="S1319" i="1"/>
  <c r="T1319" i="1"/>
  <c r="S1320" i="1"/>
  <c r="T1320" i="1"/>
  <c r="S1332" i="1"/>
  <c r="T1332" i="1"/>
  <c r="S1333" i="1"/>
  <c r="T1333" i="1"/>
  <c r="S1399" i="1"/>
  <c r="T1399" i="1"/>
  <c r="S1400" i="1"/>
  <c r="T1400" i="1"/>
  <c r="S1696" i="1"/>
  <c r="T1696" i="1"/>
  <c r="S1697" i="1"/>
  <c r="T1697" i="1"/>
  <c r="S1698" i="1"/>
  <c r="T1698" i="1"/>
  <c r="S1699" i="1"/>
  <c r="T1699" i="1"/>
  <c r="S1922" i="1"/>
  <c r="T1922" i="1"/>
  <c r="S1989" i="1"/>
  <c r="T1989" i="1"/>
  <c r="S2019" i="1"/>
  <c r="T2019" i="1"/>
  <c r="S1878" i="1"/>
  <c r="T1878" i="1"/>
  <c r="S528" i="1"/>
  <c r="T528" i="1"/>
  <c r="S269" i="1"/>
  <c r="T269" i="1"/>
  <c r="S235" i="1"/>
  <c r="T235" i="1"/>
  <c r="S70" i="1"/>
  <c r="T70" i="1"/>
  <c r="S1415" i="1"/>
  <c r="T1415" i="1"/>
  <c r="S1942" i="1"/>
  <c r="T1942" i="1"/>
  <c r="S2020" i="1"/>
  <c r="T2020" i="1"/>
  <c r="S1700" i="1"/>
  <c r="T1700" i="1"/>
  <c r="S1701" i="1"/>
  <c r="T1701" i="1"/>
  <c r="S1702" i="1"/>
  <c r="T1702" i="1"/>
  <c r="S2198" i="1"/>
  <c r="T2198" i="1"/>
  <c r="S2199" i="1"/>
  <c r="T2199" i="1"/>
  <c r="S2200" i="1"/>
  <c r="T2200" i="1"/>
  <c r="S2201" i="1"/>
  <c r="T2201" i="1"/>
  <c r="S2202" i="1"/>
  <c r="T2202" i="1"/>
  <c r="S2203" i="1"/>
  <c r="T2203" i="1"/>
  <c r="S2204" i="1"/>
  <c r="T2204" i="1"/>
  <c r="S2205" i="1"/>
  <c r="T2205" i="1"/>
  <c r="S2206" i="1"/>
  <c r="T2206" i="1"/>
  <c r="S2207" i="1"/>
  <c r="T2207" i="1"/>
  <c r="S2208" i="1"/>
  <c r="T2208" i="1"/>
  <c r="S2209" i="1"/>
  <c r="T2209" i="1"/>
  <c r="S2210" i="1"/>
  <c r="T2210" i="1"/>
  <c r="S2211" i="1"/>
  <c r="T2211" i="1"/>
  <c r="S2212" i="1"/>
  <c r="T2212" i="1"/>
  <c r="S1030" i="1"/>
  <c r="T1030" i="1"/>
  <c r="S390" i="1"/>
  <c r="T390" i="1"/>
  <c r="S391" i="1"/>
  <c r="T391" i="1"/>
  <c r="S392" i="1"/>
  <c r="T392" i="1"/>
  <c r="S393" i="1"/>
  <c r="T393" i="1"/>
  <c r="S394" i="1"/>
  <c r="T394" i="1"/>
  <c r="S395" i="1"/>
  <c r="T395" i="1"/>
  <c r="S396" i="1"/>
  <c r="T396" i="1"/>
  <c r="S397" i="1"/>
  <c r="T397" i="1"/>
  <c r="S398" i="1"/>
  <c r="T398" i="1"/>
  <c r="S399" i="1"/>
  <c r="T399" i="1"/>
  <c r="S400" i="1"/>
  <c r="T400" i="1"/>
  <c r="S401" i="1"/>
  <c r="T401" i="1"/>
  <c r="S402" i="1"/>
  <c r="T402" i="1"/>
  <c r="S403" i="1"/>
  <c r="T403" i="1"/>
  <c r="S404" i="1"/>
  <c r="T404" i="1"/>
  <c r="S405" i="1"/>
  <c r="T405" i="1"/>
  <c r="S406" i="1"/>
  <c r="T406" i="1"/>
  <c r="S407" i="1"/>
  <c r="T407" i="1"/>
  <c r="S408" i="1"/>
  <c r="T408" i="1"/>
  <c r="S409" i="1"/>
  <c r="T409" i="1"/>
  <c r="S410" i="1"/>
  <c r="T410" i="1"/>
  <c r="S411" i="1"/>
  <c r="T411" i="1"/>
  <c r="S412" i="1"/>
  <c r="T412" i="1"/>
  <c r="S413" i="1"/>
  <c r="T413" i="1"/>
  <c r="S414" i="1"/>
  <c r="T414" i="1"/>
  <c r="S415" i="1"/>
  <c r="T415" i="1"/>
  <c r="S416" i="1"/>
  <c r="T416" i="1"/>
  <c r="S417" i="1"/>
  <c r="T417" i="1"/>
  <c r="S418" i="1"/>
  <c r="T418" i="1"/>
  <c r="S419" i="1"/>
  <c r="T419" i="1"/>
  <c r="S420" i="1"/>
  <c r="T420" i="1"/>
  <c r="S421" i="1"/>
  <c r="T421" i="1"/>
  <c r="S422" i="1"/>
  <c r="T422" i="1"/>
  <c r="S423" i="1"/>
  <c r="T423" i="1"/>
  <c r="S424" i="1"/>
  <c r="T424" i="1"/>
  <c r="S425" i="1"/>
  <c r="T425" i="1"/>
  <c r="S426" i="1"/>
  <c r="T426" i="1"/>
  <c r="S427" i="1"/>
  <c r="T427" i="1"/>
  <c r="S428" i="1"/>
  <c r="T428" i="1"/>
  <c r="S429" i="1"/>
  <c r="T429" i="1"/>
  <c r="S430" i="1"/>
  <c r="T430" i="1"/>
  <c r="S431" i="1"/>
  <c r="T431" i="1"/>
  <c r="S432" i="1"/>
  <c r="T432" i="1"/>
  <c r="S433" i="1"/>
  <c r="T433" i="1"/>
  <c r="S434" i="1"/>
  <c r="T434" i="1"/>
  <c r="S435" i="1"/>
  <c r="T435" i="1"/>
  <c r="S436" i="1"/>
  <c r="T436" i="1"/>
  <c r="S437" i="1"/>
  <c r="T437" i="1"/>
  <c r="S438" i="1"/>
  <c r="T438" i="1"/>
  <c r="S439" i="1"/>
  <c r="T439" i="1"/>
  <c r="S440" i="1"/>
  <c r="T440" i="1"/>
  <c r="S441" i="1"/>
  <c r="T441" i="1"/>
  <c r="S442" i="1"/>
  <c r="T442" i="1"/>
  <c r="S443" i="1"/>
  <c r="T443" i="1"/>
  <c r="S444" i="1"/>
  <c r="T444" i="1"/>
  <c r="S445" i="1"/>
  <c r="T445" i="1"/>
  <c r="S446" i="1"/>
  <c r="T446" i="1"/>
  <c r="S447" i="1"/>
  <c r="T447" i="1"/>
  <c r="S448" i="1"/>
  <c r="T448" i="1"/>
  <c r="S449" i="1"/>
  <c r="T449" i="1"/>
  <c r="S450" i="1"/>
  <c r="T450" i="1"/>
  <c r="S451" i="1"/>
  <c r="T451" i="1"/>
  <c r="S452" i="1"/>
  <c r="T452" i="1"/>
  <c r="S1274" i="1"/>
  <c r="T1274" i="1"/>
  <c r="S1958" i="1"/>
  <c r="T1958" i="1"/>
  <c r="S529" i="1"/>
  <c r="T529" i="1"/>
  <c r="S236" i="1"/>
  <c r="T236" i="1"/>
  <c r="S237" i="1"/>
  <c r="T237" i="1"/>
  <c r="S238" i="1"/>
  <c r="T238" i="1"/>
  <c r="S239" i="1"/>
  <c r="T239" i="1"/>
  <c r="S240" i="1"/>
  <c r="T240" i="1"/>
  <c r="S2021" i="1"/>
  <c r="T2021" i="1"/>
  <c r="S2022" i="1"/>
  <c r="T2022" i="1"/>
  <c r="S2023" i="1"/>
  <c r="T2023" i="1"/>
  <c r="S365" i="1"/>
  <c r="T365" i="1"/>
  <c r="S1923" i="1"/>
  <c r="T1923" i="1"/>
  <c r="S1924" i="1"/>
  <c r="T1924" i="1"/>
  <c r="S1925" i="1"/>
  <c r="T1925" i="1"/>
  <c r="S1926" i="1"/>
  <c r="T1926" i="1"/>
  <c r="S1927" i="1"/>
  <c r="T1927" i="1"/>
  <c r="S1928" i="1"/>
  <c r="T1928" i="1"/>
  <c r="S1929" i="1"/>
  <c r="T1929" i="1"/>
  <c r="S1930" i="1"/>
  <c r="T1930" i="1"/>
  <c r="S1931" i="1"/>
  <c r="T1931" i="1"/>
  <c r="S537" i="1"/>
  <c r="T537" i="1"/>
  <c r="S1352" i="1"/>
  <c r="T1352" i="1"/>
  <c r="S17" i="1"/>
  <c r="T17" i="1"/>
  <c r="S241" i="1"/>
  <c r="T241" i="1"/>
  <c r="S2221" i="1"/>
  <c r="T2221" i="1"/>
  <c r="S2222" i="1"/>
  <c r="T2222" i="1"/>
  <c r="S1204" i="1"/>
  <c r="T1204" i="1"/>
  <c r="S1205" i="1"/>
  <c r="T1205" i="1"/>
  <c r="S1206" i="1"/>
  <c r="T1206" i="1"/>
  <c r="S1474" i="1"/>
  <c r="T1474" i="1"/>
  <c r="S2024" i="1"/>
  <c r="T2024" i="1"/>
  <c r="S1171" i="1"/>
  <c r="T1171" i="1"/>
  <c r="S1172" i="1"/>
  <c r="T1172" i="1"/>
  <c r="S1173" i="1"/>
  <c r="T1173" i="1"/>
  <c r="S1174" i="1"/>
  <c r="T1174" i="1"/>
  <c r="S1175" i="1"/>
  <c r="T1175" i="1"/>
  <c r="S1176" i="1"/>
  <c r="T1176" i="1"/>
  <c r="S1177" i="1"/>
  <c r="T1177" i="1"/>
  <c r="S1178" i="1"/>
  <c r="T1178" i="1"/>
  <c r="S1179" i="1"/>
  <c r="T1179" i="1"/>
  <c r="S1180" i="1"/>
  <c r="T1180" i="1"/>
  <c r="S1181" i="1"/>
  <c r="T1181" i="1"/>
  <c r="S1182" i="1"/>
  <c r="T1182" i="1"/>
  <c r="S1183" i="1"/>
  <c r="T1183" i="1"/>
  <c r="S1184" i="1"/>
  <c r="T1184" i="1"/>
  <c r="S1185" i="1"/>
  <c r="T1185" i="1"/>
  <c r="S1186" i="1"/>
  <c r="T1186" i="1"/>
  <c r="S1187" i="1"/>
  <c r="T1187" i="1"/>
  <c r="S1188" i="1"/>
  <c r="T1188" i="1"/>
  <c r="S1189" i="1"/>
  <c r="T1189" i="1"/>
  <c r="S1190" i="1"/>
  <c r="T1190" i="1"/>
  <c r="S1191" i="1"/>
  <c r="T1191" i="1"/>
  <c r="S1192" i="1"/>
  <c r="T1192" i="1"/>
  <c r="S1193" i="1"/>
  <c r="T1193" i="1"/>
  <c r="S1194" i="1"/>
  <c r="T1194" i="1"/>
  <c r="S1195" i="1"/>
  <c r="T1195" i="1"/>
  <c r="S1196" i="1"/>
  <c r="T1196" i="1"/>
  <c r="S1197" i="1"/>
  <c r="T1197" i="1"/>
  <c r="S1198" i="1"/>
  <c r="T1198" i="1"/>
  <c r="S1199" i="1"/>
  <c r="T1199" i="1"/>
  <c r="S1200" i="1"/>
  <c r="T1200" i="1"/>
  <c r="S1201" i="1"/>
  <c r="T1201" i="1"/>
  <c r="S1202" i="1"/>
  <c r="T1202" i="1"/>
  <c r="S1203" i="1"/>
  <c r="T1203" i="1"/>
  <c r="S270" i="1"/>
  <c r="T270" i="1"/>
  <c r="S271" i="1"/>
  <c r="T271" i="1"/>
  <c r="S272" i="1"/>
  <c r="T272" i="1"/>
  <c r="S273" i="1"/>
  <c r="T273" i="1"/>
  <c r="U1102" i="1" l="1"/>
  <c r="V1102" i="1" s="1" a="1"/>
  <c r="V1102" i="1" s="1"/>
  <c r="O1102" i="1"/>
  <c r="U1103" i="1"/>
  <c r="V1103" i="1" s="1" a="1"/>
  <c r="V1103" i="1" s="1"/>
  <c r="O1103" i="1"/>
  <c r="U1104" i="1"/>
  <c r="V1104" i="1" s="1" a="1"/>
  <c r="V1104" i="1" s="1"/>
  <c r="O1104" i="1"/>
  <c r="U1105" i="1"/>
  <c r="V1105" i="1" s="1" a="1"/>
  <c r="V1105" i="1" s="1"/>
  <c r="O1105" i="1"/>
  <c r="U1106" i="1"/>
  <c r="V1106" i="1" s="1" a="1"/>
  <c r="V1106" i="1" s="1"/>
  <c r="O1106" i="1"/>
  <c r="U1107" i="1"/>
  <c r="V1107" i="1" s="1" a="1"/>
  <c r="V1107" i="1" s="1"/>
  <c r="O1107" i="1"/>
  <c r="U1108" i="1"/>
  <c r="V1108" i="1" s="1" a="1"/>
  <c r="V1108" i="1" s="1"/>
  <c r="O1108" i="1"/>
  <c r="U1109" i="1"/>
  <c r="V1109" i="1" s="1" a="1"/>
  <c r="V1109" i="1" s="1"/>
  <c r="O1109" i="1"/>
  <c r="U1110" i="1"/>
  <c r="V1110" i="1" s="1" a="1"/>
  <c r="V1110" i="1" s="1"/>
  <c r="O1110" i="1"/>
  <c r="U1111" i="1"/>
  <c r="V1111" i="1" s="1" a="1"/>
  <c r="V1111" i="1" s="1"/>
  <c r="O1111" i="1"/>
  <c r="U1112" i="1"/>
  <c r="V1112" i="1" s="1" a="1"/>
  <c r="V1112" i="1" s="1"/>
  <c r="O1112" i="1"/>
  <c r="U1113" i="1"/>
  <c r="V1113" i="1" s="1" a="1"/>
  <c r="V1113" i="1" s="1"/>
  <c r="O1113" i="1"/>
  <c r="U1114" i="1"/>
  <c r="V1114" i="1" s="1" a="1"/>
  <c r="V1114" i="1" s="1"/>
  <c r="O1114" i="1"/>
  <c r="U1115" i="1"/>
  <c r="V1115" i="1" s="1" a="1"/>
  <c r="V1115" i="1" s="1"/>
  <c r="O1115" i="1"/>
  <c r="U1116" i="1"/>
  <c r="V1116" i="1" s="1" a="1"/>
  <c r="V1116" i="1" s="1"/>
  <c r="O1116" i="1"/>
  <c r="U1117" i="1"/>
  <c r="V1117" i="1" s="1" a="1"/>
  <c r="V1117" i="1" s="1"/>
  <c r="O1117" i="1"/>
  <c r="U1320" i="1"/>
  <c r="V1320" i="1" s="1" a="1"/>
  <c r="V1320" i="1" s="1"/>
  <c r="O1320" i="1"/>
  <c r="O812" i="1"/>
  <c r="U812" i="1"/>
  <c r="V812" i="1" s="1" a="1"/>
  <c r="V812" i="1" s="1"/>
  <c r="U1906" i="1"/>
  <c r="U1907" i="1"/>
  <c r="U1908" i="1"/>
  <c r="U1909" i="1"/>
  <c r="U1910" i="1"/>
  <c r="U1911" i="1"/>
  <c r="U2087" i="1"/>
  <c r="V2087" i="1" s="1" a="1"/>
  <c r="V2087" i="1" s="1"/>
  <c r="O2087" i="1"/>
  <c r="O1971" i="1" l="1"/>
  <c r="U1971" i="1"/>
  <c r="V1971" i="1" s="1" a="1"/>
  <c r="V1971" i="1" s="1"/>
  <c r="U1705" i="1"/>
  <c r="V1705" i="1" s="1" a="1"/>
  <c r="V1705" i="1" s="1"/>
  <c r="U307" i="1"/>
  <c r="V307" i="1" s="1" a="1"/>
  <c r="V307" i="1" s="1"/>
  <c r="O307" i="1"/>
  <c r="O2002" i="1"/>
  <c r="U2002" i="1"/>
  <c r="V2002" i="1" s="1" a="1"/>
  <c r="V2002" i="1" s="1"/>
  <c r="O2003" i="1"/>
  <c r="U2003" i="1"/>
  <c r="V2003" i="1" s="1" a="1"/>
  <c r="V2003" i="1" s="1"/>
  <c r="U232" i="1"/>
  <c r="V232" i="1" s="1" a="1"/>
  <c r="V232" i="1" s="1"/>
  <c r="O232" i="1"/>
  <c r="U1372" i="1"/>
  <c r="V1372" i="1" s="1" a="1"/>
  <c r="V1372" i="1" s="1"/>
  <c r="O1372" i="1"/>
  <c r="U302" i="1"/>
  <c r="V302" i="1" s="1" a="1"/>
  <c r="V302" i="1" s="1"/>
  <c r="O302" i="1"/>
  <c r="N1954" i="1"/>
  <c r="O1954" i="1" s="1"/>
  <c r="N2090" i="1"/>
  <c r="O2090" i="1" s="1"/>
  <c r="U1954" i="1"/>
  <c r="V1954" i="1" s="1" a="1"/>
  <c r="V1954" i="1" s="1"/>
  <c r="U2090" i="1"/>
  <c r="V2090" i="1" s="1" a="1"/>
  <c r="V2090" i="1" s="1"/>
  <c r="O815" i="1"/>
  <c r="U815" i="1"/>
  <c r="V815" i="1" s="1" a="1"/>
  <c r="V815" i="1" s="1"/>
  <c r="U2222" i="1"/>
  <c r="V2222" i="1" s="1" a="1"/>
  <c r="V2222" i="1" s="1"/>
  <c r="O2222" i="1"/>
  <c r="U2025" i="1"/>
  <c r="V2025" i="1" s="1" a="1"/>
  <c r="V2025" i="1" s="1"/>
  <c r="O2025" i="1"/>
  <c r="N2250" i="1" l="1"/>
  <c r="O2250" i="1" s="1"/>
  <c r="U2250" i="1"/>
  <c r="V2250" i="1" s="1" a="1"/>
  <c r="V2250" i="1" s="1"/>
  <c r="N82" i="1" l="1"/>
  <c r="N93" i="1"/>
  <c r="O93" i="1" s="1"/>
  <c r="N89" i="1"/>
  <c r="U93" i="1"/>
  <c r="V93" i="1" s="1" a="1"/>
  <c r="V93" i="1" s="1"/>
  <c r="N87" i="1"/>
  <c r="N563" i="1"/>
  <c r="U2182" i="1"/>
  <c r="V2182" i="1" s="1" a="1"/>
  <c r="V2182" i="1" s="1"/>
  <c r="O2182" i="1"/>
  <c r="O1272" i="1"/>
  <c r="U801" i="1"/>
  <c r="V801" i="1" s="1" a="1"/>
  <c r="V801" i="1" s="1"/>
  <c r="O801" i="1"/>
  <c r="U21" i="1"/>
  <c r="V21" i="1" s="1" a="1"/>
  <c r="V21" i="1" s="1"/>
  <c r="O21" i="1"/>
  <c r="U20" i="1"/>
  <c r="V20" i="1" s="1" a="1"/>
  <c r="V20" i="1" s="1"/>
  <c r="O20" i="1"/>
  <c r="U19" i="1"/>
  <c r="V19" i="1" s="1" a="1"/>
  <c r="V19" i="1" s="1"/>
  <c r="O19" i="1"/>
  <c r="U534" i="1" l="1"/>
  <c r="V534" i="1" s="1" a="1"/>
  <c r="V534" i="1" s="1"/>
  <c r="O534" i="1"/>
  <c r="U533" i="1"/>
  <c r="V533" i="1" s="1" a="1"/>
  <c r="V533" i="1" s="1"/>
  <c r="O533" i="1"/>
  <c r="U532" i="1"/>
  <c r="V532" i="1" s="1" a="1"/>
  <c r="V532" i="1" s="1"/>
  <c r="O532" i="1"/>
  <c r="O876" i="1" l="1"/>
  <c r="U876" i="1"/>
  <c r="V876" i="1" s="1" a="1"/>
  <c r="V876" i="1" s="1"/>
  <c r="U2066" i="1"/>
  <c r="V2066" i="1" s="1" a="1"/>
  <c r="V2066" i="1" s="1"/>
  <c r="O1704" i="1"/>
  <c r="O2" i="1"/>
  <c r="O457" i="1"/>
  <c r="O1209" i="1"/>
  <c r="O5" i="1"/>
  <c r="O6" i="1"/>
  <c r="O7" i="1"/>
  <c r="O9" i="1"/>
  <c r="O8" i="1"/>
  <c r="O10" i="1"/>
  <c r="O2251" i="1"/>
  <c r="O11" i="1"/>
  <c r="O13" i="1"/>
  <c r="O14" i="1"/>
  <c r="O15" i="1"/>
  <c r="O16" i="1"/>
  <c r="O12" i="1"/>
  <c r="O17" i="1"/>
  <c r="O1906" i="1"/>
  <c r="O1907" i="1"/>
  <c r="O1911" i="1"/>
  <c r="O1908" i="1"/>
  <c r="O1909" i="1"/>
  <c r="O578" i="1"/>
  <c r="O574" i="1"/>
  <c r="O576" i="1"/>
  <c r="O575" i="1"/>
  <c r="O577" i="1"/>
  <c r="O573" i="1"/>
  <c r="O571" i="1"/>
  <c r="O572" i="1"/>
  <c r="O581" i="1"/>
  <c r="O580" i="1"/>
  <c r="O2056" i="1"/>
  <c r="O2055" i="1"/>
  <c r="O641" i="1"/>
  <c r="O642" i="1"/>
  <c r="O643" i="1"/>
  <c r="O2255" i="1"/>
  <c r="O2254" i="1"/>
  <c r="O22" i="1"/>
  <c r="O23" i="1"/>
  <c r="O24" i="1"/>
  <c r="O25" i="1"/>
  <c r="O26" i="1"/>
  <c r="O2058" i="1"/>
  <c r="O2263" i="1"/>
  <c r="O2060" i="1"/>
  <c r="O2061" i="1"/>
  <c r="O1494" i="1"/>
  <c r="O811" i="1"/>
  <c r="O817" i="1"/>
  <c r="O27" i="1"/>
  <c r="O29" i="1"/>
  <c r="O1760" i="1"/>
  <c r="O1808" i="1"/>
  <c r="O1810" i="1"/>
  <c r="O1806" i="1"/>
  <c r="O1762" i="1"/>
  <c r="O875" i="1"/>
  <c r="O160" i="1"/>
  <c r="O161" i="1"/>
  <c r="O162" i="1"/>
  <c r="O166" i="1"/>
  <c r="O163" i="1"/>
  <c r="O164" i="1"/>
  <c r="O1750" i="1"/>
  <c r="O1733" i="1"/>
  <c r="O1734" i="1"/>
  <c r="O1735" i="1"/>
  <c r="O1736" i="1"/>
  <c r="O1737" i="1"/>
  <c r="O1738" i="1"/>
  <c r="O1739" i="1"/>
  <c r="O1740" i="1"/>
  <c r="O1741" i="1"/>
  <c r="O1742" i="1"/>
  <c r="O1743" i="1"/>
  <c r="O1744" i="1"/>
  <c r="O1745" i="1"/>
  <c r="O1746" i="1"/>
  <c r="O1747" i="1"/>
  <c r="O1748" i="1"/>
  <c r="O1749"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809" i="1"/>
  <c r="O2269" i="1"/>
  <c r="O33" i="1"/>
  <c r="O32" i="1"/>
  <c r="O31" i="1"/>
  <c r="O30" i="1"/>
  <c r="O822" i="1"/>
  <c r="O823" i="1"/>
  <c r="O824" i="1"/>
  <c r="O1752" i="1"/>
  <c r="O2272" i="1"/>
  <c r="O850" i="1"/>
  <c r="O853" i="1"/>
  <c r="O852" i="1"/>
  <c r="O851" i="1"/>
  <c r="O2273" i="1"/>
  <c r="O2067" i="1"/>
  <c r="O854" i="1"/>
  <c r="O855" i="1"/>
  <c r="O858" i="1"/>
  <c r="O856" i="1"/>
  <c r="O857" i="1"/>
  <c r="O97" i="1"/>
  <c r="O98" i="1"/>
  <c r="O101" i="1"/>
  <c r="O99" i="1"/>
  <c r="O877" i="1"/>
  <c r="O878" i="1"/>
  <c r="O2275" i="1"/>
  <c r="O2276" i="1"/>
  <c r="O2277" i="1"/>
  <c r="O2278" i="1"/>
  <c r="O34" i="1"/>
  <c r="O35" i="1"/>
  <c r="O40" i="1"/>
  <c r="O38" i="1"/>
  <c r="O36" i="1"/>
  <c r="O37" i="1"/>
  <c r="O1021" i="1"/>
  <c r="O1030" i="1"/>
  <c r="O1050" i="1"/>
  <c r="O1080" i="1"/>
  <c r="O1051" i="1"/>
  <c r="O1031" i="1"/>
  <c r="O1081" i="1"/>
  <c r="O1082" i="1"/>
  <c r="O1032" i="1"/>
  <c r="O1068" i="1"/>
  <c r="O1069" i="1"/>
  <c r="O1083" i="1"/>
  <c r="O1052" i="1"/>
  <c r="O1053" i="1"/>
  <c r="O1054" i="1"/>
  <c r="O1055" i="1"/>
  <c r="O1070" i="1"/>
  <c r="O1056" i="1"/>
  <c r="O1071" i="1"/>
  <c r="O1057" i="1"/>
  <c r="O1058" i="1"/>
  <c r="O1033" i="1"/>
  <c r="O1034" i="1"/>
  <c r="O1084" i="1"/>
  <c r="O1090" i="1"/>
  <c r="O1035" i="1"/>
  <c r="O1036" i="1"/>
  <c r="O1072" i="1"/>
  <c r="O1037" i="1"/>
  <c r="O1059" i="1"/>
  <c r="O1038" i="1"/>
  <c r="O1073" i="1"/>
  <c r="O1074" i="1"/>
  <c r="O1085" i="1"/>
  <c r="O1086" i="1"/>
  <c r="O1039" i="1"/>
  <c r="O1095" i="1"/>
  <c r="O1075" i="1"/>
  <c r="O1040" i="1"/>
  <c r="O1060" i="1"/>
  <c r="O1041" i="1"/>
  <c r="O1076" i="1"/>
  <c r="O1087" i="1"/>
  <c r="O1042" i="1"/>
  <c r="O1061" i="1"/>
  <c r="O1043" i="1"/>
  <c r="O1044" i="1"/>
  <c r="O1062" i="1"/>
  <c r="O1045" i="1"/>
  <c r="O1077" i="1"/>
  <c r="O1063" i="1"/>
  <c r="O1078" i="1"/>
  <c r="O1046" i="1"/>
  <c r="O1064" i="1"/>
  <c r="O1047" i="1"/>
  <c r="O1088" i="1"/>
  <c r="O1065" i="1"/>
  <c r="O1079" i="1"/>
  <c r="O1048" i="1"/>
  <c r="O1066" i="1"/>
  <c r="O1089" i="1"/>
  <c r="O1067" i="1"/>
  <c r="O1049" i="1"/>
  <c r="O889" i="1"/>
  <c r="O890" i="1"/>
  <c r="O928" i="1"/>
  <c r="O929" i="1"/>
  <c r="O891" i="1"/>
  <c r="O931" i="1"/>
  <c r="O932" i="1"/>
  <c r="O933" i="1"/>
  <c r="O934" i="1"/>
  <c r="O949" i="1"/>
  <c r="O892" i="1"/>
  <c r="O893" i="1"/>
  <c r="O894" i="1"/>
  <c r="O946" i="1"/>
  <c r="O947" i="1"/>
  <c r="O948" i="1"/>
  <c r="O952" i="1"/>
  <c r="O953" i="1"/>
  <c r="O951" i="1"/>
  <c r="O950" i="1"/>
  <c r="O895" i="1"/>
  <c r="O896" i="1"/>
  <c r="O897" i="1"/>
  <c r="O898" i="1"/>
  <c r="O935" i="1"/>
  <c r="O899" i="1"/>
  <c r="O900" i="1"/>
  <c r="O901" i="1"/>
  <c r="O902" i="1"/>
  <c r="O903" i="1"/>
  <c r="O930" i="1"/>
  <c r="O945" i="1"/>
  <c r="O904" i="1"/>
  <c r="O936" i="1"/>
  <c r="O905" i="1"/>
  <c r="O906" i="1"/>
  <c r="O937" i="1"/>
  <c r="O907" i="1"/>
  <c r="O908" i="1"/>
  <c r="O909" i="1"/>
  <c r="O910" i="1"/>
  <c r="O938" i="1"/>
  <c r="O939" i="1"/>
  <c r="O911" i="1"/>
  <c r="O912" i="1"/>
  <c r="O913" i="1"/>
  <c r="O914" i="1"/>
  <c r="O915" i="1"/>
  <c r="O916" i="1"/>
  <c r="O917" i="1"/>
  <c r="O918" i="1"/>
  <c r="O919" i="1"/>
  <c r="O920" i="1"/>
  <c r="O940" i="1"/>
  <c r="O921" i="1"/>
  <c r="O922" i="1"/>
  <c r="O941" i="1"/>
  <c r="O923" i="1"/>
  <c r="O924" i="1"/>
  <c r="O925" i="1"/>
  <c r="O942" i="1"/>
  <c r="O943" i="1"/>
  <c r="O944" i="1"/>
  <c r="O926" i="1"/>
  <c r="O927" i="1"/>
  <c r="O2280" i="1"/>
  <c r="O2281" i="1"/>
  <c r="O627" i="1"/>
  <c r="O44" i="1"/>
  <c r="O1125" i="1"/>
  <c r="O1126" i="1"/>
  <c r="O45" i="1"/>
  <c r="O46" i="1"/>
  <c r="O53" i="1"/>
  <c r="O51" i="1"/>
  <c r="O52" i="1"/>
  <c r="O50" i="1"/>
  <c r="O47" i="1"/>
  <c r="O48" i="1"/>
  <c r="O49" i="1"/>
  <c r="O54" i="1"/>
  <c r="O2082" i="1"/>
  <c r="O2282" i="1"/>
  <c r="O55" i="1"/>
  <c r="O2283" i="1"/>
  <c r="O1129" i="1"/>
  <c r="O276" i="1"/>
  <c r="O1130" i="1"/>
  <c r="O1131" i="1"/>
  <c r="O1132" i="1"/>
  <c r="O1133" i="1"/>
  <c r="O56" i="1"/>
  <c r="O2083" i="1"/>
  <c r="O2084" i="1"/>
  <c r="O2284" i="1"/>
  <c r="O2285" i="1"/>
  <c r="O2286" i="1"/>
  <c r="O2085" i="1"/>
  <c r="O1134" i="1"/>
  <c r="O1135" i="1"/>
  <c r="O1136" i="1"/>
  <c r="O2287" i="1"/>
  <c r="O1137" i="1"/>
  <c r="O1138" i="1"/>
  <c r="O1140" i="1"/>
  <c r="O1139" i="1"/>
  <c r="O1141" i="1"/>
  <c r="O1142" i="1"/>
  <c r="O1143" i="1"/>
  <c r="O1144" i="1"/>
  <c r="O1145" i="1"/>
  <c r="O58" i="1"/>
  <c r="O1149" i="1"/>
  <c r="O1150" i="1"/>
  <c r="O1147" i="1"/>
  <c r="O1148" i="1"/>
  <c r="O1151" i="1"/>
  <c r="O1152" i="1"/>
  <c r="O1153" i="1"/>
  <c r="O1154" i="1"/>
  <c r="O59" i="1"/>
  <c r="O1165" i="1"/>
  <c r="O1166" i="1"/>
  <c r="O1864" i="1"/>
  <c r="O1865" i="1"/>
  <c r="O2289" i="1"/>
  <c r="O60" i="1"/>
  <c r="O61" i="1"/>
  <c r="O62" i="1"/>
  <c r="O63" i="1"/>
  <c r="O1169" i="1"/>
  <c r="O1170" i="1"/>
  <c r="O1204" i="1"/>
  <c r="O1205" i="1"/>
  <c r="O1206" i="1"/>
  <c r="O277" i="1"/>
  <c r="O64" i="1"/>
  <c r="O1882" i="1"/>
  <c r="O1883" i="1"/>
  <c r="O65" i="1"/>
  <c r="O66" i="1"/>
  <c r="O67" i="1"/>
  <c r="O68" i="1"/>
  <c r="O69" i="1"/>
  <c r="O354" i="1"/>
  <c r="O72" i="1"/>
  <c r="O73" i="1"/>
  <c r="O74" i="1"/>
  <c r="O75" i="1"/>
  <c r="O77" i="1"/>
  <c r="O76" i="1"/>
  <c r="O78" i="1"/>
  <c r="O79" i="1"/>
  <c r="O80" i="1"/>
  <c r="O91" i="1"/>
  <c r="O1228" i="1"/>
  <c r="O1240" i="1"/>
  <c r="O1241" i="1"/>
  <c r="O1246" i="1"/>
  <c r="O1236" i="1"/>
  <c r="O1242" i="1"/>
  <c r="O1244" i="1"/>
  <c r="O1245" i="1"/>
  <c r="O96" i="1"/>
  <c r="O1254" i="1"/>
  <c r="O1250" i="1"/>
  <c r="O1251" i="1"/>
  <c r="O1252" i="1"/>
  <c r="O1253" i="1"/>
  <c r="O1885" i="1"/>
  <c r="O102" i="1"/>
  <c r="O103" i="1"/>
  <c r="O105" i="1"/>
  <c r="O106" i="1"/>
  <c r="O108" i="1"/>
  <c r="O104" i="1"/>
  <c r="O107" i="1"/>
  <c r="O586" i="1"/>
  <c r="O110" i="1"/>
  <c r="O109" i="1"/>
  <c r="O111" i="1"/>
  <c r="O112" i="1"/>
  <c r="O113" i="1"/>
  <c r="O117" i="1"/>
  <c r="O116" i="1"/>
  <c r="O118" i="1"/>
  <c r="O82" i="1"/>
  <c r="O83" i="1"/>
  <c r="O84" i="1"/>
  <c r="O85" i="1"/>
  <c r="O86" i="1"/>
  <c r="O87" i="1"/>
  <c r="O88" i="1"/>
  <c r="O89" i="1"/>
  <c r="O92" i="1"/>
  <c r="O94" i="1"/>
  <c r="O95" i="1"/>
  <c r="O123" i="1"/>
  <c r="O120" i="1"/>
  <c r="O121" i="1"/>
  <c r="O124" i="1"/>
  <c r="O125" i="1"/>
  <c r="O126" i="1"/>
  <c r="O127" i="1"/>
  <c r="O129" i="1"/>
  <c r="O122" i="1"/>
  <c r="O132" i="1"/>
  <c r="O1214" i="1"/>
  <c r="O1215" i="1"/>
  <c r="O1216" i="1"/>
  <c r="O1219" i="1"/>
  <c r="O1217" i="1"/>
  <c r="O1221" i="1"/>
  <c r="O1218" i="1"/>
  <c r="O133" i="1"/>
  <c r="O134" i="1"/>
  <c r="O135" i="1"/>
  <c r="O136" i="1"/>
  <c r="O146" i="1"/>
  <c r="O148" i="1"/>
  <c r="O137" i="1"/>
  <c r="O138" i="1"/>
  <c r="O139" i="1"/>
  <c r="O149" i="1"/>
  <c r="O150" i="1"/>
  <c r="O140" i="1"/>
  <c r="O141" i="1"/>
  <c r="O142" i="1"/>
  <c r="O143" i="1"/>
  <c r="O144" i="1"/>
  <c r="O145" i="1"/>
  <c r="O147" i="1"/>
  <c r="O151" i="1"/>
  <c r="O152" i="1"/>
  <c r="O153" i="1"/>
  <c r="O154" i="1"/>
  <c r="O155" i="1"/>
  <c r="O2252" i="1"/>
  <c r="O156" i="1"/>
  <c r="O157" i="1"/>
  <c r="O158" i="1"/>
  <c r="O159" i="1"/>
  <c r="O167" i="1"/>
  <c r="O168" i="1"/>
  <c r="O169" i="1"/>
  <c r="O170" i="1"/>
  <c r="O171" i="1"/>
  <c r="O2290" i="1"/>
  <c r="O172" i="1"/>
  <c r="O173" i="1"/>
  <c r="O174" i="1"/>
  <c r="O175" i="1"/>
  <c r="O181" i="1"/>
  <c r="O180" i="1"/>
  <c r="O179" i="1"/>
  <c r="O178" i="1"/>
  <c r="O176" i="1"/>
  <c r="O177" i="1"/>
  <c r="O182" i="1"/>
  <c r="O1146" i="1"/>
  <c r="O183" i="1"/>
  <c r="O184" i="1"/>
  <c r="O185" i="1"/>
  <c r="O186" i="1"/>
  <c r="O187" i="1"/>
  <c r="O190" i="1"/>
  <c r="O188" i="1"/>
  <c r="O189" i="1"/>
  <c r="O191" i="1"/>
  <c r="O194" i="1"/>
  <c r="O195" i="1"/>
  <c r="O196" i="1"/>
  <c r="O197" i="1"/>
  <c r="O198" i="1"/>
  <c r="O214" i="1"/>
  <c r="O215" i="1"/>
  <c r="O219" i="1"/>
  <c r="O201" i="1"/>
  <c r="O202" i="1"/>
  <c r="O203" i="1"/>
  <c r="O216" i="1"/>
  <c r="O204" i="1"/>
  <c r="O205" i="1"/>
  <c r="O206" i="1"/>
  <c r="O207" i="1"/>
  <c r="O208" i="1"/>
  <c r="O217" i="1"/>
  <c r="O218" i="1"/>
  <c r="O209" i="1"/>
  <c r="O210" i="1"/>
  <c r="O211" i="1"/>
  <c r="O212" i="1"/>
  <c r="O213" i="1"/>
  <c r="O220" i="1"/>
  <c r="O221" i="1"/>
  <c r="O225" i="1"/>
  <c r="O222" i="1"/>
  <c r="O223" i="1"/>
  <c r="O224" i="1"/>
  <c r="O227" i="1"/>
  <c r="O226" i="1"/>
  <c r="O228" i="1"/>
  <c r="O233" i="1"/>
  <c r="O229" i="1"/>
  <c r="O230" i="1"/>
  <c r="O235" i="1"/>
  <c r="O239" i="1"/>
  <c r="O237" i="1"/>
  <c r="O240" i="1"/>
  <c r="O238" i="1"/>
  <c r="O241" i="1"/>
  <c r="O242" i="1"/>
  <c r="O244" i="1"/>
  <c r="O243" i="1"/>
  <c r="O245" i="1"/>
  <c r="O246" i="1"/>
  <c r="O247" i="1"/>
  <c r="O248" i="1"/>
  <c r="O249" i="1"/>
  <c r="O251" i="1"/>
  <c r="O250" i="1"/>
  <c r="O252" i="1"/>
  <c r="O253" i="1"/>
  <c r="O254" i="1"/>
  <c r="O255" i="1"/>
  <c r="O257" i="1"/>
  <c r="O258" i="1"/>
  <c r="O259" i="1"/>
  <c r="O260" i="1"/>
  <c r="O261" i="1"/>
  <c r="O262" i="1"/>
  <c r="O266" i="1"/>
  <c r="O267" i="1"/>
  <c r="O268" i="1"/>
  <c r="O269" i="1"/>
  <c r="O265" i="1"/>
  <c r="O264" i="1"/>
  <c r="O263" i="1"/>
  <c r="O271" i="1"/>
  <c r="O272" i="1"/>
  <c r="O270" i="1"/>
  <c r="O273" i="1"/>
  <c r="O274" i="1"/>
  <c r="O275" i="1"/>
  <c r="O278" i="1"/>
  <c r="O279" i="1"/>
  <c r="O280" i="1"/>
  <c r="O281" i="1"/>
  <c r="O282" i="1"/>
  <c r="O283" i="1"/>
  <c r="O284" i="1"/>
  <c r="O285" i="1"/>
  <c r="O287" i="1"/>
  <c r="O292" i="1"/>
  <c r="O294" i="1"/>
  <c r="O293" i="1"/>
  <c r="O291" i="1"/>
  <c r="O288" i="1"/>
  <c r="O289" i="1"/>
  <c r="O290" i="1"/>
  <c r="O295" i="1"/>
  <c r="O296" i="1"/>
  <c r="O297" i="1"/>
  <c r="O298" i="1"/>
  <c r="O299" i="1"/>
  <c r="O301" i="1"/>
  <c r="O303" i="1"/>
  <c r="O306" i="1"/>
  <c r="O305" i="1"/>
  <c r="O304" i="1"/>
  <c r="O309" i="1"/>
  <c r="O310" i="1"/>
  <c r="O311" i="1"/>
  <c r="O313" i="1"/>
  <c r="O314" i="1"/>
  <c r="O315" i="1"/>
  <c r="O316" i="1"/>
  <c r="O336" i="1"/>
  <c r="O337" i="1"/>
  <c r="O338" i="1"/>
  <c r="O339" i="1"/>
  <c r="O340" i="1"/>
  <c r="O341" i="1"/>
  <c r="O342" i="1"/>
  <c r="O343" i="1"/>
  <c r="O344" i="1"/>
  <c r="O347" i="1"/>
  <c r="O346" i="1"/>
  <c r="O345" i="1"/>
  <c r="O348" i="1"/>
  <c r="O349" i="1"/>
  <c r="O353" i="1"/>
  <c r="O350" i="1"/>
  <c r="O351" i="1"/>
  <c r="O352" i="1"/>
  <c r="O364" i="1"/>
  <c r="O361" i="1"/>
  <c r="O365" i="1"/>
  <c r="O366" i="1"/>
  <c r="O367" i="1"/>
  <c r="O368" i="1"/>
  <c r="O369" i="1"/>
  <c r="O370" i="1"/>
  <c r="O371" i="1"/>
  <c r="O372" i="1"/>
  <c r="O373" i="1"/>
  <c r="O374" i="1"/>
  <c r="O375" i="1"/>
  <c r="O376" i="1"/>
  <c r="O378" i="1"/>
  <c r="O379" i="1"/>
  <c r="O381" i="1"/>
  <c r="O382" i="1"/>
  <c r="O383" i="1"/>
  <c r="O384" i="1"/>
  <c r="O385" i="1"/>
  <c r="O387" i="1"/>
  <c r="O386" i="1"/>
  <c r="O388" i="1"/>
  <c r="O389" i="1"/>
  <c r="O390" i="1"/>
  <c r="O391" i="1"/>
  <c r="O392" i="1"/>
  <c r="O393" i="1"/>
  <c r="O394" i="1"/>
  <c r="O395" i="1"/>
  <c r="O396" i="1"/>
  <c r="O397" i="1"/>
  <c r="O398" i="1"/>
  <c r="O399" i="1"/>
  <c r="O400" i="1"/>
  <c r="O421" i="1"/>
  <c r="O422" i="1"/>
  <c r="O423" i="1"/>
  <c r="O424" i="1"/>
  <c r="O425" i="1"/>
  <c r="O426" i="1"/>
  <c r="O427" i="1"/>
  <c r="O428" i="1"/>
  <c r="O429" i="1"/>
  <c r="O430" i="1"/>
  <c r="O439" i="1"/>
  <c r="O440" i="1"/>
  <c r="O441" i="1"/>
  <c r="O442" i="1"/>
  <c r="O443" i="1"/>
  <c r="O444" i="1"/>
  <c r="O445" i="1"/>
  <c r="O446" i="1"/>
  <c r="O447" i="1"/>
  <c r="O448" i="1"/>
  <c r="O431" i="1"/>
  <c r="O401" i="1"/>
  <c r="O449" i="1"/>
  <c r="O432" i="1"/>
  <c r="O402" i="1"/>
  <c r="O403" i="1"/>
  <c r="O404" i="1"/>
  <c r="O450" i="1"/>
  <c r="O433" i="1"/>
  <c r="O405" i="1"/>
  <c r="O434" i="1"/>
  <c r="O406" i="1"/>
  <c r="O435" i="1"/>
  <c r="O451" i="1"/>
  <c r="O452" i="1"/>
  <c r="O436" i="1"/>
  <c r="O437" i="1"/>
  <c r="O407" i="1"/>
  <c r="O438" i="1"/>
  <c r="O408" i="1"/>
  <c r="O409" i="1"/>
  <c r="O410" i="1"/>
  <c r="O411" i="1"/>
  <c r="O412" i="1"/>
  <c r="O413" i="1"/>
  <c r="O414" i="1"/>
  <c r="O415" i="1"/>
  <c r="O416" i="1"/>
  <c r="O417" i="1"/>
  <c r="O418" i="1"/>
  <c r="O419" i="1"/>
  <c r="O420" i="1"/>
  <c r="O453" i="1"/>
  <c r="O454" i="1"/>
  <c r="O455" i="1"/>
  <c r="O456" i="1"/>
  <c r="O458" i="1"/>
  <c r="O465" i="1"/>
  <c r="O467" i="1"/>
  <c r="O459" i="1"/>
  <c r="O468" i="1"/>
  <c r="O460" i="1"/>
  <c r="O469" i="1"/>
  <c r="O461" i="1"/>
  <c r="O470" i="1"/>
  <c r="O462" i="1"/>
  <c r="O463" i="1"/>
  <c r="O471" i="1"/>
  <c r="O466" i="1"/>
  <c r="O477" i="1"/>
  <c r="O476" i="1"/>
  <c r="O472" i="1"/>
  <c r="O473" i="1"/>
  <c r="O464" i="1"/>
  <c r="O474" i="1"/>
  <c r="O478" i="1"/>
  <c r="O479" i="1"/>
  <c r="O480" i="1"/>
  <c r="O481" i="1"/>
  <c r="O482" i="1"/>
  <c r="O483" i="1"/>
  <c r="O484" i="1"/>
  <c r="O485" i="1"/>
  <c r="O487" i="1"/>
  <c r="O486" i="1"/>
  <c r="O488" i="1"/>
  <c r="O490" i="1"/>
  <c r="O491" i="1"/>
  <c r="O492" i="1"/>
  <c r="O503" i="1"/>
  <c r="O508" i="1"/>
  <c r="O504" i="1"/>
  <c r="O505" i="1"/>
  <c r="O506" i="1"/>
  <c r="O509" i="1"/>
  <c r="O493" i="1"/>
  <c r="O500" i="1"/>
  <c r="O497" i="1"/>
  <c r="O499" i="1"/>
  <c r="O495" i="1"/>
  <c r="O494" i="1"/>
  <c r="O496" i="1"/>
  <c r="O498" i="1"/>
  <c r="O501" i="1"/>
  <c r="O502" i="1"/>
  <c r="O510" i="1"/>
  <c r="O511" i="1"/>
  <c r="O512" i="1"/>
  <c r="O513" i="1"/>
  <c r="O514" i="1"/>
  <c r="O516" i="1"/>
  <c r="O518" i="1"/>
  <c r="O521" i="1"/>
  <c r="O519" i="1"/>
  <c r="O517" i="1"/>
  <c r="O525" i="1"/>
  <c r="O524" i="1"/>
  <c r="O1207" i="1"/>
  <c r="O526" i="1"/>
  <c r="O527" i="1"/>
  <c r="O529" i="1"/>
  <c r="O530" i="1"/>
  <c r="O531" i="1"/>
  <c r="O535" i="1"/>
  <c r="O536" i="1"/>
  <c r="O537" i="1"/>
  <c r="O557" i="1"/>
  <c r="O559" i="1"/>
  <c r="O561" i="1"/>
  <c r="O538" i="1"/>
  <c r="O540" i="1"/>
  <c r="O539" i="1"/>
  <c r="O542" i="1"/>
  <c r="O544" i="1"/>
  <c r="O545" i="1"/>
  <c r="O547" i="1"/>
  <c r="O546" i="1"/>
  <c r="O549" i="1"/>
  <c r="O550" i="1"/>
  <c r="O553" i="1"/>
  <c r="O554" i="1"/>
  <c r="O41" i="1"/>
  <c r="O1123" i="1"/>
  <c r="O42" i="1"/>
  <c r="O555" i="1"/>
  <c r="O43" i="1"/>
  <c r="O560" i="1"/>
  <c r="O564" i="1"/>
  <c r="O567" i="1"/>
  <c r="O568" i="1"/>
  <c r="O569" i="1"/>
  <c r="O570" i="1"/>
  <c r="O582" i="1"/>
  <c r="O584" i="1"/>
  <c r="O589" i="1"/>
  <c r="O594" i="1"/>
  <c r="O595" i="1"/>
  <c r="O596" i="1"/>
  <c r="O598" i="1"/>
  <c r="O600" i="1"/>
  <c r="O601" i="1"/>
  <c r="O602" i="1"/>
  <c r="O603" i="1"/>
  <c r="O616" i="1"/>
  <c r="O623" i="1"/>
  <c r="O622" i="1"/>
  <c r="O620" i="1"/>
  <c r="O617" i="1"/>
  <c r="O624" i="1"/>
  <c r="O621" i="1"/>
  <c r="O625" i="1"/>
  <c r="O626" i="1"/>
  <c r="O628" i="1"/>
  <c r="O629" i="1"/>
  <c r="O630" i="1"/>
  <c r="O631" i="1"/>
  <c r="O632" i="1"/>
  <c r="O635" i="1"/>
  <c r="O636" i="1"/>
  <c r="O633" i="1"/>
  <c r="O637" i="1"/>
  <c r="O640" i="1"/>
  <c r="O638" i="1"/>
  <c r="O639" i="1"/>
  <c r="O644" i="1"/>
  <c r="O645" i="1"/>
  <c r="O646" i="1"/>
  <c r="O647" i="1"/>
  <c r="O746" i="1"/>
  <c r="O650" i="1"/>
  <c r="O651" i="1"/>
  <c r="O652" i="1"/>
  <c r="O653" i="1"/>
  <c r="O654" i="1"/>
  <c r="O655" i="1"/>
  <c r="O656" i="1"/>
  <c r="O657" i="1"/>
  <c r="O658" i="1"/>
  <c r="O659" i="1"/>
  <c r="O660" i="1"/>
  <c r="O661" i="1"/>
  <c r="O673" i="1"/>
  <c r="O662" i="1"/>
  <c r="O663" i="1"/>
  <c r="O664" i="1"/>
  <c r="O665" i="1"/>
  <c r="O666" i="1"/>
  <c r="O667" i="1"/>
  <c r="O675" i="1"/>
  <c r="O668" i="1"/>
  <c r="O669" i="1"/>
  <c r="O670" i="1"/>
  <c r="O674" i="1"/>
  <c r="O671" i="1"/>
  <c r="O672"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33" i="1"/>
  <c r="O710" i="1"/>
  <c r="O734" i="1"/>
  <c r="O735" i="1"/>
  <c r="O712" i="1"/>
  <c r="O713" i="1"/>
  <c r="O714" i="1"/>
  <c r="O715" i="1"/>
  <c r="O716" i="1"/>
  <c r="O717" i="1"/>
  <c r="O718" i="1"/>
  <c r="O719" i="1"/>
  <c r="O720" i="1"/>
  <c r="O736" i="1"/>
  <c r="O721" i="1"/>
  <c r="O737" i="1"/>
  <c r="O722" i="1"/>
  <c r="O744" i="1"/>
  <c r="O723" i="1"/>
  <c r="O706" i="1"/>
  <c r="O724" i="1"/>
  <c r="O725" i="1"/>
  <c r="O726" i="1"/>
  <c r="O738" i="1"/>
  <c r="O707" i="1"/>
  <c r="O739" i="1"/>
  <c r="O727" i="1"/>
  <c r="O740" i="1"/>
  <c r="O728" i="1"/>
  <c r="O741" i="1"/>
  <c r="O742" i="1"/>
  <c r="O729" i="1"/>
  <c r="O731" i="1"/>
  <c r="O743" i="1"/>
  <c r="O732" i="1"/>
  <c r="O748" i="1"/>
  <c r="O795" i="1"/>
  <c r="O796" i="1"/>
  <c r="O797" i="1"/>
  <c r="O798" i="1"/>
  <c r="O799" i="1"/>
  <c r="O800" i="1"/>
  <c r="O806" i="1"/>
  <c r="O807" i="1"/>
  <c r="O809" i="1"/>
  <c r="O808" i="1"/>
  <c r="O810" i="1"/>
  <c r="O802" i="1"/>
  <c r="O803" i="1"/>
  <c r="O804" i="1"/>
  <c r="O805" i="1"/>
  <c r="O813" i="1"/>
  <c r="O814" i="1"/>
  <c r="O2266" i="1"/>
  <c r="O2267" i="1"/>
  <c r="O2268" i="1"/>
  <c r="O819" i="1"/>
  <c r="O820" i="1"/>
  <c r="O821" i="1"/>
  <c r="O825" i="1"/>
  <c r="O830" i="1"/>
  <c r="O827" i="1"/>
  <c r="O826" i="1"/>
  <c r="O831" i="1"/>
  <c r="O828" i="1"/>
  <c r="O829" i="1"/>
  <c r="O832" i="1"/>
  <c r="O833" i="1"/>
  <c r="O836" i="1"/>
  <c r="O834" i="1"/>
  <c r="O835" i="1"/>
  <c r="O841" i="1"/>
  <c r="O837" i="1"/>
  <c r="O842" i="1"/>
  <c r="O838" i="1"/>
  <c r="O839" i="1"/>
  <c r="O840" i="1"/>
  <c r="O843" i="1"/>
  <c r="O844" i="1"/>
  <c r="O845" i="1"/>
  <c r="O846" i="1"/>
  <c r="O847" i="1"/>
  <c r="O848" i="1"/>
  <c r="O849" i="1"/>
  <c r="O18" i="1"/>
  <c r="O860" i="1"/>
  <c r="O863" i="1"/>
  <c r="O864" i="1"/>
  <c r="O866" i="1"/>
  <c r="O865" i="1"/>
  <c r="O867" i="1"/>
  <c r="O869" i="1"/>
  <c r="O870" i="1"/>
  <c r="O871" i="1"/>
  <c r="O872" i="1"/>
  <c r="O874" i="1"/>
  <c r="O873" i="1"/>
  <c r="O879" i="1"/>
  <c r="O880" i="1"/>
  <c r="O883" i="1"/>
  <c r="O884" i="1"/>
  <c r="O885" i="1"/>
  <c r="O888" i="1"/>
  <c r="O887" i="1"/>
  <c r="O886" i="1"/>
  <c r="O964" i="1"/>
  <c r="O965" i="1"/>
  <c r="O966" i="1"/>
  <c r="O954" i="1"/>
  <c r="O955" i="1"/>
  <c r="O967" i="1"/>
  <c r="O968" i="1"/>
  <c r="O1001" i="1"/>
  <c r="O999" i="1"/>
  <c r="O1000" i="1"/>
  <c r="O998" i="1"/>
  <c r="O969" i="1"/>
  <c r="O956" i="1"/>
  <c r="O970" i="1"/>
  <c r="O971" i="1"/>
  <c r="O972" i="1"/>
  <c r="O957" i="1"/>
  <c r="O973" i="1"/>
  <c r="O974" i="1"/>
  <c r="O975" i="1"/>
  <c r="O958" i="1"/>
  <c r="O976" i="1"/>
  <c r="O977" i="1"/>
  <c r="O978" i="1"/>
  <c r="O979" i="1"/>
  <c r="O980" i="1"/>
  <c r="O981" i="1"/>
  <c r="O982" i="1"/>
  <c r="O983" i="1"/>
  <c r="O984" i="1"/>
  <c r="O959" i="1"/>
  <c r="O985" i="1"/>
  <c r="O986" i="1"/>
  <c r="O960" i="1"/>
  <c r="O961" i="1"/>
  <c r="O987" i="1"/>
  <c r="O988" i="1"/>
  <c r="O989" i="1"/>
  <c r="O997" i="1"/>
  <c r="O996" i="1"/>
  <c r="O962" i="1"/>
  <c r="O963" i="1"/>
  <c r="O990" i="1"/>
  <c r="O991" i="1"/>
  <c r="O992" i="1"/>
  <c r="O993" i="1"/>
  <c r="O994" i="1"/>
  <c r="O995" i="1"/>
  <c r="O1003" i="1"/>
  <c r="O1002" i="1"/>
  <c r="O1004" i="1"/>
  <c r="O1005" i="1"/>
  <c r="O1006" i="1"/>
  <c r="O1007" i="1"/>
  <c r="O1008" i="1"/>
  <c r="O1009" i="1"/>
  <c r="O1010" i="1"/>
  <c r="O1011" i="1"/>
  <c r="O1012" i="1"/>
  <c r="O1013" i="1"/>
  <c r="O1014" i="1"/>
  <c r="O1020" i="1"/>
  <c r="O1019" i="1"/>
  <c r="O1018" i="1"/>
  <c r="O1015" i="1"/>
  <c r="O1016" i="1"/>
  <c r="O1118" i="1"/>
  <c r="O1121" i="1"/>
  <c r="O1119" i="1"/>
  <c r="O1127" i="1"/>
  <c r="O1128" i="1"/>
  <c r="O1162" i="1"/>
  <c r="O1155" i="1"/>
  <c r="O1156" i="1"/>
  <c r="O1161" i="1"/>
  <c r="O1160" i="1"/>
  <c r="O1157" i="1"/>
  <c r="O1158" i="1"/>
  <c r="O1159" i="1"/>
  <c r="O1163" i="1"/>
  <c r="O1164" i="1"/>
  <c r="O1167" i="1"/>
  <c r="O1168" i="1"/>
  <c r="O1172" i="1"/>
  <c r="O1171"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8" i="1"/>
  <c r="O1222" i="1"/>
  <c r="O1226" i="1"/>
  <c r="O1225" i="1"/>
  <c r="O2098" i="1"/>
  <c r="O1255" i="1"/>
  <c r="O1256" i="1"/>
  <c r="O1257" i="1"/>
  <c r="O1258" i="1"/>
  <c r="O1259" i="1"/>
  <c r="O1260" i="1"/>
  <c r="O1261" i="1"/>
  <c r="O1266" i="1"/>
  <c r="O1262" i="1"/>
  <c r="O1264" i="1"/>
  <c r="O1267" i="1"/>
  <c r="O1268" i="1"/>
  <c r="O1269" i="1"/>
  <c r="O1275" i="1"/>
  <c r="O1277" i="1"/>
  <c r="O1276" i="1"/>
  <c r="O1279" i="1"/>
  <c r="O1280" i="1"/>
  <c r="O1282" i="1"/>
  <c r="O1281" i="1"/>
  <c r="O1306" i="1"/>
  <c r="O1307" i="1"/>
  <c r="O1308" i="1"/>
  <c r="O1309" i="1"/>
  <c r="O1310" i="1"/>
  <c r="O1311" i="1"/>
  <c r="O1312" i="1"/>
  <c r="O1313" i="1"/>
  <c r="O1314" i="1"/>
  <c r="O1315" i="1"/>
  <c r="O1316" i="1"/>
  <c r="O1317" i="1"/>
  <c r="O1318" i="1"/>
  <c r="O1319" i="1"/>
  <c r="O1283" i="1"/>
  <c r="O1284" i="1"/>
  <c r="O1285" i="1"/>
  <c r="O1286" i="1"/>
  <c r="O1287" i="1"/>
  <c r="O1288" i="1"/>
  <c r="O1289" i="1"/>
  <c r="O1302" i="1"/>
  <c r="O1297" i="1"/>
  <c r="O1290" i="1"/>
  <c r="O1291" i="1"/>
  <c r="O1300" i="1"/>
  <c r="O1292" i="1"/>
  <c r="O1293" i="1"/>
  <c r="O1301" i="1"/>
  <c r="O1298" i="1"/>
  <c r="O1294" i="1"/>
  <c r="O1295" i="1"/>
  <c r="O1296" i="1"/>
  <c r="O1299" i="1"/>
  <c r="O1303" i="1"/>
  <c r="O1304" i="1"/>
  <c r="O1321" i="1"/>
  <c r="O1322" i="1"/>
  <c r="O1324" i="1"/>
  <c r="O1326" i="1"/>
  <c r="O1327" i="1"/>
  <c r="O1330" i="1"/>
  <c r="O1331" i="1"/>
  <c r="O1328" i="1"/>
  <c r="O1329" i="1"/>
  <c r="O1335" i="1"/>
  <c r="O1336" i="1"/>
  <c r="O1337" i="1"/>
  <c r="O1338" i="1"/>
  <c r="O1339" i="1"/>
  <c r="O1340" i="1"/>
  <c r="O1342" i="1"/>
  <c r="O1343" i="1"/>
  <c r="O1344" i="1"/>
  <c r="O1347" i="1"/>
  <c r="O1345" i="1"/>
  <c r="O1346" i="1"/>
  <c r="O1348" i="1"/>
  <c r="O1349" i="1"/>
  <c r="O1350" i="1"/>
  <c r="O1351" i="1"/>
  <c r="O1352" i="1"/>
  <c r="O1353" i="1"/>
  <c r="O1355" i="1"/>
  <c r="O1373" i="1"/>
  <c r="O1356" i="1"/>
  <c r="O1357" i="1"/>
  <c r="O1358" i="1"/>
  <c r="O1359" i="1"/>
  <c r="O1370" i="1"/>
  <c r="O1360" i="1"/>
  <c r="O1361" i="1"/>
  <c r="O1362" i="1"/>
  <c r="O1363" i="1"/>
  <c r="O1364" i="1"/>
  <c r="O1365" i="1"/>
  <c r="O1366" i="1"/>
  <c r="O1371" i="1"/>
  <c r="O1367" i="1"/>
  <c r="O1368" i="1"/>
  <c r="O1369" i="1"/>
  <c r="O1375" i="1"/>
  <c r="O1377" i="1"/>
  <c r="O1378" i="1"/>
  <c r="O1376" i="1"/>
  <c r="O1379" i="1"/>
  <c r="O1380" i="1"/>
  <c r="O1381" i="1"/>
  <c r="O1383" i="1"/>
  <c r="O1384" i="1"/>
  <c r="O1385" i="1"/>
  <c r="O1386" i="1"/>
  <c r="O1391" i="1"/>
  <c r="O1387" i="1"/>
  <c r="O1388" i="1"/>
  <c r="O1389" i="1"/>
  <c r="O1393" i="1"/>
  <c r="O1390" i="1"/>
  <c r="O1392" i="1"/>
  <c r="O1394" i="1"/>
  <c r="O1395" i="1"/>
  <c r="O1398" i="1"/>
  <c r="O1396" i="1"/>
  <c r="O1397" i="1"/>
  <c r="O1399" i="1"/>
  <c r="O1400" i="1"/>
  <c r="O1403" i="1"/>
  <c r="O1401" i="1"/>
  <c r="O1405" i="1"/>
  <c r="O1413" i="1"/>
  <c r="O1412" i="1"/>
  <c r="O1406" i="1"/>
  <c r="O1407" i="1"/>
  <c r="O1408" i="1"/>
  <c r="O1409" i="1"/>
  <c r="O1410" i="1"/>
  <c r="O1411" i="1"/>
  <c r="O1415" i="1"/>
  <c r="O1416" i="1"/>
  <c r="O1417" i="1"/>
  <c r="O1418" i="1"/>
  <c r="O1419" i="1"/>
  <c r="O1420" i="1"/>
  <c r="O1421" i="1"/>
  <c r="O1425" i="1"/>
  <c r="O1424" i="1"/>
  <c r="O1422" i="1"/>
  <c r="O1423" i="1"/>
  <c r="O1427" i="1"/>
  <c r="O1428" i="1"/>
  <c r="O1429" i="1"/>
  <c r="O1430" i="1"/>
  <c r="O1431" i="1"/>
  <c r="O1435" i="1"/>
  <c r="O1436" i="1"/>
  <c r="O1437" i="1"/>
  <c r="O1438" i="1"/>
  <c r="O1439" i="1"/>
  <c r="O1440" i="1"/>
  <c r="O1441" i="1"/>
  <c r="O1442" i="1"/>
  <c r="O1443" i="1"/>
  <c r="O1444" i="1"/>
  <c r="O1445" i="1"/>
  <c r="O1447" i="1"/>
  <c r="O1448" i="1"/>
  <c r="O1451" i="1"/>
  <c r="O1450" i="1"/>
  <c r="O1452" i="1"/>
  <c r="O1453" i="1"/>
  <c r="O1455" i="1"/>
  <c r="O1456" i="1"/>
  <c r="O1457" i="1"/>
  <c r="O1458" i="1"/>
  <c r="O1459" i="1"/>
  <c r="O1460" i="1"/>
  <c r="O1461" i="1"/>
  <c r="O1462" i="1"/>
  <c r="O1463" i="1"/>
  <c r="O1464" i="1"/>
  <c r="O1465" i="1"/>
  <c r="O1469" i="1"/>
  <c r="O1466" i="1"/>
  <c r="O1467" i="1"/>
  <c r="O1468" i="1"/>
  <c r="O1470" i="1"/>
  <c r="O1472" i="1"/>
  <c r="O1473" i="1"/>
  <c r="O1474" i="1"/>
  <c r="O1475" i="1"/>
  <c r="O1484" i="1"/>
  <c r="O1485" i="1"/>
  <c r="O1486" i="1"/>
  <c r="O1481" i="1"/>
  <c r="O1477" i="1"/>
  <c r="O1478" i="1"/>
  <c r="O1487" i="1"/>
  <c r="O1482" i="1"/>
  <c r="O1483" i="1"/>
  <c r="O1479" i="1"/>
  <c r="O1476" i="1"/>
  <c r="O1480" i="1"/>
  <c r="O1488" i="1"/>
  <c r="O1489" i="1"/>
  <c r="O1490" i="1"/>
  <c r="O1491" i="1"/>
  <c r="O1492" i="1"/>
  <c r="O1495" i="1"/>
  <c r="O1693" i="1"/>
  <c r="O1692" i="1"/>
  <c r="O1691" i="1"/>
  <c r="O1512" i="1"/>
  <c r="O1695" i="1"/>
  <c r="O1701" i="1"/>
  <c r="O1702" i="1"/>
  <c r="O1751" i="1"/>
  <c r="O1753" i="1"/>
  <c r="O1754" i="1"/>
  <c r="O1811" i="1"/>
  <c r="O1812" i="1"/>
  <c r="O1813" i="1"/>
  <c r="O1821" i="1"/>
  <c r="O1814" i="1"/>
  <c r="O1815" i="1"/>
  <c r="O1822" i="1"/>
  <c r="O1823" i="1"/>
  <c r="O1824" i="1"/>
  <c r="O1816" i="1"/>
  <c r="O1817" i="1"/>
  <c r="O1818" i="1"/>
  <c r="O1825" i="1"/>
  <c r="O1819" i="1"/>
  <c r="O1820" i="1"/>
  <c r="O1826" i="1"/>
  <c r="O1827" i="1"/>
  <c r="O1828" i="1"/>
  <c r="O1829" i="1"/>
  <c r="O1830" i="1"/>
  <c r="O1831" i="1"/>
  <c r="O1832" i="1"/>
  <c r="O1833" i="1"/>
  <c r="O1834" i="1"/>
  <c r="O1835" i="1"/>
  <c r="O1836" i="1"/>
  <c r="O1837" i="1"/>
  <c r="O1838" i="1"/>
  <c r="O1839" i="1"/>
  <c r="O1840" i="1"/>
  <c r="O1841" i="1"/>
  <c r="O1842" i="1"/>
  <c r="O1843" i="1"/>
  <c r="O1846" i="1"/>
  <c r="O1847" i="1"/>
  <c r="O1844" i="1"/>
  <c r="O1845" i="1"/>
  <c r="O1856" i="1"/>
  <c r="O1855" i="1"/>
  <c r="O1862" i="1"/>
  <c r="O1863" i="1"/>
  <c r="O1861" i="1"/>
  <c r="O1866" i="1"/>
  <c r="O1867" i="1"/>
  <c r="O1868" i="1"/>
  <c r="O1869" i="1"/>
  <c r="O1870" i="1"/>
  <c r="O1871" i="1"/>
  <c r="O1872" i="1"/>
  <c r="O1873" i="1"/>
  <c r="O1874" i="1"/>
  <c r="O1875" i="1"/>
  <c r="O1877" i="1"/>
  <c r="O1876" i="1"/>
  <c r="O1878" i="1"/>
  <c r="O1879" i="1"/>
  <c r="O1880" i="1"/>
  <c r="O1881" i="1"/>
  <c r="O1884" i="1"/>
  <c r="O1886" i="1"/>
  <c r="O1887" i="1"/>
  <c r="O1888" i="1"/>
  <c r="O1889" i="1"/>
  <c r="O1890" i="1"/>
  <c r="O1891" i="1"/>
  <c r="O1892" i="1"/>
  <c r="O1893" i="1"/>
  <c r="O1899" i="1"/>
  <c r="O1898" i="1"/>
  <c r="O1897" i="1"/>
  <c r="O1894" i="1"/>
  <c r="O1895" i="1"/>
  <c r="O1896" i="1"/>
  <c r="O1901" i="1"/>
  <c r="O1902" i="1"/>
  <c r="O1903" i="1"/>
  <c r="O1904" i="1"/>
  <c r="O1905" i="1"/>
  <c r="O1912" i="1"/>
  <c r="O1913" i="1"/>
  <c r="O1915" i="1"/>
  <c r="O1922" i="1"/>
  <c r="O1917" i="1"/>
  <c r="O1918" i="1"/>
  <c r="O1919" i="1"/>
  <c r="O1921" i="1"/>
  <c r="O1925" i="1"/>
  <c r="O1926" i="1"/>
  <c r="O1923" i="1"/>
  <c r="O1927" i="1"/>
  <c r="O1924" i="1"/>
  <c r="O1928" i="1"/>
  <c r="O1929" i="1"/>
  <c r="O1930" i="1"/>
  <c r="O1931" i="1"/>
  <c r="O1935" i="1"/>
  <c r="O1936" i="1"/>
  <c r="O1937" i="1"/>
  <c r="O1938" i="1"/>
  <c r="O1939" i="1"/>
  <c r="O1940" i="1"/>
  <c r="O1941" i="1"/>
  <c r="O1943" i="1"/>
  <c r="O1944" i="1"/>
  <c r="O1945" i="1"/>
  <c r="O1946" i="1"/>
  <c r="O1949" i="1"/>
  <c r="O1948" i="1"/>
  <c r="O1947" i="1"/>
  <c r="O1950" i="1"/>
  <c r="O1951" i="1"/>
  <c r="O1952" i="1"/>
  <c r="O1953" i="1"/>
  <c r="O1955" i="1"/>
  <c r="O1956" i="1"/>
  <c r="O1957" i="1"/>
  <c r="O1958" i="1"/>
  <c r="O1959" i="1"/>
  <c r="O1960" i="1"/>
  <c r="O1962" i="1"/>
  <c r="O1963" i="1"/>
  <c r="O1965" i="1"/>
  <c r="O1966" i="1"/>
  <c r="O1968" i="1"/>
  <c r="O1973" i="1"/>
  <c r="O1970" i="1"/>
  <c r="O1972" i="1"/>
  <c r="O1974" i="1"/>
  <c r="O1975" i="1"/>
  <c r="O1976" i="1"/>
  <c r="O1977" i="1"/>
  <c r="O1978" i="1"/>
  <c r="O1979" i="1"/>
  <c r="O1980" i="1"/>
  <c r="O1981" i="1"/>
  <c r="O1982" i="1"/>
  <c r="O1983" i="1"/>
  <c r="O1984" i="1"/>
  <c r="O1988" i="1"/>
  <c r="O1989" i="1"/>
  <c r="O1990" i="1"/>
  <c r="O1991" i="1"/>
  <c r="O1994" i="1"/>
  <c r="O1992" i="1"/>
  <c r="O1993" i="1"/>
  <c r="O1995" i="1"/>
  <c r="O1996" i="1"/>
  <c r="O1997" i="1"/>
  <c r="O1998" i="1"/>
  <c r="O1999" i="1"/>
  <c r="O2000" i="1"/>
  <c r="O2001" i="1"/>
  <c r="O2005" i="1"/>
  <c r="O2006" i="1"/>
  <c r="O2007" i="1"/>
  <c r="O2008" i="1"/>
  <c r="O2011" i="1"/>
  <c r="O2012" i="1"/>
  <c r="O2013" i="1"/>
  <c r="O2014" i="1"/>
  <c r="O2018" i="1"/>
  <c r="O2015" i="1"/>
  <c r="O2016"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4" i="1"/>
  <c r="O2062" i="1"/>
  <c r="O2063" i="1"/>
  <c r="O2064" i="1"/>
  <c r="O2065" i="1"/>
  <c r="O2069" i="1"/>
  <c r="O2070" i="1"/>
  <c r="O2071" i="1"/>
  <c r="O2077" i="1"/>
  <c r="O2078" i="1"/>
  <c r="O2073" i="1"/>
  <c r="O2074" i="1"/>
  <c r="O2079" i="1"/>
  <c r="O2080" i="1"/>
  <c r="O2081" i="1"/>
  <c r="O2088" i="1"/>
  <c r="O2089" i="1"/>
  <c r="O2092" i="1"/>
  <c r="O2093" i="1"/>
  <c r="O2094" i="1"/>
  <c r="O2096" i="1"/>
  <c r="O2095" i="1"/>
  <c r="O2097" i="1"/>
  <c r="O2189" i="1"/>
  <c r="O2099" i="1"/>
  <c r="O2100" i="1"/>
  <c r="O2115" i="1"/>
  <c r="O2116" i="1"/>
  <c r="O2117" i="1"/>
  <c r="O2118" i="1"/>
  <c r="O2119" i="1"/>
  <c r="O2120" i="1"/>
  <c r="O2121" i="1"/>
  <c r="O2122" i="1"/>
  <c r="O2123" i="1"/>
  <c r="O2124" i="1"/>
  <c r="O2125" i="1"/>
  <c r="O2126" i="1"/>
  <c r="O2127" i="1"/>
  <c r="O2128" i="1"/>
  <c r="O2101" i="1"/>
  <c r="O2102" i="1"/>
  <c r="O2103" i="1"/>
  <c r="O2104" i="1"/>
  <c r="O2105" i="1"/>
  <c r="O2106" i="1"/>
  <c r="O2107" i="1"/>
  <c r="O2108" i="1"/>
  <c r="O2109" i="1"/>
  <c r="O2110" i="1"/>
  <c r="O2111" i="1"/>
  <c r="O2112" i="1"/>
  <c r="O2113" i="1"/>
  <c r="O2114" i="1"/>
  <c r="O2129" i="1"/>
  <c r="O2131" i="1"/>
  <c r="O2132" i="1"/>
  <c r="O2133" i="1"/>
  <c r="O2134" i="1"/>
  <c r="O2139" i="1"/>
  <c r="O2137" i="1"/>
  <c r="O2138" i="1"/>
  <c r="O2135" i="1"/>
  <c r="O2136" i="1"/>
  <c r="O2140" i="1"/>
  <c r="O2141" i="1"/>
  <c r="O2142" i="1"/>
  <c r="O2143" i="1"/>
  <c r="O2161" i="1"/>
  <c r="O2144" i="1"/>
  <c r="O2145" i="1"/>
  <c r="O2146" i="1"/>
  <c r="O2185" i="1"/>
  <c r="O2184" i="1"/>
  <c r="O2183" i="1"/>
  <c r="O2180" i="1"/>
  <c r="O2147" i="1"/>
  <c r="O2148" i="1"/>
  <c r="O2162" i="1"/>
  <c r="O2172" i="1"/>
  <c r="O2174" i="1"/>
  <c r="O2175" i="1"/>
  <c r="O2178" i="1"/>
  <c r="O2181" i="1"/>
  <c r="O2149" i="1"/>
  <c r="O2163" i="1"/>
  <c r="O2164" i="1"/>
  <c r="O2150" i="1"/>
  <c r="O2176" i="1"/>
  <c r="O2151" i="1"/>
  <c r="O2177" i="1"/>
  <c r="O2152" i="1"/>
  <c r="O2153" i="1"/>
  <c r="O2154" i="1"/>
  <c r="O2165" i="1"/>
  <c r="O2166" i="1"/>
  <c r="O2179" i="1"/>
  <c r="O2155" i="1"/>
  <c r="O2156" i="1"/>
  <c r="O2157" i="1"/>
  <c r="O2158" i="1"/>
  <c r="O2170" i="1"/>
  <c r="O2173" i="1"/>
  <c r="O2159" i="1"/>
  <c r="O2160" i="1"/>
  <c r="O2167" i="1"/>
  <c r="O2168" i="1"/>
  <c r="O2169" i="1"/>
  <c r="O2171" i="1"/>
  <c r="O2186" i="1"/>
  <c r="O2187" i="1"/>
  <c r="O2188" i="1"/>
  <c r="O2192" i="1"/>
  <c r="O2191" i="1"/>
  <c r="O2193" i="1"/>
  <c r="O2195" i="1"/>
  <c r="O2194" i="1"/>
  <c r="O2196" i="1"/>
  <c r="O2197" i="1"/>
  <c r="O2198" i="1"/>
  <c r="O2199" i="1"/>
  <c r="O2211" i="1"/>
  <c r="O2200" i="1"/>
  <c r="O2201" i="1"/>
  <c r="O2202" i="1"/>
  <c r="O2203" i="1"/>
  <c r="O2204" i="1"/>
  <c r="O2205" i="1"/>
  <c r="O2206" i="1"/>
  <c r="O2207" i="1"/>
  <c r="O2212" i="1"/>
  <c r="O2208" i="1"/>
  <c r="O2209" i="1"/>
  <c r="O2210" i="1"/>
  <c r="O2213" i="1"/>
  <c r="O2215" i="1"/>
  <c r="O2214" i="1"/>
  <c r="O2216" i="1"/>
  <c r="O2220" i="1"/>
  <c r="O2219" i="1"/>
  <c r="O2218" i="1"/>
  <c r="O2221" i="1"/>
  <c r="O2223" i="1"/>
  <c r="O2224" i="1"/>
  <c r="O2225" i="1"/>
  <c r="O2226" i="1"/>
  <c r="O2227" i="1"/>
  <c r="O2230" i="1"/>
  <c r="O2228" i="1"/>
  <c r="O2231" i="1"/>
  <c r="O2232" i="1"/>
  <c r="O2233" i="1"/>
  <c r="O2234" i="1"/>
  <c r="O2246" i="1"/>
  <c r="O2236" i="1"/>
  <c r="O2237" i="1"/>
  <c r="O2247" i="1"/>
  <c r="O2249" i="1"/>
  <c r="O2253" i="1"/>
  <c r="O2256" i="1"/>
  <c r="O2257" i="1"/>
  <c r="O2258" i="1"/>
  <c r="O2259" i="1"/>
  <c r="O2260" i="1"/>
  <c r="O2261" i="1"/>
  <c r="O2270" i="1"/>
  <c r="O2271" i="1"/>
  <c r="O2279" i="1"/>
  <c r="O2291" i="1"/>
  <c r="O2019" i="1"/>
  <c r="O2021" i="1"/>
  <c r="O2022" i="1"/>
  <c r="O2023" i="1"/>
  <c r="U1704" i="1"/>
  <c r="V1704" i="1" s="1" a="1"/>
  <c r="V1704" i="1" s="1"/>
  <c r="U863" i="1"/>
  <c r="V863" i="1" s="1" a="1"/>
  <c r="V863" i="1" s="1"/>
  <c r="U1473" i="1" l="1"/>
  <c r="V1473" i="1" s="1" a="1"/>
  <c r="V1473" i="1" s="1"/>
  <c r="U1695" i="1" l="1"/>
  <c r="U999" i="1"/>
  <c r="V999" i="1" s="1" a="1"/>
  <c r="V999" i="1" s="1"/>
  <c r="N363" i="1"/>
  <c r="O363" i="1" s="1"/>
  <c r="U363" i="1"/>
  <c r="V363" i="1" s="1" a="1"/>
  <c r="V363" i="1" s="1"/>
  <c r="U985" i="1"/>
  <c r="V985" i="1" s="1" a="1"/>
  <c r="V985" i="1" s="1"/>
  <c r="J199" i="1"/>
  <c r="U266" i="1"/>
  <c r="V266" i="1" s="1" a="1"/>
  <c r="V266" i="1" s="1"/>
  <c r="U1890" i="1"/>
  <c r="V1890" i="1" s="1" a="1"/>
  <c r="V1890" i="1" s="1"/>
  <c r="U1891" i="1"/>
  <c r="V1891" i="1" s="1" a="1"/>
  <c r="V1891" i="1" s="1"/>
  <c r="U1889" i="1" l="1"/>
  <c r="V1889" i="1" s="1" a="1"/>
  <c r="V1889" i="1" s="1"/>
  <c r="U1905" i="1" l="1"/>
  <c r="V1905" i="1" s="1" a="1"/>
  <c r="V1905" i="1" s="1"/>
  <c r="U1878" i="1"/>
  <c r="V1878" i="1" s="1" a="1"/>
  <c r="V1878" i="1" s="1"/>
  <c r="U1869" i="1"/>
  <c r="V1869" i="1" s="1" a="1"/>
  <c r="V1869" i="1" s="1"/>
  <c r="U1436" i="1"/>
  <c r="V1436" i="1" s="1" a="1"/>
  <c r="V1436" i="1" s="1"/>
  <c r="U1352" i="1"/>
  <c r="V1352" i="1" s="1" a="1"/>
  <c r="V1352" i="1" s="1"/>
  <c r="U1344" i="1"/>
  <c r="V1344" i="1" s="1" a="1"/>
  <c r="V1344" i="1" s="1"/>
  <c r="U1343" i="1"/>
  <c r="V1343" i="1" s="1" a="1"/>
  <c r="V1343" i="1" s="1"/>
  <c r="U1342" i="1"/>
  <c r="V1342" i="1" s="1" a="1"/>
  <c r="V1342" i="1" s="1"/>
  <c r="U1340" i="1"/>
  <c r="V1340" i="1" s="1" a="1"/>
  <c r="V1340" i="1" s="1"/>
  <c r="U1353" i="1"/>
  <c r="V1353" i="1" s="1" a="1"/>
  <c r="V1353" i="1" s="1"/>
  <c r="U274" i="1"/>
  <c r="V274" i="1" s="1" a="1"/>
  <c r="V274" i="1" s="1"/>
  <c r="N1454" i="1"/>
  <c r="O1454" i="1" s="1"/>
  <c r="N1914" i="1"/>
  <c r="O1914" i="1" s="1"/>
  <c r="V1695" i="1" a="1"/>
  <c r="V1695" i="1" s="1"/>
  <c r="M1694" i="1"/>
  <c r="O563" i="1"/>
  <c r="U1735" i="1"/>
  <c r="V1735" i="1" s="1" a="1"/>
  <c r="V1735" i="1" s="1"/>
  <c r="N2053" i="1"/>
  <c r="O2053" i="1" s="1"/>
  <c r="U2291" i="1"/>
  <c r="V2291" i="1" s="1" a="1"/>
  <c r="V2291" i="1" s="1"/>
  <c r="N2024" i="1"/>
  <c r="O2024" i="1" s="1"/>
  <c r="U1928" i="1"/>
  <c r="V1928" i="1" s="1" a="1"/>
  <c r="V1928" i="1" s="1"/>
  <c r="N1700" i="1"/>
  <c r="O1700" i="1" s="1"/>
  <c r="N234" i="1"/>
  <c r="O234" i="1" s="1"/>
  <c r="U63" i="1"/>
  <c r="V63" i="1" s="1" a="1"/>
  <c r="V63" i="1" s="1"/>
  <c r="U62" i="1"/>
  <c r="V62" i="1" s="1" a="1"/>
  <c r="V62" i="1" s="1"/>
  <c r="U61" i="1"/>
  <c r="V61" i="1" s="1" a="1"/>
  <c r="V61" i="1" s="1"/>
  <c r="U1914" i="1"/>
  <c r="V1914" i="1" s="1" a="1"/>
  <c r="V1914" i="1" s="1"/>
  <c r="U2" i="1"/>
  <c r="V2" i="1" s="1" a="1"/>
  <c r="V2" i="1" s="1"/>
  <c r="N2076" i="1"/>
  <c r="O2076" i="1" s="1"/>
  <c r="U2078" i="1"/>
  <c r="V2078" i="1" s="1" a="1"/>
  <c r="V2078" i="1" s="1"/>
  <c r="U811" i="1"/>
  <c r="V811" i="1" s="1" a="1"/>
  <c r="V811" i="1" s="1"/>
  <c r="U8" i="1"/>
  <c r="V8" i="1" s="1" a="1"/>
  <c r="V8" i="1" s="1"/>
  <c r="U1476" i="1"/>
  <c r="V1476" i="1" s="1" a="1"/>
  <c r="V1476" i="1" s="1"/>
  <c r="U1482" i="1"/>
  <c r="V1482" i="1" s="1" a="1"/>
  <c r="V1482" i="1" s="1"/>
  <c r="N28" i="1"/>
  <c r="O28" i="1" s="1"/>
  <c r="U2107" i="1"/>
  <c r="V2107" i="1" s="1" a="1"/>
  <c r="V2107" i="1" s="1"/>
  <c r="N2130" i="1"/>
  <c r="O2130" i="1" s="1"/>
  <c r="N1933" i="1"/>
  <c r="O1933" i="1" s="1"/>
  <c r="U1987" i="1"/>
  <c r="V1987" i="1" s="1" a="1"/>
  <c r="V1987" i="1" s="1"/>
  <c r="N1987" i="1"/>
  <c r="O1987" i="1" s="1"/>
  <c r="N1323" i="1"/>
  <c r="O1323" i="1" s="1"/>
  <c r="U1323" i="1"/>
  <c r="V1323" i="1" s="1" a="1"/>
  <c r="V1323" i="1" s="1"/>
  <c r="N1985" i="1"/>
  <c r="O1985" i="1" s="1"/>
  <c r="U1985" i="1"/>
  <c r="V1985" i="1" s="1" a="1"/>
  <c r="V1985" i="1" s="1"/>
  <c r="U1002" i="1"/>
  <c r="V1002" i="1" s="1" a="1"/>
  <c r="V1002" i="1" s="1"/>
  <c r="N1986" i="1"/>
  <c r="O1986" i="1" s="1"/>
  <c r="N2009" i="1"/>
  <c r="O2009" i="1" s="1"/>
  <c r="U2009" i="1"/>
  <c r="V2009" i="1" s="1" a="1"/>
  <c r="V2009" i="1" s="1"/>
  <c r="N2010" i="1"/>
  <c r="O2010" i="1" s="1"/>
  <c r="U2008" i="1"/>
  <c r="V2008" i="1" s="1" a="1"/>
  <c r="V2008" i="1" s="1"/>
  <c r="U2010" i="1"/>
  <c r="V2010" i="1" s="1" a="1"/>
  <c r="V2010" i="1" s="1"/>
  <c r="U2007" i="1"/>
  <c r="V2007" i="1" s="1" a="1"/>
  <c r="V2007" i="1" s="1"/>
  <c r="U568" i="1"/>
  <c r="V568" i="1" s="1" a="1"/>
  <c r="V568" i="1" s="1"/>
  <c r="N522" i="1"/>
  <c r="O522" i="1" s="1"/>
  <c r="U522" i="1"/>
  <c r="V522" i="1" s="1" a="1"/>
  <c r="V522" i="1" s="1"/>
  <c r="U218" i="1"/>
  <c r="V218" i="1" s="1" a="1"/>
  <c r="V218" i="1" s="1"/>
  <c r="N193" i="1"/>
  <c r="O193" i="1" s="1"/>
  <c r="N192" i="1"/>
  <c r="O192" i="1" s="1"/>
  <c r="N100" i="1"/>
  <c r="O100" i="1" s="1"/>
  <c r="U100" i="1"/>
  <c r="V100" i="1" s="1" a="1"/>
  <c r="V100" i="1" s="1"/>
  <c r="N583" i="1"/>
  <c r="O583" i="1" s="1"/>
  <c r="N333" i="1"/>
  <c r="O333" i="1" s="1"/>
  <c r="N334" i="1"/>
  <c r="O334" i="1" s="1"/>
  <c r="U333" i="1"/>
  <c r="V333" i="1" s="1" a="1"/>
  <c r="V333" i="1" s="1"/>
  <c r="U334" i="1"/>
  <c r="V334" i="1" s="1" a="1"/>
  <c r="V334" i="1" s="1"/>
  <c r="U1466" i="1"/>
  <c r="V1466" i="1" s="1" a="1"/>
  <c r="V1466" i="1" s="1"/>
  <c r="U1469" i="1"/>
  <c r="V1469" i="1" s="1" a="1"/>
  <c r="V1469" i="1" s="1"/>
  <c r="N711" i="1"/>
  <c r="O711" i="1" s="1"/>
  <c r="U595" i="1"/>
  <c r="V595" i="1" s="1" a="1"/>
  <c r="V595" i="1" s="1"/>
  <c r="U596" i="1"/>
  <c r="V596" i="1" s="1" a="1"/>
  <c r="V596" i="1" s="1"/>
  <c r="U1460" i="1"/>
  <c r="V1460" i="1" s="1" a="1"/>
  <c r="V1460" i="1" s="1"/>
  <c r="U1461" i="1"/>
  <c r="V1461" i="1" s="1" a="1"/>
  <c r="V1461" i="1" s="1"/>
  <c r="U712" i="1"/>
  <c r="V712" i="1" s="1" a="1"/>
  <c r="V712" i="1" s="1"/>
  <c r="U548" i="1"/>
  <c r="V548" i="1" s="1" a="1"/>
  <c r="V548" i="1" s="1"/>
  <c r="N548" i="1"/>
  <c r="O548" i="1" s="1"/>
  <c r="U594" i="1"/>
  <c r="V594" i="1" s="1" a="1"/>
  <c r="V594" i="1" s="1"/>
  <c r="U1140" i="1"/>
  <c r="V1140" i="1" s="1" a="1"/>
  <c r="V1140" i="1" s="1"/>
  <c r="U1886" i="1"/>
  <c r="V1886" i="1" s="1" a="1"/>
  <c r="V1886" i="1" s="1"/>
  <c r="U1887" i="1"/>
  <c r="V1887" i="1" s="1" a="1"/>
  <c r="V1887" i="1" s="1"/>
  <c r="U2065" i="1"/>
  <c r="V2065" i="1" s="1" a="1"/>
  <c r="V2065" i="1" s="1"/>
  <c r="U819" i="1"/>
  <c r="V819" i="1" s="1" a="1"/>
  <c r="V819" i="1" s="1"/>
  <c r="U17" i="1"/>
  <c r="V17" i="1" s="1" a="1"/>
  <c r="V17" i="1" s="1"/>
  <c r="U44" i="1"/>
  <c r="V44" i="1" s="1" a="1"/>
  <c r="V44" i="1" s="1"/>
  <c r="U14" i="1"/>
  <c r="V14" i="1" s="1" a="1"/>
  <c r="V14" i="1" s="1"/>
  <c r="U2225" i="1"/>
  <c r="V2225" i="1" s="1" a="1"/>
  <c r="V2225" i="1" s="1"/>
  <c r="U2226" i="1"/>
  <c r="V2226" i="1" s="1" a="1"/>
  <c r="V2226" i="1" s="1"/>
  <c r="U2230" i="1"/>
  <c r="V2230" i="1" s="1" a="1"/>
  <c r="V2230" i="1" s="1"/>
  <c r="U2229" i="1"/>
  <c r="V2229" i="1" s="1" a="1"/>
  <c r="V2229" i="1" s="1"/>
  <c r="U2228" i="1"/>
  <c r="V2228" i="1" s="1" a="1"/>
  <c r="V2228" i="1" s="1"/>
  <c r="U2227" i="1"/>
  <c r="V2227" i="1" s="1" a="1"/>
  <c r="V2227" i="1" s="1"/>
  <c r="U457" i="1"/>
  <c r="V457" i="1" s="1" a="1"/>
  <c r="V457" i="1" s="1"/>
  <c r="U1209" i="1"/>
  <c r="V1209" i="1" s="1" a="1"/>
  <c r="V1209" i="1" s="1"/>
  <c r="U3" i="1"/>
  <c r="V3" i="1" s="1" a="1"/>
  <c r="V3" i="1" s="1"/>
  <c r="U4" i="1"/>
  <c r="V4" i="1" s="1" a="1"/>
  <c r="V4" i="1" s="1"/>
  <c r="U5" i="1"/>
  <c r="V5" i="1" s="1" a="1"/>
  <c r="V5" i="1" s="1"/>
  <c r="U6" i="1"/>
  <c r="V6" i="1" s="1" a="1"/>
  <c r="V6" i="1" s="1"/>
  <c r="U7" i="1"/>
  <c r="V7" i="1" s="1" a="1"/>
  <c r="V7" i="1" s="1"/>
  <c r="U1336" i="1"/>
  <c r="V1336" i="1" s="1" a="1"/>
  <c r="V1336" i="1" s="1"/>
  <c r="U9" i="1"/>
  <c r="V9" i="1" s="1" a="1"/>
  <c r="V9" i="1" s="1"/>
  <c r="U2220" i="1"/>
  <c r="V2220" i="1" s="1" a="1"/>
  <c r="V2220" i="1" s="1"/>
  <c r="U2219" i="1"/>
  <c r="V2219" i="1" s="1" a="1"/>
  <c r="V2219" i="1" s="1"/>
  <c r="U2218" i="1"/>
  <c r="V2218" i="1" s="1" a="1"/>
  <c r="V2218" i="1" s="1"/>
  <c r="U10" i="1"/>
  <c r="V10" i="1" s="1" a="1"/>
  <c r="V10" i="1" s="1"/>
  <c r="U2024" i="1"/>
  <c r="V2024" i="1" s="1" a="1"/>
  <c r="V2024" i="1" s="1"/>
  <c r="U1974" i="1"/>
  <c r="V1974" i="1" s="1" a="1"/>
  <c r="V1974" i="1" s="1"/>
  <c r="U1975" i="1"/>
  <c r="V1975" i="1" s="1" a="1"/>
  <c r="V1975" i="1" s="1"/>
  <c r="U1935" i="1"/>
  <c r="V1935" i="1" s="1" a="1"/>
  <c r="V1935" i="1" s="1"/>
  <c r="U1934" i="1"/>
  <c r="V1934" i="1" s="1" a="1"/>
  <c r="V1934" i="1" s="1"/>
  <c r="U1976" i="1"/>
  <c r="V1976" i="1" s="1" a="1"/>
  <c r="V1976" i="1" s="1"/>
  <c r="U1977" i="1"/>
  <c r="V1977" i="1" s="1" a="1"/>
  <c r="V1977" i="1" s="1"/>
  <c r="U1933" i="1"/>
  <c r="V1933" i="1" s="1" a="1"/>
  <c r="V1933" i="1" s="1"/>
  <c r="U841" i="1"/>
  <c r="V841" i="1" s="1" a="1"/>
  <c r="V841" i="1" s="1"/>
  <c r="U11" i="1"/>
  <c r="V11" i="1" s="1" a="1"/>
  <c r="V11" i="1" s="1"/>
  <c r="U12" i="1"/>
  <c r="V12" i="1" s="1" a="1"/>
  <c r="V12" i="1" s="1"/>
  <c r="U1451" i="1"/>
  <c r="V1451" i="1" s="1" a="1"/>
  <c r="V1451" i="1" s="1"/>
  <c r="V1906" i="1" a="1"/>
  <c r="V1906" i="1" s="1"/>
  <c r="V1907" i="1" a="1"/>
  <c r="V1907" i="1" s="1"/>
  <c r="V1911" i="1" a="1"/>
  <c r="V1911" i="1" s="1"/>
  <c r="V1910" i="1" a="1"/>
  <c r="V1910" i="1" s="1"/>
  <c r="V1908" i="1" a="1"/>
  <c r="V1908" i="1" s="1"/>
  <c r="V1909" i="1" a="1"/>
  <c r="V1909" i="1" s="1"/>
  <c r="U578" i="1"/>
  <c r="V578" i="1" s="1" a="1"/>
  <c r="V578" i="1" s="1"/>
  <c r="U574" i="1"/>
  <c r="V574" i="1" s="1" a="1"/>
  <c r="V574" i="1" s="1"/>
  <c r="U576" i="1"/>
  <c r="V576" i="1" s="1" a="1"/>
  <c r="V576" i="1" s="1"/>
  <c r="U575" i="1"/>
  <c r="V575" i="1" s="1" a="1"/>
  <c r="V575" i="1" s="1"/>
  <c r="U577" i="1"/>
  <c r="V577" i="1" s="1" a="1"/>
  <c r="V577" i="1" s="1"/>
  <c r="U573" i="1"/>
  <c r="V573" i="1" s="1" a="1"/>
  <c r="V573" i="1" s="1"/>
  <c r="U571" i="1"/>
  <c r="V571" i="1" s="1" a="1"/>
  <c r="V571" i="1" s="1"/>
  <c r="U572" i="1"/>
  <c r="V572" i="1" s="1" a="1"/>
  <c r="V572" i="1" s="1"/>
  <c r="U580" i="1"/>
  <c r="V580" i="1" s="1" a="1"/>
  <c r="V580" i="1" s="1"/>
  <c r="U581" i="1"/>
  <c r="V581" i="1" s="1" a="1"/>
  <c r="V581" i="1" s="1"/>
  <c r="U588" i="1"/>
  <c r="V588" i="1" s="1" a="1"/>
  <c r="V588" i="1" s="1"/>
  <c r="U2056" i="1"/>
  <c r="V2056" i="1" s="1" a="1"/>
  <c r="V2056" i="1" s="1"/>
  <c r="U2055" i="1"/>
  <c r="V2055" i="1" s="1" a="1"/>
  <c r="V2055" i="1" s="1"/>
  <c r="U641" i="1"/>
  <c r="V641" i="1" s="1" a="1"/>
  <c r="V641" i="1" s="1"/>
  <c r="U642" i="1"/>
  <c r="V642" i="1" s="1" a="1"/>
  <c r="V642" i="1" s="1"/>
  <c r="U643" i="1"/>
  <c r="V643" i="1" s="1" a="1"/>
  <c r="V643" i="1" s="1"/>
  <c r="U2255" i="1"/>
  <c r="V2255" i="1" s="1" a="1"/>
  <c r="V2255" i="1" s="1"/>
  <c r="U2254" i="1"/>
  <c r="V2254" i="1" s="1" a="1"/>
  <c r="V2254" i="1" s="1"/>
  <c r="U1484" i="1"/>
  <c r="V1484" i="1" s="1" a="1"/>
  <c r="V1484" i="1" s="1"/>
  <c r="U1485" i="1"/>
  <c r="V1485" i="1" s="1" a="1"/>
  <c r="V1485" i="1" s="1"/>
  <c r="U1486" i="1"/>
  <c r="V1486" i="1" s="1" a="1"/>
  <c r="V1486" i="1" s="1"/>
  <c r="U1481" i="1"/>
  <c r="V1481" i="1" s="1" a="1"/>
  <c r="V1481" i="1" s="1"/>
  <c r="U1477" i="1"/>
  <c r="V1477" i="1" s="1" a="1"/>
  <c r="V1477" i="1" s="1"/>
  <c r="U1478" i="1"/>
  <c r="V1478" i="1" s="1" a="1"/>
  <c r="V1478" i="1" s="1"/>
  <c r="U1487" i="1"/>
  <c r="V1487" i="1" s="1" a="1"/>
  <c r="V1487" i="1" s="1"/>
  <c r="U1483" i="1"/>
  <c r="V1483" i="1" s="1" a="1"/>
  <c r="V1483" i="1" s="1"/>
  <c r="U1479" i="1"/>
  <c r="V1479" i="1" s="1" a="1"/>
  <c r="V1479" i="1" s="1"/>
  <c r="U1480" i="1"/>
  <c r="V1480" i="1" s="1" a="1"/>
  <c r="V1480" i="1" s="1"/>
  <c r="U22" i="1"/>
  <c r="V22" i="1" s="1" a="1"/>
  <c r="V22" i="1" s="1"/>
  <c r="U23" i="1"/>
  <c r="V23" i="1" s="1" a="1"/>
  <c r="V23" i="1" s="1"/>
  <c r="U24" i="1"/>
  <c r="V24" i="1" s="1" a="1"/>
  <c r="V24" i="1" s="1"/>
  <c r="U25" i="1"/>
  <c r="V25" i="1" s="1" a="1"/>
  <c r="V25" i="1" s="1"/>
  <c r="U26" i="1"/>
  <c r="V26" i="1" s="1" a="1"/>
  <c r="V26" i="1" s="1"/>
  <c r="U733" i="1"/>
  <c r="V733" i="1" s="1" a="1"/>
  <c r="V733" i="1" s="1"/>
  <c r="U709" i="1"/>
  <c r="V709" i="1" s="1" a="1"/>
  <c r="V709" i="1" s="1"/>
  <c r="U710" i="1"/>
  <c r="V710" i="1" s="1" a="1"/>
  <c r="V710" i="1" s="1"/>
  <c r="U336" i="1"/>
  <c r="V336" i="1" s="1" a="1"/>
  <c r="V336" i="1" s="1"/>
  <c r="U335" i="1"/>
  <c r="V335" i="1" s="1" a="1"/>
  <c r="V335" i="1" s="1"/>
  <c r="U317" i="1"/>
  <c r="V317" i="1" s="1" a="1"/>
  <c r="V317" i="1" s="1"/>
  <c r="U318" i="1"/>
  <c r="V318" i="1" s="1" a="1"/>
  <c r="V318" i="1" s="1"/>
  <c r="U319" i="1"/>
  <c r="V319" i="1" s="1" a="1"/>
  <c r="V319" i="1" s="1"/>
  <c r="U320" i="1"/>
  <c r="V320" i="1" s="1" a="1"/>
  <c r="V320" i="1" s="1"/>
  <c r="U321" i="1"/>
  <c r="V321" i="1" s="1" a="1"/>
  <c r="V321" i="1" s="1"/>
  <c r="U322" i="1"/>
  <c r="V322" i="1" s="1" a="1"/>
  <c r="V322" i="1" s="1"/>
  <c r="U323" i="1"/>
  <c r="V323" i="1" s="1" a="1"/>
  <c r="V323" i="1" s="1"/>
  <c r="U324" i="1"/>
  <c r="V324" i="1" s="1" a="1"/>
  <c r="V324" i="1" s="1"/>
  <c r="U325" i="1"/>
  <c r="V325" i="1" s="1" a="1"/>
  <c r="V325" i="1" s="1"/>
  <c r="U326" i="1"/>
  <c r="V326" i="1" s="1" a="1"/>
  <c r="V326" i="1" s="1"/>
  <c r="U327" i="1"/>
  <c r="V327" i="1" s="1" a="1"/>
  <c r="V327" i="1" s="1"/>
  <c r="U328" i="1"/>
  <c r="V328" i="1" s="1" a="1"/>
  <c r="V328" i="1" s="1"/>
  <c r="U329" i="1"/>
  <c r="V329" i="1" s="1" a="1"/>
  <c r="V329" i="1" s="1"/>
  <c r="U330" i="1"/>
  <c r="V330" i="1" s="1" a="1"/>
  <c r="V330" i="1" s="1"/>
  <c r="U331" i="1"/>
  <c r="V331" i="1" s="1" a="1"/>
  <c r="V331" i="1" s="1"/>
  <c r="U332" i="1"/>
  <c r="V332" i="1" s="1" a="1"/>
  <c r="V332" i="1" s="1"/>
  <c r="U337" i="1"/>
  <c r="V337" i="1" s="1" a="1"/>
  <c r="V337" i="1" s="1"/>
  <c r="U281" i="1"/>
  <c r="V281" i="1" s="1" a="1"/>
  <c r="V281" i="1" s="1"/>
  <c r="U734" i="1"/>
  <c r="V734" i="1" s="1" a="1"/>
  <c r="V734" i="1" s="1"/>
  <c r="U708" i="1"/>
  <c r="V708" i="1" s="1" a="1"/>
  <c r="V708" i="1" s="1"/>
  <c r="U735" i="1"/>
  <c r="V735" i="1" s="1" a="1"/>
  <c r="V735" i="1" s="1"/>
  <c r="U711" i="1"/>
  <c r="V711" i="1" s="1" a="1"/>
  <c r="V711" i="1" s="1"/>
  <c r="U713" i="1"/>
  <c r="V713" i="1" s="1" a="1"/>
  <c r="V713" i="1" s="1"/>
  <c r="U714" i="1"/>
  <c r="V714" i="1" s="1" a="1"/>
  <c r="V714" i="1" s="1"/>
  <c r="U715" i="1"/>
  <c r="V715" i="1" s="1" a="1"/>
  <c r="V715" i="1" s="1"/>
  <c r="U745" i="1"/>
  <c r="V745" i="1" s="1" a="1"/>
  <c r="V745" i="1" s="1"/>
  <c r="U716" i="1"/>
  <c r="V716" i="1" s="1" a="1"/>
  <c r="V716" i="1" s="1"/>
  <c r="U717" i="1"/>
  <c r="V717" i="1" s="1" a="1"/>
  <c r="V717" i="1" s="1"/>
  <c r="U718" i="1"/>
  <c r="V718" i="1" s="1" a="1"/>
  <c r="V718" i="1" s="1"/>
  <c r="U2058" i="1"/>
  <c r="V2058" i="1" s="1" a="1"/>
  <c r="V2058" i="1" s="1"/>
  <c r="U2059" i="1"/>
  <c r="V2059" i="1" s="1" a="1"/>
  <c r="V2059" i="1" s="1"/>
  <c r="U2263" i="1"/>
  <c r="V2263" i="1" s="1" a="1"/>
  <c r="V2263" i="1" s="1"/>
  <c r="U2262" i="1"/>
  <c r="V2262" i="1" s="1" a="1"/>
  <c r="V2262" i="1" s="1"/>
  <c r="U2060" i="1"/>
  <c r="V2060" i="1" s="1" a="1"/>
  <c r="V2060" i="1" s="1"/>
  <c r="U2061" i="1"/>
  <c r="V2061" i="1" s="1" a="1"/>
  <c r="V2061" i="1" s="1"/>
  <c r="U719" i="1"/>
  <c r="V719" i="1" s="1" a="1"/>
  <c r="V719" i="1" s="1"/>
  <c r="U720" i="1"/>
  <c r="V720" i="1" s="1" a="1"/>
  <c r="V720" i="1" s="1"/>
  <c r="U736" i="1"/>
  <c r="V736" i="1" s="1" a="1"/>
  <c r="V736" i="1" s="1"/>
  <c r="U721" i="1"/>
  <c r="V721" i="1" s="1" a="1"/>
  <c r="V721" i="1" s="1"/>
  <c r="U737" i="1"/>
  <c r="V737" i="1" s="1" a="1"/>
  <c r="V737" i="1" s="1"/>
  <c r="U722" i="1"/>
  <c r="V722" i="1" s="1" a="1"/>
  <c r="V722" i="1" s="1"/>
  <c r="U744" i="1"/>
  <c r="V744" i="1" s="1" a="1"/>
  <c r="V744" i="1" s="1"/>
  <c r="U723" i="1"/>
  <c r="V723" i="1" s="1" a="1"/>
  <c r="V723" i="1" s="1"/>
  <c r="U706" i="1"/>
  <c r="V706" i="1" s="1" a="1"/>
  <c r="V706" i="1" s="1"/>
  <c r="U724" i="1"/>
  <c r="V724" i="1" s="1" a="1"/>
  <c r="V724" i="1" s="1"/>
  <c r="U725" i="1"/>
  <c r="V725" i="1" s="1" a="1"/>
  <c r="V725" i="1" s="1"/>
  <c r="U726" i="1"/>
  <c r="V726" i="1" s="1" a="1"/>
  <c r="V726" i="1" s="1"/>
  <c r="U738" i="1"/>
  <c r="V738" i="1" s="1" a="1"/>
  <c r="V738" i="1" s="1"/>
  <c r="U707" i="1"/>
  <c r="V707" i="1" s="1" a="1"/>
  <c r="V707" i="1" s="1"/>
  <c r="U739" i="1"/>
  <c r="V739" i="1" s="1" a="1"/>
  <c r="V739" i="1" s="1"/>
  <c r="U727" i="1"/>
  <c r="V727" i="1" s="1" a="1"/>
  <c r="V727" i="1" s="1"/>
  <c r="U2062" i="1"/>
  <c r="V2062" i="1" s="1" a="1"/>
  <c r="V2062" i="1" s="1"/>
  <c r="U279" i="1"/>
  <c r="V279" i="1" s="1" a="1"/>
  <c r="V279" i="1" s="1"/>
  <c r="U2063" i="1"/>
  <c r="V2063" i="1" s="1" a="1"/>
  <c r="V2063" i="1" s="1"/>
  <c r="U740" i="1"/>
  <c r="V740" i="1" s="1" a="1"/>
  <c r="V740" i="1" s="1"/>
  <c r="U728" i="1"/>
  <c r="V728" i="1" s="1" a="1"/>
  <c r="V728" i="1" s="1"/>
  <c r="U741" i="1"/>
  <c r="V741" i="1" s="1" a="1"/>
  <c r="V741" i="1" s="1"/>
  <c r="U742" i="1"/>
  <c r="V742" i="1" s="1" a="1"/>
  <c r="V742" i="1" s="1"/>
  <c r="U729" i="1"/>
  <c r="V729" i="1" s="1" a="1"/>
  <c r="V729" i="1" s="1"/>
  <c r="U730" i="1"/>
  <c r="V730" i="1" s="1" a="1"/>
  <c r="V730" i="1" s="1"/>
  <c r="U731" i="1"/>
  <c r="V731" i="1" s="1" a="1"/>
  <c r="V731" i="1" s="1"/>
  <c r="U743" i="1"/>
  <c r="V743" i="1" s="1" a="1"/>
  <c r="V743" i="1" s="1"/>
  <c r="U732" i="1"/>
  <c r="V732" i="1" s="1" a="1"/>
  <c r="V732" i="1" s="1"/>
  <c r="U1494" i="1"/>
  <c r="V1494" i="1" s="1" a="1"/>
  <c r="V1494" i="1" s="1"/>
  <c r="U151" i="1"/>
  <c r="V151" i="1" s="1" a="1"/>
  <c r="V151" i="1" s="1"/>
  <c r="U152" i="1"/>
  <c r="V152" i="1" s="1" a="1"/>
  <c r="V152" i="1" s="1"/>
  <c r="U153" i="1"/>
  <c r="V153" i="1" s="1" a="1"/>
  <c r="V153" i="1" s="1"/>
  <c r="U806" i="1"/>
  <c r="V806" i="1" s="1" a="1"/>
  <c r="V806" i="1" s="1"/>
  <c r="U807" i="1"/>
  <c r="V807" i="1" s="1" a="1"/>
  <c r="V807" i="1" s="1"/>
  <c r="U809" i="1"/>
  <c r="V809" i="1" s="1" a="1"/>
  <c r="V809" i="1" s="1"/>
  <c r="U808" i="1"/>
  <c r="V808" i="1" s="1" a="1"/>
  <c r="V808" i="1" s="1"/>
  <c r="U810" i="1"/>
  <c r="V810" i="1" s="1" a="1"/>
  <c r="V810" i="1" s="1"/>
  <c r="U802" i="1"/>
  <c r="V802" i="1" s="1" a="1"/>
  <c r="V802" i="1" s="1"/>
  <c r="U803" i="1"/>
  <c r="V803" i="1" s="1" a="1"/>
  <c r="V803" i="1" s="1"/>
  <c r="U804" i="1"/>
  <c r="V804" i="1" s="1" a="1"/>
  <c r="V804" i="1" s="1"/>
  <c r="U805" i="1"/>
  <c r="V805" i="1" s="1" a="1"/>
  <c r="V805" i="1" s="1"/>
  <c r="U817" i="1"/>
  <c r="V817" i="1" s="1" a="1"/>
  <c r="V817" i="1" s="1"/>
  <c r="U816" i="1"/>
  <c r="V816" i="1" s="1" a="1"/>
  <c r="V816" i="1" s="1"/>
  <c r="U27" i="1"/>
  <c r="V27" i="1" s="1" a="1"/>
  <c r="V27" i="1" s="1"/>
  <c r="U28" i="1"/>
  <c r="V28" i="1" s="1" a="1"/>
  <c r="V28" i="1" s="1"/>
  <c r="U1760" i="1"/>
  <c r="V1760" i="1" s="1" a="1"/>
  <c r="V1760" i="1" s="1"/>
  <c r="U1755" i="1"/>
  <c r="V1755" i="1" s="1" a="1"/>
  <c r="V1755" i="1" s="1"/>
  <c r="U1756" i="1"/>
  <c r="V1756" i="1" s="1" a="1"/>
  <c r="V1756" i="1" s="1"/>
  <c r="U1757" i="1"/>
  <c r="V1757" i="1" s="1" a="1"/>
  <c r="V1757" i="1" s="1"/>
  <c r="U1758" i="1"/>
  <c r="V1758" i="1" s="1" a="1"/>
  <c r="V1758" i="1" s="1"/>
  <c r="U1759" i="1"/>
  <c r="V1759" i="1" s="1" a="1"/>
  <c r="V1759" i="1" s="1"/>
  <c r="U1808" i="1"/>
  <c r="V1808" i="1" s="1" a="1"/>
  <c r="V1808" i="1" s="1"/>
  <c r="U1810" i="1"/>
  <c r="V1810" i="1" s="1" a="1"/>
  <c r="V1810" i="1" s="1"/>
  <c r="U1806" i="1"/>
  <c r="V1806" i="1" s="1" a="1"/>
  <c r="V1806" i="1" s="1"/>
  <c r="U1807" i="1"/>
  <c r="V1807" i="1" s="1" a="1"/>
  <c r="V1807" i="1" s="1"/>
  <c r="U1761" i="1"/>
  <c r="V1761" i="1" s="1" a="1"/>
  <c r="V1761" i="1" s="1"/>
  <c r="U1762" i="1"/>
  <c r="V1762" i="1" s="1" a="1"/>
  <c r="V1762" i="1" s="1"/>
  <c r="U875" i="1"/>
  <c r="V875" i="1" s="1" a="1"/>
  <c r="V875" i="1" s="1"/>
  <c r="U29" i="1"/>
  <c r="V29" i="1" s="1" a="1"/>
  <c r="V29" i="1" s="1"/>
  <c r="U1763" i="1"/>
  <c r="V1763" i="1" s="1" a="1"/>
  <c r="V1763" i="1" s="1"/>
  <c r="U1764" i="1"/>
  <c r="V1764" i="1" s="1" a="1"/>
  <c r="V1764" i="1" s="1"/>
  <c r="U160" i="1"/>
  <c r="V160" i="1" s="1" a="1"/>
  <c r="V160" i="1" s="1"/>
  <c r="U161" i="1"/>
  <c r="V161" i="1" s="1" a="1"/>
  <c r="V161" i="1" s="1"/>
  <c r="U162" i="1"/>
  <c r="V162" i="1" s="1" a="1"/>
  <c r="V162" i="1" s="1"/>
  <c r="U166" i="1"/>
  <c r="V166" i="1" s="1" a="1"/>
  <c r="V166" i="1" s="1"/>
  <c r="U165" i="1"/>
  <c r="V165" i="1" s="1" a="1"/>
  <c r="V165" i="1" s="1"/>
  <c r="U163" i="1"/>
  <c r="V163" i="1" s="1" a="1"/>
  <c r="V163" i="1" s="1"/>
  <c r="U164" i="1"/>
  <c r="V164" i="1" s="1" a="1"/>
  <c r="V164" i="1" s="1"/>
  <c r="U1765" i="1"/>
  <c r="V1765" i="1" s="1" a="1"/>
  <c r="V1765" i="1" s="1"/>
  <c r="U1766" i="1"/>
  <c r="V1766" i="1" s="1" a="1"/>
  <c r="V1766" i="1" s="1"/>
  <c r="U2273" i="1"/>
  <c r="V2273" i="1" s="1" a="1"/>
  <c r="V2273" i="1" s="1"/>
  <c r="U2274" i="1"/>
  <c r="V2274" i="1" s="1" a="1"/>
  <c r="V2274" i="1" s="1"/>
  <c r="U2068" i="1"/>
  <c r="V2068" i="1" s="1" a="1"/>
  <c r="V2068" i="1" s="1"/>
  <c r="U868" i="1"/>
  <c r="V868" i="1" s="1" a="1"/>
  <c r="V868" i="1" s="1"/>
  <c r="U1767" i="1"/>
  <c r="V1767" i="1" s="1" a="1"/>
  <c r="V1767" i="1" s="1"/>
  <c r="U1750" i="1"/>
  <c r="V1750" i="1" s="1" a="1"/>
  <c r="V1750" i="1" s="1"/>
  <c r="U1733" i="1"/>
  <c r="V1733" i="1" s="1" a="1"/>
  <c r="V1733" i="1" s="1"/>
  <c r="U1734" i="1"/>
  <c r="V1734" i="1" s="1" a="1"/>
  <c r="V1734" i="1" s="1"/>
  <c r="U1736" i="1"/>
  <c r="V1736" i="1" s="1" a="1"/>
  <c r="V1736" i="1" s="1"/>
  <c r="U1737" i="1"/>
  <c r="V1737" i="1" s="1" a="1"/>
  <c r="V1737" i="1" s="1"/>
  <c r="U1738" i="1"/>
  <c r="V1738" i="1" s="1" a="1"/>
  <c r="V1738" i="1" s="1"/>
  <c r="U1739" i="1"/>
  <c r="V1739" i="1" s="1" a="1"/>
  <c r="V1739" i="1" s="1"/>
  <c r="U1740" i="1"/>
  <c r="V1740" i="1" s="1" a="1"/>
  <c r="V1740" i="1" s="1"/>
  <c r="U1741" i="1"/>
  <c r="V1741" i="1" s="1" a="1"/>
  <c r="V1741" i="1" s="1"/>
  <c r="U1742" i="1"/>
  <c r="V1742" i="1" s="1" a="1"/>
  <c r="V1742" i="1" s="1"/>
  <c r="U1743" i="1"/>
  <c r="V1743" i="1" s="1" a="1"/>
  <c r="V1743" i="1" s="1"/>
  <c r="U1744" i="1"/>
  <c r="V1744" i="1" s="1" a="1"/>
  <c r="V1744" i="1" s="1"/>
  <c r="U1745" i="1"/>
  <c r="V1745" i="1" s="1" a="1"/>
  <c r="V1745" i="1" s="1"/>
  <c r="U1746" i="1"/>
  <c r="V1746" i="1" s="1" a="1"/>
  <c r="V1746" i="1" s="1"/>
  <c r="U1747" i="1"/>
  <c r="V1747" i="1" s="1" a="1"/>
  <c r="V1747" i="1" s="1"/>
  <c r="U1748" i="1"/>
  <c r="V1748" i="1" s="1" a="1"/>
  <c r="V1748" i="1" s="1"/>
  <c r="U1749" i="1"/>
  <c r="V1749" i="1" s="1" a="1"/>
  <c r="V1749" i="1" s="1"/>
  <c r="U1706" i="1"/>
  <c r="V1706" i="1" s="1" a="1"/>
  <c r="V1706" i="1" s="1"/>
  <c r="U1707" i="1"/>
  <c r="V1707" i="1" s="1" a="1"/>
  <c r="V1707" i="1" s="1"/>
  <c r="U1708" i="1"/>
  <c r="V1708" i="1" s="1" a="1"/>
  <c r="V1708" i="1" s="1"/>
  <c r="U1709" i="1"/>
  <c r="V1709" i="1" s="1" a="1"/>
  <c r="V1709" i="1" s="1"/>
  <c r="U1710" i="1"/>
  <c r="V1710" i="1" s="1" a="1"/>
  <c r="V1710" i="1" s="1"/>
  <c r="U1711" i="1"/>
  <c r="V1711" i="1" s="1" a="1"/>
  <c r="V1711" i="1" s="1"/>
  <c r="U1712" i="1"/>
  <c r="V1712" i="1" s="1" a="1"/>
  <c r="V1712" i="1" s="1"/>
  <c r="U1713" i="1"/>
  <c r="V1713" i="1" s="1" a="1"/>
  <c r="V1713" i="1" s="1"/>
  <c r="U1714" i="1"/>
  <c r="V1714" i="1" s="1" a="1"/>
  <c r="V1714" i="1" s="1"/>
  <c r="U1715" i="1"/>
  <c r="V1715" i="1" s="1" a="1"/>
  <c r="V1715" i="1" s="1"/>
  <c r="U1716" i="1"/>
  <c r="V1716" i="1" s="1" a="1"/>
  <c r="V1716" i="1" s="1"/>
  <c r="U1717" i="1"/>
  <c r="V1717" i="1" s="1" a="1"/>
  <c r="V1717" i="1" s="1"/>
  <c r="U1718" i="1"/>
  <c r="V1718" i="1" s="1" a="1"/>
  <c r="V1718" i="1" s="1"/>
  <c r="U1719" i="1"/>
  <c r="V1719" i="1" s="1" a="1"/>
  <c r="V1719" i="1" s="1"/>
  <c r="U1720" i="1"/>
  <c r="V1720" i="1" s="1" a="1"/>
  <c r="V1720" i="1" s="1"/>
  <c r="U1721" i="1"/>
  <c r="V1721" i="1" s="1" a="1"/>
  <c r="V1721" i="1" s="1"/>
  <c r="U1722" i="1"/>
  <c r="V1722" i="1" s="1" a="1"/>
  <c r="V1722" i="1" s="1"/>
  <c r="U1723" i="1"/>
  <c r="V1723" i="1" s="1" a="1"/>
  <c r="V1723" i="1" s="1"/>
  <c r="U1724" i="1"/>
  <c r="V1724" i="1" s="1" a="1"/>
  <c r="V1724" i="1" s="1"/>
  <c r="U1725" i="1"/>
  <c r="V1725" i="1" s="1" a="1"/>
  <c r="V1725" i="1" s="1"/>
  <c r="U1726" i="1"/>
  <c r="V1726" i="1" s="1" a="1"/>
  <c r="V1726" i="1" s="1"/>
  <c r="U1727" i="1"/>
  <c r="V1727" i="1" s="1" a="1"/>
  <c r="V1727" i="1" s="1"/>
  <c r="U1728" i="1"/>
  <c r="V1728" i="1" s="1" a="1"/>
  <c r="V1728" i="1" s="1"/>
  <c r="U1729" i="1"/>
  <c r="V1729" i="1" s="1" a="1"/>
  <c r="V1729" i="1" s="1"/>
  <c r="U1730" i="1"/>
  <c r="V1730" i="1" s="1" a="1"/>
  <c r="V1730" i="1" s="1"/>
  <c r="U1731" i="1"/>
  <c r="V1731" i="1" s="1" a="1"/>
  <c r="V1731" i="1" s="1"/>
  <c r="U1732" i="1"/>
  <c r="V1732" i="1" s="1" a="1"/>
  <c r="V1732" i="1" s="1"/>
  <c r="U1809" i="1"/>
  <c r="V1809" i="1" s="1" a="1"/>
  <c r="V1809" i="1" s="1"/>
  <c r="U877" i="1"/>
  <c r="V877" i="1" s="1" a="1"/>
  <c r="V877" i="1" s="1"/>
  <c r="U850" i="1"/>
  <c r="V850" i="1" s="1" a="1"/>
  <c r="V850" i="1" s="1"/>
  <c r="U853" i="1"/>
  <c r="V853" i="1" s="1" a="1"/>
  <c r="V853" i="1" s="1"/>
  <c r="U852" i="1"/>
  <c r="V852" i="1" s="1" a="1"/>
  <c r="V852" i="1" s="1"/>
  <c r="U851" i="1"/>
  <c r="V851" i="1" s="1" a="1"/>
  <c r="V851" i="1" s="1"/>
  <c r="U33" i="1"/>
  <c r="V33" i="1" s="1" a="1"/>
  <c r="V33" i="1" s="1"/>
  <c r="U32" i="1"/>
  <c r="V32" i="1" s="1" a="1"/>
  <c r="V32" i="1" s="1"/>
  <c r="U31" i="1"/>
  <c r="V31" i="1" s="1" a="1"/>
  <c r="V31" i="1" s="1"/>
  <c r="U30" i="1"/>
  <c r="V30" i="1" s="1" a="1"/>
  <c r="V30" i="1" s="1"/>
  <c r="U97" i="1"/>
  <c r="V97" i="1" s="1" a="1"/>
  <c r="V97" i="1" s="1"/>
  <c r="U98" i="1"/>
  <c r="V98" i="1" s="1" a="1"/>
  <c r="V98" i="1" s="1"/>
  <c r="U101" i="1"/>
  <c r="V101" i="1" s="1" a="1"/>
  <c r="V101" i="1" s="1"/>
  <c r="U99" i="1"/>
  <c r="V99" i="1" s="1" a="1"/>
  <c r="V99" i="1" s="1"/>
  <c r="U1768" i="1"/>
  <c r="V1768" i="1" s="1" a="1"/>
  <c r="V1768" i="1" s="1"/>
  <c r="U1769" i="1"/>
  <c r="V1769" i="1" s="1" a="1"/>
  <c r="V1769" i="1" s="1"/>
  <c r="U1770" i="1"/>
  <c r="V1770" i="1" s="1" a="1"/>
  <c r="V1770" i="1" s="1"/>
  <c r="U1771" i="1"/>
  <c r="V1771" i="1" s="1" a="1"/>
  <c r="V1771" i="1" s="1"/>
  <c r="U1772" i="1"/>
  <c r="V1772" i="1" s="1" a="1"/>
  <c r="V1772" i="1" s="1"/>
  <c r="U1773" i="1"/>
  <c r="V1773" i="1" s="1" a="1"/>
  <c r="V1773" i="1" s="1"/>
  <c r="U1774" i="1"/>
  <c r="V1774" i="1" s="1" a="1"/>
  <c r="V1774" i="1" s="1"/>
  <c r="U825" i="1"/>
  <c r="V825" i="1" s="1" a="1"/>
  <c r="V825" i="1" s="1"/>
  <c r="U1775" i="1"/>
  <c r="V1775" i="1" s="1" a="1"/>
  <c r="V1775" i="1" s="1"/>
  <c r="U1776" i="1"/>
  <c r="V1776" i="1" s="1" a="1"/>
  <c r="V1776" i="1" s="1"/>
  <c r="U1777" i="1"/>
  <c r="V1777" i="1" s="1" a="1"/>
  <c r="V1777" i="1" s="1"/>
  <c r="U1778" i="1"/>
  <c r="V1778" i="1" s="1" a="1"/>
  <c r="V1778" i="1" s="1"/>
  <c r="U1779" i="1"/>
  <c r="V1779" i="1" s="1" a="1"/>
  <c r="V1779" i="1" s="1"/>
  <c r="U1780" i="1"/>
  <c r="V1780" i="1" s="1" a="1"/>
  <c r="V1780" i="1" s="1"/>
  <c r="U2272" i="1"/>
  <c r="V2272" i="1" s="1" a="1"/>
  <c r="V2272" i="1" s="1"/>
  <c r="U1781" i="1"/>
  <c r="V1781" i="1" s="1" a="1"/>
  <c r="V1781" i="1" s="1"/>
  <c r="U1021" i="1"/>
  <c r="V1021" i="1" s="1" a="1"/>
  <c r="V1021" i="1" s="1"/>
  <c r="U1782" i="1"/>
  <c r="V1782" i="1" s="1" a="1"/>
  <c r="V1782" i="1" s="1"/>
  <c r="U2269" i="1"/>
  <c r="V2269" i="1" s="1" a="1"/>
  <c r="V2269" i="1" s="1"/>
  <c r="U1783" i="1"/>
  <c r="V1783" i="1" s="1" a="1"/>
  <c r="V1783" i="1" s="1"/>
  <c r="U822" i="1"/>
  <c r="V822" i="1" s="1" a="1"/>
  <c r="V822" i="1" s="1"/>
  <c r="U823" i="1"/>
  <c r="V823" i="1" s="1" a="1"/>
  <c r="V823" i="1" s="1"/>
  <c r="U824" i="1"/>
  <c r="V824" i="1" s="1" a="1"/>
  <c r="V824" i="1" s="1"/>
  <c r="U1784" i="1"/>
  <c r="V1784" i="1" s="1" a="1"/>
  <c r="V1784" i="1" s="1"/>
  <c r="U2277" i="1"/>
  <c r="V2277" i="1" s="1" a="1"/>
  <c r="V2277" i="1" s="1"/>
  <c r="U2278" i="1"/>
  <c r="V2278" i="1" s="1" a="1"/>
  <c r="V2278" i="1" s="1"/>
  <c r="U1785" i="1"/>
  <c r="V1785" i="1" s="1" a="1"/>
  <c r="V1785" i="1" s="1"/>
  <c r="U854" i="1"/>
  <c r="V854" i="1" s="1" a="1"/>
  <c r="V854" i="1" s="1"/>
  <c r="U855" i="1"/>
  <c r="V855" i="1" s="1" a="1"/>
  <c r="V855" i="1" s="1"/>
  <c r="U858" i="1"/>
  <c r="V858" i="1" s="1" a="1"/>
  <c r="V858" i="1" s="1"/>
  <c r="U859" i="1"/>
  <c r="V859" i="1" s="1" a="1"/>
  <c r="V859" i="1" s="1"/>
  <c r="U856" i="1"/>
  <c r="V856" i="1" s="1" a="1"/>
  <c r="V856" i="1" s="1"/>
  <c r="U857" i="1"/>
  <c r="V857" i="1" s="1" a="1"/>
  <c r="V857" i="1" s="1"/>
  <c r="U2067" i="1"/>
  <c r="V2067" i="1" s="1" a="1"/>
  <c r="V2067" i="1" s="1"/>
  <c r="U1786" i="1"/>
  <c r="V1786" i="1" s="1" a="1"/>
  <c r="V1786" i="1" s="1"/>
  <c r="U1787" i="1"/>
  <c r="V1787" i="1" s="1" a="1"/>
  <c r="V1787" i="1" s="1"/>
  <c r="U1788" i="1"/>
  <c r="V1788" i="1" s="1" a="1"/>
  <c r="V1788" i="1" s="1"/>
  <c r="U1789" i="1"/>
  <c r="V1789" i="1" s="1" a="1"/>
  <c r="V1789" i="1" s="1"/>
  <c r="U1790" i="1"/>
  <c r="V1790" i="1" s="1" a="1"/>
  <c r="V1790" i="1" s="1"/>
  <c r="U1791" i="1"/>
  <c r="V1791" i="1" s="1" a="1"/>
  <c r="V1791" i="1" s="1"/>
  <c r="U1792" i="1"/>
  <c r="V1792" i="1" s="1" a="1"/>
  <c r="V1792" i="1" s="1"/>
  <c r="U1793" i="1"/>
  <c r="V1793" i="1" s="1" a="1"/>
  <c r="V1793" i="1" s="1"/>
  <c r="U2275" i="1"/>
  <c r="V2275" i="1" s="1" a="1"/>
  <c r="V2275" i="1" s="1"/>
  <c r="U2276" i="1"/>
  <c r="V2276" i="1" s="1" a="1"/>
  <c r="V2276" i="1" s="1"/>
  <c r="U878" i="1"/>
  <c r="V878" i="1" s="1" a="1"/>
  <c r="V878" i="1" s="1"/>
  <c r="U1794" i="1"/>
  <c r="V1794" i="1" s="1" a="1"/>
  <c r="V1794" i="1" s="1"/>
  <c r="U1795" i="1"/>
  <c r="V1795" i="1" s="1" a="1"/>
  <c r="V1795" i="1" s="1"/>
  <c r="U1796" i="1"/>
  <c r="V1796" i="1" s="1" a="1"/>
  <c r="V1796" i="1" s="1"/>
  <c r="U1797" i="1"/>
  <c r="V1797" i="1" s="1" a="1"/>
  <c r="V1797" i="1" s="1"/>
  <c r="U2270" i="1"/>
  <c r="V2270" i="1" s="1" a="1"/>
  <c r="V2270" i="1" s="1"/>
  <c r="U2271" i="1"/>
  <c r="V2271" i="1" s="1" a="1"/>
  <c r="V2271" i="1" s="1"/>
  <c r="U1798" i="1"/>
  <c r="V1798" i="1" s="1" a="1"/>
  <c r="V1798" i="1" s="1"/>
  <c r="U1799" i="1"/>
  <c r="V1799" i="1" s="1" a="1"/>
  <c r="V1799" i="1" s="1"/>
  <c r="U1800" i="1"/>
  <c r="V1800" i="1" s="1" a="1"/>
  <c r="V1800" i="1" s="1"/>
  <c r="U1801" i="1"/>
  <c r="V1801" i="1" s="1" a="1"/>
  <c r="V1801" i="1" s="1"/>
  <c r="U1802" i="1"/>
  <c r="V1802" i="1" s="1" a="1"/>
  <c r="V1802" i="1" s="1"/>
  <c r="U1803" i="1"/>
  <c r="V1803" i="1" s="1" a="1"/>
  <c r="V1803" i="1" s="1"/>
  <c r="U1804" i="1"/>
  <c r="V1804" i="1" s="1" a="1"/>
  <c r="V1804" i="1" s="1"/>
  <c r="U34" i="1"/>
  <c r="V34" i="1" s="1" a="1"/>
  <c r="V34" i="1" s="1"/>
  <c r="U35" i="1"/>
  <c r="V35" i="1" s="1" a="1"/>
  <c r="V35" i="1" s="1"/>
  <c r="U40" i="1"/>
  <c r="V40" i="1" s="1" a="1"/>
  <c r="V40" i="1" s="1"/>
  <c r="U39" i="1"/>
  <c r="V39" i="1" s="1" a="1"/>
  <c r="V39" i="1" s="1"/>
  <c r="U38" i="1"/>
  <c r="V38" i="1" s="1" a="1"/>
  <c r="V38" i="1" s="1"/>
  <c r="U36" i="1"/>
  <c r="V36" i="1" s="1" a="1"/>
  <c r="V36" i="1" s="1"/>
  <c r="U37" i="1"/>
  <c r="V37" i="1" s="1" a="1"/>
  <c r="V37" i="1" s="1"/>
  <c r="U1805" i="1"/>
  <c r="V1805" i="1" s="1" a="1"/>
  <c r="V1805" i="1" s="1"/>
  <c r="U1752" i="1"/>
  <c r="V1752" i="1" s="1" a="1"/>
  <c r="V1752" i="1" s="1"/>
  <c r="U1030" i="1"/>
  <c r="V1030" i="1" s="1" a="1"/>
  <c r="V1030" i="1" s="1"/>
  <c r="U2279" i="1"/>
  <c r="V2279" i="1" s="1" a="1"/>
  <c r="V2279" i="1" s="1"/>
  <c r="U889" i="1"/>
  <c r="V889" i="1" s="1" a="1"/>
  <c r="V889" i="1" s="1"/>
  <c r="U890" i="1"/>
  <c r="V890" i="1" s="1" a="1"/>
  <c r="V890" i="1" s="1"/>
  <c r="U928" i="1"/>
  <c r="V928" i="1" s="1" a="1"/>
  <c r="V928" i="1" s="1"/>
  <c r="U929" i="1"/>
  <c r="V929" i="1" s="1" a="1"/>
  <c r="V929" i="1" s="1"/>
  <c r="U1050" i="1"/>
  <c r="V1050" i="1" s="1" a="1"/>
  <c r="V1050" i="1" s="1"/>
  <c r="U1080" i="1"/>
  <c r="V1080" i="1" s="1" a="1"/>
  <c r="V1080" i="1" s="1"/>
  <c r="U1099" i="1"/>
  <c r="V1099" i="1" s="1" a="1"/>
  <c r="V1099" i="1" s="1"/>
  <c r="U1051" i="1"/>
  <c r="V1051" i="1" s="1" a="1"/>
  <c r="V1051" i="1" s="1"/>
  <c r="U1031" i="1"/>
  <c r="V1031" i="1" s="1" a="1"/>
  <c r="V1031" i="1" s="1"/>
  <c r="U891" i="1"/>
  <c r="V891" i="1" s="1" a="1"/>
  <c r="V891" i="1" s="1"/>
  <c r="U931" i="1"/>
  <c r="V931" i="1" s="1" a="1"/>
  <c r="V931" i="1" s="1"/>
  <c r="U932" i="1"/>
  <c r="V932" i="1" s="1" a="1"/>
  <c r="V932" i="1" s="1"/>
  <c r="U933" i="1"/>
  <c r="V933" i="1" s="1" a="1"/>
  <c r="V933" i="1" s="1"/>
  <c r="U934" i="1"/>
  <c r="V934" i="1" s="1" a="1"/>
  <c r="V934" i="1" s="1"/>
  <c r="U949" i="1"/>
  <c r="V949" i="1" s="1" a="1"/>
  <c r="V949" i="1" s="1"/>
  <c r="U892" i="1"/>
  <c r="V892" i="1" s="1" a="1"/>
  <c r="V892" i="1" s="1"/>
  <c r="U893" i="1"/>
  <c r="V893" i="1" s="1" a="1"/>
  <c r="V893" i="1" s="1"/>
  <c r="U1081" i="1"/>
  <c r="V1081" i="1" s="1" a="1"/>
  <c r="V1081" i="1" s="1"/>
  <c r="U1082" i="1"/>
  <c r="V1082" i="1" s="1" a="1"/>
  <c r="V1082" i="1" s="1"/>
  <c r="U1032" i="1"/>
  <c r="V1032" i="1" s="1" a="1"/>
  <c r="V1032" i="1" s="1"/>
  <c r="U1068" i="1"/>
  <c r="V1068" i="1" s="1" a="1"/>
  <c r="V1068" i="1" s="1"/>
  <c r="U1069" i="1"/>
  <c r="V1069" i="1" s="1" a="1"/>
  <c r="V1069" i="1" s="1"/>
  <c r="U1083" i="1"/>
  <c r="V1083" i="1" s="1" a="1"/>
  <c r="V1083" i="1" s="1"/>
  <c r="U1093" i="1"/>
  <c r="V1093" i="1" s="1" a="1"/>
  <c r="V1093" i="1" s="1"/>
  <c r="U1094" i="1"/>
  <c r="V1094" i="1" s="1" a="1"/>
  <c r="V1094" i="1" s="1"/>
  <c r="U1098" i="1"/>
  <c r="V1098" i="1" s="1" a="1"/>
  <c r="V1098" i="1" s="1"/>
  <c r="U1052" i="1"/>
  <c r="V1052" i="1" s="1" a="1"/>
  <c r="V1052" i="1" s="1"/>
  <c r="U1053" i="1"/>
  <c r="V1053" i="1" s="1" a="1"/>
  <c r="V1053" i="1" s="1"/>
  <c r="U1054" i="1"/>
  <c r="V1054" i="1" s="1" a="1"/>
  <c r="V1054" i="1" s="1"/>
  <c r="U1055" i="1"/>
  <c r="V1055" i="1" s="1" a="1"/>
  <c r="V1055" i="1" s="1"/>
  <c r="U1070" i="1"/>
  <c r="V1070" i="1" s="1" a="1"/>
  <c r="V1070" i="1" s="1"/>
  <c r="U1056" i="1"/>
  <c r="V1056" i="1" s="1" a="1"/>
  <c r="V1056" i="1" s="1"/>
  <c r="U1100" i="1"/>
  <c r="V1100" i="1" s="1" a="1"/>
  <c r="V1100" i="1" s="1"/>
  <c r="U1071" i="1"/>
  <c r="V1071" i="1" s="1" a="1"/>
  <c r="V1071" i="1" s="1"/>
  <c r="U1057" i="1"/>
  <c r="V1057" i="1" s="1" a="1"/>
  <c r="V1057" i="1" s="1"/>
  <c r="U1101" i="1"/>
  <c r="V1101" i="1" s="1" a="1"/>
  <c r="V1101" i="1" s="1"/>
  <c r="U1058" i="1"/>
  <c r="V1058" i="1" s="1" a="1"/>
  <c r="V1058" i="1" s="1"/>
  <c r="U1033" i="1"/>
  <c r="V1033" i="1" s="1" a="1"/>
  <c r="V1033" i="1" s="1"/>
  <c r="U1034" i="1"/>
  <c r="V1034" i="1" s="1" a="1"/>
  <c r="V1034" i="1" s="1"/>
  <c r="U1084" i="1"/>
  <c r="V1084" i="1" s="1" a="1"/>
  <c r="V1084" i="1" s="1"/>
  <c r="U894" i="1"/>
  <c r="V894" i="1" s="1" a="1"/>
  <c r="V894" i="1" s="1"/>
  <c r="U946" i="1"/>
  <c r="V946" i="1" s="1" a="1"/>
  <c r="V946" i="1" s="1"/>
  <c r="U947" i="1"/>
  <c r="V947" i="1" s="1" a="1"/>
  <c r="V947" i="1" s="1"/>
  <c r="U948" i="1"/>
  <c r="V948" i="1" s="1" a="1"/>
  <c r="V948" i="1" s="1"/>
  <c r="U952" i="1"/>
  <c r="V952" i="1" s="1" a="1"/>
  <c r="V952" i="1" s="1"/>
  <c r="U953" i="1"/>
  <c r="V953" i="1" s="1" a="1"/>
  <c r="V953" i="1" s="1"/>
  <c r="U951" i="1"/>
  <c r="V951" i="1" s="1" a="1"/>
  <c r="V951" i="1" s="1"/>
  <c r="U950" i="1"/>
  <c r="V950" i="1" s="1" a="1"/>
  <c r="V950" i="1" s="1"/>
  <c r="U1090" i="1"/>
  <c r="V1090" i="1" s="1" a="1"/>
  <c r="V1090" i="1" s="1"/>
  <c r="U1035" i="1"/>
  <c r="V1035" i="1" s="1" a="1"/>
  <c r="V1035" i="1" s="1"/>
  <c r="U1036" i="1"/>
  <c r="V1036" i="1" s="1" a="1"/>
  <c r="V1036" i="1" s="1"/>
  <c r="U895" i="1"/>
  <c r="V895" i="1" s="1" a="1"/>
  <c r="V895" i="1" s="1"/>
  <c r="U896" i="1"/>
  <c r="V896" i="1" s="1" a="1"/>
  <c r="V896" i="1" s="1"/>
  <c r="U1072" i="1"/>
  <c r="V1072" i="1" s="1" a="1"/>
  <c r="V1072" i="1" s="1"/>
  <c r="U1037" i="1"/>
  <c r="V1037" i="1" s="1" a="1"/>
  <c r="V1037" i="1" s="1"/>
  <c r="U897" i="1"/>
  <c r="V897" i="1" s="1" a="1"/>
  <c r="V897" i="1" s="1"/>
  <c r="U898" i="1"/>
  <c r="V898" i="1" s="1" a="1"/>
  <c r="V898" i="1" s="1"/>
  <c r="U935" i="1"/>
  <c r="V935" i="1" s="1" a="1"/>
  <c r="V935" i="1" s="1"/>
  <c r="U899" i="1"/>
  <c r="V899" i="1" s="1" a="1"/>
  <c r="V899" i="1" s="1"/>
  <c r="U1059" i="1"/>
  <c r="V1059" i="1" s="1" a="1"/>
  <c r="V1059" i="1" s="1"/>
  <c r="U1038" i="1"/>
  <c r="V1038" i="1" s="1" a="1"/>
  <c r="V1038" i="1" s="1"/>
  <c r="U900" i="1"/>
  <c r="V900" i="1" s="1" a="1"/>
  <c r="V900" i="1" s="1"/>
  <c r="U901" i="1"/>
  <c r="V901" i="1" s="1" a="1"/>
  <c r="V901" i="1" s="1"/>
  <c r="U1091" i="1"/>
  <c r="V1091" i="1" s="1" a="1"/>
  <c r="V1091" i="1" s="1"/>
  <c r="U1073" i="1"/>
  <c r="V1073" i="1" s="1" a="1"/>
  <c r="V1073" i="1" s="1"/>
  <c r="U1074" i="1"/>
  <c r="V1074" i="1" s="1" a="1"/>
  <c r="V1074" i="1" s="1"/>
  <c r="U1085" i="1"/>
  <c r="V1085" i="1" s="1" a="1"/>
  <c r="V1085" i="1" s="1"/>
  <c r="U1086" i="1"/>
  <c r="V1086" i="1" s="1" a="1"/>
  <c r="V1086" i="1" s="1"/>
  <c r="U1039" i="1"/>
  <c r="V1039" i="1" s="1" a="1"/>
  <c r="V1039" i="1" s="1"/>
  <c r="U1095" i="1"/>
  <c r="V1095" i="1" s="1" a="1"/>
  <c r="V1095" i="1" s="1"/>
  <c r="U1075" i="1"/>
  <c r="V1075" i="1" s="1" a="1"/>
  <c r="V1075" i="1" s="1"/>
  <c r="U1040" i="1"/>
  <c r="V1040" i="1" s="1" a="1"/>
  <c r="V1040" i="1" s="1"/>
  <c r="U902" i="1"/>
  <c r="V902" i="1" s="1" a="1"/>
  <c r="V902" i="1" s="1"/>
  <c r="U903" i="1"/>
  <c r="V903" i="1" s="1" a="1"/>
  <c r="V903" i="1" s="1"/>
  <c r="U930" i="1"/>
  <c r="V930" i="1" s="1" a="1"/>
  <c r="V930" i="1" s="1"/>
  <c r="U945" i="1"/>
  <c r="V945" i="1" s="1" a="1"/>
  <c r="V945" i="1" s="1"/>
  <c r="U1092" i="1"/>
  <c r="V1092" i="1" s="1" a="1"/>
  <c r="V1092" i="1" s="1"/>
  <c r="U904" i="1"/>
  <c r="V904" i="1" s="1" a="1"/>
  <c r="V904" i="1" s="1"/>
  <c r="U936" i="1"/>
  <c r="V936" i="1" s="1" a="1"/>
  <c r="V936" i="1" s="1"/>
  <c r="U1060" i="1"/>
  <c r="V1060" i="1" s="1" a="1"/>
  <c r="V1060" i="1" s="1"/>
  <c r="U1041" i="1"/>
  <c r="V1041" i="1" s="1" a="1"/>
  <c r="V1041" i="1" s="1"/>
  <c r="U905" i="1"/>
  <c r="V905" i="1" s="1" a="1"/>
  <c r="V905" i="1" s="1"/>
  <c r="U1076" i="1"/>
  <c r="V1076" i="1" s="1" a="1"/>
  <c r="V1076" i="1" s="1"/>
  <c r="U1087" i="1"/>
  <c r="V1087" i="1" s="1" a="1"/>
  <c r="V1087" i="1" s="1"/>
  <c r="U1097" i="1"/>
  <c r="V1097" i="1" s="1" a="1"/>
  <c r="V1097" i="1" s="1"/>
  <c r="U1042" i="1"/>
  <c r="V1042" i="1" s="1" a="1"/>
  <c r="V1042" i="1" s="1"/>
  <c r="U906" i="1"/>
  <c r="V906" i="1" s="1" a="1"/>
  <c r="V906" i="1" s="1"/>
  <c r="U937" i="1"/>
  <c r="V937" i="1" s="1" a="1"/>
  <c r="V937" i="1" s="1"/>
  <c r="U1061" i="1"/>
  <c r="V1061" i="1" s="1" a="1"/>
  <c r="V1061" i="1" s="1"/>
  <c r="U1043" i="1"/>
  <c r="V1043" i="1" s="1" a="1"/>
  <c r="V1043" i="1" s="1"/>
  <c r="U1044" i="1"/>
  <c r="V1044" i="1" s="1" a="1"/>
  <c r="V1044" i="1" s="1"/>
  <c r="U907" i="1"/>
  <c r="V907" i="1" s="1" a="1"/>
  <c r="V907" i="1" s="1"/>
  <c r="U908" i="1"/>
  <c r="V908" i="1" s="1" a="1"/>
  <c r="V908" i="1" s="1"/>
  <c r="U1062" i="1"/>
  <c r="V1062" i="1" s="1" a="1"/>
  <c r="V1062" i="1" s="1"/>
  <c r="U1045" i="1"/>
  <c r="V1045" i="1" s="1" a="1"/>
  <c r="V1045" i="1" s="1"/>
  <c r="U1077" i="1"/>
  <c r="V1077" i="1" s="1" a="1"/>
  <c r="V1077" i="1" s="1"/>
  <c r="U909" i="1"/>
  <c r="V909" i="1" s="1" a="1"/>
  <c r="V909" i="1" s="1"/>
  <c r="U1063" i="1"/>
  <c r="V1063" i="1" s="1" a="1"/>
  <c r="V1063" i="1" s="1"/>
  <c r="U1096" i="1"/>
  <c r="V1096" i="1" s="1" a="1"/>
  <c r="V1096" i="1" s="1"/>
  <c r="U1078" i="1"/>
  <c r="V1078" i="1" s="1" a="1"/>
  <c r="V1078" i="1" s="1"/>
  <c r="U1046" i="1"/>
  <c r="V1046" i="1" s="1" a="1"/>
  <c r="V1046" i="1" s="1"/>
  <c r="U910" i="1"/>
  <c r="V910" i="1" s="1" a="1"/>
  <c r="V910" i="1" s="1"/>
  <c r="U938" i="1"/>
  <c r="V938" i="1" s="1" a="1"/>
  <c r="V938" i="1" s="1"/>
  <c r="U939" i="1"/>
  <c r="V939" i="1" s="1" a="1"/>
  <c r="V939" i="1" s="1"/>
  <c r="U1064" i="1"/>
  <c r="V1064" i="1" s="1" a="1"/>
  <c r="V1064" i="1" s="1"/>
  <c r="U1047" i="1"/>
  <c r="V1047" i="1" s="1" a="1"/>
  <c r="V1047" i="1" s="1"/>
  <c r="U911" i="1"/>
  <c r="V911" i="1" s="1" a="1"/>
  <c r="V911" i="1" s="1"/>
  <c r="U912" i="1"/>
  <c r="V912" i="1" s="1" a="1"/>
  <c r="V912" i="1" s="1"/>
  <c r="U1088" i="1"/>
  <c r="V1088" i="1" s="1" a="1"/>
  <c r="V1088" i="1" s="1"/>
  <c r="U913" i="1"/>
  <c r="V913" i="1" s="1" a="1"/>
  <c r="V913" i="1" s="1"/>
  <c r="U1065" i="1"/>
  <c r="V1065" i="1" s="1" a="1"/>
  <c r="V1065" i="1" s="1"/>
  <c r="U914" i="1"/>
  <c r="V914" i="1" s="1" a="1"/>
  <c r="V914" i="1" s="1"/>
  <c r="U915" i="1"/>
  <c r="V915" i="1" s="1" a="1"/>
  <c r="V915" i="1" s="1"/>
  <c r="U916" i="1"/>
  <c r="V916" i="1" s="1" a="1"/>
  <c r="V916" i="1" s="1"/>
  <c r="U917" i="1"/>
  <c r="V917" i="1" s="1" a="1"/>
  <c r="V917" i="1" s="1"/>
  <c r="U918" i="1"/>
  <c r="V918" i="1" s="1" a="1"/>
  <c r="V918" i="1" s="1"/>
  <c r="U919" i="1"/>
  <c r="V919" i="1" s="1" a="1"/>
  <c r="V919" i="1" s="1"/>
  <c r="U920" i="1"/>
  <c r="V920" i="1" s="1" a="1"/>
  <c r="V920" i="1" s="1"/>
  <c r="U940" i="1"/>
  <c r="V940" i="1" s="1" a="1"/>
  <c r="V940" i="1" s="1"/>
  <c r="U921" i="1"/>
  <c r="V921" i="1" s="1" a="1"/>
  <c r="V921" i="1" s="1"/>
  <c r="U1079" i="1"/>
  <c r="V1079" i="1" s="1" a="1"/>
  <c r="V1079" i="1" s="1"/>
  <c r="U1048" i="1"/>
  <c r="V1048" i="1" s="1" a="1"/>
  <c r="V1048" i="1" s="1"/>
  <c r="U1066" i="1"/>
  <c r="V1066" i="1" s="1" a="1"/>
  <c r="V1066" i="1" s="1"/>
  <c r="U922" i="1"/>
  <c r="V922" i="1" s="1" a="1"/>
  <c r="V922" i="1" s="1"/>
  <c r="U941" i="1"/>
  <c r="V941" i="1" s="1" a="1"/>
  <c r="V941" i="1" s="1"/>
  <c r="U923" i="1"/>
  <c r="V923" i="1" s="1" a="1"/>
  <c r="V923" i="1" s="1"/>
  <c r="U1089" i="1"/>
  <c r="V1089" i="1" s="1" a="1"/>
  <c r="V1089" i="1" s="1"/>
  <c r="U924" i="1"/>
  <c r="V924" i="1" s="1" a="1"/>
  <c r="V924" i="1" s="1"/>
  <c r="U1067" i="1"/>
  <c r="V1067" i="1" s="1" a="1"/>
  <c r="V1067" i="1" s="1"/>
  <c r="U1049" i="1"/>
  <c r="V1049" i="1" s="1" a="1"/>
  <c r="V1049" i="1" s="1"/>
  <c r="U925" i="1"/>
  <c r="V925" i="1" s="1" a="1"/>
  <c r="V925" i="1" s="1"/>
  <c r="U942" i="1"/>
  <c r="V942" i="1" s="1" a="1"/>
  <c r="V942" i="1" s="1"/>
  <c r="U943" i="1"/>
  <c r="V943" i="1" s="1" a="1"/>
  <c r="V943" i="1" s="1"/>
  <c r="U944" i="1"/>
  <c r="V944" i="1" s="1" a="1"/>
  <c r="V944" i="1" s="1"/>
  <c r="U926" i="1"/>
  <c r="V926" i="1" s="1" a="1"/>
  <c r="V926" i="1" s="1"/>
  <c r="U927" i="1"/>
  <c r="V927" i="1" s="1" a="1"/>
  <c r="V927" i="1" s="1"/>
  <c r="U2281" i="1"/>
  <c r="V2281" i="1" s="1" a="1"/>
  <c r="V2281" i="1" s="1"/>
  <c r="U627" i="1"/>
  <c r="V627" i="1" s="1" a="1"/>
  <c r="V627" i="1" s="1"/>
  <c r="U15" i="1"/>
  <c r="V15" i="1" s="1" a="1"/>
  <c r="V15" i="1" s="1"/>
  <c r="U77" i="1"/>
  <c r="V77" i="1" s="1" a="1"/>
  <c r="V77" i="1" s="1"/>
  <c r="U1864" i="1"/>
  <c r="V1864" i="1" s="1" a="1"/>
  <c r="V1864" i="1" s="1"/>
  <c r="U1865" i="1"/>
  <c r="V1865" i="1" s="1" a="1"/>
  <c r="V1865" i="1" s="1"/>
  <c r="U76" i="1"/>
  <c r="V76" i="1" s="1" a="1"/>
  <c r="V76" i="1" s="1"/>
  <c r="U59" i="1"/>
  <c r="V59" i="1" s="1" a="1"/>
  <c r="V59" i="1" s="1"/>
  <c r="U1169" i="1"/>
  <c r="V1169" i="1" s="1" a="1"/>
  <c r="V1169" i="1" s="1"/>
  <c r="U1170" i="1"/>
  <c r="V1170" i="1" s="1" a="1"/>
  <c r="V1170" i="1" s="1"/>
  <c r="U1137" i="1"/>
  <c r="V1137" i="1" s="1" a="1"/>
  <c r="V1137" i="1" s="1"/>
  <c r="U1138" i="1"/>
  <c r="V1138" i="1" s="1" a="1"/>
  <c r="V1138" i="1" s="1"/>
  <c r="U1145" i="1"/>
  <c r="V1145" i="1" s="1" a="1"/>
  <c r="V1145" i="1" s="1"/>
  <c r="U2085" i="1"/>
  <c r="V2085" i="1" s="1" a="1"/>
  <c r="V2085" i="1" s="1"/>
  <c r="U2289" i="1"/>
  <c r="V2289" i="1" s="1" a="1"/>
  <c r="V2289" i="1" s="1"/>
  <c r="U55" i="1"/>
  <c r="V55" i="1" s="1" a="1"/>
  <c r="V55" i="1" s="1"/>
  <c r="U1141" i="1"/>
  <c r="V1141" i="1" s="1" a="1"/>
  <c r="V1141" i="1" s="1"/>
  <c r="U1142" i="1"/>
  <c r="V1142" i="1" s="1" a="1"/>
  <c r="V1142" i="1" s="1"/>
  <c r="U1147" i="1"/>
  <c r="V1147" i="1" s="1" a="1"/>
  <c r="V1147" i="1" s="1"/>
  <c r="U1148" i="1"/>
  <c r="V1148" i="1" s="1" a="1"/>
  <c r="V1148" i="1" s="1"/>
  <c r="U1130" i="1"/>
  <c r="V1130" i="1" s="1" a="1"/>
  <c r="V1130" i="1" s="1"/>
  <c r="U1131" i="1"/>
  <c r="V1131" i="1" s="1" a="1"/>
  <c r="V1131" i="1" s="1"/>
  <c r="U1136" i="1"/>
  <c r="V1136" i="1" s="1" a="1"/>
  <c r="V1136" i="1" s="1"/>
  <c r="U57" i="1"/>
  <c r="V57" i="1" s="1" a="1"/>
  <c r="V57" i="1" s="1"/>
  <c r="U58" i="1"/>
  <c r="V58" i="1" s="1" a="1"/>
  <c r="V58" i="1" s="1"/>
  <c r="U2286" i="1"/>
  <c r="V2286" i="1" s="1" a="1"/>
  <c r="V2286" i="1" s="1"/>
  <c r="U2287" i="1"/>
  <c r="V2287" i="1" s="1" a="1"/>
  <c r="V2287" i="1" s="1"/>
  <c r="U2086" i="1"/>
  <c r="V2086" i="1" s="1" a="1"/>
  <c r="V2086" i="1" s="1"/>
  <c r="U1151" i="1"/>
  <c r="V1151" i="1" s="1" a="1"/>
  <c r="V1151" i="1" s="1"/>
  <c r="U1152" i="1"/>
  <c r="V1152" i="1" s="1" a="1"/>
  <c r="V1152" i="1" s="1"/>
  <c r="U1165" i="1"/>
  <c r="V1165" i="1" s="1" a="1"/>
  <c r="V1165" i="1" s="1"/>
  <c r="U1166" i="1"/>
  <c r="V1166" i="1" s="1" a="1"/>
  <c r="V1166" i="1" s="1"/>
  <c r="U1134" i="1"/>
  <c r="V1134" i="1" s="1" a="1"/>
  <c r="V1134" i="1" s="1"/>
  <c r="U1135" i="1"/>
  <c r="V1135" i="1" s="1" a="1"/>
  <c r="V1135" i="1" s="1"/>
  <c r="U2288" i="1"/>
  <c r="V2288" i="1" s="1" a="1"/>
  <c r="V2288" i="1" s="1"/>
  <c r="U1125" i="1"/>
  <c r="V1125" i="1" s="1" a="1"/>
  <c r="V1125" i="1" s="1"/>
  <c r="U1126" i="1"/>
  <c r="V1126" i="1" s="1" a="1"/>
  <c r="V1126" i="1" s="1"/>
  <c r="U2082" i="1"/>
  <c r="V2082" i="1" s="1" a="1"/>
  <c r="V2082" i="1" s="1"/>
  <c r="U2283" i="1"/>
  <c r="V2283" i="1" s="1" a="1"/>
  <c r="V2283" i="1" s="1"/>
  <c r="U1129" i="1"/>
  <c r="V1129" i="1" s="1" a="1"/>
  <c r="V1129" i="1" s="1"/>
  <c r="U56" i="1"/>
  <c r="V56" i="1" s="1" a="1"/>
  <c r="V56" i="1" s="1"/>
  <c r="U2083" i="1"/>
  <c r="V2083" i="1" s="1" a="1"/>
  <c r="V2083" i="1" s="1"/>
  <c r="U60" i="1"/>
  <c r="V60" i="1" s="1" a="1"/>
  <c r="V60" i="1" s="1"/>
  <c r="U45" i="1"/>
  <c r="V45" i="1" s="1" a="1"/>
  <c r="V45" i="1" s="1"/>
  <c r="U46" i="1"/>
  <c r="V46" i="1" s="1" a="1"/>
  <c r="V46" i="1" s="1"/>
  <c r="U53" i="1"/>
  <c r="V53" i="1" s="1" a="1"/>
  <c r="V53" i="1" s="1"/>
  <c r="U51" i="1"/>
  <c r="V51" i="1" s="1" a="1"/>
  <c r="V51" i="1" s="1"/>
  <c r="U52" i="1"/>
  <c r="V52" i="1" s="1" a="1"/>
  <c r="V52" i="1" s="1"/>
  <c r="U50" i="1"/>
  <c r="V50" i="1" s="1" a="1"/>
  <c r="V50" i="1" s="1"/>
  <c r="U47" i="1"/>
  <c r="V47" i="1" s="1" a="1"/>
  <c r="V47" i="1" s="1"/>
  <c r="U48" i="1"/>
  <c r="V48" i="1" s="1" a="1"/>
  <c r="V48" i="1" s="1"/>
  <c r="U49" i="1"/>
  <c r="V49" i="1" s="1" a="1"/>
  <c r="V49" i="1" s="1"/>
  <c r="U54" i="1"/>
  <c r="V54" i="1" s="1" a="1"/>
  <c r="V54" i="1" s="1"/>
  <c r="U1149" i="1"/>
  <c r="V1149" i="1" s="1" a="1"/>
  <c r="V1149" i="1" s="1"/>
  <c r="U1150" i="1"/>
  <c r="V1150" i="1" s="1" a="1"/>
  <c r="V1150" i="1" s="1"/>
  <c r="U2084" i="1"/>
  <c r="V2084" i="1" s="1" a="1"/>
  <c r="V2084" i="1" s="1"/>
  <c r="U1132" i="1"/>
  <c r="V1132" i="1" s="1" a="1"/>
  <c r="V1132" i="1" s="1"/>
  <c r="U1133" i="1"/>
  <c r="V1133" i="1" s="1" a="1"/>
  <c r="V1133" i="1" s="1"/>
  <c r="U1143" i="1"/>
  <c r="V1143" i="1" s="1" a="1"/>
  <c r="V1143" i="1" s="1"/>
  <c r="U1144" i="1"/>
  <c r="V1144" i="1" s="1" a="1"/>
  <c r="V1144" i="1" s="1"/>
  <c r="U1153" i="1"/>
  <c r="V1153" i="1" s="1" a="1"/>
  <c r="V1153" i="1" s="1"/>
  <c r="U1154" i="1"/>
  <c r="V1154" i="1" s="1" a="1"/>
  <c r="V1154" i="1" s="1"/>
  <c r="U2284" i="1"/>
  <c r="V2284" i="1" s="1" a="1"/>
  <c r="V2284" i="1" s="1"/>
  <c r="U2285" i="1"/>
  <c r="V2285" i="1" s="1" a="1"/>
  <c r="V2285" i="1" s="1"/>
  <c r="U2282" i="1"/>
  <c r="V2282" i="1" s="1" a="1"/>
  <c r="V2282" i="1" s="1"/>
  <c r="U276" i="1"/>
  <c r="V276" i="1" s="1" a="1"/>
  <c r="V276" i="1" s="1"/>
  <c r="U1204" i="1"/>
  <c r="V1204" i="1" s="1" a="1"/>
  <c r="V1204" i="1" s="1"/>
  <c r="U1205" i="1"/>
  <c r="V1205" i="1" s="1" a="1"/>
  <c r="V1205" i="1" s="1"/>
  <c r="U1206" i="1"/>
  <c r="V1206" i="1" s="1" a="1"/>
  <c r="V1206" i="1" s="1"/>
  <c r="U277" i="1"/>
  <c r="V277" i="1" s="1" a="1"/>
  <c r="V277" i="1" s="1"/>
  <c r="U1882" i="1"/>
  <c r="V1882" i="1" s="1" a="1"/>
  <c r="V1882" i="1" s="1"/>
  <c r="U1883" i="1"/>
  <c r="V1883" i="1" s="1" a="1"/>
  <c r="V1883" i="1" s="1"/>
  <c r="U65" i="1"/>
  <c r="V65" i="1" s="1" a="1"/>
  <c r="V65" i="1" s="1"/>
  <c r="U66" i="1"/>
  <c r="V66" i="1" s="1" a="1"/>
  <c r="V66" i="1" s="1"/>
  <c r="U67" i="1"/>
  <c r="V67" i="1" s="1" a="1"/>
  <c r="V67" i="1" s="1"/>
  <c r="U68" i="1"/>
  <c r="V68" i="1" s="1" a="1"/>
  <c r="V68" i="1" s="1"/>
  <c r="U69" i="1"/>
  <c r="V69" i="1" s="1" a="1"/>
  <c r="V69" i="1" s="1"/>
  <c r="U354" i="1"/>
  <c r="V354" i="1" s="1" a="1"/>
  <c r="V354" i="1" s="1"/>
  <c r="U70" i="1"/>
  <c r="V70" i="1" s="1" a="1"/>
  <c r="V70" i="1" s="1"/>
  <c r="U16" i="1"/>
  <c r="V16" i="1" s="1" a="1"/>
  <c r="V16" i="1" s="1"/>
  <c r="U13" i="1"/>
  <c r="V13" i="1" s="1" a="1"/>
  <c r="V13" i="1" s="1"/>
  <c r="U71" i="1"/>
  <c r="V71" i="1" s="1" a="1"/>
  <c r="V71" i="1" s="1"/>
  <c r="U74" i="1"/>
  <c r="V74" i="1" s="1" a="1"/>
  <c r="V74" i="1" s="1"/>
  <c r="U72" i="1"/>
  <c r="V72" i="1" s="1" a="1"/>
  <c r="V72" i="1" s="1"/>
  <c r="U73" i="1"/>
  <c r="V73" i="1" s="1" a="1"/>
  <c r="V73" i="1" s="1"/>
  <c r="U75" i="1"/>
  <c r="V75" i="1" s="1" a="1"/>
  <c r="V75" i="1" s="1"/>
  <c r="U78" i="1"/>
  <c r="V78" i="1" s="1" a="1"/>
  <c r="V78" i="1" s="1"/>
  <c r="U79" i="1"/>
  <c r="V79" i="1" s="1" a="1"/>
  <c r="V79" i="1" s="1"/>
  <c r="U80" i="1"/>
  <c r="V80" i="1" s="1" a="1"/>
  <c r="V80" i="1" s="1"/>
  <c r="U1228" i="1"/>
  <c r="V1228" i="1" s="1" a="1"/>
  <c r="V1228" i="1" s="1"/>
  <c r="U1229" i="1"/>
  <c r="V1229" i="1" s="1" a="1"/>
  <c r="V1229" i="1" s="1"/>
  <c r="U1230" i="1"/>
  <c r="V1230" i="1" s="1" a="1"/>
  <c r="V1230" i="1" s="1"/>
  <c r="U1231" i="1"/>
  <c r="V1231" i="1" s="1" a="1"/>
  <c r="V1231" i="1" s="1"/>
  <c r="U1232" i="1"/>
  <c r="V1232" i="1" s="1" a="1"/>
  <c r="V1232" i="1" s="1"/>
  <c r="U1233" i="1"/>
  <c r="V1233" i="1" s="1" a="1"/>
  <c r="V1233" i="1" s="1"/>
  <c r="U1234" i="1"/>
  <c r="V1234" i="1" s="1" a="1"/>
  <c r="V1234" i="1" s="1"/>
  <c r="U1235" i="1"/>
  <c r="V1235" i="1" s="1" a="1"/>
  <c r="V1235" i="1" s="1"/>
  <c r="U1240" i="1"/>
  <c r="V1240" i="1" s="1" a="1"/>
  <c r="V1240" i="1" s="1"/>
  <c r="U1241" i="1"/>
  <c r="V1241" i="1" s="1" a="1"/>
  <c r="V1241" i="1" s="1"/>
  <c r="U1246" i="1"/>
  <c r="V1246" i="1" s="1" a="1"/>
  <c r="V1246" i="1" s="1"/>
  <c r="U1236" i="1"/>
  <c r="V1236" i="1" s="1" a="1"/>
  <c r="V1236" i="1" s="1"/>
  <c r="U1237" i="1"/>
  <c r="V1237" i="1" s="1" a="1"/>
  <c r="V1237" i="1" s="1"/>
  <c r="U1238" i="1"/>
  <c r="V1238" i="1" s="1" a="1"/>
  <c r="V1238" i="1" s="1"/>
  <c r="U1239" i="1"/>
  <c r="V1239" i="1" s="1" a="1"/>
  <c r="V1239" i="1" s="1"/>
  <c r="U1242" i="1"/>
  <c r="V1242" i="1" s="1" a="1"/>
  <c r="V1242" i="1" s="1"/>
  <c r="U1243" i="1"/>
  <c r="V1243" i="1" s="1" a="1"/>
  <c r="V1243" i="1" s="1"/>
  <c r="U1244" i="1"/>
  <c r="V1244" i="1" s="1" a="1"/>
  <c r="V1244" i="1" s="1"/>
  <c r="U1245" i="1"/>
  <c r="V1245" i="1" s="1" a="1"/>
  <c r="V1245" i="1" s="1"/>
  <c r="U1247" i="1"/>
  <c r="V1247" i="1" s="1" a="1"/>
  <c r="V1247" i="1" s="1"/>
  <c r="U91" i="1"/>
  <c r="V91" i="1" s="1" a="1"/>
  <c r="V91" i="1" s="1"/>
  <c r="U118" i="1"/>
  <c r="V118" i="1" s="1" a="1"/>
  <c r="V118" i="1" s="1"/>
  <c r="U110" i="1"/>
  <c r="V110" i="1" s="1" a="1"/>
  <c r="V110" i="1" s="1"/>
  <c r="U109" i="1"/>
  <c r="V109" i="1" s="1" a="1"/>
  <c r="V109" i="1" s="1"/>
  <c r="U111" i="1"/>
  <c r="V111" i="1" s="1" a="1"/>
  <c r="V111" i="1" s="1"/>
  <c r="U112" i="1"/>
  <c r="V112" i="1" s="1" a="1"/>
  <c r="V112" i="1" s="1"/>
  <c r="U1254" i="1"/>
  <c r="V1254" i="1" s="1" a="1"/>
  <c r="V1254" i="1" s="1"/>
  <c r="U1248" i="1"/>
  <c r="V1248" i="1" s="1" a="1"/>
  <c r="V1248" i="1" s="1"/>
  <c r="U1249" i="1"/>
  <c r="V1249" i="1" s="1" a="1"/>
  <c r="V1249" i="1" s="1"/>
  <c r="U1250" i="1"/>
  <c r="V1250" i="1" s="1" a="1"/>
  <c r="V1250" i="1" s="1"/>
  <c r="U1251" i="1"/>
  <c r="V1251" i="1" s="1" a="1"/>
  <c r="V1251" i="1" s="1"/>
  <c r="U1252" i="1"/>
  <c r="V1252" i="1" s="1" a="1"/>
  <c r="V1252" i="1" s="1"/>
  <c r="U1253" i="1"/>
  <c r="V1253" i="1" s="1" a="1"/>
  <c r="V1253" i="1" s="1"/>
  <c r="U1885" i="1"/>
  <c r="V1885" i="1" s="1" a="1"/>
  <c r="V1885" i="1" s="1"/>
  <c r="U102" i="1"/>
  <c r="V102" i="1" s="1" a="1"/>
  <c r="V102" i="1" s="1"/>
  <c r="U103" i="1"/>
  <c r="V103" i="1" s="1" a="1"/>
  <c r="V103" i="1" s="1"/>
  <c r="U105" i="1"/>
  <c r="V105" i="1" s="1" a="1"/>
  <c r="V105" i="1" s="1"/>
  <c r="U106" i="1"/>
  <c r="V106" i="1" s="1" a="1"/>
  <c r="V106" i="1" s="1"/>
  <c r="U108" i="1"/>
  <c r="V108" i="1" s="1" a="1"/>
  <c r="V108" i="1" s="1"/>
  <c r="U585" i="1"/>
  <c r="V585" i="1" s="1" a="1"/>
  <c r="V585" i="1" s="1"/>
  <c r="U586" i="1"/>
  <c r="V586" i="1" s="1" a="1"/>
  <c r="V586" i="1" s="1"/>
  <c r="U587" i="1"/>
  <c r="V587" i="1" s="1" a="1"/>
  <c r="V587" i="1" s="1"/>
  <c r="U113" i="1"/>
  <c r="V113" i="1" s="1" a="1"/>
  <c r="V113" i="1" s="1"/>
  <c r="U117" i="1"/>
  <c r="V117" i="1" s="1" a="1"/>
  <c r="V117" i="1" s="1"/>
  <c r="U116" i="1"/>
  <c r="V116" i="1" s="1" a="1"/>
  <c r="V116" i="1" s="1"/>
  <c r="U154" i="1"/>
  <c r="V154" i="1" s="1" a="1"/>
  <c r="V154" i="1" s="1"/>
  <c r="U155" i="1"/>
  <c r="V155" i="1" s="1" a="1"/>
  <c r="V155" i="1" s="1"/>
  <c r="U2252" i="1"/>
  <c r="V2252" i="1" s="1" a="1"/>
  <c r="V2252" i="1" s="1"/>
  <c r="U156" i="1"/>
  <c r="V156" i="1" s="1" a="1"/>
  <c r="V156" i="1" s="1"/>
  <c r="U157" i="1"/>
  <c r="V157" i="1" s="1" a="1"/>
  <c r="V157" i="1" s="1"/>
  <c r="U104" i="1"/>
  <c r="V104" i="1" s="1" a="1"/>
  <c r="V104" i="1" s="1"/>
  <c r="U107" i="1"/>
  <c r="V107" i="1" s="1" a="1"/>
  <c r="V107" i="1" s="1"/>
  <c r="U81" i="1"/>
  <c r="V81" i="1" s="1" a="1"/>
  <c r="V81" i="1" s="1"/>
  <c r="U82" i="1"/>
  <c r="V82" i="1" s="1" a="1"/>
  <c r="V82" i="1" s="1"/>
  <c r="U83" i="1"/>
  <c r="V83" i="1" s="1" a="1"/>
  <c r="V83" i="1" s="1"/>
  <c r="U84" i="1"/>
  <c r="V84" i="1" s="1" a="1"/>
  <c r="V84" i="1" s="1"/>
  <c r="U85" i="1"/>
  <c r="V85" i="1" s="1" a="1"/>
  <c r="V85" i="1" s="1"/>
  <c r="U86" i="1"/>
  <c r="V86" i="1" s="1" a="1"/>
  <c r="V86" i="1" s="1"/>
  <c r="U96" i="1"/>
  <c r="V96" i="1" s="1" a="1"/>
  <c r="V96" i="1" s="1"/>
  <c r="U87" i="1"/>
  <c r="V87" i="1" s="1" a="1"/>
  <c r="V87" i="1" s="1"/>
  <c r="U88" i="1"/>
  <c r="V88" i="1" s="1" a="1"/>
  <c r="V88" i="1" s="1"/>
  <c r="U89" i="1"/>
  <c r="V89" i="1" s="1" a="1"/>
  <c r="V89" i="1" s="1"/>
  <c r="U92" i="1"/>
  <c r="V92" i="1" s="1" a="1"/>
  <c r="V92" i="1" s="1"/>
  <c r="U94" i="1"/>
  <c r="V94" i="1" s="1" a="1"/>
  <c r="V94" i="1" s="1"/>
  <c r="U95" i="1"/>
  <c r="V95" i="1" s="1" a="1"/>
  <c r="V95" i="1" s="1"/>
  <c r="U123" i="1"/>
  <c r="V123" i="1" s="1" a="1"/>
  <c r="V123" i="1" s="1"/>
  <c r="U119" i="1"/>
  <c r="V119" i="1" s="1" a="1"/>
  <c r="V119" i="1" s="1"/>
  <c r="U128" i="1"/>
  <c r="V128" i="1" s="1" a="1"/>
  <c r="V128" i="1" s="1"/>
  <c r="U120" i="1"/>
  <c r="V120" i="1" s="1" a="1"/>
  <c r="V120" i="1" s="1"/>
  <c r="U121" i="1"/>
  <c r="V121" i="1" s="1" a="1"/>
  <c r="V121" i="1" s="1"/>
  <c r="U124" i="1"/>
  <c r="V124" i="1" s="1" a="1"/>
  <c r="V124" i="1" s="1"/>
  <c r="U125" i="1"/>
  <c r="V125" i="1" s="1" a="1"/>
  <c r="V125" i="1" s="1"/>
  <c r="U126" i="1"/>
  <c r="V126" i="1" s="1" a="1"/>
  <c r="V126" i="1" s="1"/>
  <c r="U127" i="1"/>
  <c r="V127" i="1" s="1" a="1"/>
  <c r="V127" i="1" s="1"/>
  <c r="U129" i="1"/>
  <c r="V129" i="1" s="1" a="1"/>
  <c r="V129" i="1" s="1"/>
  <c r="U131" i="1"/>
  <c r="V131" i="1" s="1" a="1"/>
  <c r="V131" i="1" s="1"/>
  <c r="U122" i="1"/>
  <c r="V122" i="1" s="1" a="1"/>
  <c r="V122" i="1" s="1"/>
  <c r="U130" i="1"/>
  <c r="V130" i="1" s="1" a="1"/>
  <c r="V130" i="1" s="1"/>
  <c r="U132" i="1"/>
  <c r="V132" i="1" s="1" a="1"/>
  <c r="V132" i="1" s="1"/>
  <c r="U1214" i="1"/>
  <c r="V1214" i="1" s="1" a="1"/>
  <c r="V1214" i="1" s="1"/>
  <c r="U1220" i="1"/>
  <c r="V1220" i="1" s="1" a="1"/>
  <c r="V1220" i="1" s="1"/>
  <c r="U1215" i="1"/>
  <c r="V1215" i="1" s="1" a="1"/>
  <c r="V1215" i="1" s="1"/>
  <c r="U1216" i="1"/>
  <c r="V1216" i="1" s="1" a="1"/>
  <c r="V1216" i="1" s="1"/>
  <c r="U1219" i="1"/>
  <c r="V1219" i="1" s="1" a="1"/>
  <c r="V1219" i="1" s="1"/>
  <c r="U1217" i="1"/>
  <c r="V1217" i="1" s="1" a="1"/>
  <c r="V1217" i="1" s="1"/>
  <c r="U1221" i="1"/>
  <c r="V1221" i="1" s="1" a="1"/>
  <c r="V1221" i="1" s="1"/>
  <c r="U1218" i="1"/>
  <c r="V1218" i="1" s="1" a="1"/>
  <c r="V1218" i="1" s="1"/>
  <c r="U133" i="1"/>
  <c r="V133" i="1" s="1" a="1"/>
  <c r="V133" i="1" s="1"/>
  <c r="U135" i="1"/>
  <c r="V135" i="1" s="1" a="1"/>
  <c r="V135" i="1" s="1"/>
  <c r="U134" i="1"/>
  <c r="V134" i="1" s="1" a="1"/>
  <c r="V134" i="1" s="1"/>
  <c r="U136" i="1"/>
  <c r="V136" i="1" s="1" a="1"/>
  <c r="V136" i="1" s="1"/>
  <c r="U146" i="1"/>
  <c r="V146" i="1" s="1" a="1"/>
  <c r="V146" i="1" s="1"/>
  <c r="U148" i="1"/>
  <c r="V148" i="1" s="1" a="1"/>
  <c r="V148" i="1" s="1"/>
  <c r="U137" i="1"/>
  <c r="V137" i="1" s="1" a="1"/>
  <c r="V137" i="1" s="1"/>
  <c r="U138" i="1"/>
  <c r="V138" i="1" s="1" a="1"/>
  <c r="V138" i="1" s="1"/>
  <c r="U139" i="1"/>
  <c r="V139" i="1" s="1" a="1"/>
  <c r="V139" i="1" s="1"/>
  <c r="U149" i="1"/>
  <c r="V149" i="1" s="1" a="1"/>
  <c r="V149" i="1" s="1"/>
  <c r="U150" i="1"/>
  <c r="V150" i="1" s="1" a="1"/>
  <c r="V150" i="1" s="1"/>
  <c r="U140" i="1"/>
  <c r="V140" i="1" s="1" a="1"/>
  <c r="V140" i="1" s="1"/>
  <c r="U141" i="1"/>
  <c r="V141" i="1" s="1" a="1"/>
  <c r="V141" i="1" s="1"/>
  <c r="U142" i="1"/>
  <c r="V142" i="1" s="1" a="1"/>
  <c r="V142" i="1" s="1"/>
  <c r="U143" i="1"/>
  <c r="V143" i="1" s="1" a="1"/>
  <c r="V143" i="1" s="1"/>
  <c r="U144" i="1"/>
  <c r="V144" i="1" s="1" a="1"/>
  <c r="V144" i="1" s="1"/>
  <c r="U145" i="1"/>
  <c r="V145" i="1" s="1" a="1"/>
  <c r="V145" i="1" s="1"/>
  <c r="U147" i="1"/>
  <c r="V147" i="1" s="1" a="1"/>
  <c r="V147" i="1" s="1"/>
  <c r="U1024" i="1"/>
  <c r="V1024" i="1" s="1" a="1"/>
  <c r="V1024" i="1" s="1"/>
  <c r="U1025" i="1"/>
  <c r="V1025" i="1" s="1" a="1"/>
  <c r="V1025" i="1" s="1"/>
  <c r="U1026" i="1"/>
  <c r="V1026" i="1" s="1" a="1"/>
  <c r="V1026" i="1" s="1"/>
  <c r="U196" i="1"/>
  <c r="V196" i="1" s="1" a="1"/>
  <c r="V196" i="1" s="1"/>
  <c r="U197" i="1"/>
  <c r="V197" i="1" s="1" a="1"/>
  <c r="V197" i="1" s="1"/>
  <c r="U1022" i="1"/>
  <c r="V1022" i="1" s="1" a="1"/>
  <c r="V1022" i="1" s="1"/>
  <c r="U1023" i="1"/>
  <c r="V1023" i="1" s="1" a="1"/>
  <c r="V1023" i="1" s="1"/>
  <c r="U1027" i="1"/>
  <c r="V1027" i="1" s="1" a="1"/>
  <c r="V1027" i="1" s="1"/>
  <c r="U1028" i="1"/>
  <c r="V1028" i="1" s="1" a="1"/>
  <c r="V1028" i="1" s="1"/>
  <c r="U1029" i="1"/>
  <c r="V1029" i="1" s="1" a="1"/>
  <c r="V1029" i="1" s="1"/>
  <c r="U771" i="1"/>
  <c r="V771" i="1" s="1" a="1"/>
  <c r="V771" i="1" s="1"/>
  <c r="U648" i="1"/>
  <c r="V648" i="1" s="1" a="1"/>
  <c r="V648" i="1" s="1"/>
  <c r="U649" i="1"/>
  <c r="V649" i="1" s="1" a="1"/>
  <c r="V649" i="1" s="1"/>
  <c r="U787" i="1"/>
  <c r="V787" i="1" s="1" a="1"/>
  <c r="V787" i="1" s="1"/>
  <c r="U239" i="1"/>
  <c r="V239" i="1" s="1" a="1"/>
  <c r="V239" i="1" s="1"/>
  <c r="U2290" i="1"/>
  <c r="V2290" i="1" s="1" a="1"/>
  <c r="V2290" i="1" s="1"/>
  <c r="U158" i="1"/>
  <c r="V158" i="1" s="1" a="1"/>
  <c r="V158" i="1" s="1"/>
  <c r="U159" i="1"/>
  <c r="V159" i="1" s="1" a="1"/>
  <c r="V159" i="1" s="1"/>
  <c r="U214" i="1"/>
  <c r="V214" i="1" s="1" a="1"/>
  <c r="V214" i="1" s="1"/>
  <c r="U215" i="1"/>
  <c r="V215" i="1" s="1" a="1"/>
  <c r="V215" i="1" s="1"/>
  <c r="U219" i="1"/>
  <c r="V219" i="1" s="1" a="1"/>
  <c r="V219" i="1" s="1"/>
  <c r="U168" i="1"/>
  <c r="V168" i="1" s="1" a="1"/>
  <c r="V168" i="1" s="1"/>
  <c r="U169" i="1"/>
  <c r="V169" i="1" s="1" a="1"/>
  <c r="V169" i="1" s="1"/>
  <c r="U170" i="1"/>
  <c r="V170" i="1" s="1" a="1"/>
  <c r="V170" i="1" s="1"/>
  <c r="U187" i="1"/>
  <c r="V187" i="1" s="1" a="1"/>
  <c r="V187" i="1" s="1"/>
  <c r="U190" i="1"/>
  <c r="V190" i="1" s="1" a="1"/>
  <c r="V190" i="1" s="1"/>
  <c r="U188" i="1"/>
  <c r="V188" i="1" s="1" a="1"/>
  <c r="V188" i="1" s="1"/>
  <c r="U189" i="1"/>
  <c r="V189" i="1" s="1" a="1"/>
  <c r="V189" i="1" s="1"/>
  <c r="V191" i="1" a="1"/>
  <c r="V191" i="1" s="1"/>
  <c r="U199" i="1"/>
  <c r="V199" i="1" s="1" a="1"/>
  <c r="V199" i="1" s="1"/>
  <c r="U200" i="1"/>
  <c r="V200" i="1" s="1" a="1"/>
  <c r="V200" i="1" s="1"/>
  <c r="U1146" i="1"/>
  <c r="V1146" i="1" s="1" a="1"/>
  <c r="V1146" i="1" s="1"/>
  <c r="U183" i="1"/>
  <c r="V183" i="1" s="1" a="1"/>
  <c r="V183" i="1" s="1"/>
  <c r="U185" i="1"/>
  <c r="V185" i="1" s="1" a="1"/>
  <c r="V185" i="1" s="1"/>
  <c r="U186" i="1"/>
  <c r="V186" i="1" s="1" a="1"/>
  <c r="V186" i="1" s="1"/>
  <c r="U772" i="1"/>
  <c r="V772" i="1" s="1" a="1"/>
  <c r="V772" i="1" s="1"/>
  <c r="U201" i="1"/>
  <c r="V201" i="1" s="1" a="1"/>
  <c r="V201" i="1" s="1"/>
  <c r="U202" i="1"/>
  <c r="V202" i="1" s="1" a="1"/>
  <c r="V202" i="1" s="1"/>
  <c r="U755" i="1"/>
  <c r="V755" i="1" s="1" a="1"/>
  <c r="V755" i="1" s="1"/>
  <c r="U173" i="1"/>
  <c r="V173" i="1" s="1" a="1"/>
  <c r="V173" i="1" s="1"/>
  <c r="U773" i="1"/>
  <c r="V773" i="1" s="1" a="1"/>
  <c r="V773" i="1" s="1"/>
  <c r="U236" i="1"/>
  <c r="V236" i="1" s="1" a="1"/>
  <c r="V236" i="1" s="1"/>
  <c r="U237" i="1"/>
  <c r="V237" i="1" s="1" a="1"/>
  <c r="V237" i="1" s="1"/>
  <c r="U172" i="1"/>
  <c r="V172" i="1" s="1" a="1"/>
  <c r="V172" i="1" s="1"/>
  <c r="U749" i="1"/>
  <c r="V749" i="1" s="1" a="1"/>
  <c r="V749" i="1" s="1"/>
  <c r="U756" i="1"/>
  <c r="V756" i="1" s="1" a="1"/>
  <c r="V756" i="1" s="1"/>
  <c r="U757" i="1"/>
  <c r="V757" i="1" s="1" a="1"/>
  <c r="V757" i="1" s="1"/>
  <c r="U788" i="1"/>
  <c r="V788" i="1" s="1" a="1"/>
  <c r="V788" i="1" s="1"/>
  <c r="U220" i="1"/>
  <c r="V220" i="1" s="1" a="1"/>
  <c r="V220" i="1" s="1"/>
  <c r="U758" i="1"/>
  <c r="V758" i="1" s="1" a="1"/>
  <c r="V758" i="1" s="1"/>
  <c r="U759" i="1"/>
  <c r="V759" i="1" s="1" a="1"/>
  <c r="V759" i="1" s="1"/>
  <c r="U221" i="1"/>
  <c r="V221" i="1" s="1" a="1"/>
  <c r="V221" i="1" s="1"/>
  <c r="U240" i="1"/>
  <c r="V240" i="1" s="1" a="1"/>
  <c r="V240" i="1" s="1"/>
  <c r="U238" i="1"/>
  <c r="V238" i="1" s="1" a="1"/>
  <c r="V238" i="1" s="1"/>
  <c r="U198" i="1"/>
  <c r="V198" i="1" s="1" a="1"/>
  <c r="V198" i="1" s="1"/>
  <c r="U774" i="1"/>
  <c r="V774" i="1" s="1" a="1"/>
  <c r="V774" i="1" s="1"/>
  <c r="U174" i="1"/>
  <c r="V174" i="1" s="1" a="1"/>
  <c r="V174" i="1" s="1"/>
  <c r="U175" i="1"/>
  <c r="V175" i="1" s="1" a="1"/>
  <c r="V175" i="1" s="1"/>
  <c r="U181" i="1"/>
  <c r="V181" i="1" s="1" a="1"/>
  <c r="V181" i="1" s="1"/>
  <c r="U180" i="1"/>
  <c r="V180" i="1" s="1" a="1"/>
  <c r="V180" i="1" s="1"/>
  <c r="U179" i="1"/>
  <c r="V179" i="1" s="1" a="1"/>
  <c r="V179" i="1" s="1"/>
  <c r="U178" i="1"/>
  <c r="V178" i="1" s="1" a="1"/>
  <c r="V178" i="1" s="1"/>
  <c r="U176" i="1"/>
  <c r="V176" i="1" s="1" a="1"/>
  <c r="V176" i="1" s="1"/>
  <c r="U177" i="1"/>
  <c r="V177" i="1" s="1" a="1"/>
  <c r="V177" i="1" s="1"/>
  <c r="U203" i="1"/>
  <c r="V203" i="1" s="1" a="1"/>
  <c r="V203" i="1" s="1"/>
  <c r="U216" i="1"/>
  <c r="V216" i="1" s="1" a="1"/>
  <c r="V216" i="1" s="1"/>
  <c r="U750" i="1"/>
  <c r="V750" i="1" s="1" a="1"/>
  <c r="V750" i="1" s="1"/>
  <c r="U751" i="1"/>
  <c r="V751" i="1" s="1" a="1"/>
  <c r="V751" i="1" s="1"/>
  <c r="U204" i="1"/>
  <c r="V204" i="1" s="1" a="1"/>
  <c r="V204" i="1" s="1"/>
  <c r="U205" i="1"/>
  <c r="V205" i="1" s="1" a="1"/>
  <c r="V205" i="1" s="1"/>
  <c r="U760" i="1"/>
  <c r="V760" i="1" s="1" a="1"/>
  <c r="V760" i="1" s="1"/>
  <c r="U775" i="1"/>
  <c r="V775" i="1" s="1" a="1"/>
  <c r="V775" i="1" s="1"/>
  <c r="U789" i="1"/>
  <c r="V789" i="1" s="1" a="1"/>
  <c r="V789" i="1" s="1"/>
  <c r="U790" i="1"/>
  <c r="V790" i="1" s="1" a="1"/>
  <c r="V790" i="1" s="1"/>
  <c r="U225" i="1"/>
  <c r="V225" i="1" s="1" a="1"/>
  <c r="V225" i="1" s="1"/>
  <c r="U761" i="1"/>
  <c r="V761" i="1" s="1" a="1"/>
  <c r="V761" i="1" s="1"/>
  <c r="U783" i="1"/>
  <c r="V783" i="1" s="1" a="1"/>
  <c r="V783" i="1" s="1"/>
  <c r="U222" i="1"/>
  <c r="V222" i="1" s="1" a="1"/>
  <c r="V222" i="1" s="1"/>
  <c r="U752" i="1"/>
  <c r="V752" i="1" s="1" a="1"/>
  <c r="V752" i="1" s="1"/>
  <c r="U762" i="1"/>
  <c r="V762" i="1" s="1" a="1"/>
  <c r="V762" i="1" s="1"/>
  <c r="U776" i="1"/>
  <c r="V776" i="1" s="1" a="1"/>
  <c r="V776" i="1" s="1"/>
  <c r="U182" i="1"/>
  <c r="V182" i="1" s="1" a="1"/>
  <c r="V182" i="1" s="1"/>
  <c r="U763" i="1"/>
  <c r="V763" i="1" s="1" a="1"/>
  <c r="V763" i="1" s="1"/>
  <c r="U764" i="1"/>
  <c r="V764" i="1" s="1" a="1"/>
  <c r="V764" i="1" s="1"/>
  <c r="U753" i="1"/>
  <c r="V753" i="1" s="1" a="1"/>
  <c r="V753" i="1" s="1"/>
  <c r="U765" i="1"/>
  <c r="V765" i="1" s="1" a="1"/>
  <c r="V765" i="1" s="1"/>
  <c r="U777" i="1"/>
  <c r="V777" i="1" s="1" a="1"/>
  <c r="V777" i="1" s="1"/>
  <c r="U791" i="1"/>
  <c r="V791" i="1" s="1" a="1"/>
  <c r="V791" i="1" s="1"/>
  <c r="U206" i="1"/>
  <c r="V206" i="1" s="1" a="1"/>
  <c r="V206" i="1" s="1"/>
  <c r="U778" i="1"/>
  <c r="V778" i="1" s="1" a="1"/>
  <c r="V778" i="1" s="1"/>
  <c r="U792" i="1"/>
  <c r="V792" i="1" s="1" a="1"/>
  <c r="V792" i="1" s="1"/>
  <c r="U754" i="1"/>
  <c r="V754" i="1" s="1" a="1"/>
  <c r="V754" i="1" s="1"/>
  <c r="U207" i="1"/>
  <c r="V207" i="1" s="1" a="1"/>
  <c r="V207" i="1" s="1"/>
  <c r="U208" i="1"/>
  <c r="V208" i="1" s="1" a="1"/>
  <c r="V208" i="1" s="1"/>
  <c r="U784" i="1"/>
  <c r="V784" i="1" s="1" a="1"/>
  <c r="V784" i="1" s="1"/>
  <c r="U223" i="1"/>
  <c r="V223" i="1" s="1" a="1"/>
  <c r="V223" i="1" s="1"/>
  <c r="U779" i="1"/>
  <c r="V779" i="1" s="1" a="1"/>
  <c r="V779" i="1" s="1"/>
  <c r="U780" i="1"/>
  <c r="V780" i="1" s="1" a="1"/>
  <c r="V780" i="1" s="1"/>
  <c r="U786" i="1"/>
  <c r="V786" i="1" s="1" a="1"/>
  <c r="V786" i="1" s="1"/>
  <c r="U224" i="1"/>
  <c r="V224" i="1" s="1" a="1"/>
  <c r="V224" i="1" s="1"/>
  <c r="U227" i="1"/>
  <c r="V227" i="1" s="1" a="1"/>
  <c r="V227" i="1" s="1"/>
  <c r="U226" i="1"/>
  <c r="V226" i="1" s="1" a="1"/>
  <c r="V226" i="1" s="1"/>
  <c r="U2251" i="1"/>
  <c r="V2251" i="1" s="1" a="1"/>
  <c r="V2251" i="1" s="1"/>
  <c r="U217" i="1"/>
  <c r="V217" i="1" s="1" a="1"/>
  <c r="V217" i="1" s="1"/>
  <c r="U192" i="1"/>
  <c r="V192" i="1" s="1" a="1"/>
  <c r="V192" i="1" s="1"/>
  <c r="U193" i="1"/>
  <c r="V193" i="1" s="1" a="1"/>
  <c r="V193" i="1" s="1"/>
  <c r="U194" i="1"/>
  <c r="V194" i="1" s="1" a="1"/>
  <c r="V194" i="1" s="1"/>
  <c r="U195" i="1"/>
  <c r="V195" i="1" s="1" a="1"/>
  <c r="V195" i="1" s="1"/>
  <c r="U766" i="1"/>
  <c r="V766" i="1" s="1" a="1"/>
  <c r="V766" i="1" s="1"/>
  <c r="U767" i="1"/>
  <c r="V767" i="1" s="1" a="1"/>
  <c r="V767" i="1" s="1"/>
  <c r="U781" i="1"/>
  <c r="V781" i="1" s="1" a="1"/>
  <c r="V781" i="1" s="1"/>
  <c r="U167" i="1"/>
  <c r="V167" i="1" s="1" a="1"/>
  <c r="V167" i="1" s="1"/>
  <c r="U209" i="1"/>
  <c r="V209" i="1" s="1" a="1"/>
  <c r="V209" i="1" s="1"/>
  <c r="U210" i="1"/>
  <c r="V210" i="1" s="1" a="1"/>
  <c r="V210" i="1" s="1"/>
  <c r="U768" i="1"/>
  <c r="V768" i="1" s="1" a="1"/>
  <c r="V768" i="1" s="1"/>
  <c r="U769" i="1"/>
  <c r="V769" i="1" s="1" a="1"/>
  <c r="V769" i="1" s="1"/>
  <c r="U770" i="1"/>
  <c r="V770" i="1" s="1" a="1"/>
  <c r="V770" i="1" s="1"/>
  <c r="U782" i="1"/>
  <c r="V782" i="1" s="1" a="1"/>
  <c r="V782" i="1" s="1"/>
  <c r="U793" i="1"/>
  <c r="V793" i="1" s="1" a="1"/>
  <c r="V793" i="1" s="1"/>
  <c r="U171" i="1"/>
  <c r="V171" i="1" s="1" a="1"/>
  <c r="V171" i="1" s="1"/>
  <c r="U235" i="1"/>
  <c r="V235" i="1" s="1" a="1"/>
  <c r="V235" i="1" s="1"/>
  <c r="U211" i="1"/>
  <c r="V211" i="1" s="1" a="1"/>
  <c r="V211" i="1" s="1"/>
  <c r="U212" i="1"/>
  <c r="V212" i="1" s="1" a="1"/>
  <c r="V212" i="1" s="1"/>
  <c r="U213" i="1"/>
  <c r="V213" i="1" s="1" a="1"/>
  <c r="V213" i="1" s="1"/>
  <c r="U785" i="1"/>
  <c r="V785" i="1" s="1" a="1"/>
  <c r="V785" i="1" s="1"/>
  <c r="U794" i="1"/>
  <c r="V794" i="1" s="1" a="1"/>
  <c r="V794" i="1" s="1"/>
  <c r="U228" i="1"/>
  <c r="V228" i="1" s="1" a="1"/>
  <c r="V228" i="1" s="1"/>
  <c r="U233" i="1"/>
  <c r="V233" i="1" s="1" a="1"/>
  <c r="V233" i="1" s="1"/>
  <c r="U231" i="1"/>
  <c r="V231" i="1" s="1" a="1"/>
  <c r="V231" i="1" s="1"/>
  <c r="U229" i="1"/>
  <c r="V229" i="1" s="1" a="1"/>
  <c r="V229" i="1" s="1"/>
  <c r="U230" i="1"/>
  <c r="V230" i="1" s="1" a="1"/>
  <c r="V230" i="1" s="1"/>
  <c r="U241" i="1"/>
  <c r="V241" i="1" s="1" a="1"/>
  <c r="V241" i="1" s="1"/>
  <c r="U184" i="1"/>
  <c r="V184" i="1" s="1" a="1"/>
  <c r="V184" i="1" s="1"/>
  <c r="U234" i="1"/>
  <c r="V234" i="1" s="1" a="1"/>
  <c r="V234" i="1" s="1"/>
  <c r="U242" i="1"/>
  <c r="V242" i="1" s="1" a="1"/>
  <c r="V242" i="1" s="1"/>
  <c r="U244" i="1"/>
  <c r="V244" i="1" s="1" a="1"/>
  <c r="V244" i="1" s="1"/>
  <c r="U243" i="1"/>
  <c r="V243" i="1" s="1" a="1"/>
  <c r="V243" i="1" s="1"/>
  <c r="U245" i="1"/>
  <c r="V245" i="1" s="1" a="1"/>
  <c r="V245" i="1" s="1"/>
  <c r="U246" i="1"/>
  <c r="V246" i="1" s="1" a="1"/>
  <c r="V246" i="1" s="1"/>
  <c r="U247" i="1"/>
  <c r="V247" i="1" s="1" a="1"/>
  <c r="V247" i="1" s="1"/>
  <c r="U248" i="1"/>
  <c r="V248" i="1" s="1" a="1"/>
  <c r="V248" i="1" s="1"/>
  <c r="U249" i="1"/>
  <c r="V249" i="1" s="1" a="1"/>
  <c r="V249" i="1" s="1"/>
  <c r="U251" i="1"/>
  <c r="V251" i="1" s="1" a="1"/>
  <c r="V251" i="1" s="1"/>
  <c r="U250" i="1"/>
  <c r="V250" i="1" s="1" a="1"/>
  <c r="V250" i="1" s="1"/>
  <c r="U253" i="1"/>
  <c r="V253" i="1" s="1" a="1"/>
  <c r="V253" i="1" s="1"/>
  <c r="U254" i="1"/>
  <c r="V254" i="1" s="1" a="1"/>
  <c r="V254" i="1" s="1"/>
  <c r="U255" i="1"/>
  <c r="V255" i="1" s="1" a="1"/>
  <c r="V255" i="1" s="1"/>
  <c r="U1465" i="1"/>
  <c r="V1465" i="1" s="1" a="1"/>
  <c r="V1465" i="1" s="1"/>
  <c r="U1139" i="1"/>
  <c r="V1139" i="1" s="1" a="1"/>
  <c r="V1139" i="1" s="1"/>
  <c r="U252" i="1"/>
  <c r="V252" i="1" s="1" a="1"/>
  <c r="V252" i="1" s="1"/>
  <c r="U256" i="1"/>
  <c r="V256" i="1" s="1" a="1"/>
  <c r="V256" i="1" s="1"/>
  <c r="U271" i="1"/>
  <c r="V271" i="1" s="1" a="1"/>
  <c r="V271" i="1" s="1"/>
  <c r="U272" i="1"/>
  <c r="V272" i="1" s="1" a="1"/>
  <c r="V272" i="1" s="1"/>
  <c r="U270" i="1"/>
  <c r="V270" i="1" s="1" a="1"/>
  <c r="V270" i="1" s="1"/>
  <c r="U273" i="1"/>
  <c r="V273" i="1" s="1" a="1"/>
  <c r="V273" i="1" s="1"/>
  <c r="U260" i="1"/>
  <c r="V260" i="1" s="1" a="1"/>
  <c r="V260" i="1" s="1"/>
  <c r="U258" i="1"/>
  <c r="V258" i="1" s="1" a="1"/>
  <c r="V258" i="1" s="1"/>
  <c r="U259" i="1"/>
  <c r="V259" i="1" s="1" a="1"/>
  <c r="V259" i="1" s="1"/>
  <c r="U269" i="1"/>
  <c r="V269" i="1" s="1" a="1"/>
  <c r="V269" i="1" s="1"/>
  <c r="U261" i="1"/>
  <c r="V261" i="1" s="1" a="1"/>
  <c r="V261" i="1" s="1"/>
  <c r="U267" i="1"/>
  <c r="V267" i="1" s="1" a="1"/>
  <c r="V267" i="1" s="1"/>
  <c r="U268" i="1"/>
  <c r="V268" i="1" s="1" a="1"/>
  <c r="V268" i="1" s="1"/>
  <c r="U257" i="1"/>
  <c r="V257" i="1" s="1" a="1"/>
  <c r="V257" i="1" s="1"/>
  <c r="U265" i="1"/>
  <c r="V265" i="1" s="1" a="1"/>
  <c r="V265" i="1" s="1"/>
  <c r="U264" i="1"/>
  <c r="V264" i="1" s="1" a="1"/>
  <c r="V264" i="1" s="1"/>
  <c r="U263" i="1"/>
  <c r="V263" i="1" s="1" a="1"/>
  <c r="V263" i="1" s="1"/>
  <c r="U262" i="1"/>
  <c r="V262" i="1" s="1" a="1"/>
  <c r="V262" i="1" s="1"/>
  <c r="U275" i="1"/>
  <c r="V275" i="1" s="1" a="1"/>
  <c r="V275" i="1" s="1"/>
  <c r="U278" i="1"/>
  <c r="V278" i="1" s="1" a="1"/>
  <c r="V278" i="1" s="1"/>
  <c r="U280" i="1"/>
  <c r="V280" i="1" s="1" a="1"/>
  <c r="V280" i="1" s="1"/>
  <c r="U282" i="1"/>
  <c r="V282" i="1" s="1" a="1"/>
  <c r="V282" i="1" s="1"/>
  <c r="U283" i="1"/>
  <c r="V283" i="1" s="1" a="1"/>
  <c r="V283" i="1" s="1"/>
  <c r="U284" i="1"/>
  <c r="V284" i="1" s="1" a="1"/>
  <c r="V284" i="1" s="1"/>
  <c r="U285" i="1"/>
  <c r="V285" i="1" s="1" a="1"/>
  <c r="V285" i="1" s="1"/>
  <c r="U286" i="1"/>
  <c r="V286" i="1" s="1" a="1"/>
  <c r="V286" i="1" s="1"/>
  <c r="U287" i="1"/>
  <c r="V287" i="1" s="1" a="1"/>
  <c r="V287" i="1" s="1"/>
  <c r="U292" i="1"/>
  <c r="V292" i="1" s="1" a="1"/>
  <c r="V292" i="1" s="1"/>
  <c r="U294" i="1"/>
  <c r="V294" i="1" s="1" a="1"/>
  <c r="V294" i="1" s="1"/>
  <c r="U293" i="1"/>
  <c r="V293" i="1" s="1" a="1"/>
  <c r="V293" i="1" s="1"/>
  <c r="U291" i="1"/>
  <c r="V291" i="1" s="1" a="1"/>
  <c r="V291" i="1" s="1"/>
  <c r="U288" i="1"/>
  <c r="V288" i="1" s="1" a="1"/>
  <c r="V288" i="1" s="1"/>
  <c r="U289" i="1"/>
  <c r="V289" i="1" s="1" a="1"/>
  <c r="V289" i="1" s="1"/>
  <c r="U290" i="1"/>
  <c r="V290" i="1" s="1" a="1"/>
  <c r="V290" i="1" s="1"/>
  <c r="U295" i="1"/>
  <c r="V295" i="1" s="1" a="1"/>
  <c r="V295" i="1" s="1"/>
  <c r="U296" i="1"/>
  <c r="V296" i="1" s="1" a="1"/>
  <c r="V296" i="1" s="1"/>
  <c r="U297" i="1"/>
  <c r="V297" i="1" s="1" a="1"/>
  <c r="V297" i="1" s="1"/>
  <c r="U298" i="1"/>
  <c r="V298" i="1" s="1" a="1"/>
  <c r="V298" i="1" s="1"/>
  <c r="U299" i="1"/>
  <c r="V299" i="1" s="1" a="1"/>
  <c r="V299" i="1" s="1"/>
  <c r="U300" i="1"/>
  <c r="V300" i="1" s="1" a="1"/>
  <c r="V300" i="1" s="1"/>
  <c r="U301" i="1"/>
  <c r="V301" i="1" s="1" a="1"/>
  <c r="V301" i="1" s="1"/>
  <c r="U303" i="1"/>
  <c r="V303" i="1" s="1" a="1"/>
  <c r="V303" i="1" s="1"/>
  <c r="U306" i="1"/>
  <c r="V306" i="1" s="1" a="1"/>
  <c r="V306" i="1" s="1"/>
  <c r="U305" i="1"/>
  <c r="V305" i="1" s="1" a="1"/>
  <c r="V305" i="1" s="1"/>
  <c r="U304" i="1"/>
  <c r="V304" i="1" s="1" a="1"/>
  <c r="V304" i="1" s="1"/>
  <c r="U64" i="1"/>
  <c r="V64" i="1" s="1" a="1"/>
  <c r="V64" i="1" s="1"/>
  <c r="U312" i="1"/>
  <c r="V312" i="1" s="1" a="1"/>
  <c r="V312" i="1" s="1"/>
  <c r="U313" i="1"/>
  <c r="V313" i="1" s="1" a="1"/>
  <c r="V313" i="1" s="1"/>
  <c r="U314" i="1"/>
  <c r="V314" i="1" s="1" a="1"/>
  <c r="V314" i="1" s="1"/>
  <c r="U309" i="1"/>
  <c r="V309" i="1" s="1" a="1"/>
  <c r="V309" i="1" s="1"/>
  <c r="U310" i="1"/>
  <c r="V310" i="1" s="1" a="1"/>
  <c r="V310" i="1" s="1"/>
  <c r="U315" i="1"/>
  <c r="V315" i="1" s="1" a="1"/>
  <c r="V315" i="1" s="1"/>
  <c r="U311" i="1"/>
  <c r="V311" i="1" s="1" a="1"/>
  <c r="V311" i="1" s="1"/>
  <c r="U308" i="1"/>
  <c r="V308" i="1" s="1" a="1"/>
  <c r="V308" i="1" s="1"/>
  <c r="U316" i="1"/>
  <c r="V316" i="1" s="1" a="1"/>
  <c r="V316" i="1" s="1"/>
  <c r="U338" i="1"/>
  <c r="V338" i="1" s="1" a="1"/>
  <c r="V338" i="1" s="1"/>
  <c r="U340" i="1"/>
  <c r="V340" i="1" s="1" a="1"/>
  <c r="V340" i="1" s="1"/>
  <c r="U339" i="1"/>
  <c r="V339" i="1" s="1" a="1"/>
  <c r="V339" i="1" s="1"/>
  <c r="U341" i="1"/>
  <c r="V341" i="1" s="1" a="1"/>
  <c r="V341" i="1" s="1"/>
  <c r="U342" i="1"/>
  <c r="V342" i="1" s="1" a="1"/>
  <c r="V342" i="1" s="1"/>
  <c r="U343" i="1"/>
  <c r="V343" i="1" s="1" a="1"/>
  <c r="V343" i="1" s="1"/>
  <c r="U344" i="1"/>
  <c r="V344" i="1" s="1" a="1"/>
  <c r="V344" i="1" s="1"/>
  <c r="U347" i="1"/>
  <c r="V347" i="1" s="1" a="1"/>
  <c r="V347" i="1" s="1"/>
  <c r="U346" i="1"/>
  <c r="V346" i="1" s="1" a="1"/>
  <c r="V346" i="1" s="1"/>
  <c r="U345" i="1"/>
  <c r="V345" i="1" s="1" a="1"/>
  <c r="V345" i="1" s="1"/>
  <c r="U348" i="1"/>
  <c r="V348" i="1" s="1" a="1"/>
  <c r="V348" i="1" s="1"/>
  <c r="U349" i="1"/>
  <c r="V349" i="1" s="1" a="1"/>
  <c r="V349" i="1" s="1"/>
  <c r="U353" i="1"/>
  <c r="V353" i="1" s="1" a="1"/>
  <c r="V353" i="1" s="1"/>
  <c r="U350" i="1"/>
  <c r="V350" i="1" s="1" a="1"/>
  <c r="V350" i="1" s="1"/>
  <c r="U351" i="1"/>
  <c r="V351" i="1" s="1" a="1"/>
  <c r="V351" i="1" s="1"/>
  <c r="U352" i="1"/>
  <c r="V352" i="1" s="1" a="1"/>
  <c r="V352" i="1" s="1"/>
  <c r="U364" i="1"/>
  <c r="V364" i="1" s="1" a="1"/>
  <c r="V364" i="1" s="1"/>
  <c r="U355" i="1"/>
  <c r="V355" i="1" s="1" a="1"/>
  <c r="V355" i="1" s="1"/>
  <c r="U356" i="1"/>
  <c r="V356" i="1" s="1" a="1"/>
  <c r="V356" i="1" s="1"/>
  <c r="U357" i="1"/>
  <c r="V357" i="1" s="1" a="1"/>
  <c r="V357" i="1" s="1"/>
  <c r="U358" i="1"/>
  <c r="V358" i="1" s="1" a="1"/>
  <c r="V358" i="1" s="1"/>
  <c r="U359" i="1"/>
  <c r="V359" i="1" s="1" a="1"/>
  <c r="V359" i="1" s="1"/>
  <c r="U360" i="1"/>
  <c r="V360" i="1" s="1" a="1"/>
  <c r="V360" i="1" s="1"/>
  <c r="U361" i="1"/>
  <c r="V361" i="1" s="1" a="1"/>
  <c r="V361" i="1" s="1"/>
  <c r="U362" i="1"/>
  <c r="V362" i="1" s="1" a="1"/>
  <c r="V362" i="1" s="1"/>
  <c r="U365" i="1"/>
  <c r="V365" i="1" s="1" a="1"/>
  <c r="V365" i="1" s="1"/>
  <c r="U381" i="1"/>
  <c r="V381" i="1" s="1" a="1"/>
  <c r="V381" i="1" s="1"/>
  <c r="U382" i="1"/>
  <c r="V382" i="1" s="1" a="1"/>
  <c r="V382" i="1" s="1"/>
  <c r="U370" i="1"/>
  <c r="V370" i="1" s="1" a="1"/>
  <c r="V370" i="1" s="1"/>
  <c r="U371" i="1"/>
  <c r="V371" i="1" s="1" a="1"/>
  <c r="V371" i="1" s="1"/>
  <c r="U383" i="1"/>
  <c r="V383" i="1" s="1" a="1"/>
  <c r="V383" i="1" s="1"/>
  <c r="U384" i="1"/>
  <c r="V384" i="1" s="1" a="1"/>
  <c r="V384" i="1" s="1"/>
  <c r="U379" i="1"/>
  <c r="V379" i="1" s="1" a="1"/>
  <c r="V379" i="1" s="1"/>
  <c r="U385" i="1"/>
  <c r="V385" i="1" s="1" a="1"/>
  <c r="V385" i="1" s="1"/>
  <c r="U387" i="1"/>
  <c r="V387" i="1" s="1" a="1"/>
  <c r="V387" i="1" s="1"/>
  <c r="U386" i="1"/>
  <c r="V386" i="1" s="1" a="1"/>
  <c r="V386" i="1" s="1"/>
  <c r="U372" i="1"/>
  <c r="V372" i="1" s="1" a="1"/>
  <c r="V372" i="1" s="1"/>
  <c r="U373" i="1"/>
  <c r="V373" i="1" s="1" a="1"/>
  <c r="V373" i="1" s="1"/>
  <c r="U374" i="1"/>
  <c r="V374" i="1" s="1" a="1"/>
  <c r="V374" i="1" s="1"/>
  <c r="U375" i="1"/>
  <c r="V375" i="1" s="1" a="1"/>
  <c r="V375" i="1" s="1"/>
  <c r="U377" i="1"/>
  <c r="V377" i="1" s="1" a="1"/>
  <c r="V377" i="1" s="1"/>
  <c r="U376" i="1"/>
  <c r="V376" i="1" s="1" a="1"/>
  <c r="V376" i="1" s="1"/>
  <c r="U378" i="1"/>
  <c r="V378" i="1" s="1" a="1"/>
  <c r="V378" i="1" s="1"/>
  <c r="U366" i="1"/>
  <c r="V366" i="1" s="1" a="1"/>
  <c r="V366" i="1" s="1"/>
  <c r="U367" i="1"/>
  <c r="V367" i="1" s="1" a="1"/>
  <c r="V367" i="1" s="1"/>
  <c r="U368" i="1"/>
  <c r="V368" i="1" s="1" a="1"/>
  <c r="V368" i="1" s="1"/>
  <c r="U369" i="1"/>
  <c r="V369" i="1" s="1" a="1"/>
  <c r="V369" i="1" s="1"/>
  <c r="U388" i="1"/>
  <c r="V388" i="1" s="1" a="1"/>
  <c r="V388" i="1" s="1"/>
  <c r="U389" i="1"/>
  <c r="V389" i="1" s="1" a="1"/>
  <c r="V389" i="1" s="1"/>
  <c r="U390" i="1"/>
  <c r="V390" i="1" s="1" a="1"/>
  <c r="V390" i="1" s="1"/>
  <c r="U391" i="1"/>
  <c r="V391" i="1" s="1" a="1"/>
  <c r="V391" i="1" s="1"/>
  <c r="U392" i="1"/>
  <c r="V392" i="1" s="1" a="1"/>
  <c r="V392" i="1" s="1"/>
  <c r="U393" i="1"/>
  <c r="V393" i="1" s="1" a="1"/>
  <c r="V393" i="1" s="1"/>
  <c r="U394" i="1"/>
  <c r="V394" i="1" s="1" a="1"/>
  <c r="V394" i="1" s="1"/>
  <c r="U395" i="1"/>
  <c r="V395" i="1" s="1" a="1"/>
  <c r="V395" i="1" s="1"/>
  <c r="U396" i="1"/>
  <c r="V396" i="1" s="1" a="1"/>
  <c r="V396" i="1" s="1"/>
  <c r="U397" i="1"/>
  <c r="V397" i="1" s="1" a="1"/>
  <c r="V397" i="1" s="1"/>
  <c r="U398" i="1"/>
  <c r="V398" i="1" s="1" a="1"/>
  <c r="V398" i="1" s="1"/>
  <c r="U399" i="1"/>
  <c r="V399" i="1" s="1" a="1"/>
  <c r="V399" i="1" s="1"/>
  <c r="U400" i="1"/>
  <c r="V400" i="1" s="1" a="1"/>
  <c r="V400" i="1" s="1"/>
  <c r="U421" i="1"/>
  <c r="V421" i="1" s="1" a="1"/>
  <c r="V421" i="1" s="1"/>
  <c r="U422" i="1"/>
  <c r="V422" i="1" s="1" a="1"/>
  <c r="V422" i="1" s="1"/>
  <c r="U423" i="1"/>
  <c r="V423" i="1" s="1" a="1"/>
  <c r="V423" i="1" s="1"/>
  <c r="U424" i="1"/>
  <c r="V424" i="1" s="1" a="1"/>
  <c r="V424" i="1" s="1"/>
  <c r="U425" i="1"/>
  <c r="V425" i="1" s="1" a="1"/>
  <c r="V425" i="1" s="1"/>
  <c r="U426" i="1"/>
  <c r="V426" i="1" s="1" a="1"/>
  <c r="V426" i="1" s="1"/>
  <c r="U427" i="1"/>
  <c r="V427" i="1" s="1" a="1"/>
  <c r="V427" i="1" s="1"/>
  <c r="U428" i="1"/>
  <c r="V428" i="1" s="1" a="1"/>
  <c r="V428" i="1" s="1"/>
  <c r="U429" i="1"/>
  <c r="V429" i="1" s="1" a="1"/>
  <c r="V429" i="1" s="1"/>
  <c r="U430" i="1"/>
  <c r="V430" i="1" s="1" a="1"/>
  <c r="V430" i="1" s="1"/>
  <c r="U439" i="1"/>
  <c r="V439" i="1" s="1" a="1"/>
  <c r="V439" i="1" s="1"/>
  <c r="U440" i="1"/>
  <c r="V440" i="1" s="1" a="1"/>
  <c r="V440" i="1" s="1"/>
  <c r="U441" i="1"/>
  <c r="V441" i="1" s="1" a="1"/>
  <c r="V441" i="1" s="1"/>
  <c r="U442" i="1"/>
  <c r="V442" i="1" s="1" a="1"/>
  <c r="V442" i="1" s="1"/>
  <c r="U443" i="1"/>
  <c r="V443" i="1" s="1" a="1"/>
  <c r="V443" i="1" s="1"/>
  <c r="U444" i="1"/>
  <c r="V444" i="1" s="1" a="1"/>
  <c r="V444" i="1" s="1"/>
  <c r="U445" i="1"/>
  <c r="V445" i="1" s="1" a="1"/>
  <c r="V445" i="1" s="1"/>
  <c r="U446" i="1"/>
  <c r="V446" i="1" s="1" a="1"/>
  <c r="V446" i="1" s="1"/>
  <c r="U447" i="1"/>
  <c r="V447" i="1" s="1" a="1"/>
  <c r="V447" i="1" s="1"/>
  <c r="U448" i="1"/>
  <c r="V448" i="1" s="1" a="1"/>
  <c r="V448" i="1" s="1"/>
  <c r="U431" i="1"/>
  <c r="V431" i="1" s="1" a="1"/>
  <c r="V431" i="1" s="1"/>
  <c r="U401" i="1"/>
  <c r="V401" i="1" s="1" a="1"/>
  <c r="V401" i="1" s="1"/>
  <c r="U449" i="1"/>
  <c r="V449" i="1" s="1" a="1"/>
  <c r="V449" i="1" s="1"/>
  <c r="U432" i="1"/>
  <c r="V432" i="1" s="1" a="1"/>
  <c r="V432" i="1" s="1"/>
  <c r="U402" i="1"/>
  <c r="V402" i="1" s="1" a="1"/>
  <c r="V402" i="1" s="1"/>
  <c r="U403" i="1"/>
  <c r="V403" i="1" s="1" a="1"/>
  <c r="V403" i="1" s="1"/>
  <c r="U404" i="1"/>
  <c r="V404" i="1" s="1" a="1"/>
  <c r="V404" i="1" s="1"/>
  <c r="U450" i="1"/>
  <c r="V450" i="1" s="1" a="1"/>
  <c r="V450" i="1" s="1"/>
  <c r="U433" i="1"/>
  <c r="V433" i="1" s="1" a="1"/>
  <c r="V433" i="1" s="1"/>
  <c r="U405" i="1"/>
  <c r="V405" i="1" s="1" a="1"/>
  <c r="V405" i="1" s="1"/>
  <c r="U434" i="1"/>
  <c r="V434" i="1" s="1" a="1"/>
  <c r="V434" i="1" s="1"/>
  <c r="U406" i="1"/>
  <c r="V406" i="1" s="1" a="1"/>
  <c r="V406" i="1" s="1"/>
  <c r="U435" i="1"/>
  <c r="V435" i="1" s="1" a="1"/>
  <c r="V435" i="1" s="1"/>
  <c r="U451" i="1"/>
  <c r="V451" i="1" s="1" a="1"/>
  <c r="V451" i="1" s="1"/>
  <c r="U452" i="1"/>
  <c r="V452" i="1" s="1" a="1"/>
  <c r="V452" i="1" s="1"/>
  <c r="U436" i="1"/>
  <c r="V436" i="1" s="1" a="1"/>
  <c r="V436" i="1" s="1"/>
  <c r="U437" i="1"/>
  <c r="V437" i="1" s="1" a="1"/>
  <c r="V437" i="1" s="1"/>
  <c r="U407" i="1"/>
  <c r="V407" i="1" s="1" a="1"/>
  <c r="V407" i="1" s="1"/>
  <c r="U438" i="1"/>
  <c r="V438" i="1" s="1" a="1"/>
  <c r="V438" i="1" s="1"/>
  <c r="U408" i="1"/>
  <c r="V408" i="1" s="1" a="1"/>
  <c r="V408" i="1" s="1"/>
  <c r="U409" i="1"/>
  <c r="V409" i="1" s="1" a="1"/>
  <c r="V409" i="1" s="1"/>
  <c r="U410" i="1"/>
  <c r="V410" i="1" s="1" a="1"/>
  <c r="V410" i="1" s="1"/>
  <c r="U411" i="1"/>
  <c r="V411" i="1" s="1" a="1"/>
  <c r="V411" i="1" s="1"/>
  <c r="U412" i="1"/>
  <c r="V412" i="1" s="1" a="1"/>
  <c r="V412" i="1" s="1"/>
  <c r="U413" i="1"/>
  <c r="V413" i="1" s="1" a="1"/>
  <c r="V413" i="1" s="1"/>
  <c r="U414" i="1"/>
  <c r="V414" i="1" s="1" a="1"/>
  <c r="V414" i="1" s="1"/>
  <c r="U415" i="1"/>
  <c r="V415" i="1" s="1" a="1"/>
  <c r="V415" i="1" s="1"/>
  <c r="U416" i="1"/>
  <c r="V416" i="1" s="1" a="1"/>
  <c r="V416" i="1" s="1"/>
  <c r="U417" i="1"/>
  <c r="V417" i="1" s="1" a="1"/>
  <c r="V417" i="1" s="1"/>
  <c r="U418" i="1"/>
  <c r="V418" i="1" s="1" a="1"/>
  <c r="V418" i="1" s="1"/>
  <c r="U419" i="1"/>
  <c r="V419" i="1" s="1" a="1"/>
  <c r="V419" i="1" s="1"/>
  <c r="U420" i="1"/>
  <c r="V420" i="1" s="1" a="1"/>
  <c r="V420" i="1" s="1"/>
  <c r="U453" i="1"/>
  <c r="V453" i="1" s="1" a="1"/>
  <c r="V453" i="1" s="1"/>
  <c r="U454" i="1"/>
  <c r="V454" i="1" s="1" a="1"/>
  <c r="V454" i="1" s="1"/>
  <c r="U455" i="1"/>
  <c r="V455" i="1" s="1" a="1"/>
  <c r="V455" i="1" s="1"/>
  <c r="U456" i="1"/>
  <c r="V456" i="1" s="1" a="1"/>
  <c r="V456" i="1" s="1"/>
  <c r="U458" i="1"/>
  <c r="V458" i="1" s="1" a="1"/>
  <c r="V458" i="1" s="1"/>
  <c r="U465" i="1"/>
  <c r="V465" i="1" s="1" a="1"/>
  <c r="V465" i="1" s="1"/>
  <c r="U467" i="1"/>
  <c r="V467" i="1" s="1" a="1"/>
  <c r="V467" i="1" s="1"/>
  <c r="U459" i="1"/>
  <c r="V459" i="1" s="1" a="1"/>
  <c r="V459" i="1" s="1"/>
  <c r="U468" i="1"/>
  <c r="V468" i="1" s="1" a="1"/>
  <c r="V468" i="1" s="1"/>
  <c r="U460" i="1"/>
  <c r="V460" i="1" s="1" a="1"/>
  <c r="V460" i="1" s="1"/>
  <c r="U469" i="1"/>
  <c r="V469" i="1" s="1" a="1"/>
  <c r="V469" i="1" s="1"/>
  <c r="U461" i="1"/>
  <c r="V461" i="1" s="1" a="1"/>
  <c r="V461" i="1" s="1"/>
  <c r="U470" i="1"/>
  <c r="V470" i="1" s="1" a="1"/>
  <c r="V470" i="1" s="1"/>
  <c r="U462" i="1"/>
  <c r="V462" i="1" s="1" a="1"/>
  <c r="V462" i="1" s="1"/>
  <c r="U463" i="1"/>
  <c r="V463" i="1" s="1" a="1"/>
  <c r="V463" i="1" s="1"/>
  <c r="U471" i="1"/>
  <c r="V471" i="1" s="1" a="1"/>
  <c r="V471" i="1" s="1"/>
  <c r="U466" i="1"/>
  <c r="V466" i="1" s="1" a="1"/>
  <c r="V466" i="1" s="1"/>
  <c r="U477" i="1"/>
  <c r="V477" i="1" s="1" a="1"/>
  <c r="V477" i="1" s="1"/>
  <c r="U476" i="1"/>
  <c r="V476" i="1" s="1" a="1"/>
  <c r="V476" i="1" s="1"/>
  <c r="U475" i="1"/>
  <c r="V475" i="1" s="1" a="1"/>
  <c r="V475" i="1" s="1"/>
  <c r="U472" i="1"/>
  <c r="V472" i="1" s="1" a="1"/>
  <c r="V472" i="1" s="1"/>
  <c r="U473" i="1"/>
  <c r="V473" i="1" s="1" a="1"/>
  <c r="V473" i="1" s="1"/>
  <c r="U464" i="1"/>
  <c r="V464" i="1" s="1" a="1"/>
  <c r="V464" i="1" s="1"/>
  <c r="U474" i="1"/>
  <c r="V474" i="1" s="1" a="1"/>
  <c r="V474" i="1" s="1"/>
  <c r="U478" i="1"/>
  <c r="V478" i="1" s="1" a="1"/>
  <c r="V478" i="1" s="1"/>
  <c r="U479" i="1"/>
  <c r="V479" i="1" s="1" a="1"/>
  <c r="V479" i="1" s="1"/>
  <c r="U480" i="1"/>
  <c r="V480" i="1" s="1" a="1"/>
  <c r="V480" i="1" s="1"/>
  <c r="U481" i="1"/>
  <c r="V481" i="1" s="1" a="1"/>
  <c r="V481" i="1" s="1"/>
  <c r="U482" i="1"/>
  <c r="V482" i="1" s="1" a="1"/>
  <c r="V482" i="1" s="1"/>
  <c r="U483" i="1"/>
  <c r="V483" i="1" s="1" a="1"/>
  <c r="V483" i="1" s="1"/>
  <c r="U484" i="1"/>
  <c r="V484" i="1" s="1" a="1"/>
  <c r="V484" i="1" s="1"/>
  <c r="U485" i="1"/>
  <c r="V485" i="1" s="1" a="1"/>
  <c r="V485" i="1" s="1"/>
  <c r="U503" i="1"/>
  <c r="V503" i="1" s="1" a="1"/>
  <c r="V503" i="1" s="1"/>
  <c r="U508" i="1"/>
  <c r="V508" i="1" s="1" a="1"/>
  <c r="V508" i="1" s="1"/>
  <c r="U507" i="1"/>
  <c r="V507" i="1" s="1" a="1"/>
  <c r="V507" i="1" s="1"/>
  <c r="U504" i="1"/>
  <c r="V504" i="1" s="1" a="1"/>
  <c r="V504" i="1" s="1"/>
  <c r="U505" i="1"/>
  <c r="V505" i="1" s="1" a="1"/>
  <c r="V505" i="1" s="1"/>
  <c r="U506" i="1"/>
  <c r="V506" i="1" s="1" a="1"/>
  <c r="V506" i="1" s="1"/>
  <c r="U509" i="1"/>
  <c r="V509" i="1" s="1" a="1"/>
  <c r="V509" i="1" s="1"/>
  <c r="U490" i="1"/>
  <c r="V490" i="1" s="1" a="1"/>
  <c r="V490" i="1" s="1"/>
  <c r="U491" i="1"/>
  <c r="V491" i="1" s="1" a="1"/>
  <c r="V491" i="1" s="1"/>
  <c r="U492" i="1"/>
  <c r="V492" i="1" s="1" a="1"/>
  <c r="V492" i="1" s="1"/>
  <c r="U488" i="1"/>
  <c r="V488" i="1" s="1" a="1"/>
  <c r="V488" i="1" s="1"/>
  <c r="U493" i="1"/>
  <c r="V493" i="1" s="1" a="1"/>
  <c r="V493" i="1" s="1"/>
  <c r="U500" i="1"/>
  <c r="V500" i="1" s="1" a="1"/>
  <c r="V500" i="1" s="1"/>
  <c r="U501" i="1"/>
  <c r="V501" i="1" s="1" a="1"/>
  <c r="V501" i="1" s="1"/>
  <c r="U502" i="1"/>
  <c r="V502" i="1" s="1" a="1"/>
  <c r="V502" i="1" s="1"/>
  <c r="U497" i="1"/>
  <c r="V497" i="1" s="1" a="1"/>
  <c r="V497" i="1" s="1"/>
  <c r="U499" i="1"/>
  <c r="V499" i="1" s="1" a="1"/>
  <c r="V499" i="1" s="1"/>
  <c r="U495" i="1"/>
  <c r="V495" i="1" s="1" a="1"/>
  <c r="V495" i="1" s="1"/>
  <c r="U489" i="1"/>
  <c r="V489" i="1" s="1" a="1"/>
  <c r="V489" i="1" s="1"/>
  <c r="U494" i="1"/>
  <c r="V494" i="1" s="1" a="1"/>
  <c r="V494" i="1" s="1"/>
  <c r="U496" i="1"/>
  <c r="V496" i="1" s="1" a="1"/>
  <c r="V496" i="1" s="1"/>
  <c r="U498" i="1"/>
  <c r="V498" i="1" s="1" a="1"/>
  <c r="V498" i="1" s="1"/>
  <c r="U487" i="1"/>
  <c r="V487" i="1" s="1" a="1"/>
  <c r="V487" i="1" s="1"/>
  <c r="U486" i="1"/>
  <c r="V486" i="1" s="1" a="1"/>
  <c r="V486" i="1" s="1"/>
  <c r="U510" i="1"/>
  <c r="V510" i="1" s="1" a="1"/>
  <c r="V510" i="1" s="1"/>
  <c r="U511" i="1"/>
  <c r="V511" i="1" s="1" a="1"/>
  <c r="V511" i="1" s="1"/>
  <c r="U512" i="1"/>
  <c r="V512" i="1" s="1" a="1"/>
  <c r="V512" i="1" s="1"/>
  <c r="U513" i="1"/>
  <c r="V513" i="1" s="1" a="1"/>
  <c r="V513" i="1" s="1"/>
  <c r="U514" i="1"/>
  <c r="V514" i="1" s="1" a="1"/>
  <c r="V514" i="1" s="1"/>
  <c r="U528" i="1"/>
  <c r="V528" i="1" s="1" a="1"/>
  <c r="V528" i="1" s="1"/>
  <c r="U525" i="1"/>
  <c r="V525" i="1" s="1" a="1"/>
  <c r="V525" i="1" s="1"/>
  <c r="U524" i="1"/>
  <c r="V524" i="1" s="1" a="1"/>
  <c r="V524" i="1" s="1"/>
  <c r="U523" i="1"/>
  <c r="V523" i="1" s="1" a="1"/>
  <c r="V523" i="1" s="1"/>
  <c r="U518" i="1"/>
  <c r="V518" i="1" s="1" a="1"/>
  <c r="V518" i="1" s="1"/>
  <c r="U521" i="1"/>
  <c r="V521" i="1" s="1" a="1"/>
  <c r="V521" i="1" s="1"/>
  <c r="U520" i="1"/>
  <c r="V520" i="1" s="1" a="1"/>
  <c r="V520" i="1" s="1"/>
  <c r="U519" i="1"/>
  <c r="V519" i="1" s="1" a="1"/>
  <c r="V519" i="1" s="1"/>
  <c r="U1207" i="1"/>
  <c r="V1207" i="1" s="1" a="1"/>
  <c r="V1207" i="1" s="1"/>
  <c r="U526" i="1"/>
  <c r="V526" i="1" s="1" a="1"/>
  <c r="V526" i="1" s="1"/>
  <c r="U515" i="1"/>
  <c r="V515" i="1" s="1" a="1"/>
  <c r="V515" i="1" s="1"/>
  <c r="U527" i="1"/>
  <c r="V527" i="1" s="1" a="1"/>
  <c r="V527" i="1" s="1"/>
  <c r="U517" i="1"/>
  <c r="V517" i="1" s="1" a="1"/>
  <c r="V517" i="1" s="1"/>
  <c r="U516" i="1"/>
  <c r="V516" i="1" s="1" a="1"/>
  <c r="V516" i="1" s="1"/>
  <c r="U529" i="1"/>
  <c r="V529" i="1" s="1" a="1"/>
  <c r="V529" i="1" s="1"/>
  <c r="U530" i="1"/>
  <c r="V530" i="1" s="1" a="1"/>
  <c r="V530" i="1" s="1"/>
  <c r="U531" i="1"/>
  <c r="V531" i="1" s="1" a="1"/>
  <c r="V531" i="1" s="1"/>
  <c r="U535" i="1"/>
  <c r="V535" i="1" s="1" a="1"/>
  <c r="V535" i="1" s="1"/>
  <c r="U536" i="1"/>
  <c r="V536" i="1" s="1" a="1"/>
  <c r="V536" i="1" s="1"/>
  <c r="U537" i="1"/>
  <c r="V537" i="1" s="1" a="1"/>
  <c r="V537" i="1" s="1"/>
  <c r="U553" i="1"/>
  <c r="V553" i="1" s="1" a="1"/>
  <c r="V553" i="1" s="1"/>
  <c r="U552" i="1"/>
  <c r="V552" i="1" s="1" a="1"/>
  <c r="V552" i="1" s="1"/>
  <c r="U554" i="1"/>
  <c r="V554" i="1" s="1" a="1"/>
  <c r="V554" i="1" s="1"/>
  <c r="U538" i="1"/>
  <c r="V538" i="1" s="1" a="1"/>
  <c r="V538" i="1" s="1"/>
  <c r="U540" i="1"/>
  <c r="V540" i="1" s="1" a="1"/>
  <c r="V540" i="1" s="1"/>
  <c r="U539" i="1"/>
  <c r="V539" i="1" s="1" a="1"/>
  <c r="V539" i="1" s="1"/>
  <c r="U560" i="1"/>
  <c r="V560" i="1" s="1" a="1"/>
  <c r="V560" i="1" s="1"/>
  <c r="U551" i="1"/>
  <c r="V551" i="1" s="1" a="1"/>
  <c r="V551" i="1" s="1"/>
  <c r="U550" i="1"/>
  <c r="V550" i="1" s="1" a="1"/>
  <c r="V550" i="1" s="1"/>
  <c r="U545" i="1"/>
  <c r="V545" i="1" s="1" a="1"/>
  <c r="V545" i="1" s="1"/>
  <c r="U564" i="1"/>
  <c r="V564" i="1" s="1" a="1"/>
  <c r="V564" i="1" s="1"/>
  <c r="U549" i="1"/>
  <c r="V549" i="1" s="1" a="1"/>
  <c r="V549" i="1" s="1"/>
  <c r="U542" i="1"/>
  <c r="V542" i="1" s="1" a="1"/>
  <c r="V542" i="1" s="1"/>
  <c r="U541" i="1"/>
  <c r="V541" i="1" s="1" a="1"/>
  <c r="V541" i="1" s="1"/>
  <c r="U543" i="1"/>
  <c r="V543" i="1" s="1" a="1"/>
  <c r="V543" i="1" s="1"/>
  <c r="U547" i="1"/>
  <c r="V41" i="1" a="1"/>
  <c r="V41" i="1" s="1"/>
  <c r="U1123" i="1"/>
  <c r="V1123" i="1" s="1" a="1"/>
  <c r="V1123" i="1" s="1"/>
  <c r="U42" i="1"/>
  <c r="V42" i="1" s="1" a="1"/>
  <c r="V42" i="1" s="1"/>
  <c r="U555" i="1"/>
  <c r="V555" i="1" s="1" a="1"/>
  <c r="V555" i="1" s="1"/>
  <c r="U43" i="1"/>
  <c r="V43" i="1" s="1" a="1"/>
  <c r="V43" i="1" s="1"/>
  <c r="U556" i="1"/>
  <c r="V556" i="1" s="1" a="1"/>
  <c r="V556" i="1" s="1"/>
  <c r="U557" i="1"/>
  <c r="V557" i="1" s="1" a="1"/>
  <c r="V557" i="1" s="1"/>
  <c r="U558" i="1"/>
  <c r="V558" i="1" s="1" a="1"/>
  <c r="V558" i="1" s="1"/>
  <c r="U559" i="1"/>
  <c r="V559" i="1" s="1" a="1"/>
  <c r="V559" i="1" s="1"/>
  <c r="U561" i="1"/>
  <c r="V561" i="1" s="1" a="1"/>
  <c r="V561" i="1" s="1"/>
  <c r="U562" i="1"/>
  <c r="V562" i="1" s="1" a="1"/>
  <c r="V562" i="1" s="1"/>
  <c r="U544" i="1"/>
  <c r="V544" i="1" s="1" a="1"/>
  <c r="V544" i="1" s="1"/>
  <c r="U563" i="1"/>
  <c r="V563" i="1" s="1" a="1"/>
  <c r="V563" i="1" s="1"/>
  <c r="U1282" i="1"/>
  <c r="V1282" i="1" s="1" a="1"/>
  <c r="V1282" i="1" s="1"/>
  <c r="U1281" i="1"/>
  <c r="V1281" i="1" s="1" a="1"/>
  <c r="V1281" i="1" s="1"/>
  <c r="U1416" i="1"/>
  <c r="V1416" i="1" s="1" a="1"/>
  <c r="V1416" i="1" s="1"/>
  <c r="U565" i="1"/>
  <c r="V565" i="1" s="1" a="1"/>
  <c r="V565" i="1" s="1"/>
  <c r="U566" i="1"/>
  <c r="V566" i="1" s="1" a="1"/>
  <c r="V566" i="1" s="1"/>
  <c r="U567" i="1"/>
  <c r="V567" i="1" s="1" a="1"/>
  <c r="V567" i="1" s="1"/>
  <c r="U569" i="1"/>
  <c r="V569" i="1" s="1" a="1"/>
  <c r="V569" i="1" s="1"/>
  <c r="U570" i="1"/>
  <c r="V570" i="1" s="1" a="1"/>
  <c r="V570" i="1" s="1"/>
  <c r="U579" i="1"/>
  <c r="V579" i="1" s="1" a="1"/>
  <c r="V579" i="1" s="1"/>
  <c r="U582" i="1"/>
  <c r="V582" i="1" s="1" a="1"/>
  <c r="V582" i="1" s="1"/>
  <c r="U583" i="1"/>
  <c r="V583" i="1" s="1" a="1"/>
  <c r="V583" i="1" s="1"/>
  <c r="U584" i="1"/>
  <c r="V584" i="1" s="1" a="1"/>
  <c r="V584" i="1" s="1"/>
  <c r="U598" i="1"/>
  <c r="V598" i="1" s="1" a="1"/>
  <c r="V598" i="1" s="1"/>
  <c r="U597" i="1"/>
  <c r="V597" i="1" s="1" a="1"/>
  <c r="V597" i="1" s="1"/>
  <c r="U599" i="1"/>
  <c r="V599" i="1" s="1" a="1"/>
  <c r="V599" i="1" s="1"/>
  <c r="U589" i="1"/>
  <c r="V589" i="1" s="1" a="1"/>
  <c r="V589" i="1" s="1"/>
  <c r="U600" i="1"/>
  <c r="V600" i="1" s="1" a="1"/>
  <c r="V600" i="1" s="1"/>
  <c r="U601" i="1"/>
  <c r="V601" i="1" s="1" a="1"/>
  <c r="V601" i="1" s="1"/>
  <c r="U602" i="1"/>
  <c r="V602" i="1" s="1" a="1"/>
  <c r="V602" i="1" s="1"/>
  <c r="U603" i="1"/>
  <c r="V603" i="1" s="1" a="1"/>
  <c r="V603" i="1" s="1"/>
  <c r="U604" i="1"/>
  <c r="V604" i="1" s="1" a="1"/>
  <c r="V604" i="1" s="1"/>
  <c r="U605" i="1"/>
  <c r="V605" i="1" s="1" a="1"/>
  <c r="V605" i="1" s="1"/>
  <c r="U606" i="1"/>
  <c r="V606" i="1" s="1" a="1"/>
  <c r="V606" i="1" s="1"/>
  <c r="U607" i="1"/>
  <c r="V607" i="1" s="1" a="1"/>
  <c r="V607" i="1" s="1"/>
  <c r="U608" i="1"/>
  <c r="V608" i="1" s="1" a="1"/>
  <c r="V608" i="1" s="1"/>
  <c r="U609" i="1"/>
  <c r="V609" i="1" s="1" a="1"/>
  <c r="V609" i="1" s="1"/>
  <c r="U610" i="1"/>
  <c r="V610" i="1" s="1" a="1"/>
  <c r="V610" i="1" s="1"/>
  <c r="U611" i="1"/>
  <c r="V611" i="1" s="1" a="1"/>
  <c r="V611" i="1" s="1"/>
  <c r="U612" i="1"/>
  <c r="V612" i="1" s="1" a="1"/>
  <c r="V612" i="1" s="1"/>
  <c r="U613" i="1"/>
  <c r="V613" i="1" s="1" a="1"/>
  <c r="V613" i="1" s="1"/>
  <c r="U614" i="1"/>
  <c r="V614" i="1" s="1" a="1"/>
  <c r="V614" i="1" s="1"/>
  <c r="U615" i="1"/>
  <c r="V615" i="1" s="1" a="1"/>
  <c r="V615" i="1" s="1"/>
  <c r="U616" i="1"/>
  <c r="V616" i="1" s="1" a="1"/>
  <c r="V616" i="1" s="1"/>
  <c r="U623" i="1"/>
  <c r="V623" i="1" s="1" a="1"/>
  <c r="V623" i="1" s="1"/>
  <c r="U622" i="1"/>
  <c r="V622" i="1" s="1" a="1"/>
  <c r="V622" i="1" s="1"/>
  <c r="U620" i="1"/>
  <c r="V620" i="1" s="1" a="1"/>
  <c r="V620" i="1" s="1"/>
  <c r="U617" i="1"/>
  <c r="V617" i="1" s="1" a="1"/>
  <c r="V617" i="1" s="1"/>
  <c r="U618" i="1"/>
  <c r="V618" i="1" s="1" a="1"/>
  <c r="V618" i="1" s="1"/>
  <c r="U619" i="1"/>
  <c r="V619" i="1" s="1" a="1"/>
  <c r="V619" i="1" s="1"/>
  <c r="U624" i="1"/>
  <c r="V624" i="1" s="1" a="1"/>
  <c r="V624" i="1" s="1"/>
  <c r="U621" i="1"/>
  <c r="V621" i="1" s="1" a="1"/>
  <c r="V621" i="1" s="1"/>
  <c r="U593" i="1"/>
  <c r="V593" i="1" s="1" a="1"/>
  <c r="V593" i="1" s="1"/>
  <c r="U625" i="1"/>
  <c r="V625" i="1" s="1" a="1"/>
  <c r="V625" i="1" s="1"/>
  <c r="U626" i="1"/>
  <c r="V626" i="1" s="1" a="1"/>
  <c r="V626" i="1" s="1"/>
  <c r="U592" i="1"/>
  <c r="V592" i="1" s="1" a="1"/>
  <c r="V592" i="1" s="1"/>
  <c r="U590" i="1"/>
  <c r="V590" i="1" s="1" a="1"/>
  <c r="V590" i="1" s="1"/>
  <c r="U591" i="1"/>
  <c r="V591" i="1" s="1" a="1"/>
  <c r="V591" i="1" s="1"/>
  <c r="U628" i="1"/>
  <c r="V628" i="1" s="1" a="1"/>
  <c r="V628" i="1" s="1"/>
  <c r="U629" i="1"/>
  <c r="V629" i="1" s="1" a="1"/>
  <c r="V629" i="1" s="1"/>
  <c r="U630" i="1"/>
  <c r="V630" i="1" s="1" a="1"/>
  <c r="V630" i="1" s="1"/>
  <c r="U631" i="1"/>
  <c r="V631" i="1" s="1" a="1"/>
  <c r="V631" i="1" s="1"/>
  <c r="U632" i="1"/>
  <c r="V632" i="1" s="1" a="1"/>
  <c r="V632" i="1" s="1"/>
  <c r="U634" i="1"/>
  <c r="V634" i="1" s="1" a="1"/>
  <c r="V634" i="1" s="1"/>
  <c r="U635" i="1"/>
  <c r="V635" i="1" s="1" a="1"/>
  <c r="V635" i="1" s="1"/>
  <c r="U636" i="1"/>
  <c r="V636" i="1" s="1" a="1"/>
  <c r="V636" i="1" s="1"/>
  <c r="U633" i="1"/>
  <c r="V633" i="1" s="1" a="1"/>
  <c r="V633" i="1" s="1"/>
  <c r="U637" i="1"/>
  <c r="V637" i="1" s="1" a="1"/>
  <c r="V637" i="1" s="1"/>
  <c r="U640" i="1"/>
  <c r="V640" i="1" s="1" a="1"/>
  <c r="V640" i="1" s="1"/>
  <c r="U638" i="1"/>
  <c r="V638" i="1" s="1" a="1"/>
  <c r="V638" i="1" s="1"/>
  <c r="U639" i="1"/>
  <c r="V639" i="1" s="1" a="1"/>
  <c r="V639" i="1" s="1"/>
  <c r="U644" i="1"/>
  <c r="V644" i="1" s="1" a="1"/>
  <c r="V644" i="1" s="1"/>
  <c r="U645" i="1"/>
  <c r="V645" i="1" s="1" a="1"/>
  <c r="V645" i="1" s="1"/>
  <c r="U646" i="1"/>
  <c r="V646" i="1" s="1" a="1"/>
  <c r="V646" i="1" s="1"/>
  <c r="U647" i="1"/>
  <c r="V647" i="1" s="1" a="1"/>
  <c r="V647" i="1" s="1"/>
  <c r="U650" i="1"/>
  <c r="V650" i="1" s="1" a="1"/>
  <c r="V650" i="1" s="1"/>
  <c r="U691" i="1"/>
  <c r="V691" i="1" s="1" a="1"/>
  <c r="V691" i="1" s="1"/>
  <c r="U692" i="1"/>
  <c r="V692" i="1" s="1" a="1"/>
  <c r="V692" i="1" s="1"/>
  <c r="U651" i="1"/>
  <c r="V651" i="1" s="1" a="1"/>
  <c r="V651" i="1" s="1"/>
  <c r="U676" i="1"/>
  <c r="V676" i="1" s="1" a="1"/>
  <c r="V676" i="1" s="1"/>
  <c r="U684" i="1"/>
  <c r="U685" i="1"/>
  <c r="V685" i="1" s="1" a="1"/>
  <c r="V685" i="1" s="1"/>
  <c r="U686" i="1"/>
  <c r="V686" i="1" s="1" a="1"/>
  <c r="V686" i="1" s="1"/>
  <c r="U687" i="1"/>
  <c r="V687" i="1" s="1" a="1"/>
  <c r="V687" i="1" s="1"/>
  <c r="U688" i="1"/>
  <c r="V688" i="1" s="1" a="1"/>
  <c r="V688" i="1" s="1"/>
  <c r="U652" i="1"/>
  <c r="V652" i="1" s="1" a="1"/>
  <c r="V652" i="1" s="1"/>
  <c r="U748" i="1"/>
  <c r="V748" i="1" s="1" a="1"/>
  <c r="V748" i="1" s="1"/>
  <c r="U689" i="1"/>
  <c r="V689" i="1" s="1" a="1"/>
  <c r="V689" i="1" s="1"/>
  <c r="U690" i="1"/>
  <c r="V690" i="1" s="1" a="1"/>
  <c r="V690" i="1" s="1"/>
  <c r="U653" i="1"/>
  <c r="V653" i="1" s="1" a="1"/>
  <c r="V653" i="1" s="1"/>
  <c r="U654" i="1"/>
  <c r="V654" i="1" s="1" a="1"/>
  <c r="V654" i="1" s="1"/>
  <c r="U693" i="1"/>
  <c r="V693" i="1" s="1" a="1"/>
  <c r="V693" i="1" s="1"/>
  <c r="U655" i="1"/>
  <c r="V655" i="1" s="1" a="1"/>
  <c r="V655" i="1" s="1"/>
  <c r="U656" i="1"/>
  <c r="V656" i="1" s="1" a="1"/>
  <c r="V656" i="1" s="1"/>
  <c r="U694" i="1"/>
  <c r="V694" i="1" s="1" a="1"/>
  <c r="V694" i="1" s="1"/>
  <c r="U677" i="1"/>
  <c r="V677" i="1" s="1" a="1"/>
  <c r="V677" i="1" s="1"/>
  <c r="U657" i="1"/>
  <c r="V657" i="1" s="1" a="1"/>
  <c r="V657" i="1" s="1"/>
  <c r="U658" i="1"/>
  <c r="V658" i="1" s="1" a="1"/>
  <c r="V658" i="1" s="1"/>
  <c r="U659" i="1"/>
  <c r="V659" i="1" s="1" a="1"/>
  <c r="V659" i="1" s="1"/>
  <c r="U695" i="1"/>
  <c r="V695" i="1" s="1" a="1"/>
  <c r="V695" i="1" s="1"/>
  <c r="U681" i="1"/>
  <c r="V681" i="1" s="1" a="1"/>
  <c r="V681" i="1" s="1"/>
  <c r="U660" i="1"/>
  <c r="V660" i="1" s="1" a="1"/>
  <c r="V660" i="1" s="1"/>
  <c r="U661" i="1"/>
  <c r="V661" i="1" s="1" a="1"/>
  <c r="V661" i="1" s="1"/>
  <c r="U696" i="1"/>
  <c r="V696" i="1" s="1" a="1"/>
  <c r="V696" i="1" s="1"/>
  <c r="U673" i="1"/>
  <c r="V673" i="1" s="1" a="1"/>
  <c r="V673" i="1" s="1"/>
  <c r="U697" i="1"/>
  <c r="V697" i="1" s="1" a="1"/>
  <c r="V697" i="1" s="1"/>
  <c r="U662" i="1"/>
  <c r="V662" i="1" s="1" a="1"/>
  <c r="V662" i="1" s="1"/>
  <c r="U698" i="1"/>
  <c r="V698" i="1" s="1" a="1"/>
  <c r="V698" i="1" s="1"/>
  <c r="U663" i="1"/>
  <c r="V663" i="1" s="1" a="1"/>
  <c r="V663" i="1" s="1"/>
  <c r="U664" i="1"/>
  <c r="V664" i="1" s="1" a="1"/>
  <c r="V664" i="1" s="1"/>
  <c r="U665" i="1"/>
  <c r="V665" i="1" s="1" a="1"/>
  <c r="V665" i="1" s="1"/>
  <c r="U699" i="1"/>
  <c r="V699" i="1" s="1" a="1"/>
  <c r="V699" i="1" s="1"/>
  <c r="U678" i="1"/>
  <c r="V678" i="1" s="1" a="1"/>
  <c r="V678" i="1" s="1"/>
  <c r="U700" i="1"/>
  <c r="V700" i="1" s="1" a="1"/>
  <c r="V700" i="1" s="1"/>
  <c r="U666" i="1"/>
  <c r="V666" i="1" s="1" a="1"/>
  <c r="V666" i="1" s="1"/>
  <c r="U667" i="1"/>
  <c r="V667" i="1" s="1" a="1"/>
  <c r="V667" i="1" s="1"/>
  <c r="U1210" i="1"/>
  <c r="V1210" i="1" s="1" a="1"/>
  <c r="V1210" i="1" s="1"/>
  <c r="U1211" i="1"/>
  <c r="V1211" i="1" s="1" a="1"/>
  <c r="V1211" i="1" s="1"/>
  <c r="U1212" i="1"/>
  <c r="V1212" i="1" s="1" a="1"/>
  <c r="V1212" i="1" s="1"/>
  <c r="U1213" i="1"/>
  <c r="V1213" i="1" s="1" a="1"/>
  <c r="V1213" i="1" s="1"/>
  <c r="U682" i="1"/>
  <c r="V682" i="1" s="1" a="1"/>
  <c r="V682" i="1" s="1"/>
  <c r="U675" i="1"/>
  <c r="V675" i="1" s="1" a="1"/>
  <c r="V675" i="1" s="1"/>
  <c r="U668" i="1"/>
  <c r="V668" i="1" s="1" a="1"/>
  <c r="V668" i="1" s="1"/>
  <c r="U701" i="1"/>
  <c r="V701" i="1" s="1" a="1"/>
  <c r="V701" i="1" s="1"/>
  <c r="U669" i="1"/>
  <c r="V669" i="1" s="1" a="1"/>
  <c r="V669" i="1" s="1"/>
  <c r="U702" i="1"/>
  <c r="V702" i="1" s="1" a="1"/>
  <c r="V702" i="1" s="1"/>
  <c r="U670" i="1"/>
  <c r="V670" i="1" s="1" a="1"/>
  <c r="V670" i="1" s="1"/>
  <c r="U674" i="1"/>
  <c r="V674" i="1" s="1" a="1"/>
  <c r="V674" i="1" s="1"/>
  <c r="U703" i="1"/>
  <c r="V703" i="1" s="1" a="1"/>
  <c r="V703" i="1" s="1"/>
  <c r="U671" i="1"/>
  <c r="V671" i="1" s="1" a="1"/>
  <c r="V671" i="1" s="1"/>
  <c r="U683" i="1"/>
  <c r="V683" i="1" s="1" a="1"/>
  <c r="V683" i="1" s="1"/>
  <c r="U672" i="1"/>
  <c r="V672" i="1" s="1" a="1"/>
  <c r="V672" i="1" s="1"/>
  <c r="U704" i="1"/>
  <c r="V704" i="1" s="1" a="1"/>
  <c r="V704" i="1" s="1"/>
  <c r="U705" i="1"/>
  <c r="V705" i="1" s="1" a="1"/>
  <c r="V705" i="1" s="1"/>
  <c r="U746" i="1"/>
  <c r="V746" i="1" s="1" a="1"/>
  <c r="V746" i="1" s="1"/>
  <c r="U747" i="1"/>
  <c r="V747" i="1" s="1" a="1"/>
  <c r="V747" i="1" s="1"/>
  <c r="U680" i="1"/>
  <c r="V680" i="1" s="1" a="1"/>
  <c r="V680" i="1" s="1"/>
  <c r="U795" i="1"/>
  <c r="V795" i="1" s="1" a="1"/>
  <c r="V795" i="1" s="1"/>
  <c r="U796" i="1"/>
  <c r="V796" i="1" s="1" a="1"/>
  <c r="V796" i="1" s="1"/>
  <c r="U797" i="1"/>
  <c r="V797" i="1" s="1" a="1"/>
  <c r="V797" i="1" s="1"/>
  <c r="U798" i="1"/>
  <c r="V798" i="1" s="1" a="1"/>
  <c r="V798" i="1" s="1"/>
  <c r="U799" i="1"/>
  <c r="V799" i="1" s="1" a="1"/>
  <c r="V799" i="1" s="1"/>
  <c r="U800" i="1"/>
  <c r="V800" i="1" s="1" a="1"/>
  <c r="V800" i="1" s="1"/>
  <c r="U813" i="1"/>
  <c r="V813" i="1" s="1" a="1"/>
  <c r="V813" i="1" s="1"/>
  <c r="U814" i="1"/>
  <c r="V814" i="1" s="1" a="1"/>
  <c r="V814" i="1" s="1"/>
  <c r="U2266" i="1"/>
  <c r="V2266" i="1" s="1" a="1"/>
  <c r="V2266" i="1" s="1"/>
  <c r="U2267" i="1"/>
  <c r="V2267" i="1" s="1" a="1"/>
  <c r="V2267" i="1" s="1"/>
  <c r="U2268" i="1"/>
  <c r="V2268" i="1" s="1" a="1"/>
  <c r="V2268" i="1" s="1"/>
  <c r="U818" i="1"/>
  <c r="V818" i="1" s="1" a="1"/>
  <c r="V818" i="1" s="1"/>
  <c r="U964" i="1"/>
  <c r="V964" i="1" s="1" a="1"/>
  <c r="V964" i="1" s="1"/>
  <c r="U965" i="1"/>
  <c r="V965" i="1" s="1" a="1"/>
  <c r="V965" i="1" s="1"/>
  <c r="U966" i="1"/>
  <c r="V966" i="1" s="1" a="1"/>
  <c r="V966" i="1" s="1"/>
  <c r="U861" i="1"/>
  <c r="V861" i="1" s="1" a="1"/>
  <c r="V861" i="1" s="1"/>
  <c r="U862" i="1"/>
  <c r="V862" i="1" s="1" a="1"/>
  <c r="V862" i="1" s="1"/>
  <c r="U954" i="1"/>
  <c r="V954" i="1" s="1" a="1"/>
  <c r="V954" i="1" s="1"/>
  <c r="U955" i="1"/>
  <c r="V955" i="1" s="1" a="1"/>
  <c r="V955" i="1" s="1"/>
  <c r="U967" i="1"/>
  <c r="V967" i="1" s="1" a="1"/>
  <c r="V967" i="1" s="1"/>
  <c r="U968" i="1"/>
  <c r="V968" i="1" s="1" a="1"/>
  <c r="V968" i="1" s="1"/>
  <c r="U1001" i="1"/>
  <c r="V1001" i="1" s="1" a="1"/>
  <c r="V1001" i="1" s="1"/>
  <c r="U1000" i="1"/>
  <c r="V1000" i="1" s="1" a="1"/>
  <c r="V1000" i="1" s="1"/>
  <c r="U1321" i="1"/>
  <c r="V1321" i="1" s="1" a="1"/>
  <c r="V1321" i="1" s="1"/>
  <c r="U998" i="1"/>
  <c r="V998" i="1" s="1" a="1"/>
  <c r="V998" i="1" s="1"/>
  <c r="U830" i="1"/>
  <c r="V830" i="1" s="1" a="1"/>
  <c r="V830" i="1" s="1"/>
  <c r="U827" i="1"/>
  <c r="V827" i="1" s="1" a="1"/>
  <c r="V827" i="1" s="1"/>
  <c r="U826" i="1"/>
  <c r="V826" i="1" s="1" a="1"/>
  <c r="V826" i="1" s="1"/>
  <c r="U831" i="1"/>
  <c r="V831" i="1" s="1" a="1"/>
  <c r="V831" i="1" s="1"/>
  <c r="U828" i="1"/>
  <c r="V828" i="1" s="1" a="1"/>
  <c r="V828" i="1" s="1"/>
  <c r="U829" i="1"/>
  <c r="V829" i="1" s="1" a="1"/>
  <c r="V829" i="1" s="1"/>
  <c r="U832" i="1"/>
  <c r="V832" i="1" s="1" a="1"/>
  <c r="V832" i="1" s="1"/>
  <c r="U833" i="1"/>
  <c r="V833" i="1" s="1" a="1"/>
  <c r="V833" i="1" s="1"/>
  <c r="U836" i="1"/>
  <c r="V836" i="1" s="1" a="1"/>
  <c r="V836" i="1" s="1"/>
  <c r="U834" i="1"/>
  <c r="V834" i="1" s="1" a="1"/>
  <c r="V834" i="1" s="1"/>
  <c r="U835" i="1"/>
  <c r="V835" i="1" s="1" a="1"/>
  <c r="V835" i="1" s="1"/>
  <c r="U849" i="1"/>
  <c r="V849" i="1" s="1" a="1"/>
  <c r="V849" i="1" s="1"/>
  <c r="U18" i="1"/>
  <c r="V18" i="1" s="1" a="1"/>
  <c r="V18" i="1" s="1"/>
  <c r="U864" i="1"/>
  <c r="V864" i="1" s="1" a="1"/>
  <c r="V864" i="1" s="1"/>
  <c r="U866" i="1"/>
  <c r="V866" i="1" s="1" a="1"/>
  <c r="V866" i="1" s="1"/>
  <c r="U865" i="1"/>
  <c r="V865" i="1" s="1" a="1"/>
  <c r="V865" i="1" s="1"/>
  <c r="U969" i="1"/>
  <c r="V969" i="1" s="1" a="1"/>
  <c r="V969" i="1" s="1"/>
  <c r="U956" i="1"/>
  <c r="V956" i="1" s="1" a="1"/>
  <c r="V956" i="1" s="1"/>
  <c r="U970" i="1"/>
  <c r="V970" i="1" s="1" a="1"/>
  <c r="V970" i="1" s="1"/>
  <c r="U971" i="1"/>
  <c r="V971" i="1" s="1" a="1"/>
  <c r="V971" i="1" s="1"/>
  <c r="U972" i="1"/>
  <c r="V972" i="1" s="1" a="1"/>
  <c r="V972" i="1" s="1"/>
  <c r="U957" i="1"/>
  <c r="V957" i="1" s="1" a="1"/>
  <c r="V957" i="1" s="1"/>
  <c r="U973" i="1"/>
  <c r="V973" i="1" s="1" a="1"/>
  <c r="V973" i="1" s="1"/>
  <c r="U974" i="1"/>
  <c r="V974" i="1" s="1" a="1"/>
  <c r="V974" i="1" s="1"/>
  <c r="U975" i="1"/>
  <c r="V975" i="1" s="1" a="1"/>
  <c r="V975" i="1" s="1"/>
  <c r="U820" i="1"/>
  <c r="V820" i="1" s="1" a="1"/>
  <c r="V820" i="1" s="1"/>
  <c r="U958" i="1"/>
  <c r="V958" i="1" s="1" a="1"/>
  <c r="V958" i="1" s="1"/>
  <c r="U976" i="1"/>
  <c r="V976" i="1" s="1" a="1"/>
  <c r="V976" i="1" s="1"/>
  <c r="U843" i="1"/>
  <c r="V843" i="1" s="1" a="1"/>
  <c r="V843" i="1" s="1"/>
  <c r="U844" i="1"/>
  <c r="V844" i="1" s="1" a="1"/>
  <c r="V844" i="1" s="1"/>
  <c r="U845" i="1"/>
  <c r="V845" i="1" s="1" a="1"/>
  <c r="V845" i="1" s="1"/>
  <c r="U846" i="1"/>
  <c r="V846" i="1" s="1" a="1"/>
  <c r="V846" i="1" s="1"/>
  <c r="U847" i="1"/>
  <c r="V847" i="1" s="1" a="1"/>
  <c r="V847" i="1" s="1"/>
  <c r="U848" i="1"/>
  <c r="V848" i="1" s="1" a="1"/>
  <c r="V848" i="1" s="1"/>
  <c r="U879" i="1"/>
  <c r="V879" i="1" s="1" a="1"/>
  <c r="V879" i="1" s="1"/>
  <c r="U880" i="1"/>
  <c r="V880" i="1" s="1" a="1"/>
  <c r="V880" i="1" s="1"/>
  <c r="U881" i="1"/>
  <c r="V881" i="1" s="1" a="1"/>
  <c r="V881" i="1" s="1"/>
  <c r="U882" i="1"/>
  <c r="V882" i="1" s="1" a="1"/>
  <c r="V882" i="1" s="1"/>
  <c r="U883" i="1"/>
  <c r="V883" i="1" s="1" a="1"/>
  <c r="V883" i="1" s="1"/>
  <c r="U884" i="1"/>
  <c r="V884" i="1" s="1" a="1"/>
  <c r="V884" i="1" s="1"/>
  <c r="U977" i="1"/>
  <c r="V977" i="1" s="1" a="1"/>
  <c r="V977" i="1" s="1"/>
  <c r="U978" i="1"/>
  <c r="V978" i="1" s="1" a="1"/>
  <c r="V978" i="1" s="1"/>
  <c r="U979" i="1"/>
  <c r="V979" i="1" s="1" a="1"/>
  <c r="V979" i="1" s="1"/>
  <c r="U980" i="1"/>
  <c r="V980" i="1" s="1" a="1"/>
  <c r="V980" i="1" s="1"/>
  <c r="U981" i="1"/>
  <c r="V981" i="1" s="1" a="1"/>
  <c r="V981" i="1" s="1"/>
  <c r="U982" i="1"/>
  <c r="V982" i="1" s="1" a="1"/>
  <c r="V982" i="1" s="1"/>
  <c r="U983" i="1"/>
  <c r="V983" i="1" s="1" a="1"/>
  <c r="V983" i="1" s="1"/>
  <c r="U860" i="1"/>
  <c r="V860" i="1" s="1" a="1"/>
  <c r="V860" i="1" s="1"/>
  <c r="U984" i="1"/>
  <c r="V984" i="1" s="1" a="1"/>
  <c r="V984" i="1" s="1"/>
  <c r="U821" i="1"/>
  <c r="V821" i="1" s="1" a="1"/>
  <c r="V821" i="1" s="1"/>
  <c r="U959" i="1"/>
  <c r="V959" i="1" s="1" a="1"/>
  <c r="V959" i="1" s="1"/>
  <c r="U986" i="1"/>
  <c r="V986" i="1" s="1" a="1"/>
  <c r="V986" i="1" s="1"/>
  <c r="U960" i="1"/>
  <c r="V960" i="1" s="1" a="1"/>
  <c r="V960" i="1" s="1"/>
  <c r="U961" i="1"/>
  <c r="V961" i="1" s="1" a="1"/>
  <c r="V961" i="1" s="1"/>
  <c r="U987" i="1"/>
  <c r="V987" i="1" s="1" a="1"/>
  <c r="V987" i="1" s="1"/>
  <c r="U988" i="1"/>
  <c r="V988" i="1" s="1" a="1"/>
  <c r="V988" i="1" s="1"/>
  <c r="U989" i="1"/>
  <c r="V989" i="1" s="1" a="1"/>
  <c r="V989" i="1" s="1"/>
  <c r="U997" i="1"/>
  <c r="V997" i="1" s="1" a="1"/>
  <c r="V997" i="1" s="1"/>
  <c r="U996" i="1"/>
  <c r="V996" i="1" s="1" a="1"/>
  <c r="V996" i="1" s="1"/>
  <c r="U869" i="1"/>
  <c r="V869" i="1" s="1" a="1"/>
  <c r="V869" i="1" s="1"/>
  <c r="U870" i="1"/>
  <c r="V870" i="1" s="1" a="1"/>
  <c r="V870" i="1" s="1"/>
  <c r="U871" i="1"/>
  <c r="V871" i="1" s="1" a="1"/>
  <c r="V871" i="1" s="1"/>
  <c r="U872" i="1"/>
  <c r="V872" i="1" s="1" a="1"/>
  <c r="V872" i="1" s="1"/>
  <c r="U874" i="1"/>
  <c r="V874" i="1" s="1" a="1"/>
  <c r="V874" i="1" s="1"/>
  <c r="U873" i="1"/>
  <c r="V873" i="1" s="1" a="1"/>
  <c r="V873" i="1" s="1"/>
  <c r="U837" i="1"/>
  <c r="V837" i="1" s="1" a="1"/>
  <c r="V837" i="1" s="1"/>
  <c r="U842" i="1"/>
  <c r="V842" i="1" s="1" a="1"/>
  <c r="V842" i="1" s="1"/>
  <c r="U838" i="1"/>
  <c r="V838" i="1" s="1" a="1"/>
  <c r="V838" i="1" s="1"/>
  <c r="U839" i="1"/>
  <c r="V839" i="1" s="1" a="1"/>
  <c r="V839" i="1" s="1"/>
  <c r="U840" i="1"/>
  <c r="V840" i="1" s="1" a="1"/>
  <c r="V840" i="1" s="1"/>
  <c r="U962" i="1"/>
  <c r="V962" i="1" s="1" a="1"/>
  <c r="V962" i="1" s="1"/>
  <c r="U963" i="1"/>
  <c r="V963" i="1" s="1" a="1"/>
  <c r="V963" i="1" s="1"/>
  <c r="U990" i="1"/>
  <c r="V990" i="1" s="1" a="1"/>
  <c r="V990" i="1" s="1"/>
  <c r="U1986" i="1"/>
  <c r="V1986" i="1" s="1" a="1"/>
  <c r="V1986" i="1" s="1"/>
  <c r="U1003" i="1"/>
  <c r="V1003" i="1" s="1" a="1"/>
  <c r="V1003" i="1" s="1"/>
  <c r="U1004" i="1"/>
  <c r="V1004" i="1" s="1" a="1"/>
  <c r="V1004" i="1" s="1"/>
  <c r="U1005" i="1"/>
  <c r="V1005" i="1" s="1" a="1"/>
  <c r="V1005" i="1" s="1"/>
  <c r="U991" i="1"/>
  <c r="V991" i="1" s="1" a="1"/>
  <c r="V991" i="1" s="1"/>
  <c r="U992" i="1"/>
  <c r="V992" i="1" s="1" a="1"/>
  <c r="V992" i="1" s="1"/>
  <c r="U993" i="1"/>
  <c r="V993" i="1" s="1" a="1"/>
  <c r="V993" i="1" s="1"/>
  <c r="U1006" i="1"/>
  <c r="V1006" i="1" s="1" a="1"/>
  <c r="V1006" i="1" s="1"/>
  <c r="U1007" i="1"/>
  <c r="V1007" i="1" s="1" a="1"/>
  <c r="V1007" i="1" s="1"/>
  <c r="U1008" i="1"/>
  <c r="V1008" i="1" s="1" a="1"/>
  <c r="V1008" i="1" s="1"/>
  <c r="U1009" i="1"/>
  <c r="V1009" i="1" s="1" a="1"/>
  <c r="V1009" i="1" s="1"/>
  <c r="U1010" i="1"/>
  <c r="V1010" i="1" s="1" a="1"/>
  <c r="V1010" i="1" s="1"/>
  <c r="U1011" i="1"/>
  <c r="V1011" i="1" s="1" a="1"/>
  <c r="V1011" i="1" s="1"/>
  <c r="U1012" i="1"/>
  <c r="V1012" i="1" s="1" a="1"/>
  <c r="V1012" i="1" s="1"/>
  <c r="U1013" i="1"/>
  <c r="V1013" i="1" s="1" a="1"/>
  <c r="V1013" i="1" s="1"/>
  <c r="U1014" i="1"/>
  <c r="V1014" i="1" s="1" a="1"/>
  <c r="V1014" i="1" s="1"/>
  <c r="U1020" i="1"/>
  <c r="V1020" i="1" s="1" a="1"/>
  <c r="V1020" i="1" s="1"/>
  <c r="U1019" i="1"/>
  <c r="V1019" i="1" s="1" a="1"/>
  <c r="V1019" i="1" s="1"/>
  <c r="U1018" i="1"/>
  <c r="V1018" i="1" s="1" a="1"/>
  <c r="V1018" i="1" s="1"/>
  <c r="U1017" i="1"/>
  <c r="V1017" i="1" s="1" a="1"/>
  <c r="V1017" i="1" s="1"/>
  <c r="U1015" i="1"/>
  <c r="V1015" i="1" s="1" a="1"/>
  <c r="V1015" i="1" s="1"/>
  <c r="U1016" i="1"/>
  <c r="V1016" i="1" s="1" a="1"/>
  <c r="V1016" i="1" s="1"/>
  <c r="U994" i="1"/>
  <c r="V994" i="1" s="1" a="1"/>
  <c r="V994" i="1" s="1"/>
  <c r="U995" i="1"/>
  <c r="V995" i="1" s="1" a="1"/>
  <c r="V995" i="1" s="1"/>
  <c r="U885" i="1"/>
  <c r="V885" i="1" s="1" a="1"/>
  <c r="V885" i="1" s="1"/>
  <c r="U888" i="1"/>
  <c r="V888" i="1" s="1" a="1"/>
  <c r="V888" i="1" s="1"/>
  <c r="U887" i="1"/>
  <c r="V887" i="1" s="1" a="1"/>
  <c r="V887" i="1" s="1"/>
  <c r="U886" i="1"/>
  <c r="V886" i="1" s="1" a="1"/>
  <c r="V886" i="1" s="1"/>
  <c r="U867" i="1"/>
  <c r="V867" i="1" s="1" a="1"/>
  <c r="V867" i="1" s="1"/>
  <c r="U1118" i="1"/>
  <c r="V1118" i="1" s="1" a="1"/>
  <c r="V1118" i="1" s="1"/>
  <c r="U1121" i="1"/>
  <c r="V1121" i="1" s="1" a="1"/>
  <c r="V1121" i="1" s="1"/>
  <c r="U1119" i="1"/>
  <c r="V1119" i="1" s="1" a="1"/>
  <c r="V1119" i="1" s="1"/>
  <c r="U1120" i="1"/>
  <c r="V1120" i="1" s="1" a="1"/>
  <c r="V1120" i="1" s="1"/>
  <c r="U1122" i="1"/>
  <c r="V1122" i="1" s="1" a="1"/>
  <c r="V1122" i="1" s="1"/>
  <c r="U1171" i="1"/>
  <c r="V1171" i="1" s="1" a="1"/>
  <c r="V1171" i="1" s="1"/>
  <c r="U1173" i="1"/>
  <c r="V1173" i="1" s="1" a="1"/>
  <c r="V1173" i="1" s="1"/>
  <c r="U1174" i="1"/>
  <c r="V1174" i="1" s="1" a="1"/>
  <c r="V1174" i="1" s="1"/>
  <c r="U1175" i="1"/>
  <c r="V1175" i="1" s="1" a="1"/>
  <c r="V1175" i="1" s="1"/>
  <c r="U1176" i="1"/>
  <c r="V1176" i="1" s="1" a="1"/>
  <c r="V1176" i="1" s="1"/>
  <c r="U1177" i="1"/>
  <c r="V1177" i="1" s="1" a="1"/>
  <c r="V1177" i="1" s="1"/>
  <c r="U1178" i="1"/>
  <c r="V1178" i="1" s="1" a="1"/>
  <c r="V1178" i="1" s="1"/>
  <c r="U1179" i="1"/>
  <c r="V1179" i="1" s="1" a="1"/>
  <c r="V1179" i="1" s="1"/>
  <c r="U1180" i="1"/>
  <c r="V1180" i="1" s="1" a="1"/>
  <c r="V1180" i="1" s="1"/>
  <c r="U1181" i="1"/>
  <c r="V1181" i="1" s="1" a="1"/>
  <c r="V1181" i="1" s="1"/>
  <c r="U1182" i="1"/>
  <c r="V1182" i="1" s="1" a="1"/>
  <c r="V1182" i="1" s="1"/>
  <c r="U1183" i="1"/>
  <c r="V1183" i="1" s="1" a="1"/>
  <c r="V1183" i="1" s="1"/>
  <c r="U1184" i="1"/>
  <c r="V1184" i="1" s="1" a="1"/>
  <c r="V1184" i="1" s="1"/>
  <c r="U1185" i="1"/>
  <c r="V1185" i="1" s="1" a="1"/>
  <c r="V1185" i="1" s="1"/>
  <c r="U1186" i="1"/>
  <c r="V1186" i="1" s="1" a="1"/>
  <c r="V1186" i="1" s="1"/>
  <c r="U1187" i="1"/>
  <c r="V1187" i="1" s="1" a="1"/>
  <c r="V1187" i="1" s="1"/>
  <c r="U1188" i="1"/>
  <c r="V1188" i="1" s="1" a="1"/>
  <c r="V1188" i="1" s="1"/>
  <c r="U1189" i="1"/>
  <c r="V1189" i="1" s="1" a="1"/>
  <c r="V1189" i="1" s="1"/>
  <c r="U1190" i="1"/>
  <c r="V1190" i="1" s="1" a="1"/>
  <c r="V1190" i="1" s="1"/>
  <c r="U1191" i="1"/>
  <c r="V1191" i="1" s="1" a="1"/>
  <c r="V1191" i="1" s="1"/>
  <c r="U1192" i="1"/>
  <c r="V1192" i="1" s="1" a="1"/>
  <c r="V1192" i="1" s="1"/>
  <c r="U1172" i="1"/>
  <c r="V1172" i="1" s="1" a="1"/>
  <c r="V1172" i="1" s="1"/>
  <c r="U1193" i="1"/>
  <c r="V1193" i="1" s="1" a="1"/>
  <c r="V1193" i="1" s="1"/>
  <c r="U1194" i="1"/>
  <c r="V1194" i="1" s="1" a="1"/>
  <c r="V1194" i="1" s="1"/>
  <c r="U1195" i="1"/>
  <c r="V1195" i="1" s="1" a="1"/>
  <c r="V1195" i="1" s="1"/>
  <c r="U1196" i="1"/>
  <c r="V1196" i="1" s="1" a="1"/>
  <c r="V1196" i="1" s="1"/>
  <c r="U1197" i="1"/>
  <c r="V1197" i="1" s="1" a="1"/>
  <c r="V1197" i="1" s="1"/>
  <c r="U1198" i="1"/>
  <c r="V1198" i="1" s="1" a="1"/>
  <c r="V1198" i="1" s="1"/>
  <c r="U1199" i="1"/>
  <c r="V1199" i="1" s="1" a="1"/>
  <c r="V1199" i="1" s="1"/>
  <c r="U1200" i="1"/>
  <c r="V1200" i="1" s="1" a="1"/>
  <c r="V1200" i="1" s="1"/>
  <c r="U1201" i="1"/>
  <c r="V1201" i="1" s="1" a="1"/>
  <c r="V1201" i="1" s="1"/>
  <c r="U1202" i="1"/>
  <c r="V1202" i="1" s="1" a="1"/>
  <c r="V1202" i="1" s="1"/>
  <c r="U1203" i="1"/>
  <c r="V1203" i="1" s="1" a="1"/>
  <c r="V1203" i="1" s="1"/>
  <c r="U1167" i="1"/>
  <c r="V1167" i="1" s="1" a="1"/>
  <c r="V1167" i="1" s="1"/>
  <c r="U1162" i="1"/>
  <c r="V1162" i="1" s="1" a="1"/>
  <c r="V1162" i="1" s="1"/>
  <c r="U1155" i="1"/>
  <c r="V1155" i="1" s="1" a="1"/>
  <c r="V1155" i="1" s="1"/>
  <c r="U1156" i="1"/>
  <c r="V1156" i="1" s="1" a="1"/>
  <c r="V1156" i="1" s="1"/>
  <c r="U1161" i="1"/>
  <c r="V1161" i="1" s="1" a="1"/>
  <c r="V1161" i="1" s="1"/>
  <c r="U1160" i="1"/>
  <c r="V1160" i="1" s="1" a="1"/>
  <c r="V1160" i="1" s="1"/>
  <c r="U1157" i="1"/>
  <c r="V1157" i="1" s="1" a="1"/>
  <c r="V1157" i="1" s="1"/>
  <c r="U1127" i="1"/>
  <c r="V1127" i="1" s="1" a="1"/>
  <c r="V1127" i="1" s="1"/>
  <c r="U1163" i="1"/>
  <c r="V1163" i="1" s="1" a="1"/>
  <c r="V1163" i="1" s="1"/>
  <c r="U1164" i="1"/>
  <c r="V1164" i="1" s="1" a="1"/>
  <c r="V1164" i="1" s="1"/>
  <c r="U1168" i="1"/>
  <c r="V1168" i="1" s="1" a="1"/>
  <c r="V1168" i="1" s="1"/>
  <c r="U1128" i="1"/>
  <c r="V1128" i="1" s="1" a="1"/>
  <c r="V1128" i="1" s="1"/>
  <c r="U1124" i="1"/>
  <c r="V1124" i="1" s="1" a="1"/>
  <c r="V1124" i="1" s="1"/>
  <c r="U1208" i="1"/>
  <c r="V1208" i="1" s="1" a="1"/>
  <c r="V1208" i="1" s="1"/>
  <c r="U1222" i="1"/>
  <c r="V1222" i="1" s="1" a="1"/>
  <c r="V1222" i="1" s="1"/>
  <c r="U1223" i="1"/>
  <c r="V1223" i="1" s="1" a="1"/>
  <c r="V1223" i="1" s="1"/>
  <c r="U546" i="1"/>
  <c r="V546" i="1" s="1" a="1"/>
  <c r="V546" i="1" s="1"/>
  <c r="U1227" i="1"/>
  <c r="V1227" i="1" s="1" a="1"/>
  <c r="V1227" i="1" s="1"/>
  <c r="U1226" i="1"/>
  <c r="V1226" i="1" s="1" a="1"/>
  <c r="V1226" i="1" s="1"/>
  <c r="U1225" i="1"/>
  <c r="V1225" i="1" s="1" a="1"/>
  <c r="V1225" i="1" s="1"/>
  <c r="U1224" i="1"/>
  <c r="V1224" i="1" s="1" a="1"/>
  <c r="V1224" i="1" s="1"/>
  <c r="U1255" i="1"/>
  <c r="V1255" i="1" s="1" a="1"/>
  <c r="V1255" i="1" s="1"/>
  <c r="U1268" i="1"/>
  <c r="V1268" i="1" s="1" a="1"/>
  <c r="V1268" i="1" s="1"/>
  <c r="U1272" i="1"/>
  <c r="V1272" i="1" s="1" a="1"/>
  <c r="V1272" i="1" s="1"/>
  <c r="U1271" i="1"/>
  <c r="V1271" i="1" s="1" a="1"/>
  <c r="V1271" i="1" s="1"/>
  <c r="U1270" i="1"/>
  <c r="V1270" i="1" s="1" a="1"/>
  <c r="V1270" i="1" s="1"/>
  <c r="U1258" i="1"/>
  <c r="V1258" i="1" s="1" a="1"/>
  <c r="V1258" i="1" s="1"/>
  <c r="U1259" i="1"/>
  <c r="V1259" i="1" s="1" a="1"/>
  <c r="V1259" i="1" s="1"/>
  <c r="U1263" i="1"/>
  <c r="V1263" i="1" s="1" a="1"/>
  <c r="V1263" i="1" s="1"/>
  <c r="U1260" i="1"/>
  <c r="V1260" i="1" s="1" a="1"/>
  <c r="V1260" i="1" s="1"/>
  <c r="U1261" i="1"/>
  <c r="V1261" i="1" s="1" a="1"/>
  <c r="V1261" i="1" s="1"/>
  <c r="U1266" i="1"/>
  <c r="V1266" i="1" s="1" a="1"/>
  <c r="V1266" i="1" s="1"/>
  <c r="U1262" i="1"/>
  <c r="V1262" i="1" s="1" a="1"/>
  <c r="V1262" i="1" s="1"/>
  <c r="U1264" i="1"/>
  <c r="V1264" i="1" s="1" a="1"/>
  <c r="V1264" i="1" s="1"/>
  <c r="U1267" i="1"/>
  <c r="V1267" i="1" s="1" a="1"/>
  <c r="V1267" i="1" s="1"/>
  <c r="U1265" i="1"/>
  <c r="V1265" i="1" s="1" a="1"/>
  <c r="V1265" i="1" s="1"/>
  <c r="U1256" i="1"/>
  <c r="V1256" i="1" s="1" a="1"/>
  <c r="V1256" i="1" s="1"/>
  <c r="U1257" i="1"/>
  <c r="V1257" i="1" s="1" a="1"/>
  <c r="V1257" i="1" s="1"/>
  <c r="U1269" i="1"/>
  <c r="V1269" i="1" s="1" a="1"/>
  <c r="V1269" i="1" s="1"/>
  <c r="U1273" i="1"/>
  <c r="V1273" i="1" s="1" a="1"/>
  <c r="V1273" i="1" s="1"/>
  <c r="U2098" i="1"/>
  <c r="V2098" i="1" s="1" a="1"/>
  <c r="V2098" i="1" s="1"/>
  <c r="U1274" i="1"/>
  <c r="V1274" i="1" s="1" a="1"/>
  <c r="V1274" i="1" s="1"/>
  <c r="U1275" i="1"/>
  <c r="V1275" i="1" s="1" a="1"/>
  <c r="V1275" i="1" s="1"/>
  <c r="U1277" i="1"/>
  <c r="V1277" i="1" s="1" a="1"/>
  <c r="V1277" i="1" s="1"/>
  <c r="U1276" i="1"/>
  <c r="V1276" i="1" s="1" a="1"/>
  <c r="V1276" i="1" s="1"/>
  <c r="U1278" i="1"/>
  <c r="V1278" i="1" s="1" a="1"/>
  <c r="V1278" i="1" s="1"/>
  <c r="U1305" i="1"/>
  <c r="V1305" i="1" s="1" a="1"/>
  <c r="V1305" i="1" s="1"/>
  <c r="U1288" i="1"/>
  <c r="V1288" i="1" s="1" a="1"/>
  <c r="V1288" i="1" s="1"/>
  <c r="U1289" i="1"/>
  <c r="V1289" i="1" s="1" a="1"/>
  <c r="V1289" i="1" s="1"/>
  <c r="U1302" i="1"/>
  <c r="V1302" i="1" s="1" a="1"/>
  <c r="V1302" i="1" s="1"/>
  <c r="U1297" i="1"/>
  <c r="V1297" i="1" s="1" a="1"/>
  <c r="V1297" i="1" s="1"/>
  <c r="U1290" i="1"/>
  <c r="V1290" i="1" s="1" a="1"/>
  <c r="V1290" i="1" s="1"/>
  <c r="U1291" i="1"/>
  <c r="V1291" i="1" s="1" a="1"/>
  <c r="V1291" i="1" s="1"/>
  <c r="U1300" i="1"/>
  <c r="V1300" i="1" s="1" a="1"/>
  <c r="V1300" i="1" s="1"/>
  <c r="U1292" i="1"/>
  <c r="V1292" i="1" s="1" a="1"/>
  <c r="V1292" i="1" s="1"/>
  <c r="U1303" i="1"/>
  <c r="V1303" i="1" s="1" a="1"/>
  <c r="V1303" i="1" s="1"/>
  <c r="U1293" i="1"/>
  <c r="V1293" i="1" s="1" a="1"/>
  <c r="V1293" i="1" s="1"/>
  <c r="U1301" i="1"/>
  <c r="V1301" i="1" s="1" a="1"/>
  <c r="V1301" i="1" s="1"/>
  <c r="U1298" i="1"/>
  <c r="V1298" i="1" s="1" a="1"/>
  <c r="V1298" i="1" s="1"/>
  <c r="U1286" i="1"/>
  <c r="V1286" i="1" s="1" a="1"/>
  <c r="V1286" i="1" s="1"/>
  <c r="U1294" i="1"/>
  <c r="V1294" i="1" s="1" a="1"/>
  <c r="V1294" i="1" s="1"/>
  <c r="U1295" i="1"/>
  <c r="V1295" i="1" s="1" a="1"/>
  <c r="V1295" i="1" s="1"/>
  <c r="U1296" i="1"/>
  <c r="V1296" i="1" s="1" a="1"/>
  <c r="V1296" i="1" s="1"/>
  <c r="U1283" i="1"/>
  <c r="V1283" i="1" s="1" a="1"/>
  <c r="V1283" i="1" s="1"/>
  <c r="U1284" i="1"/>
  <c r="V1284" i="1" s="1" a="1"/>
  <c r="V1284" i="1" s="1"/>
  <c r="U1285" i="1"/>
  <c r="V1285" i="1" s="1" a="1"/>
  <c r="V1285" i="1" s="1"/>
  <c r="U1304" i="1"/>
  <c r="V1304" i="1" s="1" a="1"/>
  <c r="V1304" i="1" s="1"/>
  <c r="U1279" i="1"/>
  <c r="V1279" i="1" s="1" a="1"/>
  <c r="V1279" i="1" s="1"/>
  <c r="U1280" i="1"/>
  <c r="V1280" i="1" s="1" a="1"/>
  <c r="V1280" i="1" s="1"/>
  <c r="U1299" i="1"/>
  <c r="V1299" i="1" s="1" a="1"/>
  <c r="V1299" i="1" s="1"/>
  <c r="U1306" i="1"/>
  <c r="V1306" i="1" s="1" a="1"/>
  <c r="V1306" i="1" s="1"/>
  <c r="U1307" i="1"/>
  <c r="V1307" i="1" s="1" a="1"/>
  <c r="V1307" i="1" s="1"/>
  <c r="U1308" i="1"/>
  <c r="V1308" i="1" s="1" a="1"/>
  <c r="V1308" i="1" s="1"/>
  <c r="U1309" i="1"/>
  <c r="V1309" i="1" s="1" a="1"/>
  <c r="V1309" i="1" s="1"/>
  <c r="U1287" i="1"/>
  <c r="V1287" i="1" s="1" a="1"/>
  <c r="V1287" i="1" s="1"/>
  <c r="U1310" i="1"/>
  <c r="V1310" i="1" s="1" a="1"/>
  <c r="V1310" i="1" s="1"/>
  <c r="U1311" i="1"/>
  <c r="V1311" i="1" s="1" a="1"/>
  <c r="V1311" i="1" s="1"/>
  <c r="U1312" i="1"/>
  <c r="V1312" i="1" s="1" a="1"/>
  <c r="V1312" i="1" s="1"/>
  <c r="U1313" i="1"/>
  <c r="V1313" i="1" s="1" a="1"/>
  <c r="V1313" i="1" s="1"/>
  <c r="U1314" i="1"/>
  <c r="V1314" i="1" s="1" a="1"/>
  <c r="V1314" i="1" s="1"/>
  <c r="U1315" i="1"/>
  <c r="V1315" i="1" s="1" a="1"/>
  <c r="V1315" i="1" s="1"/>
  <c r="U1316" i="1"/>
  <c r="V1316" i="1" s="1" a="1"/>
  <c r="V1316" i="1" s="1"/>
  <c r="U1317" i="1"/>
  <c r="V1317" i="1" s="1" a="1"/>
  <c r="V1317" i="1" s="1"/>
  <c r="U1318" i="1"/>
  <c r="V1318" i="1" s="1" a="1"/>
  <c r="V1318" i="1" s="1"/>
  <c r="U1319" i="1"/>
  <c r="V1319" i="1" s="1" a="1"/>
  <c r="V1319" i="1" s="1"/>
  <c r="U1322" i="1"/>
  <c r="V1322" i="1" s="1" a="1"/>
  <c r="V1322" i="1" s="1"/>
  <c r="U1324" i="1"/>
  <c r="V1324" i="1" s="1" a="1"/>
  <c r="V1324" i="1" s="1"/>
  <c r="U1325" i="1"/>
  <c r="V1325" i="1" s="1" a="1"/>
  <c r="V1325" i="1" s="1"/>
  <c r="U1326" i="1"/>
  <c r="V1326" i="1" s="1" a="1"/>
  <c r="V1326" i="1" s="1"/>
  <c r="U1327" i="1"/>
  <c r="V1327" i="1" s="1" a="1"/>
  <c r="V1327" i="1" s="1"/>
  <c r="U1330" i="1"/>
  <c r="V1330" i="1" s="1" a="1"/>
  <c r="V1330" i="1" s="1"/>
  <c r="U1331" i="1"/>
  <c r="V1331" i="1" s="1" a="1"/>
  <c r="V1331" i="1" s="1"/>
  <c r="U1328" i="1"/>
  <c r="V1328" i="1" s="1" a="1"/>
  <c r="V1328" i="1" s="1"/>
  <c r="U1329" i="1"/>
  <c r="V1329" i="1" s="1" a="1"/>
  <c r="V1329" i="1" s="1"/>
  <c r="U1332" i="1"/>
  <c r="V1332" i="1" s="1" a="1"/>
  <c r="V1332" i="1" s="1"/>
  <c r="U1333" i="1"/>
  <c r="V1333" i="1" s="1" a="1"/>
  <c r="V1333" i="1" s="1"/>
  <c r="U1334" i="1"/>
  <c r="V1334" i="1" s="1" a="1"/>
  <c r="V1334" i="1" s="1"/>
  <c r="U1335" i="1"/>
  <c r="V1335" i="1" s="1" a="1"/>
  <c r="V1335" i="1" s="1"/>
  <c r="U1337" i="1"/>
  <c r="V1337" i="1" s="1" a="1"/>
  <c r="V1337" i="1" s="1"/>
  <c r="U1338" i="1"/>
  <c r="V1338" i="1" s="1" a="1"/>
  <c r="V1338" i="1" s="1"/>
  <c r="U1339" i="1"/>
  <c r="V1339" i="1" s="1" a="1"/>
  <c r="V1339" i="1" s="1"/>
  <c r="U1350" i="1"/>
  <c r="V1350" i="1" s="1" a="1"/>
  <c r="V1350" i="1" s="1"/>
  <c r="U1351" i="1"/>
  <c r="V1351" i="1" s="1" a="1"/>
  <c r="V1351" i="1" s="1"/>
  <c r="U1348" i="1"/>
  <c r="V1348" i="1" s="1" a="1"/>
  <c r="V1348" i="1" s="1"/>
  <c r="U1349" i="1"/>
  <c r="V1349" i="1" s="1" a="1"/>
  <c r="V1349" i="1" s="1"/>
  <c r="U1341" i="1"/>
  <c r="V1341" i="1" s="1" a="1"/>
  <c r="V1341" i="1" s="1"/>
  <c r="U1347" i="1"/>
  <c r="V1347" i="1" s="1" a="1"/>
  <c r="V1347" i="1" s="1"/>
  <c r="U1345" i="1"/>
  <c r="V1345" i="1" s="1" a="1"/>
  <c r="V1345" i="1" s="1"/>
  <c r="U1346" i="1"/>
  <c r="V1346" i="1" s="1" a="1"/>
  <c r="V1346" i="1" s="1"/>
  <c r="U1354" i="1"/>
  <c r="V1354" i="1" s="1" a="1"/>
  <c r="V1354" i="1" s="1"/>
  <c r="U1355" i="1"/>
  <c r="V1355" i="1" s="1" a="1"/>
  <c r="V1355" i="1" s="1"/>
  <c r="U1373" i="1"/>
  <c r="V1373" i="1" s="1" a="1"/>
  <c r="V1373" i="1" s="1"/>
  <c r="U1356" i="1"/>
  <c r="V1356" i="1" s="1" a="1"/>
  <c r="V1356" i="1" s="1"/>
  <c r="U1357" i="1"/>
  <c r="V1357" i="1" s="1" a="1"/>
  <c r="V1357" i="1" s="1"/>
  <c r="U1358" i="1"/>
  <c r="V1358" i="1" s="1" a="1"/>
  <c r="V1358" i="1" s="1"/>
  <c r="U1359" i="1"/>
  <c r="V1359" i="1" s="1" a="1"/>
  <c r="V1359" i="1" s="1"/>
  <c r="U1370" i="1"/>
  <c r="V1370" i="1" s="1" a="1"/>
  <c r="V1370" i="1" s="1"/>
  <c r="U1360" i="1"/>
  <c r="V1360" i="1" s="1" a="1"/>
  <c r="V1360" i="1" s="1"/>
  <c r="U1361" i="1"/>
  <c r="V1361" i="1" s="1" a="1"/>
  <c r="V1361" i="1" s="1"/>
  <c r="U1362" i="1"/>
  <c r="V1362" i="1" s="1" a="1"/>
  <c r="V1362" i="1" s="1"/>
  <c r="U1363" i="1"/>
  <c r="V1363" i="1" s="1" a="1"/>
  <c r="V1363" i="1" s="1"/>
  <c r="U1364" i="1"/>
  <c r="V1364" i="1" s="1" a="1"/>
  <c r="V1364" i="1" s="1"/>
  <c r="U1365" i="1"/>
  <c r="V1365" i="1" s="1" a="1"/>
  <c r="V1365" i="1" s="1"/>
  <c r="U1366" i="1"/>
  <c r="V1366" i="1" s="1" a="1"/>
  <c r="V1366" i="1" s="1"/>
  <c r="U1371" i="1"/>
  <c r="V1371" i="1" s="1" a="1"/>
  <c r="V1371" i="1" s="1"/>
  <c r="U1367" i="1"/>
  <c r="V1367" i="1" s="1" a="1"/>
  <c r="V1367" i="1" s="1"/>
  <c r="U1368" i="1"/>
  <c r="V1368" i="1" s="1" a="1"/>
  <c r="V1368" i="1" s="1"/>
  <c r="U1369" i="1"/>
  <c r="V1369" i="1" s="1" a="1"/>
  <c r="V1369" i="1" s="1"/>
  <c r="U1374" i="1"/>
  <c r="V1374" i="1" s="1" a="1"/>
  <c r="V1374" i="1" s="1"/>
  <c r="U1384" i="1"/>
  <c r="V1384" i="1" s="1" a="1"/>
  <c r="V1384" i="1" s="1"/>
  <c r="U1382" i="1"/>
  <c r="V1382" i="1" s="1" a="1"/>
  <c r="V1382" i="1" s="1"/>
  <c r="U1375" i="1"/>
  <c r="V1375" i="1" s="1" a="1"/>
  <c r="V1375" i="1" s="1"/>
  <c r="U1377" i="1"/>
  <c r="V1377" i="1" s="1" a="1"/>
  <c r="V1377" i="1" s="1"/>
  <c r="U1378" i="1"/>
  <c r="V1378" i="1" s="1" a="1"/>
  <c r="V1378" i="1" s="1"/>
  <c r="U1376" i="1"/>
  <c r="V1376" i="1" s="1" a="1"/>
  <c r="V1376" i="1" s="1"/>
  <c r="U1379" i="1"/>
  <c r="V1379" i="1" s="1" a="1"/>
  <c r="V1379" i="1" s="1"/>
  <c r="U1380" i="1"/>
  <c r="V1380" i="1" s="1" a="1"/>
  <c r="V1380" i="1" s="1"/>
  <c r="U1383" i="1"/>
  <c r="V1383" i="1" s="1" a="1"/>
  <c r="V1383" i="1" s="1"/>
  <c r="U1385" i="1"/>
  <c r="V1385" i="1" s="1" a="1"/>
  <c r="V1385" i="1" s="1"/>
  <c r="U1386" i="1"/>
  <c r="V1386" i="1" s="1" a="1"/>
  <c r="V1386" i="1" s="1"/>
  <c r="U1391" i="1"/>
  <c r="V1391" i="1" s="1" a="1"/>
  <c r="V1391" i="1" s="1"/>
  <c r="U1387" i="1"/>
  <c r="V1387" i="1" s="1" a="1"/>
  <c r="V1387" i="1" s="1"/>
  <c r="U1388" i="1"/>
  <c r="V1388" i="1" s="1" a="1"/>
  <c r="V1388" i="1" s="1"/>
  <c r="U1389" i="1"/>
  <c r="V1389" i="1" s="1" a="1"/>
  <c r="V1389" i="1" s="1"/>
  <c r="U1393" i="1"/>
  <c r="V1393" i="1" s="1" a="1"/>
  <c r="V1393" i="1" s="1"/>
  <c r="U1390" i="1"/>
  <c r="V1390" i="1" s="1" a="1"/>
  <c r="V1390" i="1" s="1"/>
  <c r="U1392" i="1"/>
  <c r="V1392" i="1" s="1" a="1"/>
  <c r="V1392" i="1" s="1"/>
  <c r="U1394" i="1"/>
  <c r="V1394" i="1" s="1" a="1"/>
  <c r="V1394" i="1" s="1"/>
  <c r="U1381" i="1"/>
  <c r="V1381" i="1" s="1" a="1"/>
  <c r="V1381" i="1" s="1"/>
  <c r="U1395" i="1"/>
  <c r="V1395" i="1" s="1" a="1"/>
  <c r="V1395" i="1" s="1"/>
  <c r="U1398" i="1"/>
  <c r="V1398" i="1" s="1" a="1"/>
  <c r="V1398" i="1" s="1"/>
  <c r="U1396" i="1"/>
  <c r="V1396" i="1" s="1" a="1"/>
  <c r="V1396" i="1" s="1"/>
  <c r="U1397" i="1"/>
  <c r="V1397" i="1" s="1" a="1"/>
  <c r="V1397" i="1" s="1"/>
  <c r="U1399" i="1"/>
  <c r="V1399" i="1" s="1" a="1"/>
  <c r="V1399" i="1" s="1"/>
  <c r="U1400" i="1"/>
  <c r="V1400" i="1" s="1" a="1"/>
  <c r="V1400" i="1" s="1"/>
  <c r="U1403" i="1"/>
  <c r="V1403" i="1" s="1" a="1"/>
  <c r="V1403" i="1" s="1"/>
  <c r="U1402" i="1"/>
  <c r="V1402" i="1" s="1" a="1"/>
  <c r="V1402" i="1" s="1"/>
  <c r="U1401" i="1"/>
  <c r="V1401" i="1" s="1" a="1"/>
  <c r="V1401" i="1" s="1"/>
  <c r="U1405" i="1"/>
  <c r="V1405" i="1" s="1" a="1"/>
  <c r="V1405" i="1" s="1"/>
  <c r="U1415" i="1"/>
  <c r="V1415" i="1" s="1" a="1"/>
  <c r="V1415" i="1" s="1"/>
  <c r="U1413" i="1"/>
  <c r="V1413" i="1" s="1" a="1"/>
  <c r="V1413" i="1" s="1"/>
  <c r="U1412" i="1"/>
  <c r="V1412" i="1" s="1" a="1"/>
  <c r="V1412" i="1" s="1"/>
  <c r="U1406" i="1"/>
  <c r="V1406" i="1" s="1" a="1"/>
  <c r="V1406" i="1" s="1"/>
  <c r="U1407" i="1"/>
  <c r="V1407" i="1" s="1" a="1"/>
  <c r="V1407" i="1" s="1"/>
  <c r="U1408" i="1"/>
  <c r="V1408" i="1" s="1" a="1"/>
  <c r="V1408" i="1" s="1"/>
  <c r="U1409" i="1"/>
  <c r="V1409" i="1" s="1" a="1"/>
  <c r="V1409" i="1" s="1"/>
  <c r="U1410" i="1"/>
  <c r="V1410" i="1" s="1" a="1"/>
  <c r="V1410" i="1" s="1"/>
  <c r="U1411" i="1"/>
  <c r="V1411" i="1" s="1" a="1"/>
  <c r="V1411" i="1" s="1"/>
  <c r="U1404" i="1"/>
  <c r="V1404" i="1" s="1" a="1"/>
  <c r="V1404" i="1" s="1"/>
  <c r="U1414" i="1"/>
  <c r="V1414" i="1" s="1" a="1"/>
  <c r="V1414" i="1" s="1"/>
  <c r="U1417" i="1"/>
  <c r="V1417" i="1" s="1" a="1"/>
  <c r="V1417" i="1" s="1"/>
  <c r="U1418" i="1"/>
  <c r="V1418" i="1" s="1" a="1"/>
  <c r="V1418" i="1" s="1"/>
  <c r="U1429" i="1"/>
  <c r="V1429" i="1" s="1" a="1"/>
  <c r="V1429" i="1" s="1"/>
  <c r="U1430" i="1"/>
  <c r="V1430" i="1" s="1" a="1"/>
  <c r="V1430" i="1" s="1"/>
  <c r="U1431" i="1"/>
  <c r="V1431" i="1" s="1" a="1"/>
  <c r="V1431" i="1" s="1"/>
  <c r="U1419" i="1"/>
  <c r="V1419" i="1" s="1" a="1"/>
  <c r="V1419" i="1" s="1"/>
  <c r="U1420" i="1"/>
  <c r="V1420" i="1" s="1" a="1"/>
  <c r="V1420" i="1" s="1"/>
  <c r="U1421" i="1"/>
  <c r="V1421" i="1" s="1" a="1"/>
  <c r="V1421" i="1" s="1"/>
  <c r="U1425" i="1"/>
  <c r="V1425" i="1" s="1" a="1"/>
  <c r="V1425" i="1" s="1"/>
  <c r="U1424" i="1"/>
  <c r="V1424" i="1" s="1" a="1"/>
  <c r="V1424" i="1" s="1"/>
  <c r="U1422" i="1"/>
  <c r="V1422" i="1" s="1" a="1"/>
  <c r="V1422" i="1" s="1"/>
  <c r="U1426" i="1"/>
  <c r="V1426" i="1" s="1" a="1"/>
  <c r="V1426" i="1" s="1"/>
  <c r="U1423" i="1"/>
  <c r="V1423" i="1" s="1" a="1"/>
  <c r="V1423" i="1" s="1"/>
  <c r="U1427" i="1"/>
  <c r="V1427" i="1" s="1" a="1"/>
  <c r="V1427" i="1" s="1"/>
  <c r="U1428" i="1"/>
  <c r="V1428" i="1" s="1" a="1"/>
  <c r="V1428" i="1" s="1"/>
  <c r="U1432" i="1"/>
  <c r="V1432" i="1" s="1" a="1"/>
  <c r="V1432" i="1" s="1"/>
  <c r="U1434" i="1"/>
  <c r="V1434" i="1" s="1" a="1"/>
  <c r="V1434" i="1" s="1"/>
  <c r="U1433" i="1"/>
  <c r="V1433" i="1" s="1" a="1"/>
  <c r="V1433" i="1" s="1"/>
  <c r="U1435" i="1"/>
  <c r="V1435" i="1" s="1" a="1"/>
  <c r="V1435" i="1" s="1"/>
  <c r="U1437" i="1"/>
  <c r="V1437" i="1" s="1" a="1"/>
  <c r="V1437" i="1" s="1"/>
  <c r="U1438" i="1"/>
  <c r="V1438" i="1" s="1" a="1"/>
  <c r="V1438" i="1" s="1"/>
  <c r="U1449" i="1"/>
  <c r="V1449" i="1" s="1" a="1"/>
  <c r="V1449" i="1" s="1"/>
  <c r="U1452" i="1"/>
  <c r="V1452" i="1" s="1" a="1"/>
  <c r="V1452" i="1" s="1"/>
  <c r="U1439" i="1"/>
  <c r="V1439" i="1" s="1" a="1"/>
  <c r="V1439" i="1" s="1"/>
  <c r="U1440" i="1"/>
  <c r="V1440" i="1" s="1" a="1"/>
  <c r="V1440" i="1" s="1"/>
  <c r="U1441" i="1"/>
  <c r="V1441" i="1" s="1" a="1"/>
  <c r="V1441" i="1" s="1"/>
  <c r="U1442" i="1"/>
  <c r="V1442" i="1" s="1" a="1"/>
  <c r="V1442" i="1" s="1"/>
  <c r="U1443" i="1"/>
  <c r="V1443" i="1" s="1" a="1"/>
  <c r="V1443" i="1" s="1"/>
  <c r="U1444" i="1"/>
  <c r="V1444" i="1" s="1" a="1"/>
  <c r="V1444" i="1" s="1"/>
  <c r="U1446" i="1"/>
  <c r="V1446" i="1" s="1" a="1"/>
  <c r="V1446" i="1" s="1"/>
  <c r="U1445" i="1"/>
  <c r="V1445" i="1" s="1" a="1"/>
  <c r="V1445" i="1" s="1"/>
  <c r="U1447" i="1"/>
  <c r="V1447" i="1" s="1" a="1"/>
  <c r="V1447" i="1" s="1"/>
  <c r="U1448" i="1"/>
  <c r="V1448" i="1" s="1" a="1"/>
  <c r="V1448" i="1" s="1"/>
  <c r="U1450" i="1"/>
  <c r="V1450" i="1" s="1" a="1"/>
  <c r="V1450" i="1" s="1"/>
  <c r="U1453" i="1"/>
  <c r="V1453" i="1" s="1" a="1"/>
  <c r="V1453" i="1" s="1"/>
  <c r="U1455" i="1"/>
  <c r="V1455" i="1" s="1" a="1"/>
  <c r="V1455" i="1" s="1"/>
  <c r="U1454" i="1"/>
  <c r="V1454" i="1" s="1" a="1"/>
  <c r="V1454" i="1" s="1"/>
  <c r="U1916" i="1"/>
  <c r="V1916" i="1" s="1" a="1"/>
  <c r="V1916" i="1" s="1"/>
  <c r="U1456" i="1"/>
  <c r="V1456" i="1" s="1" a="1"/>
  <c r="V1456" i="1" s="1"/>
  <c r="U1457" i="1"/>
  <c r="V1457" i="1" s="1" a="1"/>
  <c r="V1457" i="1" s="1"/>
  <c r="U1458" i="1"/>
  <c r="V1458" i="1" s="1" a="1"/>
  <c r="V1458" i="1" s="1"/>
  <c r="U1459" i="1"/>
  <c r="V1459" i="1" s="1" a="1"/>
  <c r="V1459" i="1" s="1"/>
  <c r="U1462" i="1"/>
  <c r="V1462" i="1" s="1" a="1"/>
  <c r="V1462" i="1" s="1"/>
  <c r="U1463" i="1"/>
  <c r="V1463" i="1" s="1" a="1"/>
  <c r="V1463" i="1" s="1"/>
  <c r="U1467" i="1"/>
  <c r="V1467" i="1" s="1" a="1"/>
  <c r="V1467" i="1" s="1"/>
  <c r="U1468" i="1"/>
  <c r="V1468" i="1" s="1" a="1"/>
  <c r="V1468" i="1" s="1"/>
  <c r="U1470" i="1"/>
  <c r="V1470" i="1" s="1" a="1"/>
  <c r="V1470" i="1" s="1"/>
  <c r="U1471" i="1"/>
  <c r="V1471" i="1" s="1" a="1"/>
  <c r="V1471" i="1" s="1"/>
  <c r="U1472" i="1"/>
  <c r="V1472" i="1" s="1" a="1"/>
  <c r="V1472" i="1" s="1"/>
  <c r="U1464" i="1"/>
  <c r="V1464" i="1" s="1" a="1"/>
  <c r="V1464" i="1" s="1"/>
  <c r="U1474" i="1"/>
  <c r="V1474" i="1" s="1" a="1"/>
  <c r="V1474" i="1" s="1"/>
  <c r="U1475" i="1"/>
  <c r="V1475" i="1" s="1" a="1"/>
  <c r="V1475" i="1" s="1"/>
  <c r="U1488" i="1"/>
  <c r="V1488" i="1" s="1" a="1"/>
  <c r="V1488" i="1" s="1"/>
  <c r="U380" i="1"/>
  <c r="V380" i="1" s="1" a="1"/>
  <c r="V380" i="1" s="1"/>
  <c r="U1496" i="1"/>
  <c r="V1496" i="1" s="1" a="1"/>
  <c r="V1496" i="1" s="1"/>
  <c r="U1497" i="1"/>
  <c r="V1497" i="1" s="1" a="1"/>
  <c r="V1497" i="1" s="1"/>
  <c r="U1498" i="1"/>
  <c r="V1498" i="1" s="1" a="1"/>
  <c r="V1498" i="1" s="1"/>
  <c r="U1499" i="1"/>
  <c r="V1499" i="1" s="1" a="1"/>
  <c r="V1499" i="1" s="1"/>
  <c r="U1500" i="1"/>
  <c r="V1500" i="1" s="1" a="1"/>
  <c r="V1500" i="1" s="1"/>
  <c r="U1501" i="1"/>
  <c r="V1501" i="1" s="1" a="1"/>
  <c r="V1501" i="1" s="1"/>
  <c r="U1502" i="1"/>
  <c r="V1502" i="1" s="1" a="1"/>
  <c r="V1502" i="1" s="1"/>
  <c r="U1503" i="1"/>
  <c r="V1503" i="1" s="1" a="1"/>
  <c r="V1503" i="1" s="1"/>
  <c r="U1504" i="1"/>
  <c r="V1504" i="1" s="1" a="1"/>
  <c r="V1504" i="1" s="1"/>
  <c r="U1505" i="1"/>
  <c r="V1505" i="1" s="1" a="1"/>
  <c r="V1505" i="1" s="1"/>
  <c r="U1506" i="1"/>
  <c r="V1506" i="1" s="1" a="1"/>
  <c r="V1506" i="1" s="1"/>
  <c r="U1507" i="1"/>
  <c r="V1507" i="1" s="1" a="1"/>
  <c r="V1507" i="1" s="1"/>
  <c r="U1508" i="1"/>
  <c r="V1508" i="1" s="1" a="1"/>
  <c r="V1508" i="1" s="1"/>
  <c r="U1509" i="1"/>
  <c r="V1509" i="1" s="1" a="1"/>
  <c r="V1509" i="1" s="1"/>
  <c r="U1510" i="1"/>
  <c r="V1510" i="1" s="1" a="1"/>
  <c r="V1510" i="1" s="1"/>
  <c r="U1511" i="1"/>
  <c r="V1511" i="1" s="1" a="1"/>
  <c r="V1511" i="1" s="1"/>
  <c r="U1694" i="1"/>
  <c r="V1694" i="1" s="1" a="1"/>
  <c r="V1694" i="1" s="1"/>
  <c r="U1693" i="1"/>
  <c r="V1693" i="1" s="1" a="1"/>
  <c r="V1693" i="1" s="1"/>
  <c r="U1692" i="1"/>
  <c r="V1692" i="1" s="1" a="1"/>
  <c r="V1692" i="1" s="1"/>
  <c r="U1691" i="1"/>
  <c r="V1691" i="1" s="1" a="1"/>
  <c r="V1691" i="1" s="1"/>
  <c r="U1512" i="1"/>
  <c r="V1512" i="1" s="1" a="1"/>
  <c r="V1512" i="1" s="1"/>
  <c r="U1513" i="1"/>
  <c r="V1513" i="1" s="1" a="1"/>
  <c r="V1513" i="1" s="1"/>
  <c r="U1514" i="1"/>
  <c r="V1514" i="1" s="1" a="1"/>
  <c r="V1514" i="1" s="1"/>
  <c r="U1515" i="1"/>
  <c r="V1515" i="1" s="1" a="1"/>
  <c r="V1515" i="1" s="1"/>
  <c r="U1516" i="1"/>
  <c r="V1516" i="1" s="1" a="1"/>
  <c r="V1516" i="1" s="1"/>
  <c r="U1517" i="1"/>
  <c r="V1517" i="1" s="1" a="1"/>
  <c r="V1517" i="1" s="1"/>
  <c r="U1518" i="1"/>
  <c r="V1518" i="1" s="1" a="1"/>
  <c r="V1518" i="1" s="1"/>
  <c r="U1519" i="1"/>
  <c r="V1519" i="1" s="1" a="1"/>
  <c r="V1519" i="1" s="1"/>
  <c r="U1520" i="1"/>
  <c r="V1520" i="1" s="1" a="1"/>
  <c r="V1520" i="1" s="1"/>
  <c r="U1521" i="1"/>
  <c r="V1521" i="1" s="1" a="1"/>
  <c r="V1521" i="1" s="1"/>
  <c r="U1522" i="1"/>
  <c r="V1522" i="1" s="1" a="1"/>
  <c r="V1522" i="1" s="1"/>
  <c r="U1523" i="1"/>
  <c r="V1523" i="1" s="1" a="1"/>
  <c r="V1523" i="1" s="1"/>
  <c r="U1495" i="1"/>
  <c r="V1495" i="1" s="1" a="1"/>
  <c r="V1495" i="1" s="1"/>
  <c r="U1524" i="1"/>
  <c r="V1524" i="1" s="1" a="1"/>
  <c r="V1524" i="1" s="1"/>
  <c r="U1525" i="1"/>
  <c r="V1525" i="1" s="1" a="1"/>
  <c r="V1525" i="1" s="1"/>
  <c r="U1526" i="1"/>
  <c r="V1526" i="1" s="1" a="1"/>
  <c r="V1526" i="1" s="1"/>
  <c r="U1527" i="1"/>
  <c r="V1527" i="1" s="1" a="1"/>
  <c r="V1527" i="1" s="1"/>
  <c r="U1528" i="1"/>
  <c r="V1528" i="1" s="1" a="1"/>
  <c r="V1528" i="1" s="1"/>
  <c r="U1529" i="1"/>
  <c r="V1529" i="1" s="1" a="1"/>
  <c r="V1529" i="1" s="1"/>
  <c r="U1530" i="1"/>
  <c r="V1530" i="1" s="1" a="1"/>
  <c r="V1530" i="1" s="1"/>
  <c r="U1531" i="1"/>
  <c r="V1531" i="1" s="1" a="1"/>
  <c r="V1531" i="1" s="1"/>
  <c r="U1532" i="1"/>
  <c r="V1532" i="1" s="1" a="1"/>
  <c r="V1532" i="1" s="1"/>
  <c r="U1533" i="1"/>
  <c r="V1533" i="1" s="1" a="1"/>
  <c r="V1533" i="1" s="1"/>
  <c r="U1534" i="1"/>
  <c r="V1534" i="1" s="1" a="1"/>
  <c r="V1534" i="1" s="1"/>
  <c r="U1535" i="1"/>
  <c r="V1535" i="1" s="1" a="1"/>
  <c r="V1535" i="1" s="1"/>
  <c r="U1536" i="1"/>
  <c r="V1536" i="1" s="1" a="1"/>
  <c r="V1536" i="1" s="1"/>
  <c r="U1537" i="1"/>
  <c r="V1537" i="1" s="1" a="1"/>
  <c r="V1537" i="1" s="1"/>
  <c r="U1538" i="1"/>
  <c r="V1538" i="1" s="1" a="1"/>
  <c r="V1538" i="1" s="1"/>
  <c r="U1539" i="1"/>
  <c r="V1539" i="1" s="1" a="1"/>
  <c r="V1539" i="1" s="1"/>
  <c r="U1540" i="1"/>
  <c r="V1540" i="1" s="1" a="1"/>
  <c r="V1540" i="1" s="1"/>
  <c r="U1541" i="1"/>
  <c r="V1541" i="1" s="1" a="1"/>
  <c r="V1541" i="1" s="1"/>
  <c r="U1542" i="1"/>
  <c r="V1542" i="1" s="1" a="1"/>
  <c r="V1542" i="1" s="1"/>
  <c r="U1543" i="1"/>
  <c r="V1543" i="1" s="1" a="1"/>
  <c r="V1543" i="1" s="1"/>
  <c r="U1544" i="1"/>
  <c r="V1544" i="1" s="1" a="1"/>
  <c r="V1544" i="1" s="1"/>
  <c r="U1545" i="1"/>
  <c r="V1545" i="1" s="1" a="1"/>
  <c r="V1545" i="1" s="1"/>
  <c r="U1546" i="1"/>
  <c r="V1546" i="1" s="1" a="1"/>
  <c r="V1546" i="1" s="1"/>
  <c r="U1547" i="1"/>
  <c r="V1547" i="1" s="1" a="1"/>
  <c r="V1547" i="1" s="1"/>
  <c r="U1548" i="1"/>
  <c r="V1548" i="1" s="1" a="1"/>
  <c r="V1548" i="1" s="1"/>
  <c r="U1549" i="1"/>
  <c r="V1549" i="1" s="1" a="1"/>
  <c r="V1549" i="1" s="1"/>
  <c r="U1550" i="1"/>
  <c r="V1550" i="1" s="1" a="1"/>
  <c r="V1550" i="1" s="1"/>
  <c r="U1551" i="1"/>
  <c r="V1551" i="1" s="1" a="1"/>
  <c r="V1551" i="1" s="1"/>
  <c r="U1552" i="1"/>
  <c r="V1552" i="1" s="1" a="1"/>
  <c r="V1552" i="1" s="1"/>
  <c r="U1553" i="1"/>
  <c r="V1553" i="1" s="1" a="1"/>
  <c r="V1553" i="1" s="1"/>
  <c r="U1554" i="1"/>
  <c r="V1554" i="1" s="1" a="1"/>
  <c r="V1554" i="1" s="1"/>
  <c r="U1555" i="1"/>
  <c r="V1555" i="1" s="1" a="1"/>
  <c r="V1555" i="1" s="1"/>
  <c r="U1556" i="1"/>
  <c r="V1556" i="1" s="1" a="1"/>
  <c r="V1556" i="1" s="1"/>
  <c r="U1557" i="1"/>
  <c r="V1557" i="1" s="1" a="1"/>
  <c r="V1557" i="1" s="1"/>
  <c r="U1492" i="1"/>
  <c r="V1492" i="1" s="1" a="1"/>
  <c r="V1492" i="1" s="1"/>
  <c r="U1558" i="1"/>
  <c r="V1558" i="1" s="1" a="1"/>
  <c r="V1558" i="1" s="1"/>
  <c r="U1559" i="1"/>
  <c r="V1559" i="1" s="1" a="1"/>
  <c r="V1559" i="1" s="1"/>
  <c r="U1560" i="1"/>
  <c r="V1560" i="1" s="1" a="1"/>
  <c r="V1560" i="1" s="1"/>
  <c r="U1561" i="1"/>
  <c r="V1561" i="1" s="1" a="1"/>
  <c r="V1561" i="1" s="1"/>
  <c r="U1562" i="1"/>
  <c r="V1562" i="1" s="1" a="1"/>
  <c r="V1562" i="1" s="1"/>
  <c r="U1563" i="1"/>
  <c r="V1563" i="1" s="1" a="1"/>
  <c r="V1563" i="1" s="1"/>
  <c r="U1564" i="1"/>
  <c r="V1564" i="1" s="1" a="1"/>
  <c r="V1564" i="1" s="1"/>
  <c r="U1565" i="1"/>
  <c r="V1565" i="1" s="1" a="1"/>
  <c r="V1565" i="1" s="1"/>
  <c r="U1566" i="1"/>
  <c r="V1566" i="1" s="1" a="1"/>
  <c r="V1566" i="1" s="1"/>
  <c r="U1567" i="1"/>
  <c r="V1567" i="1" s="1" a="1"/>
  <c r="V1567" i="1" s="1"/>
  <c r="U1568" i="1"/>
  <c r="V1568" i="1" s="1" a="1"/>
  <c r="V1568" i="1" s="1"/>
  <c r="U1569" i="1"/>
  <c r="V1569" i="1" s="1" a="1"/>
  <c r="V1569" i="1" s="1"/>
  <c r="U1570" i="1"/>
  <c r="V1570" i="1" s="1" a="1"/>
  <c r="V1570" i="1" s="1"/>
  <c r="U1571" i="1"/>
  <c r="V1571" i="1" s="1" a="1"/>
  <c r="V1571" i="1" s="1"/>
  <c r="U1572" i="1"/>
  <c r="V1572" i="1" s="1" a="1"/>
  <c r="V1572" i="1" s="1"/>
  <c r="U1573" i="1"/>
  <c r="V1573" i="1" s="1" a="1"/>
  <c r="V1573" i="1" s="1"/>
  <c r="U1574" i="1"/>
  <c r="V1574" i="1" s="1" a="1"/>
  <c r="V1574" i="1" s="1"/>
  <c r="U1575" i="1"/>
  <c r="V1575" i="1" s="1" a="1"/>
  <c r="V1575" i="1" s="1"/>
  <c r="U1576" i="1"/>
  <c r="V1576" i="1" s="1" a="1"/>
  <c r="V1576" i="1" s="1"/>
  <c r="U1577" i="1"/>
  <c r="V1577" i="1" s="1" a="1"/>
  <c r="V1577" i="1" s="1"/>
  <c r="U1578" i="1"/>
  <c r="V1578" i="1" s="1" a="1"/>
  <c r="V1578" i="1" s="1"/>
  <c r="U1579" i="1"/>
  <c r="V1579" i="1" s="1" a="1"/>
  <c r="V1579" i="1" s="1"/>
  <c r="U1580" i="1"/>
  <c r="V1580" i="1" s="1" a="1"/>
  <c r="V1580" i="1" s="1"/>
  <c r="U1581" i="1"/>
  <c r="V1581" i="1" s="1" a="1"/>
  <c r="V1581" i="1" s="1"/>
  <c r="U1582" i="1"/>
  <c r="V1582" i="1" s="1" a="1"/>
  <c r="V1582" i="1" s="1"/>
  <c r="U1583" i="1"/>
  <c r="V1583" i="1" s="1" a="1"/>
  <c r="V1583" i="1" s="1"/>
  <c r="U1584" i="1"/>
  <c r="V1584" i="1" s="1" a="1"/>
  <c r="V1584" i="1" s="1"/>
  <c r="U1585" i="1"/>
  <c r="V1585" i="1" s="1" a="1"/>
  <c r="V1585" i="1" s="1"/>
  <c r="U1586" i="1"/>
  <c r="V1586" i="1" s="1" a="1"/>
  <c r="V1586" i="1" s="1"/>
  <c r="U1587" i="1"/>
  <c r="V1587" i="1" s="1" a="1"/>
  <c r="V1587" i="1" s="1"/>
  <c r="U1588" i="1"/>
  <c r="V1588" i="1" s="1" a="1"/>
  <c r="V1588" i="1" s="1"/>
  <c r="U1589" i="1"/>
  <c r="V1589" i="1" s="1" a="1"/>
  <c r="V1589" i="1" s="1"/>
  <c r="U1590" i="1"/>
  <c r="V1590" i="1" s="1" a="1"/>
  <c r="V1590" i="1" s="1"/>
  <c r="U1591" i="1"/>
  <c r="V1591" i="1" s="1" a="1"/>
  <c r="V1591" i="1" s="1"/>
  <c r="U1592" i="1"/>
  <c r="V1592" i="1" s="1" a="1"/>
  <c r="V1592" i="1" s="1"/>
  <c r="U1593" i="1"/>
  <c r="V1593" i="1" s="1" a="1"/>
  <c r="V1593" i="1" s="1"/>
  <c r="U1594" i="1"/>
  <c r="V1594" i="1" s="1" a="1"/>
  <c r="V1594" i="1" s="1"/>
  <c r="U1595" i="1"/>
  <c r="V1595" i="1" s="1" a="1"/>
  <c r="V1595" i="1" s="1"/>
  <c r="U1596" i="1"/>
  <c r="V1596" i="1" s="1" a="1"/>
  <c r="V1596" i="1" s="1"/>
  <c r="U1597" i="1"/>
  <c r="V1597" i="1" s="1" a="1"/>
  <c r="V1597" i="1" s="1"/>
  <c r="U1598" i="1"/>
  <c r="V1598" i="1" s="1" a="1"/>
  <c r="V1598" i="1" s="1"/>
  <c r="U1599" i="1"/>
  <c r="V1599" i="1" s="1" a="1"/>
  <c r="V1599" i="1" s="1"/>
  <c r="U1600" i="1"/>
  <c r="V1600" i="1" s="1" a="1"/>
  <c r="V1600" i="1" s="1"/>
  <c r="U1601" i="1"/>
  <c r="V1601" i="1" s="1" a="1"/>
  <c r="V1601" i="1" s="1"/>
  <c r="U1602" i="1"/>
  <c r="V1602" i="1" s="1" a="1"/>
  <c r="V1602" i="1" s="1"/>
  <c r="U1603" i="1"/>
  <c r="V1603" i="1" s="1" a="1"/>
  <c r="V1603" i="1" s="1"/>
  <c r="U1604" i="1"/>
  <c r="V1604" i="1" s="1" a="1"/>
  <c r="V1604" i="1" s="1"/>
  <c r="U1490" i="1"/>
  <c r="V1490" i="1" s="1" a="1"/>
  <c r="V1490" i="1" s="1"/>
  <c r="U1605" i="1"/>
  <c r="V1605" i="1" s="1" a="1"/>
  <c r="V1605" i="1" s="1"/>
  <c r="U1606" i="1"/>
  <c r="V1606" i="1" s="1" a="1"/>
  <c r="V1606" i="1" s="1"/>
  <c r="U1607" i="1"/>
  <c r="V1607" i="1" s="1" a="1"/>
  <c r="V1607" i="1" s="1"/>
  <c r="U1608" i="1"/>
  <c r="V1608" i="1" s="1" a="1"/>
  <c r="V1608" i="1" s="1"/>
  <c r="U1491" i="1"/>
  <c r="V1491" i="1" s="1" a="1"/>
  <c r="V1491" i="1" s="1"/>
  <c r="U1609" i="1"/>
  <c r="V1609" i="1" s="1" a="1"/>
  <c r="V1609" i="1" s="1"/>
  <c r="U1610" i="1"/>
  <c r="V1610" i="1" s="1" a="1"/>
  <c r="V1610" i="1" s="1"/>
  <c r="U1611" i="1"/>
  <c r="V1611" i="1" s="1" a="1"/>
  <c r="V1611" i="1" s="1"/>
  <c r="U1612" i="1"/>
  <c r="V1612" i="1" s="1" a="1"/>
  <c r="V1612" i="1" s="1"/>
  <c r="U1613" i="1"/>
  <c r="V1613" i="1" s="1" a="1"/>
  <c r="V1613" i="1" s="1"/>
  <c r="U1614" i="1"/>
  <c r="V1614" i="1" s="1" a="1"/>
  <c r="V1614" i="1" s="1"/>
  <c r="U1615" i="1"/>
  <c r="V1615" i="1" s="1" a="1"/>
  <c r="V1615" i="1" s="1"/>
  <c r="U1616" i="1"/>
  <c r="V1616" i="1" s="1" a="1"/>
  <c r="V1616" i="1" s="1"/>
  <c r="U1617" i="1"/>
  <c r="V1617" i="1" s="1" a="1"/>
  <c r="V1617" i="1" s="1"/>
  <c r="U1618" i="1"/>
  <c r="V1618" i="1" s="1" a="1"/>
  <c r="V1618" i="1" s="1"/>
  <c r="U1619" i="1"/>
  <c r="V1619" i="1" s="1" a="1"/>
  <c r="V1619" i="1" s="1"/>
  <c r="U1620" i="1"/>
  <c r="V1620" i="1" s="1" a="1"/>
  <c r="V1620" i="1" s="1"/>
  <c r="U1621" i="1"/>
  <c r="V1621" i="1" s="1" a="1"/>
  <c r="V1621" i="1" s="1"/>
  <c r="U1622" i="1"/>
  <c r="V1622" i="1" s="1" a="1"/>
  <c r="V1622" i="1" s="1"/>
  <c r="U1623" i="1"/>
  <c r="V1623" i="1" s="1" a="1"/>
  <c r="V1623" i="1" s="1"/>
  <c r="U1624" i="1"/>
  <c r="V1624" i="1" s="1" a="1"/>
  <c r="V1624" i="1" s="1"/>
  <c r="U1625" i="1"/>
  <c r="V1625" i="1" s="1" a="1"/>
  <c r="V1625" i="1" s="1"/>
  <c r="U1626" i="1"/>
  <c r="V1626" i="1" s="1" a="1"/>
  <c r="V1626" i="1" s="1"/>
  <c r="U1627" i="1"/>
  <c r="V1627" i="1" s="1" a="1"/>
  <c r="V1627" i="1" s="1"/>
  <c r="U1628" i="1"/>
  <c r="V1628" i="1" s="1" a="1"/>
  <c r="V1628" i="1" s="1"/>
  <c r="U1629" i="1"/>
  <c r="V1629" i="1" s="1" a="1"/>
  <c r="V1629" i="1" s="1"/>
  <c r="U1630" i="1"/>
  <c r="V1630" i="1" s="1" a="1"/>
  <c r="V1630" i="1" s="1"/>
  <c r="U1631" i="1"/>
  <c r="V1631" i="1" s="1" a="1"/>
  <c r="V1631" i="1" s="1"/>
  <c r="U1632" i="1"/>
  <c r="V1632" i="1" s="1" a="1"/>
  <c r="V1632" i="1" s="1"/>
  <c r="U1633" i="1"/>
  <c r="V1633" i="1" s="1" a="1"/>
  <c r="V1633" i="1" s="1"/>
  <c r="U1634" i="1"/>
  <c r="V1634" i="1" s="1" a="1"/>
  <c r="V1634" i="1" s="1"/>
  <c r="U1635" i="1"/>
  <c r="V1635" i="1" s="1" a="1"/>
  <c r="V1635" i="1" s="1"/>
  <c r="U1636" i="1"/>
  <c r="V1636" i="1" s="1" a="1"/>
  <c r="V1636" i="1" s="1"/>
  <c r="U1637" i="1"/>
  <c r="V1637" i="1" s="1" a="1"/>
  <c r="V1637" i="1" s="1"/>
  <c r="U1638" i="1"/>
  <c r="V1638" i="1" s="1" a="1"/>
  <c r="V1638" i="1" s="1"/>
  <c r="U1639" i="1"/>
  <c r="V1639" i="1" s="1" a="1"/>
  <c r="V1639" i="1" s="1"/>
  <c r="U1640" i="1"/>
  <c r="V1640" i="1" s="1" a="1"/>
  <c r="V1640" i="1" s="1"/>
  <c r="U1641" i="1"/>
  <c r="V1641" i="1" s="1" a="1"/>
  <c r="V1641" i="1" s="1"/>
  <c r="U1642" i="1"/>
  <c r="V1642" i="1" s="1" a="1"/>
  <c r="V1642" i="1" s="1"/>
  <c r="U1643" i="1"/>
  <c r="V1643" i="1" s="1" a="1"/>
  <c r="V1643" i="1" s="1"/>
  <c r="U1644" i="1"/>
  <c r="V1644" i="1" s="1" a="1"/>
  <c r="V1644" i="1" s="1"/>
  <c r="U1645" i="1"/>
  <c r="V1645" i="1" s="1" a="1"/>
  <c r="V1645" i="1" s="1"/>
  <c r="U1646" i="1"/>
  <c r="V1646" i="1" s="1" a="1"/>
  <c r="V1646" i="1" s="1"/>
  <c r="U1647" i="1"/>
  <c r="V1647" i="1" s="1" a="1"/>
  <c r="V1647" i="1" s="1"/>
  <c r="U1648" i="1"/>
  <c r="V1648" i="1" s="1" a="1"/>
  <c r="V1648" i="1" s="1"/>
  <c r="U1649" i="1"/>
  <c r="V1649" i="1" s="1" a="1"/>
  <c r="V1649" i="1" s="1"/>
  <c r="U1650" i="1"/>
  <c r="V1650" i="1" s="1" a="1"/>
  <c r="V1650" i="1" s="1"/>
  <c r="U1651" i="1"/>
  <c r="V1651" i="1" s="1" a="1"/>
  <c r="V1651" i="1" s="1"/>
  <c r="U1652" i="1"/>
  <c r="V1652" i="1" s="1" a="1"/>
  <c r="V1652" i="1" s="1"/>
  <c r="U1653" i="1"/>
  <c r="V1653" i="1" s="1" a="1"/>
  <c r="V1653" i="1" s="1"/>
  <c r="U1654" i="1"/>
  <c r="V1654" i="1" s="1" a="1"/>
  <c r="V1654" i="1" s="1"/>
  <c r="U1655" i="1"/>
  <c r="V1655" i="1" s="1" a="1"/>
  <c r="V1655" i="1" s="1"/>
  <c r="U1656" i="1"/>
  <c r="V1656" i="1" s="1" a="1"/>
  <c r="V1656" i="1" s="1"/>
  <c r="U1657" i="1"/>
  <c r="V1657" i="1" s="1" a="1"/>
  <c r="V1657" i="1" s="1"/>
  <c r="U1658" i="1"/>
  <c r="V1658" i="1" s="1" a="1"/>
  <c r="V1658" i="1" s="1"/>
  <c r="U1659" i="1"/>
  <c r="V1659" i="1" s="1" a="1"/>
  <c r="V1659" i="1" s="1"/>
  <c r="U1489" i="1"/>
  <c r="V1489" i="1" s="1" a="1"/>
  <c r="V1489" i="1" s="1"/>
  <c r="U1660" i="1"/>
  <c r="V1660" i="1" s="1" a="1"/>
  <c r="V1660" i="1" s="1"/>
  <c r="U1661" i="1"/>
  <c r="V1661" i="1" s="1" a="1"/>
  <c r="V1661" i="1" s="1"/>
  <c r="U1662" i="1"/>
  <c r="V1662" i="1" s="1" a="1"/>
  <c r="V1662" i="1" s="1"/>
  <c r="U1663" i="1"/>
  <c r="V1663" i="1" s="1" a="1"/>
  <c r="V1663" i="1" s="1"/>
  <c r="U1664" i="1"/>
  <c r="V1664" i="1" s="1" a="1"/>
  <c r="V1664" i="1" s="1"/>
  <c r="U1665" i="1"/>
  <c r="V1665" i="1" s="1" a="1"/>
  <c r="V1665" i="1" s="1"/>
  <c r="U1666" i="1"/>
  <c r="V1666" i="1" s="1" a="1"/>
  <c r="V1666" i="1" s="1"/>
  <c r="U1667" i="1"/>
  <c r="V1667" i="1" s="1" a="1"/>
  <c r="V1667" i="1" s="1"/>
  <c r="U1668" i="1"/>
  <c r="V1668" i="1" s="1" a="1"/>
  <c r="V1668" i="1" s="1"/>
  <c r="U1669" i="1"/>
  <c r="V1669" i="1" s="1" a="1"/>
  <c r="V1669" i="1" s="1"/>
  <c r="U1670" i="1"/>
  <c r="V1670" i="1" s="1" a="1"/>
  <c r="V1670" i="1" s="1"/>
  <c r="U1671" i="1"/>
  <c r="V1671" i="1" s="1" a="1"/>
  <c r="V1671" i="1" s="1"/>
  <c r="U1672" i="1"/>
  <c r="V1672" i="1" s="1" a="1"/>
  <c r="V1672" i="1" s="1"/>
  <c r="U1673" i="1"/>
  <c r="V1673" i="1" s="1" a="1"/>
  <c r="V1673" i="1" s="1"/>
  <c r="U1674" i="1"/>
  <c r="V1674" i="1" s="1" a="1"/>
  <c r="V1674" i="1" s="1"/>
  <c r="U1675" i="1"/>
  <c r="V1675" i="1" s="1" a="1"/>
  <c r="V1675" i="1" s="1"/>
  <c r="U1676" i="1"/>
  <c r="V1676" i="1" s="1" a="1"/>
  <c r="V1676" i="1" s="1"/>
  <c r="U1677" i="1"/>
  <c r="V1677" i="1" s="1" a="1"/>
  <c r="V1677" i="1" s="1"/>
  <c r="U1678" i="1"/>
  <c r="V1678" i="1" s="1" a="1"/>
  <c r="V1678" i="1" s="1"/>
  <c r="U1679" i="1"/>
  <c r="V1679" i="1" s="1" a="1"/>
  <c r="V1679" i="1" s="1"/>
  <c r="U1680" i="1"/>
  <c r="V1680" i="1" s="1" a="1"/>
  <c r="V1680" i="1" s="1"/>
  <c r="U1681" i="1"/>
  <c r="V1681" i="1" s="1" a="1"/>
  <c r="V1681" i="1" s="1"/>
  <c r="U1682" i="1"/>
  <c r="V1682" i="1" s="1" a="1"/>
  <c r="V1682" i="1" s="1"/>
  <c r="U1683" i="1"/>
  <c r="V1683" i="1" s="1" a="1"/>
  <c r="V1683" i="1" s="1"/>
  <c r="U1684" i="1"/>
  <c r="V1684" i="1" s="1" a="1"/>
  <c r="V1684" i="1" s="1"/>
  <c r="U1685" i="1"/>
  <c r="V1685" i="1" s="1" a="1"/>
  <c r="V1685" i="1" s="1"/>
  <c r="U1686" i="1"/>
  <c r="V1686" i="1" s="1" a="1"/>
  <c r="V1686" i="1" s="1"/>
  <c r="U1687" i="1"/>
  <c r="V1687" i="1" s="1" a="1"/>
  <c r="V1687" i="1" s="1"/>
  <c r="U1688" i="1"/>
  <c r="V1688" i="1" s="1" a="1"/>
  <c r="V1688" i="1" s="1"/>
  <c r="U1689" i="1"/>
  <c r="V1689" i="1" s="1" a="1"/>
  <c r="V1689" i="1" s="1"/>
  <c r="U1690" i="1"/>
  <c r="V1690" i="1" s="1" a="1"/>
  <c r="V1690" i="1" s="1"/>
  <c r="U1696" i="1"/>
  <c r="V1696" i="1" s="1" a="1"/>
  <c r="V1696" i="1" s="1"/>
  <c r="U1701" i="1"/>
  <c r="V1701" i="1" s="1" a="1"/>
  <c r="V1701" i="1" s="1"/>
  <c r="U1697" i="1"/>
  <c r="V1697" i="1" s="1" a="1"/>
  <c r="V1697" i="1" s="1"/>
  <c r="U1700" i="1"/>
  <c r="V1700" i="1" s="1" a="1"/>
  <c r="V1700" i="1" s="1"/>
  <c r="U1702" i="1"/>
  <c r="V1702" i="1" s="1" a="1"/>
  <c r="V1702" i="1" s="1"/>
  <c r="U1698" i="1"/>
  <c r="V1698" i="1" s="1" a="1"/>
  <c r="V1698" i="1" s="1"/>
  <c r="U1699" i="1"/>
  <c r="V1699" i="1" s="1" a="1"/>
  <c r="V1699" i="1" s="1"/>
  <c r="U1703" i="1"/>
  <c r="V1703" i="1" s="1" a="1"/>
  <c r="V1703" i="1" s="1"/>
  <c r="U1826" i="1"/>
  <c r="V1826" i="1" s="1" a="1"/>
  <c r="V1826" i="1" s="1"/>
  <c r="U1811" i="1"/>
  <c r="V1811" i="1" s="1" a="1"/>
  <c r="V1811" i="1" s="1"/>
  <c r="U1812" i="1"/>
  <c r="V1812" i="1" s="1" a="1"/>
  <c r="V1812" i="1" s="1"/>
  <c r="U1827" i="1"/>
  <c r="V1827" i="1" s="1" a="1"/>
  <c r="V1827" i="1" s="1"/>
  <c r="U1754" i="1"/>
  <c r="V1754" i="1" s="1" a="1"/>
  <c r="V1754" i="1" s="1"/>
  <c r="U1813" i="1"/>
  <c r="V1813" i="1" s="1" a="1"/>
  <c r="V1813" i="1" s="1"/>
  <c r="U1828" i="1"/>
  <c r="V1828" i="1" s="1" a="1"/>
  <c r="V1828" i="1" s="1"/>
  <c r="U1821" i="1"/>
  <c r="V1821" i="1" s="1" a="1"/>
  <c r="V1821" i="1" s="1"/>
  <c r="U1829" i="1"/>
  <c r="V1829" i="1" s="1" a="1"/>
  <c r="V1829" i="1" s="1"/>
  <c r="U1830" i="1"/>
  <c r="V1830" i="1" s="1" a="1"/>
  <c r="V1830" i="1" s="1"/>
  <c r="U1831" i="1"/>
  <c r="V1831" i="1" s="1" a="1"/>
  <c r="V1831" i="1" s="1"/>
  <c r="U1832" i="1"/>
  <c r="V1832" i="1" s="1" a="1"/>
  <c r="V1832" i="1" s="1"/>
  <c r="U1833" i="1"/>
  <c r="V1833" i="1" s="1" a="1"/>
  <c r="V1833" i="1" s="1"/>
  <c r="U1824" i="1"/>
  <c r="V1824" i="1" s="1" a="1"/>
  <c r="V1824" i="1" s="1"/>
  <c r="U1834" i="1"/>
  <c r="V1834" i="1" s="1" a="1"/>
  <c r="V1834" i="1" s="1"/>
  <c r="U1753" i="1"/>
  <c r="V1753" i="1" s="1" a="1"/>
  <c r="V1753" i="1" s="1"/>
  <c r="U1816" i="1"/>
  <c r="V1816" i="1" s="1" a="1"/>
  <c r="V1816" i="1" s="1"/>
  <c r="U1835" i="1"/>
  <c r="V1835" i="1" s="1" a="1"/>
  <c r="V1835" i="1" s="1"/>
  <c r="U1836" i="1"/>
  <c r="V1836" i="1" s="1" a="1"/>
  <c r="V1836" i="1" s="1"/>
  <c r="U1837" i="1"/>
  <c r="V1837" i="1" s="1" a="1"/>
  <c r="V1837" i="1" s="1"/>
  <c r="U1817" i="1"/>
  <c r="V1817" i="1" s="1" a="1"/>
  <c r="V1817" i="1" s="1"/>
  <c r="U1814" i="1"/>
  <c r="V1814" i="1" s="1" a="1"/>
  <c r="V1814" i="1" s="1"/>
  <c r="U1838" i="1"/>
  <c r="V1838" i="1" s="1" a="1"/>
  <c r="V1838" i="1" s="1"/>
  <c r="U1815" i="1"/>
  <c r="V1815" i="1" s="1" a="1"/>
  <c r="V1815" i="1" s="1"/>
  <c r="U1818" i="1"/>
  <c r="V1818" i="1" s="1" a="1"/>
  <c r="V1818" i="1" s="1"/>
  <c r="U1839" i="1"/>
  <c r="V1839" i="1" s="1" a="1"/>
  <c r="V1839" i="1" s="1"/>
  <c r="U1840" i="1"/>
  <c r="V1840" i="1" s="1" a="1"/>
  <c r="V1840" i="1" s="1"/>
  <c r="U1841" i="1"/>
  <c r="V1841" i="1" s="1" a="1"/>
  <c r="V1841" i="1" s="1"/>
  <c r="U1842" i="1"/>
  <c r="V1842" i="1" s="1" a="1"/>
  <c r="V1842" i="1" s="1"/>
  <c r="U1843" i="1"/>
  <c r="V1843" i="1" s="1" a="1"/>
  <c r="V1843" i="1" s="1"/>
  <c r="U1846" i="1"/>
  <c r="V1846" i="1" s="1" a="1"/>
  <c r="V1846" i="1" s="1"/>
  <c r="U1847" i="1"/>
  <c r="V1847" i="1" s="1" a="1"/>
  <c r="V1847" i="1" s="1"/>
  <c r="U1825" i="1"/>
  <c r="V1825" i="1" s="1" a="1"/>
  <c r="V1825" i="1" s="1"/>
  <c r="U1844" i="1"/>
  <c r="V1844" i="1" s="1" a="1"/>
  <c r="V1844" i="1" s="1"/>
  <c r="U1819" i="1"/>
  <c r="V1819" i="1" s="1" a="1"/>
  <c r="V1819" i="1" s="1"/>
  <c r="U1751" i="1"/>
  <c r="V1751" i="1" s="1" a="1"/>
  <c r="V1751" i="1" s="1"/>
  <c r="U1845" i="1"/>
  <c r="V1845" i="1" s="1" a="1"/>
  <c r="V1845" i="1" s="1"/>
  <c r="U1820" i="1"/>
  <c r="V1820" i="1" s="1" a="1"/>
  <c r="V1820" i="1" s="1"/>
  <c r="U1822" i="1"/>
  <c r="V1822" i="1" s="1" a="1"/>
  <c r="V1822" i="1" s="1"/>
  <c r="U1823" i="1"/>
  <c r="V1823" i="1" s="1" a="1"/>
  <c r="V1823" i="1" s="1"/>
  <c r="U1856" i="1"/>
  <c r="V1856" i="1" s="1" a="1"/>
  <c r="V1856" i="1" s="1"/>
  <c r="U1855" i="1"/>
  <c r="V1855" i="1" s="1" a="1"/>
  <c r="V1855" i="1" s="1"/>
  <c r="U1858" i="1"/>
  <c r="V1858" i="1" s="1" a="1"/>
  <c r="V1858" i="1" s="1"/>
  <c r="U1862" i="1"/>
  <c r="V1862" i="1" s="1" a="1"/>
  <c r="V1862" i="1" s="1"/>
  <c r="U1863" i="1"/>
  <c r="V1863" i="1" s="1" a="1"/>
  <c r="V1863" i="1" s="1"/>
  <c r="U1861" i="1"/>
  <c r="V1861" i="1" s="1" a="1"/>
  <c r="V1861" i="1" s="1"/>
  <c r="U1870" i="1"/>
  <c r="V1870" i="1" s="1" a="1"/>
  <c r="V1870" i="1" s="1"/>
  <c r="U1871" i="1"/>
  <c r="V1871" i="1" s="1" a="1"/>
  <c r="V1871" i="1" s="1"/>
  <c r="U1872" i="1"/>
  <c r="V1872" i="1" s="1" a="1"/>
  <c r="V1872" i="1" s="1"/>
  <c r="U1873" i="1"/>
  <c r="V1873" i="1" s="1" a="1"/>
  <c r="V1873" i="1" s="1"/>
  <c r="U1874" i="1"/>
  <c r="V1874" i="1" s="1" a="1"/>
  <c r="V1874" i="1" s="1"/>
  <c r="U1857" i="1"/>
  <c r="V1857" i="1" s="1" a="1"/>
  <c r="V1857" i="1" s="1"/>
  <c r="U1866" i="1"/>
  <c r="V1866" i="1" s="1" a="1"/>
  <c r="V1866" i="1" s="1"/>
  <c r="U1867" i="1"/>
  <c r="V1867" i="1" s="1" a="1"/>
  <c r="V1867" i="1" s="1"/>
  <c r="U1868" i="1"/>
  <c r="V1868" i="1" s="1" a="1"/>
  <c r="V1868" i="1" s="1"/>
  <c r="U1875" i="1"/>
  <c r="V1875" i="1" s="1" a="1"/>
  <c r="V1875" i="1" s="1"/>
  <c r="U1877" i="1"/>
  <c r="V1877" i="1" s="1" a="1"/>
  <c r="V1877" i="1" s="1"/>
  <c r="U1876" i="1"/>
  <c r="U1859" i="1"/>
  <c r="V1859" i="1" s="1" a="1"/>
  <c r="V1859" i="1" s="1"/>
  <c r="U1860" i="1"/>
  <c r="V1860" i="1" s="1" a="1"/>
  <c r="V1860" i="1" s="1"/>
  <c r="U1879" i="1"/>
  <c r="V1879" i="1" s="1" a="1"/>
  <c r="V1879" i="1" s="1"/>
  <c r="U1880" i="1"/>
  <c r="V1880" i="1" s="1" a="1"/>
  <c r="V1880" i="1" s="1"/>
  <c r="U1881" i="1"/>
  <c r="V1881" i="1" s="1" a="1"/>
  <c r="V1881" i="1" s="1"/>
  <c r="U1884" i="1"/>
  <c r="V1884" i="1" s="1" a="1"/>
  <c r="V1884" i="1" s="1"/>
  <c r="U1888" i="1"/>
  <c r="V1888" i="1" s="1" a="1"/>
  <c r="V1888" i="1" s="1"/>
  <c r="U1892" i="1"/>
  <c r="V1892" i="1" s="1" a="1"/>
  <c r="V1892" i="1" s="1"/>
  <c r="U1893" i="1"/>
  <c r="V1893" i="1" s="1" a="1"/>
  <c r="V1893" i="1" s="1"/>
  <c r="U1899" i="1"/>
  <c r="V1899" i="1" s="1" a="1"/>
  <c r="V1899" i="1" s="1"/>
  <c r="U1898" i="1"/>
  <c r="V1898" i="1" s="1" a="1"/>
  <c r="V1898" i="1" s="1"/>
  <c r="U1897" i="1"/>
  <c r="V1897" i="1" s="1" a="1"/>
  <c r="V1897" i="1" s="1"/>
  <c r="U1894" i="1"/>
  <c r="V1894" i="1" s="1" a="1"/>
  <c r="V1894" i="1" s="1"/>
  <c r="U1895" i="1"/>
  <c r="V1895" i="1" s="1" a="1"/>
  <c r="V1895" i="1" s="1"/>
  <c r="U1896" i="1"/>
  <c r="V1896" i="1" s="1" a="1"/>
  <c r="V1896" i="1" s="1"/>
  <c r="U1901" i="1"/>
  <c r="V1901" i="1" s="1" a="1"/>
  <c r="V1901" i="1" s="1"/>
  <c r="U1902" i="1"/>
  <c r="V1902" i="1" s="1" a="1"/>
  <c r="V1902" i="1" s="1"/>
  <c r="U1903" i="1"/>
  <c r="V1903" i="1" s="1" a="1"/>
  <c r="V1903" i="1" s="1"/>
  <c r="U1904" i="1"/>
  <c r="V1904" i="1" s="1" a="1"/>
  <c r="V1904" i="1" s="1"/>
  <c r="U1912" i="1"/>
  <c r="V1912" i="1" s="1" a="1"/>
  <c r="V1912" i="1" s="1"/>
  <c r="U1915" i="1"/>
  <c r="V1915" i="1" s="1" a="1"/>
  <c r="V1915" i="1" s="1"/>
  <c r="U1913" i="1"/>
  <c r="V1913" i="1" s="1" a="1"/>
  <c r="V1913" i="1" s="1"/>
  <c r="U1918" i="1"/>
  <c r="V1918" i="1" s="1" a="1"/>
  <c r="V1918" i="1" s="1"/>
  <c r="U1919" i="1"/>
  <c r="V1919" i="1" s="1" a="1"/>
  <c r="V1919" i="1" s="1"/>
  <c r="U1920" i="1"/>
  <c r="V1920" i="1" s="1" a="1"/>
  <c r="V1920" i="1" s="1"/>
  <c r="U1917" i="1"/>
  <c r="V1917" i="1" s="1" a="1"/>
  <c r="V1917" i="1" s="1"/>
  <c r="U1922" i="1"/>
  <c r="V1922" i="1" s="1" a="1"/>
  <c r="V1922" i="1" s="1"/>
  <c r="U1921" i="1"/>
  <c r="V1921" i="1" s="1" a="1"/>
  <c r="V1921" i="1" s="1"/>
  <c r="U1925" i="1"/>
  <c r="V1925" i="1" s="1" a="1"/>
  <c r="V1925" i="1" s="1"/>
  <c r="U1926" i="1"/>
  <c r="V1926" i="1" s="1" a="1"/>
  <c r="V1926" i="1" s="1"/>
  <c r="U1923" i="1"/>
  <c r="V1923" i="1" s="1" a="1"/>
  <c r="V1923" i="1" s="1"/>
  <c r="U1927" i="1"/>
  <c r="V1927" i="1" s="1" a="1"/>
  <c r="V1927" i="1" s="1"/>
  <c r="U1924" i="1"/>
  <c r="V1924" i="1" s="1" a="1"/>
  <c r="V1924" i="1" s="1"/>
  <c r="U1929" i="1"/>
  <c r="V1929" i="1" s="1" a="1"/>
  <c r="V1929" i="1" s="1"/>
  <c r="U1930" i="1"/>
  <c r="V1930" i="1" s="1" a="1"/>
  <c r="V1930" i="1" s="1"/>
  <c r="U1931" i="1"/>
  <c r="V1931" i="1" s="1" a="1"/>
  <c r="V1931" i="1" s="1"/>
  <c r="U1932" i="1"/>
  <c r="V1932" i="1" s="1" a="1"/>
  <c r="V1932" i="1" s="1"/>
  <c r="U1936" i="1"/>
  <c r="V1936" i="1" s="1" a="1"/>
  <c r="V1936" i="1" s="1"/>
  <c r="U1937" i="1"/>
  <c r="V1937" i="1" s="1" a="1"/>
  <c r="V1937" i="1" s="1"/>
  <c r="U1938" i="1"/>
  <c r="V1938" i="1" s="1" a="1"/>
  <c r="V1938" i="1" s="1"/>
  <c r="U1939" i="1"/>
  <c r="V1939" i="1" s="1" a="1"/>
  <c r="V1939" i="1" s="1"/>
  <c r="U1940" i="1"/>
  <c r="V1940" i="1" s="1" a="1"/>
  <c r="V1940" i="1" s="1"/>
  <c r="U1941" i="1"/>
  <c r="V1941" i="1" s="1" a="1"/>
  <c r="V1941" i="1" s="1"/>
  <c r="U1942" i="1"/>
  <c r="V1942" i="1" s="1" a="1"/>
  <c r="V1942" i="1" s="1"/>
  <c r="U1949" i="1"/>
  <c r="V1949" i="1" s="1" a="1"/>
  <c r="V1949" i="1" s="1"/>
  <c r="U1948" i="1"/>
  <c r="V1948" i="1" s="1" a="1"/>
  <c r="V1948" i="1" s="1"/>
  <c r="U1947" i="1"/>
  <c r="V1947" i="1" s="1" a="1"/>
  <c r="V1947" i="1" s="1"/>
  <c r="U1944" i="1"/>
  <c r="V1944" i="1" s="1" a="1"/>
  <c r="V1944" i="1" s="1"/>
  <c r="U1943" i="1"/>
  <c r="V1943" i="1" s="1" a="1"/>
  <c r="V1943" i="1" s="1"/>
  <c r="U1945" i="1"/>
  <c r="V1945" i="1" s="1" a="1"/>
  <c r="V1945" i="1" s="1"/>
  <c r="U1946" i="1"/>
  <c r="V1946" i="1" s="1" a="1"/>
  <c r="V1946" i="1" s="1"/>
  <c r="U1950" i="1"/>
  <c r="V1950" i="1" s="1" a="1"/>
  <c r="V1950" i="1" s="1"/>
  <c r="U1952" i="1"/>
  <c r="V1952" i="1" s="1" a="1"/>
  <c r="V1952" i="1" s="1"/>
  <c r="U1951" i="1"/>
  <c r="V1951" i="1" s="1" a="1"/>
  <c r="V1951" i="1" s="1"/>
  <c r="U1953" i="1"/>
  <c r="V1953" i="1" s="1" a="1"/>
  <c r="V1953" i="1" s="1"/>
  <c r="U1955" i="1"/>
  <c r="V1955" i="1" s="1" a="1"/>
  <c r="V1955" i="1" s="1"/>
  <c r="U1956" i="1"/>
  <c r="V1956" i="1" s="1" a="1"/>
  <c r="V1956" i="1" s="1"/>
  <c r="U1958" i="1"/>
  <c r="V1958" i="1" s="1" a="1"/>
  <c r="V1958" i="1" s="1"/>
  <c r="U1959" i="1"/>
  <c r="V1959" i="1" s="1" a="1"/>
  <c r="V1959" i="1" s="1"/>
  <c r="U1960" i="1"/>
  <c r="V1960" i="1" s="1" a="1"/>
  <c r="V1960" i="1" s="1"/>
  <c r="U1961" i="1"/>
  <c r="V1961" i="1" s="1" a="1"/>
  <c r="V1961" i="1" s="1"/>
  <c r="U1962" i="1"/>
  <c r="V1962" i="1" s="1" a="1"/>
  <c r="V1962" i="1" s="1"/>
  <c r="U1963" i="1"/>
  <c r="V1963" i="1" s="1" a="1"/>
  <c r="V1963" i="1" s="1"/>
  <c r="U1964" i="1"/>
  <c r="V1964" i="1" s="1" a="1"/>
  <c r="V1964" i="1" s="1"/>
  <c r="U1965" i="1"/>
  <c r="V1965" i="1" s="1" a="1"/>
  <c r="V1965" i="1" s="1"/>
  <c r="U1966" i="1"/>
  <c r="V1966" i="1" s="1" a="1"/>
  <c r="V1966" i="1" s="1"/>
  <c r="U1967" i="1"/>
  <c r="V1967" i="1" s="1" a="1"/>
  <c r="V1967" i="1" s="1"/>
  <c r="U1968" i="1"/>
  <c r="V1968" i="1" s="1" a="1"/>
  <c r="V1968" i="1" s="1"/>
  <c r="U1979" i="1"/>
  <c r="V1979" i="1" s="1" a="1"/>
  <c r="V1979" i="1" s="1"/>
  <c r="U1980" i="1"/>
  <c r="V1980" i="1" s="1" a="1"/>
  <c r="V1980" i="1" s="1"/>
  <c r="U1981" i="1"/>
  <c r="V1981" i="1" s="1" a="1"/>
  <c r="V1981" i="1" s="1"/>
  <c r="U1982" i="1"/>
  <c r="V1982" i="1" s="1" a="1"/>
  <c r="V1982" i="1" s="1"/>
  <c r="U1983" i="1"/>
  <c r="V1983" i="1" s="1" a="1"/>
  <c r="V1983" i="1" s="1"/>
  <c r="U1984" i="1"/>
  <c r="V1984" i="1" s="1" a="1"/>
  <c r="V1984" i="1" s="1"/>
  <c r="U1978" i="1"/>
  <c r="V1978" i="1" s="1" a="1"/>
  <c r="V1978" i="1" s="1"/>
  <c r="U1969" i="1"/>
  <c r="V1969" i="1" s="1" a="1"/>
  <c r="V1969" i="1" s="1"/>
  <c r="U1973" i="1"/>
  <c r="V1973" i="1" s="1" a="1"/>
  <c r="V1973" i="1" s="1"/>
  <c r="U1970" i="1"/>
  <c r="V1970" i="1" s="1" a="1"/>
  <c r="V1970" i="1" s="1"/>
  <c r="U1972" i="1"/>
  <c r="V1972" i="1" s="1" a="1"/>
  <c r="V1972" i="1" s="1"/>
  <c r="U1988" i="1"/>
  <c r="V1988" i="1" s="1" a="1"/>
  <c r="V1988" i="1" s="1"/>
  <c r="U1989" i="1"/>
  <c r="V1989" i="1" s="1" a="1"/>
  <c r="V1989" i="1" s="1"/>
  <c r="U1158" i="1"/>
  <c r="V1158" i="1" s="1" a="1"/>
  <c r="V1158" i="1" s="1"/>
  <c r="U1990" i="1"/>
  <c r="V1990" i="1" s="1" a="1"/>
  <c r="V1990" i="1" s="1"/>
  <c r="U1994" i="1"/>
  <c r="V1994" i="1" s="1" a="1"/>
  <c r="V1994" i="1" s="1"/>
  <c r="U1992" i="1"/>
  <c r="V1992" i="1" s="1" a="1"/>
  <c r="V1992" i="1" s="1"/>
  <c r="U1993" i="1"/>
  <c r="V1993" i="1" s="1" a="1"/>
  <c r="V1993" i="1" s="1"/>
  <c r="U2004" i="1"/>
  <c r="V2004" i="1" s="1" a="1"/>
  <c r="V2004" i="1" s="1"/>
  <c r="U2005" i="1"/>
  <c r="V2005" i="1" s="1" a="1"/>
  <c r="V2005" i="1" s="1"/>
  <c r="U2006" i="1"/>
  <c r="V2006" i="1" s="1" a="1"/>
  <c r="V2006" i="1" s="1"/>
  <c r="U1995" i="1"/>
  <c r="V1995" i="1" s="1" a="1"/>
  <c r="V1995" i="1" s="1"/>
  <c r="U1996" i="1"/>
  <c r="V1996" i="1" s="1" a="1"/>
  <c r="V1996" i="1" s="1"/>
  <c r="U1997" i="1"/>
  <c r="V1997" i="1" s="1" a="1"/>
  <c r="V1997" i="1" s="1"/>
  <c r="U1998" i="1"/>
  <c r="V1998" i="1" s="1" a="1"/>
  <c r="V1998" i="1" s="1"/>
  <c r="U1999" i="1"/>
  <c r="V1999" i="1" s="1" a="1"/>
  <c r="V1999" i="1" s="1"/>
  <c r="U2000" i="1"/>
  <c r="V2000" i="1" s="1" a="1"/>
  <c r="V2000" i="1" s="1"/>
  <c r="U2001" i="1"/>
  <c r="V2001" i="1" s="1" a="1"/>
  <c r="V2001" i="1" s="1"/>
  <c r="U2011" i="1"/>
  <c r="V2011" i="1" s="1" a="1"/>
  <c r="V2011" i="1" s="1"/>
  <c r="U2012" i="1"/>
  <c r="V2012" i="1" s="1" a="1"/>
  <c r="V2012" i="1" s="1"/>
  <c r="U2013" i="1"/>
  <c r="V2013" i="1" s="1" a="1"/>
  <c r="V2013" i="1" s="1"/>
  <c r="U2014" i="1"/>
  <c r="V2014" i="1" s="1" a="1"/>
  <c r="V2014" i="1" s="1"/>
  <c r="U1991" i="1"/>
  <c r="V1991" i="1" s="1" a="1"/>
  <c r="V1991" i="1" s="1"/>
  <c r="U2018" i="1"/>
  <c r="V2018" i="1" s="1" a="1"/>
  <c r="V2018" i="1" s="1"/>
  <c r="U2015" i="1"/>
  <c r="V2015" i="1" s="1" a="1"/>
  <c r="V2015" i="1" s="1"/>
  <c r="U2016" i="1"/>
  <c r="V2016" i="1" s="1" a="1"/>
  <c r="V2016" i="1" s="1"/>
  <c r="U2017" i="1"/>
  <c r="V2017" i="1" s="1" a="1"/>
  <c r="V2017" i="1" s="1"/>
  <c r="U2020" i="1"/>
  <c r="V2020" i="1" s="1" a="1"/>
  <c r="V2020" i="1" s="1"/>
  <c r="U2026" i="1"/>
  <c r="V2026" i="1" s="1" a="1"/>
  <c r="V2026" i="1" s="1"/>
  <c r="U2027" i="1"/>
  <c r="V2027" i="1" s="1" a="1"/>
  <c r="V2027" i="1" s="1"/>
  <c r="U2028" i="1"/>
  <c r="V2028" i="1" s="1" a="1"/>
  <c r="V2028" i="1" s="1"/>
  <c r="U2029" i="1"/>
  <c r="V2029" i="1" s="1" a="1"/>
  <c r="V2029" i="1" s="1"/>
  <c r="U2030" i="1"/>
  <c r="V2030" i="1" s="1" a="1"/>
  <c r="V2030" i="1" s="1"/>
  <c r="U2031" i="1"/>
  <c r="V2031" i="1" s="1" a="1"/>
  <c r="V2031" i="1" s="1"/>
  <c r="U2032" i="1"/>
  <c r="V2032" i="1" s="1" a="1"/>
  <c r="V2032" i="1" s="1"/>
  <c r="U2033" i="1"/>
  <c r="V2033" i="1" s="1" a="1"/>
  <c r="V2033" i="1" s="1"/>
  <c r="U2034" i="1"/>
  <c r="V2034" i="1" s="1" a="1"/>
  <c r="V2034" i="1" s="1"/>
  <c r="U2035" i="1"/>
  <c r="V2035" i="1" s="1" a="1"/>
  <c r="V2035" i="1" s="1"/>
  <c r="U2036" i="1"/>
  <c r="V2036" i="1" s="1" a="1"/>
  <c r="V2036" i="1" s="1"/>
  <c r="U2037" i="1"/>
  <c r="V2037" i="1" s="1" a="1"/>
  <c r="V2037" i="1" s="1"/>
  <c r="U2038" i="1"/>
  <c r="V2038" i="1" s="1" a="1"/>
  <c r="V2038" i="1" s="1"/>
  <c r="U2039" i="1"/>
  <c r="V2039" i="1" s="1" a="1"/>
  <c r="V2039" i="1" s="1"/>
  <c r="U2040" i="1"/>
  <c r="V2040" i="1" s="1" a="1"/>
  <c r="V2040" i="1" s="1"/>
  <c r="U2041" i="1"/>
  <c r="V2041" i="1" s="1" a="1"/>
  <c r="V2041" i="1" s="1"/>
  <c r="U2042" i="1"/>
  <c r="V2042" i="1" s="1" a="1"/>
  <c r="V2042" i="1" s="1"/>
  <c r="U2043" i="1"/>
  <c r="V2043" i="1" s="1" a="1"/>
  <c r="V2043" i="1" s="1"/>
  <c r="U2044" i="1"/>
  <c r="V2044" i="1" s="1" a="1"/>
  <c r="V2044" i="1" s="1"/>
  <c r="U2045" i="1"/>
  <c r="V2045" i="1" s="1" a="1"/>
  <c r="V2045" i="1" s="1"/>
  <c r="U2046" i="1"/>
  <c r="V2046" i="1" s="1" a="1"/>
  <c r="V2046" i="1" s="1"/>
  <c r="U2047" i="1"/>
  <c r="V2047" i="1" s="1" a="1"/>
  <c r="V2047" i="1" s="1"/>
  <c r="U2048" i="1"/>
  <c r="V2048" i="1" s="1" a="1"/>
  <c r="V2048" i="1" s="1"/>
  <c r="U2049" i="1"/>
  <c r="V2049" i="1" s="1" a="1"/>
  <c r="V2049" i="1" s="1"/>
  <c r="U2050" i="1"/>
  <c r="V2050" i="1" s="1" a="1"/>
  <c r="V2050" i="1" s="1"/>
  <c r="U2051" i="1"/>
  <c r="V2051" i="1" s="1" a="1"/>
  <c r="V2051" i="1" s="1"/>
  <c r="U2052" i="1"/>
  <c r="V2052" i="1" s="1" a="1"/>
  <c r="V2052" i="1" s="1"/>
  <c r="U2053" i="1"/>
  <c r="V2053" i="1" s="1" a="1"/>
  <c r="V2053" i="1" s="1"/>
  <c r="U2069" i="1"/>
  <c r="V2069" i="1" s="1" a="1"/>
  <c r="V2069" i="1" s="1"/>
  <c r="U2070" i="1"/>
  <c r="V2070" i="1" s="1" a="1"/>
  <c r="V2070" i="1" s="1"/>
  <c r="U2071" i="1"/>
  <c r="V2071" i="1" s="1" a="1"/>
  <c r="V2071" i="1" s="1"/>
  <c r="U2077" i="1"/>
  <c r="V2077" i="1" s="1" a="1"/>
  <c r="V2077" i="1" s="1"/>
  <c r="U2072" i="1"/>
  <c r="V2072" i="1" s="1" a="1"/>
  <c r="V2072" i="1" s="1"/>
  <c r="U2073" i="1"/>
  <c r="V2073" i="1" s="1" a="1"/>
  <c r="V2073" i="1" s="1"/>
  <c r="U2075" i="1"/>
  <c r="V2075" i="1" s="1" a="1"/>
  <c r="V2075" i="1" s="1"/>
  <c r="U2076" i="1"/>
  <c r="V2076" i="1" s="1" a="1"/>
  <c r="V2076" i="1" s="1"/>
  <c r="U2074" i="1"/>
  <c r="V2074" i="1" s="1" a="1"/>
  <c r="V2074" i="1" s="1"/>
  <c r="U2054" i="1"/>
  <c r="V2054" i="1" s="1" a="1"/>
  <c r="V2054" i="1" s="1"/>
  <c r="U1957" i="1"/>
  <c r="V1957" i="1" s="1" a="1"/>
  <c r="V1957" i="1" s="1"/>
  <c r="U2064" i="1"/>
  <c r="V2064" i="1" s="1" a="1"/>
  <c r="V2064" i="1" s="1"/>
  <c r="U2079" i="1"/>
  <c r="V2079" i="1" s="1" a="1"/>
  <c r="V2079" i="1" s="1"/>
  <c r="U2080" i="1"/>
  <c r="V2080" i="1" s="1" a="1"/>
  <c r="V2080" i="1" s="1"/>
  <c r="U2081" i="1"/>
  <c r="V2081" i="1" s="1" a="1"/>
  <c r="V2081" i="1" s="1"/>
  <c r="U2088" i="1"/>
  <c r="V2088" i="1" s="1" a="1"/>
  <c r="V2088" i="1" s="1"/>
  <c r="U2089" i="1"/>
  <c r="V2089" i="1" s="1" a="1"/>
  <c r="V2089" i="1" s="1"/>
  <c r="U2091" i="1"/>
  <c r="V2091" i="1" s="1" a="1"/>
  <c r="V2091" i="1" s="1"/>
  <c r="U2092" i="1"/>
  <c r="V2092" i="1" s="1" a="1"/>
  <c r="V2092" i="1" s="1"/>
  <c r="U2093" i="1"/>
  <c r="V2093" i="1" s="1" a="1"/>
  <c r="V2093" i="1" s="1"/>
  <c r="U2094" i="1"/>
  <c r="V2094" i="1" s="1" a="1"/>
  <c r="V2094" i="1" s="1"/>
  <c r="U2096" i="1"/>
  <c r="V2096" i="1" s="1" a="1"/>
  <c r="V2096" i="1" s="1"/>
  <c r="U2095" i="1"/>
  <c r="V2095" i="1" s="1" a="1"/>
  <c r="V2095" i="1" s="1"/>
  <c r="U2097" i="1"/>
  <c r="V2097" i="1" s="1" a="1"/>
  <c r="V2097" i="1" s="1"/>
  <c r="U2101" i="1"/>
  <c r="V2101" i="1" s="1" a="1"/>
  <c r="V2101" i="1" s="1"/>
  <c r="U2129" i="1"/>
  <c r="V2129" i="1" s="1" a="1"/>
  <c r="V2129" i="1" s="1"/>
  <c r="U2115" i="1"/>
  <c r="V2115" i="1" s="1" a="1"/>
  <c r="V2115" i="1" s="1"/>
  <c r="U2130" i="1"/>
  <c r="V2130" i="1" s="1" a="1"/>
  <c r="V2130" i="1" s="1"/>
  <c r="U2100" i="1"/>
  <c r="V2100" i="1" s="1" a="1"/>
  <c r="V2100" i="1" s="1"/>
  <c r="U2102" i="1"/>
  <c r="V2102" i="1" s="1" a="1"/>
  <c r="V2102" i="1" s="1"/>
  <c r="U2116" i="1"/>
  <c r="V2116" i="1" s="1" a="1"/>
  <c r="V2116" i="1" s="1"/>
  <c r="U2103" i="1"/>
  <c r="V2103" i="1" s="1" a="1"/>
  <c r="V2103" i="1" s="1"/>
  <c r="U2117" i="1"/>
  <c r="V2117" i="1" s="1" a="1"/>
  <c r="V2117" i="1" s="1"/>
  <c r="U2104" i="1"/>
  <c r="V2104" i="1" s="1" a="1"/>
  <c r="V2104" i="1" s="1"/>
  <c r="U2118" i="1"/>
  <c r="V2118" i="1" s="1" a="1"/>
  <c r="V2118" i="1" s="1"/>
  <c r="U2119" i="1"/>
  <c r="V2119" i="1" s="1" a="1"/>
  <c r="V2119" i="1" s="1"/>
  <c r="U2105" i="1"/>
  <c r="V2105" i="1" s="1" a="1"/>
  <c r="V2105" i="1" s="1"/>
  <c r="U2120" i="1"/>
  <c r="V2120" i="1" s="1" a="1"/>
  <c r="V2120" i="1" s="1"/>
  <c r="U2106" i="1"/>
  <c r="V2106" i="1" s="1" a="1"/>
  <c r="V2106" i="1" s="1"/>
  <c r="U2121" i="1"/>
  <c r="V2121" i="1" s="1" a="1"/>
  <c r="V2121" i="1" s="1"/>
  <c r="U2108" i="1"/>
  <c r="V2108" i="1" s="1" a="1"/>
  <c r="V2108" i="1" s="1"/>
  <c r="U2122" i="1"/>
  <c r="V2122" i="1" s="1" a="1"/>
  <c r="V2122" i="1" s="1"/>
  <c r="U2109" i="1"/>
  <c r="V2109" i="1" s="1" a="1"/>
  <c r="V2109" i="1" s="1"/>
  <c r="U2123" i="1"/>
  <c r="V2123" i="1" s="1" a="1"/>
  <c r="V2123" i="1" s="1"/>
  <c r="U2110" i="1"/>
  <c r="V2110" i="1" s="1" a="1"/>
  <c r="V2110" i="1" s="1"/>
  <c r="U2124" i="1"/>
  <c r="V2124" i="1" s="1" a="1"/>
  <c r="V2124" i="1" s="1"/>
  <c r="U2111" i="1"/>
  <c r="V2111" i="1" s="1" a="1"/>
  <c r="V2111" i="1" s="1"/>
  <c r="U2112" i="1"/>
  <c r="V2112" i="1" s="1" a="1"/>
  <c r="V2112" i="1" s="1"/>
  <c r="U2125" i="1"/>
  <c r="V2125" i="1" s="1" a="1"/>
  <c r="V2125" i="1" s="1"/>
  <c r="U2126" i="1"/>
  <c r="V2126" i="1" s="1" a="1"/>
  <c r="V2126" i="1" s="1"/>
  <c r="U2113" i="1"/>
  <c r="V2113" i="1" s="1" a="1"/>
  <c r="V2113" i="1" s="1"/>
  <c r="U2127" i="1"/>
  <c r="V2127" i="1" s="1" a="1"/>
  <c r="V2127" i="1" s="1"/>
  <c r="U2114" i="1"/>
  <c r="V2114" i="1" s="1" a="1"/>
  <c r="V2114" i="1" s="1"/>
  <c r="U2128" i="1"/>
  <c r="V2128" i="1" s="1" a="1"/>
  <c r="V2128" i="1" s="1"/>
  <c r="U2099" i="1"/>
  <c r="V2099" i="1" s="1" a="1"/>
  <c r="V2099" i="1" s="1"/>
  <c r="U2161" i="1"/>
  <c r="V2161" i="1" s="1" a="1"/>
  <c r="V2161" i="1" s="1"/>
  <c r="U2144" i="1"/>
  <c r="V2144" i="1" s="1" a="1"/>
  <c r="V2144" i="1" s="1"/>
  <c r="U2145" i="1"/>
  <c r="V2145" i="1" s="1" a="1"/>
  <c r="V2145" i="1" s="1"/>
  <c r="U2146" i="1"/>
  <c r="V2146" i="1" s="1" a="1"/>
  <c r="V2146" i="1" s="1"/>
  <c r="U2185" i="1"/>
  <c r="V2185" i="1" s="1" a="1"/>
  <c r="V2185" i="1" s="1"/>
  <c r="U2184" i="1"/>
  <c r="V2184" i="1" s="1" a="1"/>
  <c r="V2184" i="1" s="1"/>
  <c r="U2183" i="1"/>
  <c r="V2183" i="1" s="1" a="1"/>
  <c r="V2183" i="1" s="1"/>
  <c r="U2180" i="1"/>
  <c r="V2180" i="1" s="1" a="1"/>
  <c r="V2180" i="1" s="1"/>
  <c r="U2147" i="1"/>
  <c r="V2147" i="1" s="1" a="1"/>
  <c r="V2147" i="1" s="1"/>
  <c r="U2148" i="1"/>
  <c r="V2148" i="1" s="1" a="1"/>
  <c r="V2148" i="1" s="1"/>
  <c r="U2162" i="1"/>
  <c r="V2162" i="1" s="1" a="1"/>
  <c r="V2162" i="1" s="1"/>
  <c r="U2172" i="1"/>
  <c r="V2172" i="1" s="1" a="1"/>
  <c r="V2172" i="1" s="1"/>
  <c r="U2174" i="1"/>
  <c r="V2174" i="1" s="1" a="1"/>
  <c r="V2174" i="1" s="1"/>
  <c r="U2175" i="1"/>
  <c r="V2175" i="1" s="1" a="1"/>
  <c r="V2175" i="1" s="1"/>
  <c r="U2178" i="1"/>
  <c r="V2178" i="1" s="1" a="1"/>
  <c r="V2178" i="1" s="1"/>
  <c r="U2181" i="1"/>
  <c r="V2181" i="1" s="1" a="1"/>
  <c r="V2181" i="1" s="1"/>
  <c r="U2131" i="1"/>
  <c r="V2131" i="1" s="1" a="1"/>
  <c r="V2131" i="1" s="1"/>
  <c r="U2132" i="1"/>
  <c r="V2132" i="1" s="1" a="1"/>
  <c r="V2132" i="1" s="1"/>
  <c r="U2133" i="1"/>
  <c r="V2133" i="1" s="1" a="1"/>
  <c r="V2133" i="1" s="1"/>
  <c r="U2134" i="1"/>
  <c r="V2134" i="1" s="1" a="1"/>
  <c r="V2134" i="1" s="1"/>
  <c r="U2139" i="1"/>
  <c r="V2139" i="1" s="1" a="1"/>
  <c r="V2139" i="1" s="1"/>
  <c r="U2137" i="1"/>
  <c r="V2137" i="1" s="1" a="1"/>
  <c r="V2137" i="1" s="1"/>
  <c r="U2138" i="1"/>
  <c r="V2138" i="1" s="1" a="1"/>
  <c r="V2138" i="1" s="1"/>
  <c r="U2135" i="1"/>
  <c r="V2135" i="1" s="1" a="1"/>
  <c r="V2135" i="1" s="1"/>
  <c r="U2136" i="1"/>
  <c r="V2136" i="1" s="1" a="1"/>
  <c r="V2136" i="1" s="1"/>
  <c r="U2149" i="1"/>
  <c r="V2149" i="1" s="1" a="1"/>
  <c r="V2149" i="1" s="1"/>
  <c r="U2140" i="1"/>
  <c r="V2140" i="1" s="1" a="1"/>
  <c r="V2140" i="1" s="1"/>
  <c r="U2141" i="1"/>
  <c r="V2141" i="1" s="1" a="1"/>
  <c r="V2141" i="1" s="1"/>
  <c r="U2142" i="1"/>
  <c r="V2142" i="1" s="1" a="1"/>
  <c r="V2142" i="1" s="1"/>
  <c r="U2143" i="1"/>
  <c r="V2143" i="1" s="1" a="1"/>
  <c r="V2143" i="1" s="1"/>
  <c r="U2163" i="1"/>
  <c r="V2163" i="1" s="1" a="1"/>
  <c r="V2163" i="1" s="1"/>
  <c r="U2164" i="1"/>
  <c r="V2164" i="1" s="1" a="1"/>
  <c r="V2164" i="1" s="1"/>
  <c r="U2150" i="1"/>
  <c r="V2150" i="1" s="1" a="1"/>
  <c r="V2150" i="1" s="1"/>
  <c r="U2176" i="1"/>
  <c r="V2176" i="1" s="1" a="1"/>
  <c r="V2176" i="1" s="1"/>
  <c r="U2151" i="1"/>
  <c r="V2151" i="1" s="1" a="1"/>
  <c r="V2151" i="1" s="1"/>
  <c r="U2177" i="1"/>
  <c r="V2177" i="1" s="1" a="1"/>
  <c r="V2177" i="1" s="1"/>
  <c r="U2152" i="1"/>
  <c r="V2152" i="1" s="1" a="1"/>
  <c r="V2152" i="1" s="1"/>
  <c r="U2153" i="1"/>
  <c r="V2153" i="1" s="1" a="1"/>
  <c r="V2153" i="1" s="1"/>
  <c r="U2154" i="1"/>
  <c r="V2154" i="1" s="1" a="1"/>
  <c r="V2154" i="1" s="1"/>
  <c r="U2165" i="1"/>
  <c r="V2165" i="1" s="1" a="1"/>
  <c r="V2165" i="1" s="1"/>
  <c r="U2166" i="1"/>
  <c r="V2166" i="1" s="1" a="1"/>
  <c r="V2166" i="1" s="1"/>
  <c r="U2179" i="1"/>
  <c r="V2179" i="1" s="1" a="1"/>
  <c r="V2179" i="1" s="1"/>
  <c r="U2155" i="1"/>
  <c r="V2155" i="1" s="1" a="1"/>
  <c r="V2155" i="1" s="1"/>
  <c r="U2156" i="1"/>
  <c r="V2156" i="1" s="1" a="1"/>
  <c r="V2156" i="1" s="1"/>
  <c r="U2157" i="1"/>
  <c r="V2157" i="1" s="1" a="1"/>
  <c r="V2157" i="1" s="1"/>
  <c r="U2158" i="1"/>
  <c r="V2158" i="1" s="1" a="1"/>
  <c r="V2158" i="1" s="1"/>
  <c r="U2170" i="1"/>
  <c r="V2170" i="1" s="1" a="1"/>
  <c r="V2170" i="1" s="1"/>
  <c r="U2173" i="1"/>
  <c r="V2173" i="1" s="1" a="1"/>
  <c r="V2173" i="1" s="1"/>
  <c r="U2159" i="1"/>
  <c r="V2159" i="1" s="1" a="1"/>
  <c r="V2159" i="1" s="1"/>
  <c r="U2160" i="1"/>
  <c r="V2160" i="1" s="1" a="1"/>
  <c r="V2160" i="1" s="1"/>
  <c r="U2167" i="1"/>
  <c r="V2167" i="1" s="1" a="1"/>
  <c r="V2167" i="1" s="1"/>
  <c r="U2168" i="1"/>
  <c r="V2168" i="1" s="1" a="1"/>
  <c r="V2168" i="1" s="1"/>
  <c r="U2169" i="1"/>
  <c r="V2169" i="1" s="1" a="1"/>
  <c r="V2169" i="1" s="1"/>
  <c r="U2171" i="1"/>
  <c r="V2171" i="1" s="1" a="1"/>
  <c r="V2171" i="1" s="1"/>
  <c r="U2186" i="1"/>
  <c r="V2186" i="1" s="1" a="1"/>
  <c r="V2186" i="1" s="1"/>
  <c r="U2187" i="1"/>
  <c r="V2187" i="1" s="1" a="1"/>
  <c r="V2187" i="1" s="1"/>
  <c r="U2188" i="1"/>
  <c r="V2188" i="1" s="1" a="1"/>
  <c r="V2188" i="1" s="1"/>
  <c r="U2190" i="1"/>
  <c r="V2190" i="1" s="1" a="1"/>
  <c r="V2190" i="1" s="1"/>
  <c r="U2193" i="1"/>
  <c r="V2193" i="1" s="1" a="1"/>
  <c r="V2193" i="1" s="1"/>
  <c r="U2192" i="1"/>
  <c r="V2192" i="1" s="1" a="1"/>
  <c r="V2192" i="1" s="1"/>
  <c r="U2191" i="1"/>
  <c r="V2191" i="1" s="1" a="1"/>
  <c r="V2191" i="1" s="1"/>
  <c r="U2195" i="1"/>
  <c r="V2195" i="1" s="1" a="1"/>
  <c r="V2195" i="1" s="1"/>
  <c r="U2194" i="1"/>
  <c r="V2194" i="1" s="1" a="1"/>
  <c r="V2194" i="1" s="1"/>
  <c r="U2196" i="1"/>
  <c r="V2196" i="1" s="1" a="1"/>
  <c r="V2196" i="1" s="1"/>
  <c r="U2197" i="1"/>
  <c r="V2197" i="1" s="1" a="1"/>
  <c r="V2197" i="1" s="1"/>
  <c r="U2198" i="1"/>
  <c r="V2198" i="1" s="1" a="1"/>
  <c r="V2198" i="1" s="1"/>
  <c r="U2199" i="1"/>
  <c r="V2199" i="1" s="1" a="1"/>
  <c r="V2199" i="1" s="1"/>
  <c r="U2211" i="1"/>
  <c r="V2211" i="1" s="1" a="1"/>
  <c r="V2211" i="1" s="1"/>
  <c r="U2200" i="1"/>
  <c r="V2200" i="1" s="1" a="1"/>
  <c r="V2200" i="1" s="1"/>
  <c r="U2201" i="1"/>
  <c r="V2201" i="1" s="1" a="1"/>
  <c r="V2201" i="1" s="1"/>
  <c r="U2202" i="1"/>
  <c r="V2202" i="1" s="1" a="1"/>
  <c r="V2202" i="1" s="1"/>
  <c r="U2203" i="1"/>
  <c r="V2203" i="1" s="1" a="1"/>
  <c r="V2203" i="1" s="1"/>
  <c r="U2204" i="1"/>
  <c r="V2204" i="1" s="1" a="1"/>
  <c r="V2204" i="1" s="1"/>
  <c r="U2205" i="1"/>
  <c r="V2205" i="1" s="1" a="1"/>
  <c r="V2205" i="1" s="1"/>
  <c r="U2206" i="1"/>
  <c r="V2206" i="1" s="1" a="1"/>
  <c r="V2206" i="1" s="1"/>
  <c r="U2207" i="1"/>
  <c r="V2207" i="1" s="1" a="1"/>
  <c r="V2207" i="1" s="1"/>
  <c r="U2212" i="1"/>
  <c r="V2212" i="1" s="1" a="1"/>
  <c r="V2212" i="1" s="1"/>
  <c r="U2208" i="1"/>
  <c r="V2208" i="1" s="1" a="1"/>
  <c r="V2208" i="1" s="1"/>
  <c r="U2209" i="1"/>
  <c r="V2209" i="1" s="1" a="1"/>
  <c r="V2209" i="1" s="1"/>
  <c r="U2210" i="1"/>
  <c r="V2210" i="1" s="1" a="1"/>
  <c r="V2210" i="1" s="1"/>
  <c r="U2213" i="1"/>
  <c r="V2213" i="1" s="1" a="1"/>
  <c r="V2213" i="1" s="1"/>
  <c r="U2215" i="1"/>
  <c r="V2215" i="1" s="1" a="1"/>
  <c r="V2215" i="1" s="1"/>
  <c r="U2214" i="1"/>
  <c r="V2214" i="1" s="1" a="1"/>
  <c r="V2214" i="1" s="1"/>
  <c r="U2217" i="1"/>
  <c r="V2217" i="1" s="1" a="1"/>
  <c r="V2217" i="1" s="1"/>
  <c r="U2216" i="1"/>
  <c r="V2216" i="1" s="1" a="1"/>
  <c r="V2216" i="1" s="1"/>
  <c r="U2221" i="1"/>
  <c r="V2221" i="1" s="1" a="1"/>
  <c r="V2221" i="1" s="1"/>
  <c r="U2223" i="1"/>
  <c r="V2223" i="1" s="1" a="1"/>
  <c r="V2223" i="1" s="1"/>
  <c r="U2224" i="1"/>
  <c r="V2224" i="1" s="1" a="1"/>
  <c r="V2224" i="1" s="1"/>
  <c r="U2231" i="1"/>
  <c r="V2231" i="1" s="1" a="1"/>
  <c r="V2231" i="1" s="1"/>
  <c r="U2232" i="1"/>
  <c r="V2232" i="1" s="1" a="1"/>
  <c r="V2232" i="1" s="1"/>
  <c r="U2233" i="1"/>
  <c r="V2233" i="1" s="1" a="1"/>
  <c r="V2233" i="1" s="1"/>
  <c r="U2234" i="1"/>
  <c r="V2234" i="1" s="1" a="1"/>
  <c r="V2234" i="1" s="1"/>
  <c r="U2246" i="1"/>
  <c r="V2246" i="1" s="1" a="1"/>
  <c r="V2246" i="1" s="1"/>
  <c r="U2235" i="1"/>
  <c r="V2235" i="1" s="1" a="1"/>
  <c r="V2235" i="1" s="1"/>
  <c r="U2236" i="1"/>
  <c r="V2236" i="1" s="1" a="1"/>
  <c r="V2236" i="1" s="1"/>
  <c r="U2237" i="1"/>
  <c r="V2237" i="1" s="1" a="1"/>
  <c r="V2237" i="1" s="1"/>
  <c r="U2238" i="1"/>
  <c r="V2238" i="1" s="1" a="1"/>
  <c r="V2238" i="1" s="1"/>
  <c r="U2239" i="1"/>
  <c r="V2239" i="1" s="1" a="1"/>
  <c r="V2239" i="1" s="1"/>
  <c r="U2240" i="1"/>
  <c r="V2240" i="1" s="1" a="1"/>
  <c r="V2240" i="1" s="1"/>
  <c r="U2241" i="1"/>
  <c r="V2241" i="1" s="1" a="1"/>
  <c r="V2241" i="1" s="1"/>
  <c r="U2242" i="1"/>
  <c r="V2242" i="1" s="1" a="1"/>
  <c r="V2242" i="1" s="1"/>
  <c r="U2243" i="1"/>
  <c r="V2243" i="1" s="1" a="1"/>
  <c r="V2243" i="1" s="1"/>
  <c r="U2244" i="1"/>
  <c r="V2244" i="1" s="1" a="1"/>
  <c r="V2244" i="1" s="1"/>
  <c r="U2245" i="1"/>
  <c r="V2245" i="1" s="1" a="1"/>
  <c r="V2245" i="1" s="1"/>
  <c r="U2247" i="1"/>
  <c r="V2247" i="1" s="1" a="1"/>
  <c r="V2247" i="1" s="1"/>
  <c r="U2248" i="1"/>
  <c r="V2248" i="1" s="1" a="1"/>
  <c r="V2248" i="1" s="1"/>
  <c r="U2249" i="1"/>
  <c r="V2249" i="1" s="1" a="1"/>
  <c r="V2249" i="1" s="1"/>
  <c r="U2253" i="1"/>
  <c r="V2253" i="1" s="1" a="1"/>
  <c r="V2253" i="1" s="1"/>
  <c r="U2257" i="1"/>
  <c r="V2257" i="1" s="1" a="1"/>
  <c r="V2257" i="1" s="1"/>
  <c r="U2258" i="1"/>
  <c r="V2258" i="1" s="1" a="1"/>
  <c r="V2258" i="1" s="1"/>
  <c r="U2259" i="1"/>
  <c r="V2259" i="1" s="1" a="1"/>
  <c r="V2259" i="1" s="1"/>
  <c r="U2260" i="1"/>
  <c r="V2260" i="1" s="1" a="1"/>
  <c r="V2260" i="1" s="1"/>
  <c r="U2265" i="1"/>
  <c r="V2265" i="1" s="1" a="1"/>
  <c r="V2265" i="1" s="1"/>
  <c r="U2264" i="1"/>
  <c r="V2264" i="1" s="1" a="1"/>
  <c r="V2264" i="1" s="1"/>
  <c r="U2256" i="1"/>
  <c r="V2256" i="1" s="1" a="1"/>
  <c r="V2256" i="1" s="1"/>
  <c r="U2261" i="1"/>
  <c r="V2261" i="1" s="1" a="1"/>
  <c r="V2261" i="1" s="1"/>
  <c r="U2019" i="1"/>
  <c r="V2019" i="1" s="1" a="1"/>
  <c r="V2019" i="1" s="1"/>
  <c r="U2021" i="1"/>
  <c r="V2021" i="1" s="1" a="1"/>
  <c r="V2021" i="1" s="1"/>
  <c r="U2022" i="1"/>
  <c r="V2022" i="1" s="1" a="1"/>
  <c r="V2022" i="1" s="1"/>
  <c r="U2023" i="1"/>
  <c r="V2023" i="1" s="1" a="1"/>
  <c r="V2023" i="1" s="1"/>
  <c r="U679" i="1"/>
  <c r="V679" i="1" s="1" a="1"/>
  <c r="V679" i="1" s="1"/>
  <c r="N679" i="1"/>
  <c r="O679" i="1" s="1"/>
  <c r="O2017" i="1"/>
  <c r="O1270" i="1"/>
  <c r="O1271" i="1"/>
  <c r="N2264" i="1"/>
  <c r="O2264" i="1" s="1"/>
  <c r="N2265" i="1"/>
  <c r="O2265" i="1" s="1"/>
  <c r="N2248" i="1"/>
  <c r="O2248" i="1" s="1"/>
  <c r="N2245" i="1"/>
  <c r="O2245" i="1" s="1"/>
  <c r="N2244" i="1"/>
  <c r="O2244" i="1" s="1"/>
  <c r="N2243" i="1"/>
  <c r="O2243" i="1" s="1"/>
  <c r="N2242" i="1"/>
  <c r="O2242" i="1" s="1"/>
  <c r="N2241" i="1"/>
  <c r="O2241" i="1" s="1"/>
  <c r="N2240" i="1"/>
  <c r="O2240" i="1" s="1"/>
  <c r="N2239" i="1"/>
  <c r="O2239" i="1" s="1"/>
  <c r="N2238" i="1"/>
  <c r="O2238" i="1" s="1"/>
  <c r="N2235" i="1"/>
  <c r="O2235" i="1" s="1"/>
  <c r="N2217" i="1"/>
  <c r="O2217" i="1" s="1"/>
  <c r="N2190" i="1"/>
  <c r="O2190" i="1" s="1"/>
  <c r="N2091" i="1"/>
  <c r="O2091" i="1" s="1"/>
  <c r="N2075" i="1"/>
  <c r="O2075" i="1" s="1"/>
  <c r="N2072" i="1"/>
  <c r="O2072" i="1" s="1"/>
  <c r="N2020" i="1"/>
  <c r="O2020" i="1" s="1"/>
  <c r="N2004" i="1"/>
  <c r="O2004" i="1" s="1"/>
  <c r="N1969" i="1"/>
  <c r="O1969" i="1" s="1"/>
  <c r="N1967" i="1"/>
  <c r="O1967" i="1" s="1"/>
  <c r="N1964" i="1"/>
  <c r="O1964" i="1" s="1"/>
  <c r="N1961" i="1"/>
  <c r="O1961" i="1" s="1"/>
  <c r="N1942" i="1"/>
  <c r="O1942" i="1" s="1"/>
  <c r="N1932" i="1"/>
  <c r="O1932" i="1" s="1"/>
  <c r="N1920" i="1"/>
  <c r="O1920" i="1" s="1"/>
  <c r="N1860" i="1"/>
  <c r="O1860" i="1" s="1"/>
  <c r="N1859" i="1"/>
  <c r="O1859" i="1" s="1"/>
  <c r="N1857" i="1"/>
  <c r="O1857" i="1" s="1"/>
  <c r="N1858" i="1"/>
  <c r="O1858" i="1" s="1"/>
  <c r="N1703" i="1"/>
  <c r="O1703" i="1" s="1"/>
  <c r="N1699" i="1"/>
  <c r="O1699" i="1" s="1"/>
  <c r="N1698" i="1"/>
  <c r="O1698" i="1" s="1"/>
  <c r="N1697" i="1"/>
  <c r="O1697" i="1" s="1"/>
  <c r="N1696" i="1"/>
  <c r="O1696" i="1" s="1"/>
  <c r="N1690" i="1"/>
  <c r="O1690" i="1" s="1"/>
  <c r="N1689" i="1"/>
  <c r="O1689" i="1" s="1"/>
  <c r="N1688" i="1"/>
  <c r="O1688" i="1" s="1"/>
  <c r="N1687" i="1"/>
  <c r="O1687" i="1" s="1"/>
  <c r="N1686" i="1"/>
  <c r="O1686" i="1" s="1"/>
  <c r="N1685" i="1"/>
  <c r="O1685" i="1" s="1"/>
  <c r="N1684" i="1"/>
  <c r="O1684" i="1" s="1"/>
  <c r="N1683" i="1"/>
  <c r="O1683" i="1" s="1"/>
  <c r="N1682" i="1"/>
  <c r="O1682" i="1" s="1"/>
  <c r="N1681" i="1"/>
  <c r="O1681" i="1" s="1"/>
  <c r="N1680" i="1"/>
  <c r="O1680" i="1" s="1"/>
  <c r="N1679" i="1"/>
  <c r="O1679" i="1" s="1"/>
  <c r="N1678" i="1"/>
  <c r="O1678" i="1" s="1"/>
  <c r="N1677" i="1"/>
  <c r="O1677" i="1" s="1"/>
  <c r="N1676" i="1"/>
  <c r="O1676" i="1" s="1"/>
  <c r="N1675" i="1"/>
  <c r="O1675" i="1" s="1"/>
  <c r="N1674" i="1"/>
  <c r="O1674" i="1" s="1"/>
  <c r="N1673" i="1"/>
  <c r="O1673" i="1" s="1"/>
  <c r="N1672" i="1"/>
  <c r="O1672" i="1" s="1"/>
  <c r="N1671" i="1"/>
  <c r="O1671" i="1" s="1"/>
  <c r="N1670" i="1"/>
  <c r="O1670" i="1" s="1"/>
  <c r="N1669" i="1"/>
  <c r="O1669" i="1" s="1"/>
  <c r="N1668" i="1"/>
  <c r="O1668" i="1" s="1"/>
  <c r="N1667" i="1"/>
  <c r="O1667" i="1" s="1"/>
  <c r="N1666" i="1"/>
  <c r="O1666" i="1" s="1"/>
  <c r="N1665" i="1"/>
  <c r="O1665" i="1" s="1"/>
  <c r="N1664" i="1"/>
  <c r="O1664" i="1" s="1"/>
  <c r="N1663" i="1"/>
  <c r="O1663" i="1" s="1"/>
  <c r="N1662" i="1"/>
  <c r="O1662" i="1" s="1"/>
  <c r="N1661" i="1"/>
  <c r="O1661" i="1" s="1"/>
  <c r="N1660" i="1"/>
  <c r="O1660" i="1" s="1"/>
  <c r="N1659" i="1"/>
  <c r="O1659" i="1" s="1"/>
  <c r="N1658" i="1"/>
  <c r="O1658" i="1" s="1"/>
  <c r="N1657" i="1"/>
  <c r="O1657" i="1" s="1"/>
  <c r="N1656" i="1"/>
  <c r="O1656" i="1" s="1"/>
  <c r="N1655" i="1"/>
  <c r="O1655" i="1" s="1"/>
  <c r="N1654" i="1"/>
  <c r="O1654" i="1" s="1"/>
  <c r="N1653" i="1"/>
  <c r="O1653" i="1" s="1"/>
  <c r="N1652" i="1"/>
  <c r="O1652" i="1" s="1"/>
  <c r="N1651" i="1"/>
  <c r="O1651" i="1" s="1"/>
  <c r="N1650" i="1"/>
  <c r="O1650" i="1" s="1"/>
  <c r="N1649" i="1"/>
  <c r="O1649" i="1" s="1"/>
  <c r="N1648" i="1"/>
  <c r="O1648" i="1" s="1"/>
  <c r="N1647" i="1"/>
  <c r="O1647" i="1" s="1"/>
  <c r="N1646" i="1"/>
  <c r="O1646" i="1" s="1"/>
  <c r="N1645" i="1"/>
  <c r="O1645" i="1" s="1"/>
  <c r="N1644" i="1"/>
  <c r="O1644" i="1" s="1"/>
  <c r="N1643" i="1"/>
  <c r="O1643" i="1" s="1"/>
  <c r="N1642" i="1"/>
  <c r="O1642" i="1" s="1"/>
  <c r="N1641" i="1"/>
  <c r="O1641" i="1" s="1"/>
  <c r="N1640" i="1"/>
  <c r="O1640" i="1" s="1"/>
  <c r="N1639" i="1"/>
  <c r="O1639" i="1" s="1"/>
  <c r="N1638" i="1"/>
  <c r="O1638" i="1" s="1"/>
  <c r="N1637" i="1"/>
  <c r="O1637" i="1" s="1"/>
  <c r="N1636" i="1"/>
  <c r="O1636" i="1" s="1"/>
  <c r="N1635" i="1"/>
  <c r="O1635" i="1" s="1"/>
  <c r="N1634" i="1"/>
  <c r="O1634" i="1" s="1"/>
  <c r="N1633" i="1"/>
  <c r="O1633" i="1" s="1"/>
  <c r="N1632" i="1"/>
  <c r="O1632" i="1" s="1"/>
  <c r="N1631" i="1"/>
  <c r="O1631" i="1" s="1"/>
  <c r="N1630" i="1"/>
  <c r="O1630" i="1" s="1"/>
  <c r="N1629" i="1"/>
  <c r="O1629" i="1" s="1"/>
  <c r="N1628" i="1"/>
  <c r="O1628" i="1" s="1"/>
  <c r="N1627" i="1"/>
  <c r="O1627" i="1" s="1"/>
  <c r="N1626" i="1"/>
  <c r="O1626" i="1" s="1"/>
  <c r="N1625" i="1"/>
  <c r="O1625" i="1" s="1"/>
  <c r="N1624" i="1"/>
  <c r="O1624" i="1" s="1"/>
  <c r="N1623" i="1"/>
  <c r="O1623" i="1" s="1"/>
  <c r="N1622" i="1"/>
  <c r="O1622" i="1" s="1"/>
  <c r="N1621" i="1"/>
  <c r="O1621" i="1" s="1"/>
  <c r="N1620" i="1"/>
  <c r="O1620" i="1" s="1"/>
  <c r="N1619" i="1"/>
  <c r="O1619" i="1" s="1"/>
  <c r="N1618" i="1"/>
  <c r="O1618" i="1" s="1"/>
  <c r="N1617" i="1"/>
  <c r="O1617" i="1" s="1"/>
  <c r="N1616" i="1"/>
  <c r="O1616" i="1" s="1"/>
  <c r="N1615" i="1"/>
  <c r="O1615" i="1" s="1"/>
  <c r="N1614" i="1"/>
  <c r="O1614" i="1" s="1"/>
  <c r="N1613" i="1"/>
  <c r="O1613" i="1" s="1"/>
  <c r="N1612" i="1"/>
  <c r="O1612" i="1" s="1"/>
  <c r="N1611" i="1"/>
  <c r="O1611" i="1" s="1"/>
  <c r="N1610" i="1"/>
  <c r="O1610" i="1" s="1"/>
  <c r="N1609" i="1"/>
  <c r="O1609" i="1" s="1"/>
  <c r="N1608" i="1"/>
  <c r="O1608" i="1" s="1"/>
  <c r="N1607" i="1"/>
  <c r="O1607" i="1" s="1"/>
  <c r="N1606" i="1"/>
  <c r="O1606" i="1" s="1"/>
  <c r="N1605" i="1"/>
  <c r="O1605" i="1" s="1"/>
  <c r="N1604" i="1"/>
  <c r="O1604" i="1" s="1"/>
  <c r="N1603" i="1"/>
  <c r="O1603" i="1" s="1"/>
  <c r="N1602" i="1"/>
  <c r="O1602" i="1" s="1"/>
  <c r="N1601" i="1"/>
  <c r="O1601" i="1" s="1"/>
  <c r="N1600" i="1"/>
  <c r="O1600" i="1" s="1"/>
  <c r="N1599" i="1"/>
  <c r="O1599" i="1" s="1"/>
  <c r="N1598" i="1"/>
  <c r="O1598" i="1" s="1"/>
  <c r="N1597" i="1"/>
  <c r="O1597" i="1" s="1"/>
  <c r="N1596" i="1"/>
  <c r="O1596" i="1" s="1"/>
  <c r="N1595" i="1"/>
  <c r="O1595" i="1" s="1"/>
  <c r="N1594" i="1"/>
  <c r="O1594" i="1" s="1"/>
  <c r="N1593" i="1"/>
  <c r="O1593" i="1" s="1"/>
  <c r="N1592" i="1"/>
  <c r="O1592" i="1" s="1"/>
  <c r="N1591" i="1"/>
  <c r="O1591" i="1" s="1"/>
  <c r="N1590" i="1"/>
  <c r="O1590" i="1" s="1"/>
  <c r="N1589" i="1"/>
  <c r="O1589" i="1" s="1"/>
  <c r="N1588" i="1"/>
  <c r="O1588" i="1" s="1"/>
  <c r="N1587" i="1"/>
  <c r="O1587" i="1" s="1"/>
  <c r="N1586" i="1"/>
  <c r="O1586" i="1" s="1"/>
  <c r="N1585" i="1"/>
  <c r="O1585" i="1" s="1"/>
  <c r="N1584" i="1"/>
  <c r="O1584" i="1" s="1"/>
  <c r="N1583" i="1"/>
  <c r="O1583" i="1" s="1"/>
  <c r="N1582" i="1"/>
  <c r="O1582" i="1" s="1"/>
  <c r="N1581" i="1"/>
  <c r="O1581" i="1" s="1"/>
  <c r="N1580" i="1"/>
  <c r="O1580" i="1" s="1"/>
  <c r="N1579" i="1"/>
  <c r="O1579" i="1" s="1"/>
  <c r="N1578" i="1"/>
  <c r="O1578" i="1" s="1"/>
  <c r="N1577" i="1"/>
  <c r="O1577" i="1" s="1"/>
  <c r="N1576" i="1"/>
  <c r="O1576" i="1" s="1"/>
  <c r="N1575" i="1"/>
  <c r="O1575" i="1" s="1"/>
  <c r="N1574" i="1"/>
  <c r="O1574" i="1" s="1"/>
  <c r="N1573" i="1"/>
  <c r="O1573" i="1" s="1"/>
  <c r="N1572" i="1"/>
  <c r="O1572" i="1" s="1"/>
  <c r="N1571" i="1"/>
  <c r="O1571" i="1" s="1"/>
  <c r="N1570" i="1"/>
  <c r="O1570" i="1" s="1"/>
  <c r="N1569" i="1"/>
  <c r="O1569" i="1" s="1"/>
  <c r="N1568" i="1"/>
  <c r="O1568" i="1" s="1"/>
  <c r="N1567" i="1"/>
  <c r="O1567" i="1" s="1"/>
  <c r="N1566" i="1"/>
  <c r="O1566" i="1" s="1"/>
  <c r="N1565" i="1"/>
  <c r="O1565" i="1" s="1"/>
  <c r="N1564" i="1"/>
  <c r="O1564" i="1" s="1"/>
  <c r="N1563" i="1"/>
  <c r="O1563" i="1" s="1"/>
  <c r="N1562" i="1"/>
  <c r="O1562" i="1" s="1"/>
  <c r="N1561" i="1"/>
  <c r="O1561" i="1" s="1"/>
  <c r="N1560" i="1"/>
  <c r="O1560" i="1" s="1"/>
  <c r="N1559" i="1"/>
  <c r="O1559" i="1" s="1"/>
  <c r="N1558" i="1"/>
  <c r="O1558" i="1" s="1"/>
  <c r="N1557" i="1"/>
  <c r="O1557" i="1" s="1"/>
  <c r="N1556" i="1"/>
  <c r="O1556" i="1" s="1"/>
  <c r="N1555" i="1"/>
  <c r="O1555" i="1" s="1"/>
  <c r="N1554" i="1"/>
  <c r="O1554" i="1" s="1"/>
  <c r="N1553" i="1"/>
  <c r="O1553" i="1" s="1"/>
  <c r="N1552" i="1"/>
  <c r="O1552" i="1" s="1"/>
  <c r="N1551" i="1"/>
  <c r="O1551" i="1" s="1"/>
  <c r="N1550" i="1"/>
  <c r="O1550" i="1" s="1"/>
  <c r="N1549" i="1"/>
  <c r="O1549" i="1" s="1"/>
  <c r="N1548" i="1"/>
  <c r="O1548" i="1" s="1"/>
  <c r="N1547" i="1"/>
  <c r="O1547" i="1" s="1"/>
  <c r="N1546" i="1"/>
  <c r="O1546" i="1" s="1"/>
  <c r="N1545" i="1"/>
  <c r="O1545" i="1" s="1"/>
  <c r="N1544" i="1"/>
  <c r="O1544" i="1" s="1"/>
  <c r="N1543" i="1"/>
  <c r="O1543" i="1" s="1"/>
  <c r="N1542" i="1"/>
  <c r="O1542" i="1" s="1"/>
  <c r="N1541" i="1"/>
  <c r="O1541" i="1" s="1"/>
  <c r="N1540" i="1"/>
  <c r="O1540" i="1" s="1"/>
  <c r="N1539" i="1"/>
  <c r="O1539" i="1" s="1"/>
  <c r="N1538" i="1"/>
  <c r="O1538" i="1" s="1"/>
  <c r="N1537" i="1"/>
  <c r="O1537" i="1" s="1"/>
  <c r="N1536" i="1"/>
  <c r="O1536" i="1" s="1"/>
  <c r="N1535" i="1"/>
  <c r="O1535" i="1" s="1"/>
  <c r="N1534" i="1"/>
  <c r="O1534" i="1" s="1"/>
  <c r="N1533" i="1"/>
  <c r="O1533" i="1" s="1"/>
  <c r="N1532" i="1"/>
  <c r="O1532" i="1" s="1"/>
  <c r="N1531" i="1"/>
  <c r="O1531" i="1" s="1"/>
  <c r="N1530" i="1"/>
  <c r="O1530" i="1" s="1"/>
  <c r="N1529" i="1"/>
  <c r="O1529" i="1" s="1"/>
  <c r="N1528" i="1"/>
  <c r="O1528" i="1" s="1"/>
  <c r="N1527" i="1"/>
  <c r="O1527" i="1" s="1"/>
  <c r="N1526" i="1"/>
  <c r="O1526" i="1" s="1"/>
  <c r="N1525" i="1"/>
  <c r="O1525" i="1" s="1"/>
  <c r="N1524" i="1"/>
  <c r="O1524" i="1" s="1"/>
  <c r="N1523" i="1"/>
  <c r="O1523" i="1" s="1"/>
  <c r="N1522" i="1"/>
  <c r="O1522" i="1" s="1"/>
  <c r="N1521" i="1"/>
  <c r="O1521" i="1" s="1"/>
  <c r="N1520" i="1"/>
  <c r="O1520" i="1" s="1"/>
  <c r="N1519" i="1"/>
  <c r="O1519" i="1" s="1"/>
  <c r="N1518" i="1"/>
  <c r="O1518" i="1" s="1"/>
  <c r="N1517" i="1"/>
  <c r="O1517" i="1" s="1"/>
  <c r="N1516" i="1"/>
  <c r="O1516" i="1" s="1"/>
  <c r="N1515" i="1"/>
  <c r="O1515" i="1" s="1"/>
  <c r="N1514" i="1"/>
  <c r="O1514" i="1" s="1"/>
  <c r="N1513" i="1"/>
  <c r="O1513" i="1" s="1"/>
  <c r="N1694" i="1"/>
  <c r="N1511" i="1"/>
  <c r="O1511" i="1" s="1"/>
  <c r="N1510" i="1"/>
  <c r="O1510" i="1" s="1"/>
  <c r="N1509" i="1"/>
  <c r="O1509" i="1" s="1"/>
  <c r="N1508" i="1"/>
  <c r="O1508" i="1" s="1"/>
  <c r="N1507" i="1"/>
  <c r="O1507" i="1" s="1"/>
  <c r="N1506" i="1"/>
  <c r="O1506" i="1" s="1"/>
  <c r="N1505" i="1"/>
  <c r="O1505" i="1" s="1"/>
  <c r="N1504" i="1"/>
  <c r="O1504" i="1" s="1"/>
  <c r="N1503" i="1"/>
  <c r="O1503" i="1" s="1"/>
  <c r="N1502" i="1"/>
  <c r="O1502" i="1" s="1"/>
  <c r="N1501" i="1"/>
  <c r="O1501" i="1" s="1"/>
  <c r="N1500" i="1"/>
  <c r="O1500" i="1" s="1"/>
  <c r="N1499" i="1"/>
  <c r="O1499" i="1" s="1"/>
  <c r="N1498" i="1"/>
  <c r="O1498" i="1" s="1"/>
  <c r="N1497" i="1"/>
  <c r="O1497" i="1" s="1"/>
  <c r="N1496" i="1"/>
  <c r="O1496" i="1" s="1"/>
  <c r="N380" i="1"/>
  <c r="O380" i="1" s="1"/>
  <c r="N1471" i="1"/>
  <c r="O1471" i="1" s="1"/>
  <c r="N1916" i="1"/>
  <c r="O1916" i="1" s="1"/>
  <c r="N1446" i="1"/>
  <c r="O1446" i="1" s="1"/>
  <c r="N1449" i="1"/>
  <c r="O1449" i="1" s="1"/>
  <c r="N1433" i="1"/>
  <c r="O1433" i="1" s="1"/>
  <c r="N1434" i="1"/>
  <c r="O1434" i="1" s="1"/>
  <c r="N1432" i="1"/>
  <c r="O1432" i="1" s="1"/>
  <c r="N1426" i="1"/>
  <c r="O1426" i="1" s="1"/>
  <c r="N1414" i="1"/>
  <c r="O1414" i="1" s="1"/>
  <c r="N1404" i="1"/>
  <c r="O1404" i="1" s="1"/>
  <c r="N1402" i="1"/>
  <c r="O1402" i="1" s="1"/>
  <c r="N1382" i="1"/>
  <c r="O1382" i="1" s="1"/>
  <c r="N1374" i="1"/>
  <c r="O1374" i="1" s="1"/>
  <c r="N1341" i="1"/>
  <c r="O1341" i="1" s="1"/>
  <c r="N1334" i="1"/>
  <c r="O1334" i="1" s="1"/>
  <c r="N1333" i="1"/>
  <c r="O1333" i="1" s="1"/>
  <c r="N1332" i="1"/>
  <c r="O1332" i="1" s="1"/>
  <c r="N1325" i="1"/>
  <c r="O1325" i="1" s="1"/>
  <c r="N1305" i="1"/>
  <c r="O1305" i="1" s="1"/>
  <c r="N1278" i="1"/>
  <c r="O1278" i="1" s="1"/>
  <c r="N1274" i="1"/>
  <c r="O1274" i="1" s="1"/>
  <c r="N1273" i="1"/>
  <c r="O1273" i="1" s="1"/>
  <c r="N1265" i="1"/>
  <c r="O1265" i="1" s="1"/>
  <c r="N1263" i="1"/>
  <c r="O1263" i="1" s="1"/>
  <c r="N1224" i="1"/>
  <c r="O1224" i="1" s="1"/>
  <c r="N1227" i="1"/>
  <c r="O1227" i="1" s="1"/>
  <c r="N1223" i="1"/>
  <c r="O1223" i="1" s="1"/>
  <c r="N1124" i="1"/>
  <c r="O1124" i="1" s="1"/>
  <c r="N1122" i="1"/>
  <c r="O1122" i="1" s="1"/>
  <c r="N1120" i="1"/>
  <c r="O1120" i="1" s="1"/>
  <c r="N1017" i="1"/>
  <c r="O1017" i="1" s="1"/>
  <c r="N882" i="1"/>
  <c r="O882" i="1" s="1"/>
  <c r="N881" i="1"/>
  <c r="O881" i="1" s="1"/>
  <c r="N862" i="1"/>
  <c r="O862" i="1" s="1"/>
  <c r="N861" i="1"/>
  <c r="O861" i="1" s="1"/>
  <c r="N818" i="1"/>
  <c r="O818" i="1" s="1"/>
  <c r="N747" i="1"/>
  <c r="O747" i="1" s="1"/>
  <c r="N1213" i="1"/>
  <c r="O1213" i="1" s="1"/>
  <c r="N1212" i="1"/>
  <c r="O1212" i="1" s="1"/>
  <c r="N1211" i="1"/>
  <c r="O1211" i="1" s="1"/>
  <c r="O1210" i="1"/>
  <c r="N678" i="1"/>
  <c r="O678" i="1" s="1"/>
  <c r="N677" i="1"/>
  <c r="O677" i="1" s="1"/>
  <c r="N676" i="1"/>
  <c r="O676" i="1" s="1"/>
  <c r="N634" i="1"/>
  <c r="O634" i="1" s="1"/>
  <c r="N591" i="1"/>
  <c r="O591" i="1" s="1"/>
  <c r="N590" i="1"/>
  <c r="O590" i="1" s="1"/>
  <c r="N592" i="1"/>
  <c r="O592" i="1" s="1"/>
  <c r="N593" i="1"/>
  <c r="O593" i="1" s="1"/>
  <c r="N619" i="1"/>
  <c r="O619" i="1" s="1"/>
  <c r="N618" i="1"/>
  <c r="O618" i="1" s="1"/>
  <c r="N615" i="1"/>
  <c r="O615" i="1" s="1"/>
  <c r="N614" i="1"/>
  <c r="O614" i="1" s="1"/>
  <c r="N613" i="1"/>
  <c r="O613" i="1" s="1"/>
  <c r="N612" i="1"/>
  <c r="O612" i="1" s="1"/>
  <c r="N611" i="1"/>
  <c r="O611" i="1" s="1"/>
  <c r="N610" i="1"/>
  <c r="O610" i="1" s="1"/>
  <c r="N609" i="1"/>
  <c r="O609" i="1" s="1"/>
  <c r="N608" i="1"/>
  <c r="O608" i="1" s="1"/>
  <c r="N607" i="1"/>
  <c r="O607" i="1" s="1"/>
  <c r="N606" i="1"/>
  <c r="O606" i="1" s="1"/>
  <c r="N605" i="1"/>
  <c r="O605" i="1" s="1"/>
  <c r="N604" i="1"/>
  <c r="O604" i="1" s="1"/>
  <c r="N599" i="1"/>
  <c r="O599" i="1" s="1"/>
  <c r="N597" i="1"/>
  <c r="O597" i="1" s="1"/>
  <c r="N579" i="1"/>
  <c r="O579" i="1" s="1"/>
  <c r="N562" i="1"/>
  <c r="O562" i="1" s="1"/>
  <c r="N558" i="1"/>
  <c r="O558" i="1" s="1"/>
  <c r="N556" i="1"/>
  <c r="O556" i="1" s="1"/>
  <c r="N543" i="1"/>
  <c r="O543" i="1" s="1"/>
  <c r="N541" i="1"/>
  <c r="O541" i="1" s="1"/>
  <c r="N551" i="1"/>
  <c r="O551" i="1" s="1"/>
  <c r="N552" i="1"/>
  <c r="O552" i="1" s="1"/>
  <c r="N515" i="1"/>
  <c r="O515" i="1" s="1"/>
  <c r="N523" i="1"/>
  <c r="O523" i="1" s="1"/>
  <c r="N528" i="1"/>
  <c r="O528" i="1" s="1"/>
  <c r="N489" i="1"/>
  <c r="O489" i="1" s="1"/>
  <c r="N507" i="1"/>
  <c r="O507" i="1" s="1"/>
  <c r="N475" i="1"/>
  <c r="O475" i="1" s="1"/>
  <c r="N377" i="1"/>
  <c r="O377" i="1" s="1"/>
  <c r="N362" i="1"/>
  <c r="O362" i="1" s="1"/>
  <c r="N360" i="1"/>
  <c r="O360" i="1" s="1"/>
  <c r="N359" i="1"/>
  <c r="O359" i="1" s="1"/>
  <c r="N358" i="1"/>
  <c r="O358" i="1" s="1"/>
  <c r="N357" i="1"/>
  <c r="O357" i="1" s="1"/>
  <c r="N356" i="1"/>
  <c r="O356" i="1" s="1"/>
  <c r="N355" i="1"/>
  <c r="O355" i="1" s="1"/>
  <c r="N308" i="1"/>
  <c r="O308" i="1" s="1"/>
  <c r="N300" i="1"/>
  <c r="O300" i="1" s="1"/>
  <c r="N286" i="1"/>
  <c r="O286" i="1" s="1"/>
  <c r="N256" i="1"/>
  <c r="O256" i="1" s="1"/>
  <c r="N231" i="1"/>
  <c r="O231" i="1" s="1"/>
  <c r="N794" i="1"/>
  <c r="O794" i="1" s="1"/>
  <c r="N793" i="1"/>
  <c r="O793" i="1" s="1"/>
  <c r="N782" i="1"/>
  <c r="O782" i="1" s="1"/>
  <c r="N770" i="1"/>
  <c r="O770" i="1" s="1"/>
  <c r="N769" i="1"/>
  <c r="O769" i="1" s="1"/>
  <c r="N768" i="1"/>
  <c r="O768" i="1" s="1"/>
  <c r="N781" i="1"/>
  <c r="O781" i="1" s="1"/>
  <c r="N767" i="1"/>
  <c r="O767" i="1" s="1"/>
  <c r="N766" i="1"/>
  <c r="O766" i="1" s="1"/>
  <c r="N786" i="1"/>
  <c r="O786" i="1" s="1"/>
  <c r="N780" i="1"/>
  <c r="O780" i="1" s="1"/>
  <c r="N779" i="1"/>
  <c r="O779" i="1" s="1"/>
  <c r="N784" i="1"/>
  <c r="O784" i="1" s="1"/>
  <c r="N754" i="1"/>
  <c r="O754" i="1" s="1"/>
  <c r="N792" i="1"/>
  <c r="O792" i="1" s="1"/>
  <c r="N778" i="1"/>
  <c r="O778" i="1" s="1"/>
  <c r="N791" i="1"/>
  <c r="O791" i="1" s="1"/>
  <c r="N777" i="1"/>
  <c r="O777" i="1" s="1"/>
  <c r="N765" i="1"/>
  <c r="O765" i="1" s="1"/>
  <c r="N764" i="1"/>
  <c r="O764" i="1" s="1"/>
  <c r="N763" i="1"/>
  <c r="O763" i="1" s="1"/>
  <c r="N776" i="1"/>
  <c r="O776" i="1" s="1"/>
  <c r="N762" i="1"/>
  <c r="O762" i="1" s="1"/>
  <c r="N761" i="1"/>
  <c r="O761" i="1" s="1"/>
  <c r="N790" i="1"/>
  <c r="O790" i="1" s="1"/>
  <c r="N789" i="1"/>
  <c r="O789" i="1" s="1"/>
  <c r="N775" i="1"/>
  <c r="O775" i="1" s="1"/>
  <c r="N760" i="1"/>
  <c r="O760" i="1" s="1"/>
  <c r="N750" i="1"/>
  <c r="O750" i="1" s="1"/>
  <c r="N774" i="1"/>
  <c r="O774" i="1" s="1"/>
  <c r="N759" i="1"/>
  <c r="O759" i="1" s="1"/>
  <c r="N758" i="1"/>
  <c r="O758" i="1" s="1"/>
  <c r="N788" i="1"/>
  <c r="N757" i="1"/>
  <c r="O757" i="1" s="1"/>
  <c r="N756" i="1"/>
  <c r="O756" i="1" s="1"/>
  <c r="N749" i="1"/>
  <c r="O749" i="1" s="1"/>
  <c r="N236" i="1"/>
  <c r="O236" i="1" s="1"/>
  <c r="N773" i="1"/>
  <c r="O773" i="1" s="1"/>
  <c r="N755" i="1"/>
  <c r="O755" i="1" s="1"/>
  <c r="N772" i="1"/>
  <c r="O772" i="1" s="1"/>
  <c r="N200" i="1"/>
  <c r="O200" i="1" s="1"/>
  <c r="N787" i="1"/>
  <c r="O787" i="1" s="1"/>
  <c r="N649" i="1"/>
  <c r="O649" i="1" s="1"/>
  <c r="N648" i="1"/>
  <c r="O648" i="1" s="1"/>
  <c r="N771" i="1"/>
  <c r="O771" i="1" s="1"/>
  <c r="N1029" i="1"/>
  <c r="O1029" i="1" s="1"/>
  <c r="N1028" i="1"/>
  <c r="O1028" i="1" s="1"/>
  <c r="N1027" i="1"/>
  <c r="O1027" i="1" s="1"/>
  <c r="N1023" i="1"/>
  <c r="O1023" i="1" s="1"/>
  <c r="N1026" i="1"/>
  <c r="O1026" i="1" s="1"/>
  <c r="N1025" i="1"/>
  <c r="O1025" i="1" s="1"/>
  <c r="N1024" i="1"/>
  <c r="O1024" i="1" s="1"/>
  <c r="N1220" i="1"/>
  <c r="O1220" i="1" s="1"/>
  <c r="N131" i="1"/>
  <c r="O131" i="1" s="1"/>
  <c r="N128" i="1"/>
  <c r="O128" i="1" s="1"/>
  <c r="N119" i="1"/>
  <c r="O119" i="1" s="1"/>
  <c r="N587" i="1"/>
  <c r="O587" i="1" s="1"/>
  <c r="N585" i="1"/>
  <c r="O585" i="1" s="1"/>
  <c r="N1248" i="1"/>
  <c r="O1248" i="1" s="1"/>
  <c r="N1247" i="1"/>
  <c r="O1247" i="1" s="1"/>
  <c r="N71" i="1"/>
  <c r="O71" i="1" s="1"/>
  <c r="N70" i="1"/>
  <c r="O70" i="1" s="1"/>
  <c r="N2288" i="1"/>
  <c r="O2288" i="1" s="1"/>
  <c r="N2086" i="1"/>
  <c r="O2086" i="1" s="1"/>
  <c r="O57" i="1"/>
  <c r="O1096" i="1"/>
  <c r="N1097" i="1"/>
  <c r="O1097" i="1" s="1"/>
  <c r="N1092" i="1"/>
  <c r="O1092" i="1" s="1"/>
  <c r="O1091" i="1"/>
  <c r="N1100" i="1"/>
  <c r="O1100" i="1" s="1"/>
  <c r="O1098" i="1"/>
  <c r="N1094" i="1"/>
  <c r="O1094" i="1" s="1"/>
  <c r="N1093" i="1"/>
  <c r="O1093" i="1" s="1"/>
  <c r="N1099" i="1"/>
  <c r="O1099" i="1" s="1"/>
  <c r="N1805" i="1"/>
  <c r="O1805" i="1" s="1"/>
  <c r="N39" i="1"/>
  <c r="O39" i="1" s="1"/>
  <c r="N1804" i="1"/>
  <c r="O1804" i="1" s="1"/>
  <c r="N1803" i="1"/>
  <c r="O1803" i="1" s="1"/>
  <c r="N1802" i="1"/>
  <c r="O1802" i="1" s="1"/>
  <c r="N1801" i="1"/>
  <c r="O1801" i="1" s="1"/>
  <c r="N1800" i="1"/>
  <c r="O1800" i="1" s="1"/>
  <c r="N1799" i="1"/>
  <c r="O1799" i="1" s="1"/>
  <c r="N1798" i="1"/>
  <c r="O1798" i="1" s="1"/>
  <c r="N1797" i="1"/>
  <c r="O1797" i="1" s="1"/>
  <c r="N1796" i="1"/>
  <c r="O1796" i="1" s="1"/>
  <c r="N1795" i="1"/>
  <c r="O1795" i="1" s="1"/>
  <c r="N1794" i="1"/>
  <c r="O1794" i="1" s="1"/>
  <c r="N1793" i="1"/>
  <c r="O1793" i="1" s="1"/>
  <c r="N1792" i="1"/>
  <c r="O1792" i="1" s="1"/>
  <c r="N1791" i="1"/>
  <c r="O1791" i="1" s="1"/>
  <c r="N1790" i="1"/>
  <c r="O1790" i="1" s="1"/>
  <c r="N1789" i="1"/>
  <c r="O1789" i="1" s="1"/>
  <c r="N1788" i="1"/>
  <c r="O1788" i="1" s="1"/>
  <c r="N1787" i="1"/>
  <c r="O1787" i="1" s="1"/>
  <c r="N1786" i="1"/>
  <c r="O1786" i="1" s="1"/>
  <c r="N859" i="1"/>
  <c r="O859" i="1" s="1"/>
  <c r="N1785" i="1"/>
  <c r="O1785" i="1" s="1"/>
  <c r="N1784" i="1"/>
  <c r="O1784" i="1" s="1"/>
  <c r="N1783" i="1"/>
  <c r="O1783" i="1" s="1"/>
  <c r="N1782" i="1"/>
  <c r="O1782" i="1" s="1"/>
  <c r="N1781" i="1"/>
  <c r="O1781" i="1" s="1"/>
  <c r="N1780" i="1"/>
  <c r="O1780" i="1" s="1"/>
  <c r="N1779" i="1"/>
  <c r="O1779" i="1" s="1"/>
  <c r="N1778" i="1"/>
  <c r="O1778" i="1" s="1"/>
  <c r="N1777" i="1"/>
  <c r="O1777" i="1" s="1"/>
  <c r="N1776" i="1"/>
  <c r="O1776" i="1" s="1"/>
  <c r="N1775" i="1"/>
  <c r="O1775" i="1" s="1"/>
  <c r="N1774" i="1"/>
  <c r="O1774" i="1" s="1"/>
  <c r="N1773" i="1"/>
  <c r="O1773" i="1" s="1"/>
  <c r="N1772" i="1"/>
  <c r="O1772" i="1" s="1"/>
  <c r="N1771" i="1"/>
  <c r="O1771" i="1" s="1"/>
  <c r="N1770" i="1"/>
  <c r="O1770" i="1" s="1"/>
  <c r="N1769" i="1"/>
  <c r="O1769" i="1" s="1"/>
  <c r="N1768" i="1"/>
  <c r="O1768" i="1" s="1"/>
  <c r="N1767" i="1"/>
  <c r="O1767" i="1" s="1"/>
  <c r="N868" i="1"/>
  <c r="O868" i="1" s="1"/>
  <c r="N2068" i="1"/>
  <c r="O2068" i="1" s="1"/>
  <c r="N2274" i="1"/>
  <c r="O2274" i="1" s="1"/>
  <c r="N1766" i="1"/>
  <c r="O1766" i="1" s="1"/>
  <c r="N1765" i="1"/>
  <c r="O1765" i="1" s="1"/>
  <c r="N165" i="1"/>
  <c r="O165" i="1" s="1"/>
  <c r="N1764" i="1"/>
  <c r="O1764" i="1" s="1"/>
  <c r="N1763" i="1"/>
  <c r="O1763" i="1" s="1"/>
  <c r="N1761" i="1"/>
  <c r="O1761" i="1" s="1"/>
  <c r="N1807" i="1"/>
  <c r="O1807" i="1" s="1"/>
  <c r="N1759" i="1"/>
  <c r="O1759" i="1" s="1"/>
  <c r="N1758" i="1"/>
  <c r="O1758" i="1" s="1"/>
  <c r="N1757" i="1"/>
  <c r="O1757" i="1" s="1"/>
  <c r="N1756" i="1"/>
  <c r="O1756" i="1" s="1"/>
  <c r="N1755" i="1"/>
  <c r="O1755" i="1" s="1"/>
  <c r="N816" i="1"/>
  <c r="O816" i="1" s="1"/>
  <c r="N730" i="1"/>
  <c r="O730" i="1" s="1"/>
  <c r="N2262" i="1"/>
  <c r="O2262" i="1" s="1"/>
  <c r="N2059" i="1"/>
  <c r="O2059" i="1" s="1"/>
  <c r="N745" i="1"/>
  <c r="O745" i="1" s="1"/>
  <c r="N708" i="1"/>
  <c r="O708" i="1" s="1"/>
  <c r="N332" i="1"/>
  <c r="O332" i="1" s="1"/>
  <c r="N331" i="1"/>
  <c r="O331" i="1" s="1"/>
  <c r="N330" i="1"/>
  <c r="O330" i="1" s="1"/>
  <c r="N329" i="1"/>
  <c r="O329" i="1" s="1"/>
  <c r="N328" i="1"/>
  <c r="O328" i="1" s="1"/>
  <c r="N327" i="1"/>
  <c r="O327" i="1" s="1"/>
  <c r="N326" i="1"/>
  <c r="O326" i="1" s="1"/>
  <c r="N325" i="1"/>
  <c r="O325" i="1" s="1"/>
  <c r="N324" i="1"/>
  <c r="O324" i="1" s="1"/>
  <c r="N323" i="1"/>
  <c r="O323" i="1" s="1"/>
  <c r="N322" i="1"/>
  <c r="O322" i="1" s="1"/>
  <c r="N321" i="1"/>
  <c r="O321" i="1" s="1"/>
  <c r="N320" i="1"/>
  <c r="O320" i="1" s="1"/>
  <c r="N319" i="1"/>
  <c r="O319" i="1" s="1"/>
  <c r="N318" i="1"/>
  <c r="O318" i="1" s="1"/>
  <c r="N317" i="1"/>
  <c r="O317" i="1" s="1"/>
  <c r="N335" i="1"/>
  <c r="O335" i="1" s="1"/>
  <c r="N709" i="1"/>
  <c r="O709" i="1" s="1"/>
  <c r="N588" i="1"/>
  <c r="O588" i="1" s="1"/>
  <c r="N1910" i="1"/>
  <c r="O1910" i="1" s="1"/>
  <c r="N1934" i="1"/>
  <c r="O1934" i="1" s="1"/>
  <c r="N4" i="1"/>
  <c r="O4" i="1" s="1"/>
  <c r="N3" i="1"/>
  <c r="O3" i="1" s="1"/>
  <c r="N2229" i="1"/>
  <c r="O2229" i="1" s="1"/>
  <c r="N199" i="1"/>
  <c r="O199" i="1" s="1"/>
  <c r="U2280" i="1"/>
  <c r="V2280" i="1" s="1" a="1"/>
  <c r="V2280" i="1" s="1"/>
  <c r="N130" i="1"/>
  <c r="O130" i="1" s="1"/>
  <c r="N520" i="1"/>
  <c r="O520" i="1" s="1"/>
  <c r="N1237" i="1"/>
  <c r="O1237" i="1" s="1"/>
  <c r="N1243" i="1"/>
  <c r="O1243" i="1" s="1"/>
  <c r="O565" i="1"/>
  <c r="N1354" i="1"/>
  <c r="O1354" i="1" s="1"/>
  <c r="O81" i="1"/>
  <c r="O1249" i="1"/>
  <c r="N566" i="1"/>
  <c r="O566" i="1" s="1"/>
  <c r="O1229" i="1"/>
  <c r="U1159" i="1"/>
  <c r="V1159" i="1" s="1" a="1"/>
  <c r="V1159" i="1" s="1"/>
  <c r="N785" i="1" l="1"/>
  <c r="O785" i="1" s="1"/>
  <c r="O1694" i="1"/>
  <c r="V1876" i="1" a="1"/>
  <c r="V1876" i="1" s="1"/>
  <c r="V684" i="1" a="1"/>
  <c r="V684" i="1" s="1"/>
  <c r="V547" i="1" a="1"/>
  <c r="V547" i="1" s="1"/>
  <c r="N751" i="1"/>
  <c r="O751" i="1" s="1"/>
  <c r="O788" i="1"/>
  <c r="N1022" i="1"/>
  <c r="O1022" i="1" s="1"/>
  <c r="N753" i="1"/>
  <c r="O753" i="1" s="1"/>
  <c r="N1239" i="1"/>
  <c r="O1239" i="1" s="1"/>
  <c r="N783" i="1"/>
  <c r="O783" i="1" s="1"/>
  <c r="N1238" i="1"/>
  <c r="O1238" i="1" s="1"/>
  <c r="O1231" i="1" l="1"/>
  <c r="O1230" i="1"/>
  <c r="N752" i="1"/>
  <c r="O752" i="1" s="1"/>
  <c r="O1233" i="1" l="1"/>
  <c r="O1234" i="1"/>
  <c r="O1232" i="1" l="1"/>
  <c r="O123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Dominique M.</author>
  </authors>
  <commentList>
    <comment ref="I3" authorId="0" shapeId="0" xr:uid="{29D46DD6-6E88-4D79-B8A4-DCE519B6B272}">
      <text>
        <r>
          <rPr>
            <b/>
            <sz val="9"/>
            <color indexed="81"/>
            <rFont val="Tahoma"/>
            <family val="2"/>
          </rPr>
          <t>Dominique M.:</t>
        </r>
        <r>
          <rPr>
            <sz val="9"/>
            <color indexed="81"/>
            <rFont val="Tahoma"/>
            <family val="2"/>
          </rPr>
          <t xml:space="preserve">
minus home Subs - 5000</t>
        </r>
      </text>
    </comment>
    <comment ref="I5" authorId="0" shapeId="0" xr:uid="{CF1D6AC8-97DD-4F9B-BF77-7D392FBF9D61}">
      <text>
        <r>
          <rPr>
            <b/>
            <sz val="9"/>
            <color indexed="81"/>
            <rFont val="Tahoma"/>
            <family val="2"/>
          </rPr>
          <t>Dominique M.:</t>
        </r>
        <r>
          <rPr>
            <sz val="9"/>
            <color indexed="81"/>
            <rFont val="Tahoma"/>
            <family val="2"/>
          </rPr>
          <t xml:space="preserve">
minus Home Subs - 12000</t>
        </r>
      </text>
    </comment>
    <comment ref="I6" authorId="0" shapeId="0" xr:uid="{CD30DF53-B387-468F-8CC8-8E519A7B353F}">
      <text>
        <r>
          <rPr>
            <b/>
            <sz val="9"/>
            <color indexed="81"/>
            <rFont val="Tahoma"/>
            <family val="2"/>
          </rPr>
          <t>Dominique M.:</t>
        </r>
        <r>
          <rPr>
            <sz val="9"/>
            <color indexed="81"/>
            <rFont val="Tahoma"/>
            <family val="2"/>
          </rPr>
          <t xml:space="preserve">
minus Home Subs - 20000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<sst xmlns="http://schemas.openxmlformats.org/spreadsheetml/2006/main" count="35689" uniqueCount="3857">
  <si>
    <t>Row Labels</t>
  </si>
  <si>
    <t>Sum of BW</t>
  </si>
  <si>
    <t>BSC</t>
  </si>
  <si>
    <t>EUCL</t>
  </si>
  <si>
    <t>GENNEXT</t>
  </si>
  <si>
    <t>KTRN</t>
  </si>
  <si>
    <t>LTR</t>
  </si>
  <si>
    <t>Simbanet</t>
  </si>
  <si>
    <t>Grand Total</t>
  </si>
  <si>
    <t>Government</t>
  </si>
  <si>
    <t>Private</t>
  </si>
  <si>
    <t>Column Labels</t>
  </si>
  <si>
    <t>BANZA</t>
  </si>
  <si>
    <t>GAHIGI</t>
  </si>
  <si>
    <t>GASANA</t>
  </si>
  <si>
    <t>GASASIRA</t>
  </si>
  <si>
    <t>KIZZA</t>
  </si>
  <si>
    <t>MUGISHA</t>
  </si>
  <si>
    <t>MUKAMANA</t>
  </si>
  <si>
    <t>MUKANOHERI</t>
  </si>
  <si>
    <t>MUSONI</t>
  </si>
  <si>
    <t>NIYITEGEKA</t>
  </si>
  <si>
    <t>BSC BW Report for HLIs</t>
  </si>
  <si>
    <t>University/HLI</t>
  </si>
  <si>
    <t>REB</t>
  </si>
  <si>
    <t>Green Hills Academy</t>
  </si>
  <si>
    <t>UR</t>
  </si>
  <si>
    <t>UGHE</t>
  </si>
  <si>
    <t>INILAK</t>
  </si>
  <si>
    <t>CMU</t>
  </si>
  <si>
    <t>RWANDA TVET BOARD</t>
  </si>
  <si>
    <t>IPRC Musanze</t>
  </si>
  <si>
    <t>AGAHOZO SHALOM YOUTH</t>
  </si>
  <si>
    <t>IPRC-KICUKIRO</t>
  </si>
  <si>
    <t>IPRC-SOUTH</t>
  </si>
  <si>
    <t>MKU</t>
  </si>
  <si>
    <t>TUMBA COLLEGE OF TECHNOLOGY</t>
  </si>
  <si>
    <t>KIBOGORA POLYTECHNIC</t>
  </si>
  <si>
    <t>ILPD</t>
  </si>
  <si>
    <t>RWANDA POLYTECHNIC</t>
  </si>
  <si>
    <t>Kigali Public Library</t>
  </si>
  <si>
    <t>Catholic University of Rwanda (CUR)</t>
  </si>
  <si>
    <t>ICK</t>
  </si>
  <si>
    <t>IPRC-WEST</t>
  </si>
  <si>
    <t>Kigali Parents School</t>
  </si>
  <si>
    <t>PIASS</t>
  </si>
  <si>
    <t>GASHORA GIRLS SCHOOL</t>
  </si>
  <si>
    <t>Gishali Integrated Polytechnique</t>
  </si>
  <si>
    <t>IPRC EAST</t>
  </si>
  <si>
    <t>KINIHIRA TVET</t>
  </si>
  <si>
    <t>NESA</t>
  </si>
  <si>
    <t>UNIVERSITE LIBRE DE KIGALI (ULK-GISENYI)</t>
  </si>
  <si>
    <t>UNIVERSITY OF GITWE</t>
  </si>
  <si>
    <t>APEKI TUMBA</t>
  </si>
  <si>
    <t>KITABI COLLEGE OF CONSERVATION AND MANAGEMENT</t>
  </si>
  <si>
    <t>KITABI MAIN -COLLEGE</t>
  </si>
  <si>
    <t>UNESCO</t>
  </si>
  <si>
    <t>SONRISE SCHOOL</t>
  </si>
  <si>
    <t>AHAZAZA</t>
  </si>
  <si>
    <t>BULINGA TVET SCHOOL</t>
  </si>
  <si>
    <t>ES BYIMANA</t>
  </si>
  <si>
    <t>ETO GATUMBA</t>
  </si>
  <si>
    <t>GSNDL BYIMANA</t>
  </si>
  <si>
    <t>KARAMA TSS</t>
  </si>
  <si>
    <t>KITABI 2ND LINK</t>
  </si>
  <si>
    <t>Kitabi-upsite</t>
  </si>
  <si>
    <t>Maranyundo Girls School</t>
  </si>
  <si>
    <t>TTC BYUMBA</t>
  </si>
  <si>
    <t>CMHSBD</t>
  </si>
  <si>
    <t>COLLEGE DE GISENYI</t>
  </si>
  <si>
    <t>College du christ roi</t>
  </si>
  <si>
    <t xml:space="preserve">COLLEGE SAINT ANDRE </t>
  </si>
  <si>
    <t>Ecole d'art de Nyundo</t>
  </si>
  <si>
    <t>ECOLE DE SCIENCE MUSANZE</t>
  </si>
  <si>
    <t>ENDP KARUBANDA</t>
  </si>
  <si>
    <t>ES NYANGE</t>
  </si>
  <si>
    <t>ES ST VICENT MUHOZA</t>
  </si>
  <si>
    <t>ESC LOUIS</t>
  </si>
  <si>
    <t>FAWE GIRLS SCHOOL</t>
  </si>
  <si>
    <t>GS DE BUTARE</t>
  </si>
  <si>
    <t>GS DU BON CONSEIL BYUMBA</t>
  </si>
  <si>
    <t>GS Gihundwe</t>
  </si>
  <si>
    <t>GS HVP GATAGARA</t>
  </si>
  <si>
    <t>GS KABARE</t>
  </si>
  <si>
    <t>GS MATER DEI</t>
  </si>
  <si>
    <t>GS MUSHAKA</t>
  </si>
  <si>
    <t>GS ST JOSEPH KABGAYI</t>
  </si>
  <si>
    <t>GS ST PHILIPE NERI</t>
  </si>
  <si>
    <t>GSNDP CYANIKA</t>
  </si>
  <si>
    <t>ISF-NYA</t>
  </si>
  <si>
    <t>IT HANIKA</t>
  </si>
  <si>
    <t>KAGARAMA</t>
  </si>
  <si>
    <t>KAVUMU VOCATIONAL TRAINING CENTER</t>
  </si>
  <si>
    <t>KIGARAMA TVET SCHOOL</t>
  </si>
  <si>
    <t>NYAMATA TVET</t>
  </si>
  <si>
    <t>NYANZA TSS</t>
  </si>
  <si>
    <t>REMERA RUKOMA</t>
  </si>
  <si>
    <t>TTC GACUBA</t>
  </si>
  <si>
    <t>TTC MURURU</t>
  </si>
  <si>
    <t>COLLEGE SAINTE MARIE KIBUYE</t>
  </si>
  <si>
    <t>ES GISENYI</t>
  </si>
  <si>
    <t>ES GISHOMA</t>
  </si>
  <si>
    <t>ES KIRAMBO</t>
  </si>
  <si>
    <t>ES NYAMIRAMA</t>
  </si>
  <si>
    <t>ESSA RUHENGERI</t>
  </si>
  <si>
    <t>GS ND D'AFRIQUE</t>
  </si>
  <si>
    <t>GS ST ALOYS RWAMAGANA</t>
  </si>
  <si>
    <t>KIZIGURO SS</t>
  </si>
  <si>
    <t>COLLEGE MARIE REINE DE LA PAIX</t>
  </si>
  <si>
    <t>Higher Education Council</t>
  </si>
  <si>
    <t>JICA PRISM PROJEC</t>
  </si>
  <si>
    <t>JICA PRISM PROJECT</t>
  </si>
  <si>
    <t>PARTNERS IN HEALTH</t>
  </si>
  <si>
    <t>REB SPIU</t>
  </si>
  <si>
    <t>Monthly Amount</t>
  </si>
  <si>
    <t>4G LTE connectivity</t>
  </si>
  <si>
    <t>Dark Fiber Lease</t>
  </si>
  <si>
    <t>Fiber Broadband Internet - GoR</t>
  </si>
  <si>
    <t>Managed Security Services</t>
  </si>
  <si>
    <t>MOD</t>
  </si>
  <si>
    <t>Video Conferencing Services</t>
  </si>
  <si>
    <t>VSAT</t>
  </si>
  <si>
    <t>RSSB</t>
  </si>
  <si>
    <t>Cloud Computing</t>
  </si>
  <si>
    <t>RRA</t>
  </si>
  <si>
    <t>UNICEF</t>
  </si>
  <si>
    <t>Fixed Wireless Internet</t>
  </si>
  <si>
    <t>RIB</t>
  </si>
  <si>
    <t>RNP</t>
  </si>
  <si>
    <t>Liquid Telecom Rwanda (LTR)</t>
  </si>
  <si>
    <t>Supreme Court</t>
  </si>
  <si>
    <t>VOIP</t>
  </si>
  <si>
    <t>GVA RWANDA</t>
  </si>
  <si>
    <t>BPR</t>
  </si>
  <si>
    <t>Fiber Broadband Internet - Private</t>
  </si>
  <si>
    <t>Transafrica Communications (AXIOM Networks)</t>
  </si>
  <si>
    <t>Local Content</t>
  </si>
  <si>
    <t>Local Transport</t>
  </si>
  <si>
    <t>NATIONAL BANK OF RWANDA (BNR)</t>
  </si>
  <si>
    <t>NISS</t>
  </si>
  <si>
    <t>MTN</t>
  </si>
  <si>
    <t>New Horizon Ltd</t>
  </si>
  <si>
    <t>Simbanet Kenya</t>
  </si>
  <si>
    <t>DGIE</t>
  </si>
  <si>
    <t>RCS</t>
  </si>
  <si>
    <t>MINAFFET</t>
  </si>
  <si>
    <t>BCS</t>
  </si>
  <si>
    <t>Gicumbi District</t>
  </si>
  <si>
    <t xml:space="preserve">ZIGAMA CSS  </t>
  </si>
  <si>
    <t>RBC</t>
  </si>
  <si>
    <t>RDB</t>
  </si>
  <si>
    <t>NYABIHU DISTRICT</t>
  </si>
  <si>
    <t>MININTER</t>
  </si>
  <si>
    <t>RMS</t>
  </si>
  <si>
    <t>NPPA</t>
  </si>
  <si>
    <t>I&amp;M BANK</t>
  </si>
  <si>
    <t>GAKENKE  DISTRICT</t>
  </si>
  <si>
    <t>NYAMASHEKE DISTRICT</t>
  </si>
  <si>
    <t>RLMUA</t>
  </si>
  <si>
    <t>NYAMAGABE DISTRICT</t>
  </si>
  <si>
    <t>RAB</t>
  </si>
  <si>
    <t>Rwamagana District</t>
  </si>
  <si>
    <t>RAC</t>
  </si>
  <si>
    <t>NYAGATARE DISTRICT</t>
  </si>
  <si>
    <t>PARLIAMENT</t>
  </si>
  <si>
    <t>MOH</t>
  </si>
  <si>
    <t>Rwanda Meteological Agency</t>
  </si>
  <si>
    <t>RURA</t>
  </si>
  <si>
    <t>TechPlus</t>
  </si>
  <si>
    <t>AoS</t>
  </si>
  <si>
    <t>Rulindo District</t>
  </si>
  <si>
    <t>RUBAVU District</t>
  </si>
  <si>
    <t>RUSIZI District</t>
  </si>
  <si>
    <t>KAYONZA District</t>
  </si>
  <si>
    <t>KING FAISAL HOSPITAL</t>
  </si>
  <si>
    <t>Huye District</t>
  </si>
  <si>
    <t>OTP</t>
  </si>
  <si>
    <t>Rwanda Space Agency</t>
  </si>
  <si>
    <t>KARONGI District</t>
  </si>
  <si>
    <t>City Of Kigali</t>
  </si>
  <si>
    <t>MINECOFIN</t>
  </si>
  <si>
    <t>SFH Rwanda</t>
  </si>
  <si>
    <t>Muhanga DISTRICT</t>
  </si>
  <si>
    <t>EDCL LTD</t>
  </si>
  <si>
    <t>MINUBUMWE</t>
  </si>
  <si>
    <t>BURERA District</t>
  </si>
  <si>
    <t>RUTSIRO District</t>
  </si>
  <si>
    <t>UMWALIMU SACCO</t>
  </si>
  <si>
    <t>RWB</t>
  </si>
  <si>
    <t>RUHANGO DISTRICT</t>
  </si>
  <si>
    <t>AIRTEL</t>
  </si>
  <si>
    <t>MINICT</t>
  </si>
  <si>
    <t>PMO</t>
  </si>
  <si>
    <t>MUSANZE District</t>
  </si>
  <si>
    <t>NGOMA District</t>
  </si>
  <si>
    <t>Kicukiro District</t>
  </si>
  <si>
    <t>NISR</t>
  </si>
  <si>
    <t>RBA</t>
  </si>
  <si>
    <t>RWANDA FDA</t>
  </si>
  <si>
    <t>CHUK</t>
  </si>
  <si>
    <t>KIREHE DISTRICT</t>
  </si>
  <si>
    <t>MINISTRY OF SPORTS</t>
  </si>
  <si>
    <t>KAMONYI District</t>
  </si>
  <si>
    <t>BRD</t>
  </si>
  <si>
    <t>BDF</t>
  </si>
  <si>
    <t>BUGESERA District</t>
  </si>
  <si>
    <t>PARK INN BY RADISSON KIGALI</t>
  </si>
  <si>
    <t>GATSIBO DISTRICT</t>
  </si>
  <si>
    <t>GASABO DISTRICT</t>
  </si>
  <si>
    <t>RPF</t>
  </si>
  <si>
    <t>RFA</t>
  </si>
  <si>
    <t>RICA</t>
  </si>
  <si>
    <t>RCAA</t>
  </si>
  <si>
    <t>ZIPLINE RWANDA</t>
  </si>
  <si>
    <t>RFL</t>
  </si>
  <si>
    <t>NYANZA DISTRICT</t>
  </si>
  <si>
    <t>RMH</t>
  </si>
  <si>
    <t>Army Shop</t>
  </si>
  <si>
    <t>NGORORERO DISRTICT</t>
  </si>
  <si>
    <t>CHUB</t>
  </si>
  <si>
    <t>MINAGRI</t>
  </si>
  <si>
    <t>Simbanet Tanzania</t>
  </si>
  <si>
    <t>RMI</t>
  </si>
  <si>
    <t>MYCULTURE</t>
  </si>
  <si>
    <t>MINICOM</t>
  </si>
  <si>
    <t>RTDA</t>
  </si>
  <si>
    <t>MININFRA</t>
  </si>
  <si>
    <t>Ministry of Environment</t>
  </si>
  <si>
    <t>Nyarugenge District</t>
  </si>
  <si>
    <t xml:space="preserve">Rwandair Ltd </t>
  </si>
  <si>
    <t>CARAES NDERA</t>
  </si>
  <si>
    <t>NIRDA</t>
  </si>
  <si>
    <t>OAG</t>
  </si>
  <si>
    <t>Bank of Kigali (BK)</t>
  </si>
  <si>
    <t>Nyungwe Lodge Rwanda Ltd</t>
  </si>
  <si>
    <t>MIFOTRA</t>
  </si>
  <si>
    <t>NYARUGURU DISTRICT</t>
  </si>
  <si>
    <t>MANTIS EPIC HOTEL &amp; SUITES</t>
  </si>
  <si>
    <t>RGB</t>
  </si>
  <si>
    <t>RHA</t>
  </si>
  <si>
    <t>MINEDUC</t>
  </si>
  <si>
    <t>NIDA</t>
  </si>
  <si>
    <t>RMB</t>
  </si>
  <si>
    <t>RCI</t>
  </si>
  <si>
    <t>INTARE INVESTMENTS LIMITED</t>
  </si>
  <si>
    <t>FONERWA</t>
  </si>
  <si>
    <t>RCHA</t>
  </si>
  <si>
    <t>Ultimate Developpers Ltd (UDL)</t>
  </si>
  <si>
    <t>WASAC</t>
  </si>
  <si>
    <t>Nile Basin Initiative/NELSAP</t>
  </si>
  <si>
    <t>SEACOM</t>
  </si>
  <si>
    <t>OGS</t>
  </si>
  <si>
    <t>NCSA</t>
  </si>
  <si>
    <t>OMBUDSMAN OFFICE</t>
  </si>
  <si>
    <t>China Embassy</t>
  </si>
  <si>
    <t>GISAGARA District</t>
  </si>
  <si>
    <t>KIGALI TODAY</t>
  </si>
  <si>
    <t>RPPA</t>
  </si>
  <si>
    <t>GTBank Rwanda Ltd</t>
  </si>
  <si>
    <t>MINIJUST</t>
  </si>
  <si>
    <t>GISENYI HOSPITAL</t>
  </si>
  <si>
    <t>COMPASSION INTERNATIONAL RWANDA</t>
  </si>
  <si>
    <t>NRS</t>
  </si>
  <si>
    <t>ENABEL/KWIGIRA PROJECT</t>
  </si>
  <si>
    <t>MINALOC</t>
  </si>
  <si>
    <t>RICTA</t>
  </si>
  <si>
    <t>KIBAGABAGA HOSPITAL</t>
  </si>
  <si>
    <t>MINEMA</t>
  </si>
  <si>
    <t>Access Bank Ltd</t>
  </si>
  <si>
    <t>KASPERSKY RWANDA</t>
  </si>
  <si>
    <t>RLRC</t>
  </si>
  <si>
    <t>REMA</t>
  </si>
  <si>
    <t>Gasmeth Power Plant</t>
  </si>
  <si>
    <t>Ngali Holdings</t>
  </si>
  <si>
    <t>Master Steel</t>
  </si>
  <si>
    <t>RCB</t>
  </si>
  <si>
    <t>Musanze Polytechnic</t>
  </si>
  <si>
    <t>KACYIRU HOSPITAL</t>
  </si>
  <si>
    <t>NAEB</t>
  </si>
  <si>
    <t>VINE Pharmacy</t>
  </si>
  <si>
    <t>NEC</t>
  </si>
  <si>
    <t>RSB</t>
  </si>
  <si>
    <t>KABGAYI HOSPITAL</t>
  </si>
  <si>
    <t>LODA</t>
  </si>
  <si>
    <t>MUHIMA HOSPITAL</t>
  </si>
  <si>
    <t>FINANCIAL INTELLIGENCE CENTER</t>
  </si>
  <si>
    <t>KIBOGORA HOSPITAL</t>
  </si>
  <si>
    <t>Current renewables Engineering(Creng Ltd)</t>
  </si>
  <si>
    <t>NATIONAL COMMISSION FOR SCIENCE &amp; TECHNOLOGY (NCST)</t>
  </si>
  <si>
    <t>BDO EA RWANDA</t>
  </si>
  <si>
    <t>Mininvest</t>
  </si>
  <si>
    <t>MIGEPROF</t>
  </si>
  <si>
    <t>RCA</t>
  </si>
  <si>
    <t>MINAGRI - SPIU IFAD FUNDED PROJECT</t>
  </si>
  <si>
    <t>MASAKA HOSPITAL</t>
  </si>
  <si>
    <t>REMERA RUKOMA HOSPITAL</t>
  </si>
  <si>
    <t>VOLKSWAGEN MOBILITY SOLUTIONS RWANDA LTD</t>
  </si>
  <si>
    <t>Pivot Access Ltd</t>
  </si>
  <si>
    <t>AFRIPRECAST Ltd</t>
  </si>
  <si>
    <t>URL Technologies</t>
  </si>
  <si>
    <t>CBA</t>
  </si>
  <si>
    <t>BYUMBA HOSPITAL</t>
  </si>
  <si>
    <t>R-Switch</t>
  </si>
  <si>
    <t>GITWE HOSPITAL</t>
  </si>
  <si>
    <t>AGACIRO DEVELOPMENT FUND</t>
  </si>
  <si>
    <t>BUSHENGE HOSPITAL</t>
  </si>
  <si>
    <t>NYAGATARE HOSPITAL</t>
  </si>
  <si>
    <t>KIBUNGO HOSPITAL</t>
  </si>
  <si>
    <t>NGARAMA HOSPITAL</t>
  </si>
  <si>
    <t>SHYIRA HOSPITAL</t>
  </si>
  <si>
    <t>KIZIGURO HOSPITAL</t>
  </si>
  <si>
    <t>KIGEME HOSPITAL</t>
  </si>
  <si>
    <t>KADUHA HOSPITAL</t>
  </si>
  <si>
    <t>GAHINI HOSPITAL</t>
  </si>
  <si>
    <t>RWAMAGANA HOSPITAL</t>
  </si>
  <si>
    <t>NYAMATA HOSPITAL</t>
  </si>
  <si>
    <t>MUHORORO HOSPITAL</t>
  </si>
  <si>
    <t>MURUNDA HOSPITAL</t>
  </si>
  <si>
    <t>KIBUYE HOSPITAL</t>
  </si>
  <si>
    <t>Gender Monitoring Office (GMO)</t>
  </si>
  <si>
    <t>PSF</t>
  </si>
  <si>
    <t>MILITARY MEDICAL INSURANCE (MMI) HQ</t>
  </si>
  <si>
    <t>MUNINI HOSPITAL</t>
  </si>
  <si>
    <t>KINIHIRA HOSPITAL</t>
  </si>
  <si>
    <t>RUHENGERI HOSPITAL</t>
  </si>
  <si>
    <t>Special Gaurantie Fund (SGF)</t>
  </si>
  <si>
    <t>National Human Rights Commission</t>
  </si>
  <si>
    <t>MUGONERO HOSPITAL</t>
  </si>
  <si>
    <t>RNIT</t>
  </si>
  <si>
    <t>REAF</t>
  </si>
  <si>
    <t>ENS africa</t>
  </si>
  <si>
    <t>ESCO</t>
  </si>
  <si>
    <t>BUTARO HOSPITAL</t>
  </si>
  <si>
    <t>Rwanda Printery Company</t>
  </si>
  <si>
    <t>Roke Telekom</t>
  </si>
  <si>
    <t xml:space="preserve">REMERA SECTOR </t>
  </si>
  <si>
    <t>EASTERN PROVINCE</t>
  </si>
  <si>
    <t>POST OFFICE</t>
  </si>
  <si>
    <t>EUCL RWANDA</t>
  </si>
  <si>
    <t>NPSC</t>
  </si>
  <si>
    <t>WESTERN Province</t>
  </si>
  <si>
    <t>SOLACE MINISTRIES</t>
  </si>
  <si>
    <t>RALGA</t>
  </si>
  <si>
    <t>GIHUNDWE HOSPITAL</t>
  </si>
  <si>
    <t>RWANDA STOCK EXCHANGE</t>
  </si>
  <si>
    <t>RUZIZI ENERGY III</t>
  </si>
  <si>
    <t>ComzAfrica ltd</t>
  </si>
  <si>
    <t>NYANZA HOSPITAL</t>
  </si>
  <si>
    <t>Horizon Construction Ltd</t>
  </si>
  <si>
    <t>CMA</t>
  </si>
  <si>
    <t>Akagera Aviation</t>
  </si>
  <si>
    <t>NORTHERN PROVINCE</t>
  </si>
  <si>
    <t>SOUTHERN PROVINCE</t>
  </si>
  <si>
    <t>Imanzi Business Institute (IBI)</t>
  </si>
  <si>
    <t>HORIZON GROUP HQ</t>
  </si>
  <si>
    <t>KIBILIZI HOSPITAL</t>
  </si>
  <si>
    <t>LA CROIX DU SUD HOSPITAL</t>
  </si>
  <si>
    <t>RWIKWAVU HOSPITAL</t>
  </si>
  <si>
    <t>GASABO GOLD REFINERY</t>
  </si>
  <si>
    <t>Polyclinique du Plateau.</t>
  </si>
  <si>
    <t>IMIZI ECO-TOURISM DEVELOPMENT Ltd.</t>
  </si>
  <si>
    <t>TURKISH EMBASSY</t>
  </si>
  <si>
    <t>NYARUGENGE DISTRICT HOSPITAL</t>
  </si>
  <si>
    <t>KABUTARE HOSPITAL</t>
  </si>
  <si>
    <t>Rwanda Finance</t>
  </si>
  <si>
    <t>NATIONAL COUNCIL FOR PERSONS WITH DISABILITIES</t>
  </si>
  <si>
    <t>FERWAFA</t>
  </si>
  <si>
    <t xml:space="preserve">RUSORORO Sector </t>
  </si>
  <si>
    <t>GATSATA SECTOR</t>
  </si>
  <si>
    <t xml:space="preserve">SINELAC </t>
  </si>
  <si>
    <t>Zamara Actuaries. Administrators and Insurance Brokers</t>
  </si>
  <si>
    <t>Rwanda Demobilisation and Reintegration Commission</t>
  </si>
  <si>
    <t>KINYINYA SECTOR</t>
  </si>
  <si>
    <t>WFP</t>
  </si>
  <si>
    <t>RYAF</t>
  </si>
  <si>
    <t>Kivu Choice</t>
  </si>
  <si>
    <t>GAHANGA SECTOR</t>
  </si>
  <si>
    <t>KOSEI NISHIDA</t>
  </si>
  <si>
    <t>NYUNGWE MANAGEMENT COMPANY</t>
  </si>
  <si>
    <t>NEMBA HOSPITAL</t>
  </si>
  <si>
    <t>AVIATION TRAVEL&amp;LOGISTICS (ATL)</t>
  </si>
  <si>
    <t>Horizon Sopyrwa Ltd</t>
  </si>
  <si>
    <t>SCATEC SOLAR RWANDA LTD</t>
  </si>
  <si>
    <t>BUMBOGO SECTOR</t>
  </si>
  <si>
    <t>Team CYMRU</t>
  </si>
  <si>
    <t>RMF</t>
  </si>
  <si>
    <t>MINEMA SPIU</t>
  </si>
  <si>
    <t>PAYMATIC</t>
  </si>
  <si>
    <t>GATONDE HOSPITAL</t>
  </si>
  <si>
    <t>RISA</t>
  </si>
  <si>
    <t>NDUBA SECTOR</t>
  </si>
  <si>
    <t>DYNASTY CONSTRUCTION</t>
  </si>
  <si>
    <t>RAEB</t>
  </si>
  <si>
    <t>RUTONGO HOSPITAL</t>
  </si>
  <si>
    <t>RMT</t>
  </si>
  <si>
    <t>KACYIRU SECTOR</t>
  </si>
  <si>
    <t>VIVA GLOBAL DUTY FREE</t>
  </si>
  <si>
    <t>KABGAYI EYE UNIT</t>
  </si>
  <si>
    <t>KIREHE HOSPITAL</t>
  </si>
  <si>
    <t>Ubumuntu Humanity Lts</t>
  </si>
  <si>
    <t>NFPO</t>
  </si>
  <si>
    <t>NAICO</t>
  </si>
  <si>
    <t>Huye Isange Rehabilitation Center</t>
  </si>
  <si>
    <t>NDERA SECTOR</t>
  </si>
  <si>
    <t>CHENO</t>
  </si>
  <si>
    <t>RWANDA BAR ASSOCIATION</t>
  </si>
  <si>
    <t>CCM-GLOBAL</t>
  </si>
  <si>
    <t>TNSP</t>
  </si>
  <si>
    <t>National Women's Council (CNF)</t>
  </si>
  <si>
    <t>RTN</t>
  </si>
  <si>
    <t>Rwanda Women Community Development Network</t>
  </si>
  <si>
    <t>NYC</t>
  </si>
  <si>
    <t>Horizon Agropy</t>
  </si>
  <si>
    <t>SACCO ICYEREKEZO KINYINYA</t>
  </si>
  <si>
    <t>KAGARAMA SECTOR</t>
  </si>
  <si>
    <t>RUHANGO DISTRICT HOSPITAL</t>
  </si>
  <si>
    <t>REPUBLICAN GUARD</t>
  </si>
  <si>
    <t>Africa's Talking</t>
  </si>
  <si>
    <t>IJABO SACCO KIGARAMA</t>
  </si>
  <si>
    <t>SACCO KOZIGUNDU Nduba</t>
  </si>
  <si>
    <t>KIBOGORA GUEST HOUSE</t>
  </si>
  <si>
    <t>HORIZON LOGISTICS</t>
  </si>
  <si>
    <t>KIAC</t>
  </si>
  <si>
    <t>LOYAL TRUST COMPANY</t>
  </si>
  <si>
    <t>SDGC/A</t>
  </si>
  <si>
    <t>MOD-CPS</t>
  </si>
  <si>
    <t>MINICOM SPIU</t>
  </si>
  <si>
    <t>MVEND LTD</t>
  </si>
  <si>
    <t>National Holdings Rwanda</t>
  </si>
  <si>
    <t>NYABIKENKE HOSPITAL</t>
  </si>
  <si>
    <t>Vision Fund Rwanda (VFR)</t>
  </si>
  <si>
    <t>KICUKIRO SECTOR</t>
  </si>
  <si>
    <t>eFiche Limited</t>
  </si>
  <si>
    <t>Duhamic Adri</t>
  </si>
  <si>
    <t>ABAHIZI SACCO GIKONDO</t>
  </si>
  <si>
    <t>GATENGA SACCO</t>
  </si>
  <si>
    <t>VISION SACCO GAHANGA</t>
  </si>
  <si>
    <t>IWACU FINANCE LTD</t>
  </si>
  <si>
    <t>Flex Faiba</t>
  </si>
  <si>
    <t>KIGALI MEDICAL CENTER</t>
  </si>
  <si>
    <t>Forefront Services Ltd</t>
  </si>
  <si>
    <t>GIKONDO SECTOR</t>
  </si>
  <si>
    <t>CENTRE MEDICAL ORKIDE</t>
  </si>
  <si>
    <t>Gatenga Sector</t>
  </si>
  <si>
    <t>Blackstone Lounge</t>
  </si>
  <si>
    <t>NPPA Ngoma</t>
  </si>
  <si>
    <t>UPLUS Mutual Partners Ltd.</t>
  </si>
  <si>
    <t xml:space="preserve">Akagera Aviation </t>
  </si>
  <si>
    <t>NYARUGUNGA SECTOR</t>
  </si>
  <si>
    <t>AFRICA RISING CYCLING CENTER</t>
  </si>
  <si>
    <t>Urunana DC</t>
  </si>
  <si>
    <t>SACCO Kigali</t>
  </si>
  <si>
    <t>NGAMBA SECTOR</t>
  </si>
  <si>
    <t>S&amp;H INDUSTRIES</t>
  </si>
  <si>
    <t>MUGINA SECTOR</t>
  </si>
  <si>
    <t>KAYENZI SECTOR</t>
  </si>
  <si>
    <t>KAYUMBU SECTOR</t>
  </si>
  <si>
    <t>RWANDA ATHLETICS FEDERATION</t>
  </si>
  <si>
    <t>RRP</t>
  </si>
  <si>
    <t>Niboye Sector</t>
  </si>
  <si>
    <t>THE PHONE FIX</t>
  </si>
  <si>
    <t>SLICE AND CAKES</t>
  </si>
  <si>
    <t>QTSoftware Ltd</t>
  </si>
  <si>
    <t>Gakara Frank</t>
  </si>
  <si>
    <t>Transexp ltd</t>
  </si>
  <si>
    <t>R&amp;M Logistics LTD</t>
  </si>
  <si>
    <t>BELECOM LTD</t>
  </si>
  <si>
    <t>Rwanda Peace Academy</t>
  </si>
  <si>
    <t>FPR NGOMA DISTRICT</t>
  </si>
  <si>
    <t>COPED LTD</t>
  </si>
  <si>
    <t>ONGOZA FCZ</t>
  </si>
  <si>
    <t>NPPA Nyagatare</t>
  </si>
  <si>
    <t>Teuscher Invest</t>
  </si>
  <si>
    <t>FPR Eastern Province</t>
  </si>
  <si>
    <t>Imprimu Ltd</t>
  </si>
  <si>
    <t>RPF GATSIBO</t>
  </si>
  <si>
    <t>STECOMA</t>
  </si>
  <si>
    <t>SEEGH</t>
  </si>
  <si>
    <t>Profile</t>
  </si>
  <si>
    <t>(All)</t>
  </si>
  <si>
    <t>Providers</t>
  </si>
  <si>
    <t>Bandwidth</t>
  </si>
  <si>
    <t>BW</t>
  </si>
  <si>
    <t>Airtel</t>
  </si>
  <si>
    <t>GVA</t>
  </si>
  <si>
    <t>4G - Prepaid</t>
  </si>
  <si>
    <t>Others</t>
  </si>
  <si>
    <t>4G - Postpaid</t>
  </si>
  <si>
    <t>Total - Big Players</t>
  </si>
  <si>
    <t>BP Code</t>
  </si>
  <si>
    <t>BP Name</t>
  </si>
  <si>
    <t>Customer Site</t>
  </si>
  <si>
    <t>District</t>
  </si>
  <si>
    <t>Sector</t>
  </si>
  <si>
    <t>Customer Category</t>
  </si>
  <si>
    <t>Supplier</t>
  </si>
  <si>
    <t>Product</t>
  </si>
  <si>
    <t>Item/Service Description</t>
  </si>
  <si>
    <t>Kms DFL Only</t>
  </si>
  <si>
    <t>Price</t>
  </si>
  <si>
    <t>Total Sales</t>
  </si>
  <si>
    <t>Billing Cycle</t>
  </si>
  <si>
    <t>End Date</t>
  </si>
  <si>
    <t>Month</t>
  </si>
  <si>
    <t>Year</t>
  </si>
  <si>
    <t>Agreement Days</t>
  </si>
  <si>
    <t>Contract Status</t>
  </si>
  <si>
    <t>Account Manager</t>
  </si>
  <si>
    <t>Contact Person</t>
  </si>
  <si>
    <t>CP Email</t>
  </si>
  <si>
    <t>CP Phone</t>
  </si>
  <si>
    <t>Comment</t>
  </si>
  <si>
    <t>Column1</t>
  </si>
  <si>
    <t>Column2</t>
  </si>
  <si>
    <t>C002214</t>
  </si>
  <si>
    <t>Lais</t>
  </si>
  <si>
    <t xml:space="preserve">Rwamagana  </t>
  </si>
  <si>
    <t>CENTRAL GOV</t>
  </si>
  <si>
    <t>Standard</t>
  </si>
  <si>
    <t>FIBER VPN 5MBPS</t>
  </si>
  <si>
    <t>Monthly</t>
  </si>
  <si>
    <t>Simon Harindintwari</t>
  </si>
  <si>
    <t>corporate@rwamagana.gov.rw</t>
  </si>
  <si>
    <t>0788822178</t>
  </si>
  <si>
    <t>C003180</t>
  </si>
  <si>
    <t>Kigali - Gatuna</t>
  </si>
  <si>
    <t>Burera</t>
  </si>
  <si>
    <t>TECH</t>
  </si>
  <si>
    <t>4U Rack Space</t>
  </si>
  <si>
    <t>Patrick Manzi</t>
  </si>
  <si>
    <t xml:space="preserve">patrick.manzi@gva.africa </t>
  </si>
  <si>
    <t>0788422925</t>
  </si>
  <si>
    <t>Gicumbi</t>
  </si>
  <si>
    <t xml:space="preserve">Dark Fiber Lease  </t>
  </si>
  <si>
    <t>C001230</t>
  </si>
  <si>
    <t>DFL: Gicumbi - Gatuna</t>
  </si>
  <si>
    <t>Aline Umutesi</t>
  </si>
  <si>
    <t>aline.umutesi@ktrn.rw</t>
  </si>
  <si>
    <t xml:space="preserve">0 782 502660 </t>
  </si>
  <si>
    <t>DFL: SFB - Kigoma</t>
  </si>
  <si>
    <t>Kicukiro</t>
  </si>
  <si>
    <t>DFL: Rulindo - Gicumbi</t>
  </si>
  <si>
    <t>Rulindo</t>
  </si>
  <si>
    <t>C002294</t>
  </si>
  <si>
    <t>HQ</t>
  </si>
  <si>
    <t>Gasabo</t>
  </si>
  <si>
    <t>VIP</t>
  </si>
  <si>
    <t>FIBER VPN 10MBPS</t>
  </si>
  <si>
    <t>Geoffrey Karegeya</t>
  </si>
  <si>
    <t xml:space="preserve">geoffrey.k@ricta.org.rw </t>
  </si>
  <si>
    <t>0788409061</t>
  </si>
  <si>
    <t>COLOCATION HALF RACK</t>
  </si>
  <si>
    <t>C001471</t>
  </si>
  <si>
    <t>Ministry of Infrastructure (MININFRA) - HQ</t>
  </si>
  <si>
    <t>VoIP PHONES 41-70</t>
  </si>
  <si>
    <t>Romalice Ishimwe</t>
  </si>
  <si>
    <t>romalice.ishimwe@mininfra.gov.rw</t>
  </si>
  <si>
    <t>0733-049-160</t>
  </si>
  <si>
    <t>C003656</t>
  </si>
  <si>
    <t>Wireless Broadband: RWN HQ</t>
  </si>
  <si>
    <t>ENTERPRISE</t>
  </si>
  <si>
    <t>Wireless Broadband Internet 3Mbps</t>
  </si>
  <si>
    <t>Ndahiro Andrew</t>
  </si>
  <si>
    <t>andrew@rwandawomenenetwork.org</t>
  </si>
  <si>
    <t>0 787 683 369</t>
  </si>
  <si>
    <t>Customer temporary suspended</t>
  </si>
  <si>
    <t>C002770</t>
  </si>
  <si>
    <t>Fiber Internet: Bodifa Link</t>
  </si>
  <si>
    <t>FIBER INTERNET 2MBPS</t>
  </si>
  <si>
    <t>SHYAKA Roger</t>
  </si>
  <si>
    <t>sroger@tnsp.rw</t>
  </si>
  <si>
    <t>0 783 255 773</t>
  </si>
  <si>
    <t>A0000174</t>
  </si>
  <si>
    <t>4G MUP 1GB/DAY</t>
  </si>
  <si>
    <t>Innocent</t>
  </si>
  <si>
    <t>imprimu@gmail.com</t>
  </si>
  <si>
    <t>0788-308-360</t>
  </si>
  <si>
    <t>C003716</t>
  </si>
  <si>
    <t>Uwinka Site</t>
  </si>
  <si>
    <t>Rusizi</t>
  </si>
  <si>
    <t>Fiber Broadband Internet 3Mbps</t>
  </si>
  <si>
    <t>Kenny Babilon</t>
  </si>
  <si>
    <t xml:space="preserve">protaisn@africanparks.org </t>
  </si>
  <si>
    <t>0781547874</t>
  </si>
  <si>
    <t>Gisakura Site</t>
  </si>
  <si>
    <t>A0000768</t>
  </si>
  <si>
    <t>Gatsibo</t>
  </si>
  <si>
    <t>rpfgatsibo@gmail.com</t>
  </si>
  <si>
    <t>0736-719-014</t>
  </si>
  <si>
    <t>C002932</t>
  </si>
  <si>
    <t>Elie Nsabindora</t>
  </si>
  <si>
    <t xml:space="preserve">dkamau@vivaglobal-dutyfree.com </t>
  </si>
  <si>
    <t>0788388880</t>
  </si>
  <si>
    <t>C001693</t>
  </si>
  <si>
    <t>MSS SECURE BROWSING</t>
  </si>
  <si>
    <t>Theogene Ntakirutimana</t>
  </si>
  <si>
    <t>theogene.ntakirutimana@cndp.org.rw</t>
  </si>
  <si>
    <t>0788-486-357</t>
  </si>
  <si>
    <t>C001440</t>
  </si>
  <si>
    <t>VSAT: JTF HQ MDP</t>
  </si>
  <si>
    <t>Mozambique</t>
  </si>
  <si>
    <t>SECURITY</t>
  </si>
  <si>
    <t>VSAT Internet 8Mbps</t>
  </si>
  <si>
    <t>Jean de Dieu MUGAMBWA
Lt Col
Ag. H/CEC</t>
  </si>
  <si>
    <t xml:space="preserve">headcec@minadef.gov.rw    </t>
  </si>
  <si>
    <t>0 78 831 4513</t>
  </si>
  <si>
    <t>VSAT: TF BG2 ANCUABE</t>
  </si>
  <si>
    <t>VSAT Internet 4Mbps</t>
  </si>
  <si>
    <t>VSAT: TF GB2 MBAU</t>
  </si>
  <si>
    <t>C001507</t>
  </si>
  <si>
    <t>Akamai Local Content Provision</t>
  </si>
  <si>
    <t>Local Content Provision: Akamai</t>
  </si>
  <si>
    <t>Rene Manzi</t>
  </si>
  <si>
    <t>rene.manzi@mtn.com</t>
  </si>
  <si>
    <t xml:space="preserve">0 78 8312 623 </t>
  </si>
  <si>
    <t xml:space="preserve">DFL: Karongi-Rubavu </t>
  </si>
  <si>
    <t>Karongi</t>
  </si>
  <si>
    <t xml:space="preserve">DFL: Karongi-Rusizi </t>
  </si>
  <si>
    <t>DFL: Kibungo-Rusumo</t>
  </si>
  <si>
    <t>Ngoma</t>
  </si>
  <si>
    <t>C001337</t>
  </si>
  <si>
    <t>Gatenga</t>
  </si>
  <si>
    <t>Wireless Broadband 5MBPS</t>
  </si>
  <si>
    <t>Igor Murenzi</t>
  </si>
  <si>
    <t xml:space="preserve">murenzi.igor@mastersteel.co </t>
  </si>
  <si>
    <t>0787919263</t>
  </si>
  <si>
    <t>HQ Gahanga</t>
  </si>
  <si>
    <t>FIBER INTERNET 15MBPS</t>
  </si>
  <si>
    <t>C001129</t>
  </si>
  <si>
    <t xml:space="preserve">VTC Nyanza </t>
  </si>
  <si>
    <t>Nyanza</t>
  </si>
  <si>
    <t>EDUCATION</t>
  </si>
  <si>
    <t>fiber vpn 3mbps</t>
  </si>
  <si>
    <t>Joseph</t>
  </si>
  <si>
    <t>mahejose@yahoo.fr</t>
  </si>
  <si>
    <t>Was suspended</t>
  </si>
  <si>
    <t>They were suspended</t>
  </si>
  <si>
    <t>C000717</t>
  </si>
  <si>
    <t>4G MUP 10GB/DAY</t>
  </si>
  <si>
    <t>Jean Paul Mahene</t>
  </si>
  <si>
    <t xml:space="preserve">jeanpaul.mahene@gasabo.gov.rw </t>
  </si>
  <si>
    <t>0788828279</t>
  </si>
  <si>
    <t>4G ONE NETWORK 5MBPS</t>
  </si>
  <si>
    <t>4G MUP 2GB/DAY</t>
  </si>
  <si>
    <t>C002193</t>
  </si>
  <si>
    <t>Rutsiro</t>
  </si>
  <si>
    <t>FIBER VPN 3MBPS</t>
  </si>
  <si>
    <t xml:space="preserve">ictrutsiro@rutsiro.gov.rw </t>
  </si>
  <si>
    <t>0788738010</t>
  </si>
  <si>
    <t>VIDEO CONFERENCE</t>
  </si>
  <si>
    <t>MSS GOLD</t>
  </si>
  <si>
    <t>4G ONE NETWORK 3MBPS</t>
  </si>
  <si>
    <t>C001467</t>
  </si>
  <si>
    <t>Nyarugenge</t>
  </si>
  <si>
    <t>Fiber VPN 20MBPS</t>
  </si>
  <si>
    <t>Jeanne Mukamana</t>
  </si>
  <si>
    <t>eharerimana@environment.gov.rw</t>
  </si>
  <si>
    <t xml:space="preserve"> 4G MUP 4GB/DAY </t>
  </si>
  <si>
    <t xml:space="preserve">Ministry of Environment  </t>
  </si>
  <si>
    <t>Video confrence</t>
  </si>
  <si>
    <t>C001926</t>
  </si>
  <si>
    <t>One &amp; Only</t>
  </si>
  <si>
    <t>Nyamasheke</t>
  </si>
  <si>
    <t>HOSPITALITY</t>
  </si>
  <si>
    <t>FIBER INTERNET 40MBPS</t>
  </si>
  <si>
    <t>Christopher Rudakubana</t>
  </si>
  <si>
    <t>Christopher.Rudakubana@oneandonlyresorts.com</t>
  </si>
  <si>
    <t>0788-315-281 </t>
  </si>
  <si>
    <t>C000416</t>
  </si>
  <si>
    <t>Kimisagara Youth Center</t>
  </si>
  <si>
    <t>Rebecca Umubyeyi</t>
  </si>
  <si>
    <t xml:space="preserve">rvuningoma@kigalicity.gov.rw </t>
  </si>
  <si>
    <t>0788508370</t>
  </si>
  <si>
    <t>FIBER VPN 50MBPS</t>
  </si>
  <si>
    <t>4G GO SMART 1GB/DAY</t>
  </si>
  <si>
    <t>4G ONE NETWORK 3MBPS + INSTALLATION</t>
  </si>
  <si>
    <t>C000624</t>
  </si>
  <si>
    <t>fiber vpn 1mbps</t>
  </si>
  <si>
    <t>Victor</t>
  </si>
  <si>
    <t>eskirambo1997@yahoo.fr</t>
  </si>
  <si>
    <t>suspended. Now only uses REB  internet service</t>
  </si>
  <si>
    <t>C000805</t>
  </si>
  <si>
    <t>Simon</t>
  </si>
  <si>
    <t>sibizima@yahoo.fr</t>
  </si>
  <si>
    <t>Disconnected due to none payment</t>
  </si>
  <si>
    <t>They are using only REB Mbps</t>
  </si>
  <si>
    <t>C001332</t>
  </si>
  <si>
    <t>MASAKA-MAIN BRANCH</t>
  </si>
  <si>
    <t>HEALTH</t>
  </si>
  <si>
    <t>FIBER VPN 20MBPS</t>
  </si>
  <si>
    <t>GABIRO Jackson</t>
  </si>
  <si>
    <t>masaka.hospital@moh.gov.rw</t>
  </si>
  <si>
    <t>C001748</t>
  </si>
  <si>
    <t>PARASTATAL</t>
  </si>
  <si>
    <t>FIBER VPN 30MBPS</t>
  </si>
  <si>
    <t>Serge Rugamba</t>
  </si>
  <si>
    <t xml:space="preserve">serge.rugamba@ngali.com </t>
  </si>
  <si>
    <t>0783592870</t>
  </si>
  <si>
    <t>C002437</t>
  </si>
  <si>
    <t>Rwanda Social Security Board (RSSB)- HQ</t>
  </si>
  <si>
    <t>FULL RACK</t>
  </si>
  <si>
    <t>Odette Kampire</t>
  </si>
  <si>
    <t>odette.kampire@rssb.rw</t>
  </si>
  <si>
    <t>0788-850-079.</t>
  </si>
  <si>
    <t>C003973</t>
  </si>
  <si>
    <t>32GB, 4vCPU, 3TB</t>
  </si>
  <si>
    <t>Assumpta Mugwaneza</t>
  </si>
  <si>
    <t xml:space="preserve">amugwaneza@space.gov.rw </t>
  </si>
  <si>
    <t>0788449181</t>
  </si>
  <si>
    <t>32GB, 8vCPU, 1TB</t>
  </si>
  <si>
    <t>32GB, 4vCPU, 1TB</t>
  </si>
  <si>
    <t>C002449</t>
  </si>
  <si>
    <t>FIBER INTERNET 20MBPS</t>
  </si>
  <si>
    <t>Beth Waithera</t>
  </si>
  <si>
    <t xml:space="preserve">waitherabeth@gmail.com </t>
  </si>
  <si>
    <t>0783590373</t>
  </si>
  <si>
    <t>C004239</t>
  </si>
  <si>
    <t>Fiber internet 10Mbps</t>
  </si>
  <si>
    <t>Mazimpaka Jean de Dieu</t>
  </si>
  <si>
    <t>Jeandedieu.mazimpaka@mininvest.gov.rw</t>
  </si>
  <si>
    <t>VoIP PHONES 1-20</t>
  </si>
  <si>
    <t>MSS Gold Package</t>
  </si>
  <si>
    <t>4G MUP 8GB/DAY</t>
  </si>
  <si>
    <t>C002794</t>
  </si>
  <si>
    <t>Tumba Rulindo</t>
  </si>
  <si>
    <t>fiber vpn 50mbps</t>
  </si>
  <si>
    <t>Havumiragira</t>
  </si>
  <si>
    <t>havumiragira@yahoo.fr/ehavumiragira@iprctumba.rp.ac.rw</t>
  </si>
  <si>
    <t>C000881</t>
  </si>
  <si>
    <t>LOGISTICS</t>
  </si>
  <si>
    <t>Fiber Broadband Internet 5Mbps</t>
  </si>
  <si>
    <t>Willy Nzitonda</t>
  </si>
  <si>
    <t>willy.nzitonda@horizongroup.rw</t>
  </si>
  <si>
    <t>4G ONE NETWORK 3MBPS PRIV</t>
  </si>
  <si>
    <t>C000885</t>
  </si>
  <si>
    <t>Musanze</t>
  </si>
  <si>
    <t>FIBER VPN 5MBPS PRIV</t>
  </si>
  <si>
    <t>Internet link AoS-DR-DC-Bugesera</t>
  </si>
  <si>
    <t>VPN Links: -BSCVLP&lt;&gt;RSSB HQ; -RSSB HQ&lt;&gt;AoS DC; -BSC-VLP&lt;&gt;AoS-DC; BSC-VLP&lt;&gt;AoSDR-DC</t>
  </si>
  <si>
    <t>Bugesera</t>
  </si>
  <si>
    <t>C002641</t>
  </si>
  <si>
    <t>South HQ</t>
  </si>
  <si>
    <t>Bosco</t>
  </si>
  <si>
    <t>ictofficer@southernprovince.gov.rw</t>
  </si>
  <si>
    <t>C000161</t>
  </si>
  <si>
    <t>IP Transport Service</t>
  </si>
  <si>
    <t xml:space="preserve">IP Transport  </t>
  </si>
  <si>
    <t>Sage Mutoniwabo</t>
  </si>
  <si>
    <t>sage.umutoniwabo@trac.africa</t>
  </si>
  <si>
    <t xml:space="preserve">0 733 000 285 </t>
  </si>
  <si>
    <t>Cloudflare Provision Service</t>
  </si>
  <si>
    <t>Local Content Provision: Cloudflare</t>
  </si>
  <si>
    <t>Colocation Service: VLP</t>
  </si>
  <si>
    <t>Colocation Service: 2U</t>
  </si>
  <si>
    <t>Colocation Service: BSC Server Room</t>
  </si>
  <si>
    <t>Colocation Service: 1U</t>
  </si>
  <si>
    <t>DFL: Kacyiru-Remera</t>
  </si>
  <si>
    <t>DFL: BSC Remera-EUCL Remra</t>
  </si>
  <si>
    <t>Colocation Service: Rusumo</t>
  </si>
  <si>
    <t>Kirehe</t>
  </si>
  <si>
    <t>DFL: Muhanga EUCL-Muhanga Tower</t>
  </si>
  <si>
    <t>Muhanga</t>
  </si>
  <si>
    <t>Colocation Service: Musanze</t>
  </si>
  <si>
    <t>fiber vpn 5mbps</t>
  </si>
  <si>
    <t>C001185</t>
  </si>
  <si>
    <t>fiber vpn 30mbps</t>
  </si>
  <si>
    <t>Odon</t>
  </si>
  <si>
    <t>odon@kplonline.org</t>
  </si>
  <si>
    <t>DFL: Goma-EUCL Rubavu</t>
  </si>
  <si>
    <t>Rubavu</t>
  </si>
  <si>
    <t>Colocation Service: Kalongi</t>
  </si>
  <si>
    <t>Ruhango</t>
  </si>
  <si>
    <t>Colocation Service: Ruhango</t>
  </si>
  <si>
    <t>Colocation Service: Rwamagana</t>
  </si>
  <si>
    <t>C001692</t>
  </si>
  <si>
    <t>Bernadette Busingye</t>
  </si>
  <si>
    <t>bkobusingye@rw.nationmedia.com</t>
  </si>
  <si>
    <t>0788354498</t>
  </si>
  <si>
    <t>C001989</t>
  </si>
  <si>
    <t>FIBER VPN 65MBPS</t>
  </si>
  <si>
    <t>Josette Mukarukundo</t>
  </si>
  <si>
    <t>josette.mukarukundo@parliament.gov.rw</t>
  </si>
  <si>
    <t>0788-621-687</t>
  </si>
  <si>
    <t>PARLIAMENT/DEPUTIES</t>
  </si>
  <si>
    <t xml:space="preserve"> 4G MUP 2GB/DAY </t>
  </si>
  <si>
    <t>PARLIAMENT/SENATES</t>
  </si>
  <si>
    <t>C002237</t>
  </si>
  <si>
    <t>Fiber Internet: Technical Block</t>
  </si>
  <si>
    <t>Francis Rugema</t>
  </si>
  <si>
    <t xml:space="preserve">frugema@rac.co.rw </t>
  </si>
  <si>
    <t>0 788 300 160</t>
  </si>
  <si>
    <t>Fiber Internet: Radar Rebero Station</t>
  </si>
  <si>
    <t>Fiber Internet: Rubavu Airdrome</t>
  </si>
  <si>
    <t>Fiber Internet: Police Link Kanombe</t>
  </si>
  <si>
    <t>Fiber Broadband Internet 20Mbps</t>
  </si>
  <si>
    <t>Fiber Internet: KIA South Apron VVIP Lounge</t>
  </si>
  <si>
    <t>Fiber Broadband Internet 30Mbps</t>
  </si>
  <si>
    <t>Fiber Internet: Kamembe Airport</t>
  </si>
  <si>
    <t>Fiber Internet: RAC HQ</t>
  </si>
  <si>
    <t>Fiber Broadband Internet 60Mbps</t>
  </si>
  <si>
    <t>C003549</t>
  </si>
  <si>
    <t>Samuel Tuyishime</t>
  </si>
  <si>
    <t>stuyishimire@reb.rw</t>
  </si>
  <si>
    <t>0789705336</t>
  </si>
  <si>
    <t>C003186</t>
  </si>
  <si>
    <t>FIBER INTERNET 10MBPS GOV</t>
  </si>
  <si>
    <t>Justin Munyemana</t>
  </si>
  <si>
    <t>justin.munyemana@rfa.rw</t>
  </si>
  <si>
    <t>Huye</t>
  </si>
  <si>
    <t>RWANDA FORESTRY AUTHORITY (RFA)</t>
  </si>
  <si>
    <t>Ngororero</t>
  </si>
  <si>
    <t>Managed Secure Browsing-Huye</t>
  </si>
  <si>
    <t>Managed Secure Browsing-Gatsibo</t>
  </si>
  <si>
    <t>4G MUP  1GB/DAY GOV</t>
  </si>
  <si>
    <t>C002289</t>
  </si>
  <si>
    <t>RFL - Kaspesky VPN Link.</t>
  </si>
  <si>
    <t>FIBER VPN1 MBPS</t>
  </si>
  <si>
    <t>Theobald Bayingana</t>
  </si>
  <si>
    <t>theobard.bayingana@rfl.gov.rw</t>
  </si>
  <si>
    <t>0788-688-466</t>
  </si>
  <si>
    <t>C000201</t>
  </si>
  <si>
    <t>KCB Muhanga - BNR VPN</t>
  </si>
  <si>
    <t>BANK</t>
  </si>
  <si>
    <t>FIBER VPN1 MBPS PRIV</t>
  </si>
  <si>
    <t>Rene Mugenza</t>
  </si>
  <si>
    <t xml:space="preserve">rene.mugenza@bpr.rw </t>
  </si>
  <si>
    <t>0731000136</t>
  </si>
  <si>
    <t>R SWITCH VPN</t>
  </si>
  <si>
    <t xml:space="preserve">Rene.MUGENZA@bpr.rw </t>
  </si>
  <si>
    <t>MINECOFIN VPN</t>
  </si>
  <si>
    <t>Ruhango VPN</t>
  </si>
  <si>
    <t>Rusumo VPN</t>
  </si>
  <si>
    <t>FIBER VPN 2MBPS PRIV</t>
  </si>
  <si>
    <t>HQ - Wireless Broadband MD</t>
  </si>
  <si>
    <t>Wireless Broadband 3MBPS</t>
  </si>
  <si>
    <t>BPR Internet - Town</t>
  </si>
  <si>
    <t>FIBER INTERNET 5MBPS</t>
  </si>
  <si>
    <t>Internet MUHIMA HQ</t>
  </si>
  <si>
    <t>BPR KCB VPN</t>
  </si>
  <si>
    <t>FIBER VPN 20MBPS PRIV</t>
  </si>
  <si>
    <t>KCB Muhanga DR Site</t>
  </si>
  <si>
    <t>FIBER VPN 40MBPS PRIV</t>
  </si>
  <si>
    <t>BPR HQ - Town - Muhima DC</t>
  </si>
  <si>
    <t>FIBER VPN 50MBPS PRIV</t>
  </si>
  <si>
    <t>Dark Fiber Lease: HQ - Ruhango</t>
  </si>
  <si>
    <t>4G MUP 2GB/DAY PRIV</t>
  </si>
  <si>
    <t>C003773</t>
  </si>
  <si>
    <t>Ecole Primaire Nkondo1</t>
  </si>
  <si>
    <t>Kayonza</t>
  </si>
  <si>
    <t>BUTATI Bertin</t>
  </si>
  <si>
    <t>bbutati@pih.org</t>
  </si>
  <si>
    <t>C000771</t>
  </si>
  <si>
    <t>GISENYI-MAIN BRANCH</t>
  </si>
  <si>
    <t>NKURUNZIZA Innocent</t>
  </si>
  <si>
    <t>gisenyi.hospital@moh.gov.rw</t>
  </si>
  <si>
    <t>C002373</t>
  </si>
  <si>
    <t>Fiber Broadband Internet 10MBPS</t>
  </si>
  <si>
    <t>Bi-Annually</t>
  </si>
  <si>
    <t>DUKUZUMUREMYI JANVIER</t>
  </si>
  <si>
    <t>dukuzumuremyij@gmail.com</t>
  </si>
  <si>
    <t>Fiber Broadband Internet 20MBPS</t>
  </si>
  <si>
    <t>Nyamirama HC</t>
  </si>
  <si>
    <t>C000131</t>
  </si>
  <si>
    <t>AFOS Gicumbi</t>
  </si>
  <si>
    <t xml:space="preserve">Fiber VPN 1MBPS </t>
  </si>
  <si>
    <t>Patrick Munana</t>
  </si>
  <si>
    <t>ict@afos.gov.rw</t>
  </si>
  <si>
    <t>AFOS Huye</t>
  </si>
  <si>
    <t>Fiber VPN 1MBPS</t>
  </si>
  <si>
    <t>AFOS Karongi</t>
  </si>
  <si>
    <t>AFOS Muhanga</t>
  </si>
  <si>
    <t>AFOS NGOMA</t>
  </si>
  <si>
    <t>AFOS Mukamira</t>
  </si>
  <si>
    <t>Nyabihu</t>
  </si>
  <si>
    <t>AFOS Nyagatare</t>
  </si>
  <si>
    <t>Nyagatare</t>
  </si>
  <si>
    <t>AFOS Rubavu</t>
  </si>
  <si>
    <t>AFOS Rusizi</t>
  </si>
  <si>
    <t>AFOS Bugesera</t>
  </si>
  <si>
    <t>Fiber VPN 3MBPS</t>
  </si>
  <si>
    <t>AFOS Rwamagana</t>
  </si>
  <si>
    <t>AFOS kacyiru</t>
  </si>
  <si>
    <t>Fiber VPN 5MBPS</t>
  </si>
  <si>
    <t>AFOS HQ</t>
  </si>
  <si>
    <t xml:space="preserve">Fiber VPN 10MBPS </t>
  </si>
  <si>
    <t>AFOS Kicukiro</t>
  </si>
  <si>
    <t>C001781</t>
  </si>
  <si>
    <t>Nelsap Kirehe VPN</t>
  </si>
  <si>
    <t>NGO</t>
  </si>
  <si>
    <t>FIBER VPN 4MBPS PRIV</t>
  </si>
  <si>
    <t>Vivien Niyomugenga</t>
  </si>
  <si>
    <t xml:space="preserve">vniyomugenga@nilebasin.org </t>
  </si>
  <si>
    <t>0788528400</t>
  </si>
  <si>
    <t>Nelsap Kirehe Internet</t>
  </si>
  <si>
    <t>Cloud 12vCPU. 24GB RAM. 800GB Storage</t>
  </si>
  <si>
    <t>C001914</t>
  </si>
  <si>
    <t>Prosper Hakizimana</t>
  </si>
  <si>
    <t xml:space="preserve">prosper.hakizimana@nyarugenge.gov.rw </t>
  </si>
  <si>
    <t>0788760508</t>
  </si>
  <si>
    <t>FIBER VPN 15MBPS</t>
  </si>
  <si>
    <t>C000328</t>
  </si>
  <si>
    <t>Wireless Broadband 3MBPS (1)</t>
  </si>
  <si>
    <t>Fabrice Mfizi</t>
  </si>
  <si>
    <t xml:space="preserve">bumbogo_sector@yahoo.com </t>
  </si>
  <si>
    <t>0782217789</t>
  </si>
  <si>
    <t xml:space="preserve">Cells </t>
  </si>
  <si>
    <t>C000329</t>
  </si>
  <si>
    <t>FRANK</t>
  </si>
  <si>
    <t>it@burera.gov.rw</t>
  </si>
  <si>
    <t>CELL</t>
  </si>
  <si>
    <t>C000568</t>
  </si>
  <si>
    <t>ECOLE DES SCIENCE DE GISENYI (ESG)</t>
  </si>
  <si>
    <t>Marie Jean</t>
  </si>
  <si>
    <t>ecoledessciencesdegisenyi@gmail.com</t>
  </si>
  <si>
    <t>0783378684/0788332436</t>
  </si>
  <si>
    <t>C000746</t>
  </si>
  <si>
    <t>Munyarugerero Viateur</t>
  </si>
  <si>
    <t>munyarugerero.viateur@gmo.gov.rw</t>
  </si>
  <si>
    <t>0788-539-869</t>
  </si>
  <si>
    <t>C000813</t>
  </si>
  <si>
    <t>Emmanuel</t>
  </si>
  <si>
    <t>hakemmy@yahoo.fr;theonzeyimana33@yahoo.com</t>
  </si>
  <si>
    <t>C001065</t>
  </si>
  <si>
    <t>KABUTARE-MAIN BRANCH</t>
  </si>
  <si>
    <t>NGABOYISONGA Edmond</t>
  </si>
  <si>
    <t>ngabo123edyy@gmail.com;kabutare.hospital@moh.gov.rw</t>
  </si>
  <si>
    <t>0788755896/0788833270</t>
  </si>
  <si>
    <t>C001167</t>
  </si>
  <si>
    <t>KIBILIZI-MAIN BRANCH</t>
  </si>
  <si>
    <t>Gisagara</t>
  </si>
  <si>
    <t>KWIZERA Simplice</t>
  </si>
  <si>
    <t>simplice@kibilizihospital.gov.rw</t>
  </si>
  <si>
    <t>C001175</t>
  </si>
  <si>
    <t>Jeanne Niyonsaba</t>
  </si>
  <si>
    <t>jeanne.niyonsaba@kicukiro.gov.rw</t>
  </si>
  <si>
    <t>0788865412</t>
  </si>
  <si>
    <t>4G ONE NETWORK 8GB/DAY</t>
  </si>
  <si>
    <t>Cells</t>
  </si>
  <si>
    <t>C000572</t>
  </si>
  <si>
    <t>MURWANASHYAKA Damas</t>
  </si>
  <si>
    <t>eskigarama@yahoo.fr</t>
  </si>
  <si>
    <t>C001210</t>
  </si>
  <si>
    <t>KIZIGURO-MAIN BRANCH</t>
  </si>
  <si>
    <t>NSANZINEZA Theodore</t>
  </si>
  <si>
    <t>kiziguro.hospital@moh.gov.rw</t>
  </si>
  <si>
    <t>DFL: Nyamagabe-Rukarara</t>
  </si>
  <si>
    <t>Nyamagabe</t>
  </si>
  <si>
    <t>C001755</t>
  </si>
  <si>
    <t>NGARAMA-MAIN BRANCH</t>
  </si>
  <si>
    <t>NTAWUHIGANIMANA Aimable</t>
  </si>
  <si>
    <t>ngarama.hospital@moh.gov.rw</t>
  </si>
  <si>
    <t>C001694</t>
  </si>
  <si>
    <t>NATIONAL ID PROJECT (NID) HQ.</t>
  </si>
  <si>
    <t>Willy Nsabiyumva</t>
  </si>
  <si>
    <t>willy.nsabiyumva@nida.gov.rw</t>
  </si>
  <si>
    <t>0788-448-551</t>
  </si>
  <si>
    <t>VPN Link btn NID HQ &amp; AoS (CRSV Servers)</t>
  </si>
  <si>
    <t>FIBER VPN 2MBPS</t>
  </si>
  <si>
    <t>VPN link btn NIDA &amp; AoS (NDC)</t>
  </si>
  <si>
    <t>NATIONAL IDENTIFICATION AGENCY(NIDA)</t>
  </si>
  <si>
    <t>C001695</t>
  </si>
  <si>
    <t>NISR - Training center.</t>
  </si>
  <si>
    <t>FIBER VPN 40MBPS</t>
  </si>
  <si>
    <t>Jimmy Mukasa</t>
  </si>
  <si>
    <t>jimmy.mukasa@statistics.gov.rw</t>
  </si>
  <si>
    <t>788-761-146</t>
  </si>
  <si>
    <t>NISR HQ.</t>
  </si>
  <si>
    <t>C001828</t>
  </si>
  <si>
    <t>VC Service</t>
  </si>
  <si>
    <t>JUDICIARY</t>
  </si>
  <si>
    <t>Videoconferencing Services: 1 Unit</t>
  </si>
  <si>
    <t>Sosthene Nsabimaba</t>
  </si>
  <si>
    <t>sosthene.nsabimana@nppa.gov.rw</t>
  </si>
  <si>
    <t>0 783 332 059</t>
  </si>
  <si>
    <t>VOIP Service</t>
  </si>
  <si>
    <t>C001833</t>
  </si>
  <si>
    <t>NPPA Ngoma 4G Service</t>
  </si>
  <si>
    <t>Boniface Niyirora</t>
  </si>
  <si>
    <t>boniface.niyirora@nppa.gov.rw</t>
  </si>
  <si>
    <t>0 783 500 827</t>
  </si>
  <si>
    <t>C002282</t>
  </si>
  <si>
    <t>REB SCHOOLS</t>
  </si>
  <si>
    <t>Seth Buhigiro</t>
  </si>
  <si>
    <t>sbuhigiro@reb.rw</t>
  </si>
  <si>
    <t>0788743202</t>
  </si>
  <si>
    <t>REB SCHOOLS (REB 100K + RISA 45k)</t>
  </si>
  <si>
    <t>4G ONE NETWORK 15MBPS</t>
  </si>
  <si>
    <t>C002295</t>
  </si>
  <si>
    <t>Interpol Cyanika</t>
  </si>
  <si>
    <t>Modeste Nshimiyimana</t>
  </si>
  <si>
    <t>dict@rib.gov.rw</t>
  </si>
  <si>
    <t>0788310027/0788380425</t>
  </si>
  <si>
    <t>Interpoli Gatuna</t>
  </si>
  <si>
    <t>Interpol Kanombe Airport</t>
  </si>
  <si>
    <t>Interpol Akanyaru</t>
  </si>
  <si>
    <t>Interpol Rusumo</t>
  </si>
  <si>
    <t>Interpol Kagitumba</t>
  </si>
  <si>
    <t>Interpol Nemba</t>
  </si>
  <si>
    <t>Interpol Ruhwa</t>
  </si>
  <si>
    <t>Interpol Rubavu Grande Barriere</t>
  </si>
  <si>
    <t>Interpol Rubavu Petite Barriere</t>
  </si>
  <si>
    <t>Interpol Bugarama</t>
  </si>
  <si>
    <t>Interpol Rusizi 1</t>
  </si>
  <si>
    <t>Interpol Rusizi 2</t>
  </si>
  <si>
    <t>Nyarutarama branch.</t>
  </si>
  <si>
    <t>Datacenter VPN link.</t>
  </si>
  <si>
    <t>Kicukiro GBV.</t>
  </si>
  <si>
    <t>Gitega Branch.</t>
  </si>
  <si>
    <t>Kiyovu branch.</t>
  </si>
  <si>
    <t>RIB HQ.</t>
  </si>
  <si>
    <t>FIBER VPN 52MBPS</t>
  </si>
  <si>
    <t>C002317</t>
  </si>
  <si>
    <t>RMI Karongi</t>
  </si>
  <si>
    <t>Christine</t>
  </si>
  <si>
    <t>christine.uzamukunda@rmi.rw</t>
  </si>
  <si>
    <t>RMI Kayonza</t>
  </si>
  <si>
    <t>RMI Musanze</t>
  </si>
  <si>
    <t>RMI Nyanza</t>
  </si>
  <si>
    <t>RMI Muhima</t>
  </si>
  <si>
    <t>RMI Muhanga E-Learning</t>
  </si>
  <si>
    <t>MSS-Gold</t>
  </si>
  <si>
    <t>MSS Gold</t>
  </si>
  <si>
    <t>RMI-4G</t>
  </si>
  <si>
    <t>Jean Damascene Hagenimana</t>
  </si>
  <si>
    <t>C002546</t>
  </si>
  <si>
    <t>FIBER INTERNET 3MBPS</t>
  </si>
  <si>
    <t>Twaha Twagirimana</t>
  </si>
  <si>
    <t xml:space="preserve">Twaha.Twagirimana@scatec.com </t>
  </si>
  <si>
    <t>0788310149</t>
  </si>
  <si>
    <t>C002792</t>
  </si>
  <si>
    <t>Fr. Elie</t>
  </si>
  <si>
    <t>mururuttc@gmail.com</t>
  </si>
  <si>
    <t>C002865</t>
  </si>
  <si>
    <t>UR HQ</t>
  </si>
  <si>
    <t>FIBER VPN 1000MBPS PRIV</t>
  </si>
  <si>
    <t>Muzungu</t>
  </si>
  <si>
    <t xml:space="preserve"> mzungukb@yahoo.com;cio@ur.ac.rw;'bmuzungu@ur.ac.rw'</t>
  </si>
  <si>
    <t>Huye Campus</t>
  </si>
  <si>
    <t>Rukara Campus</t>
  </si>
  <si>
    <t>UNIVERSITY OF RWANDA - Remera Campus</t>
  </si>
  <si>
    <t>C002453</t>
  </si>
  <si>
    <t>Ingabire Ritah</t>
  </si>
  <si>
    <t xml:space="preserve">ritah.ingabire@vw.rw  </t>
  </si>
  <si>
    <t>0784728994</t>
  </si>
  <si>
    <t>C000577</t>
  </si>
  <si>
    <t>FIBER INTERNET 100MBPS</t>
  </si>
  <si>
    <t>Fabien NDAGIJIMANA</t>
  </si>
  <si>
    <t>fndagijimana@edcl.reg.rw</t>
  </si>
  <si>
    <t>4G MUP 10GB/DAY 118, 500</t>
  </si>
  <si>
    <t>C004054</t>
  </si>
  <si>
    <t>Pacifique Niyonkuru</t>
  </si>
  <si>
    <t>nipacifique@rgb.rw</t>
  </si>
  <si>
    <t xml:space="preserve">0 788 523 853 </t>
  </si>
  <si>
    <t>C001067</t>
  </si>
  <si>
    <t>KACYIRU-MAIN BRANCH</t>
  </si>
  <si>
    <t>MUKANKURANGA Janviere</t>
  </si>
  <si>
    <t>kacyiru.hospital@moh.gov.rw</t>
  </si>
  <si>
    <t>REB-MAIN BRANCH</t>
  </si>
  <si>
    <t>NGOGA INNOCENT</t>
  </si>
  <si>
    <t>ingoga@reb.rw</t>
  </si>
  <si>
    <t>0784535986</t>
  </si>
  <si>
    <t>C002192</t>
  </si>
  <si>
    <t>RUTONGO-MAIN BRANCH</t>
  </si>
  <si>
    <t>UMUHOZA Consolee</t>
  </si>
  <si>
    <t>umuconso@gmail.com</t>
  </si>
  <si>
    <t>C003174</t>
  </si>
  <si>
    <t>RWANDA FDA-HQ</t>
  </si>
  <si>
    <t>FIBER VPN 50 MBPS</t>
  </si>
  <si>
    <t>OLIVIER KAYIRANGA</t>
  </si>
  <si>
    <t>info@rwandafda.gov.rw</t>
  </si>
  <si>
    <t>C000410</t>
  </si>
  <si>
    <t>CHUB-MAIN BRANCH</t>
  </si>
  <si>
    <t>Gatera Jean Damascene</t>
  </si>
  <si>
    <t>info@chub.rw;gada@chub.rw</t>
  </si>
  <si>
    <t>C002319</t>
  </si>
  <si>
    <t>FIBER INTERNET 25MBPS</t>
  </si>
  <si>
    <t>Martin Kagaba</t>
  </si>
  <si>
    <t>martin.kagaba@bdo-ea.com</t>
  </si>
  <si>
    <t>0788-500-918</t>
  </si>
  <si>
    <t>C000356</t>
  </si>
  <si>
    <t>CMA 4G Service</t>
  </si>
  <si>
    <t>Jerome Ndayambaje</t>
  </si>
  <si>
    <t>jerome.ndayambaje@cma.rw</t>
  </si>
  <si>
    <t xml:space="preserve">0788 674626 </t>
  </si>
  <si>
    <t xml:space="preserve">0 788 674626 </t>
  </si>
  <si>
    <t>suspended</t>
  </si>
  <si>
    <t>C000569</t>
  </si>
  <si>
    <t>Padiri Florent</t>
  </si>
  <si>
    <t>escnotredame@yahoo.com</t>
  </si>
  <si>
    <t>C000804</t>
  </si>
  <si>
    <t>IT</t>
  </si>
  <si>
    <t>gsgihundweadpr@gmail.com/nshimaalbert@yahoo.fr</t>
  </si>
  <si>
    <t>0788848243/0783354514</t>
  </si>
  <si>
    <t>L000252</t>
  </si>
  <si>
    <t>COLOCATION QUARTER RACK</t>
  </si>
  <si>
    <t>Ever Binamungu</t>
  </si>
  <si>
    <t>everb@ibi.org.rw</t>
  </si>
  <si>
    <t>0788-301-005</t>
  </si>
  <si>
    <t>C002475</t>
  </si>
  <si>
    <t>PalmKash Ltd.</t>
  </si>
  <si>
    <t>Cloud 2vCPU. 4GB RAM. 200GB Storage</t>
  </si>
  <si>
    <t>Emmanuel Nkurunziza</t>
  </si>
  <si>
    <t>nkurunzemma@palmkash.com</t>
  </si>
  <si>
    <t>0788-351-739 </t>
  </si>
  <si>
    <t>Cloud 4vCPU. 8GB RAM. 300GB Storage</t>
  </si>
  <si>
    <t>Internet link BSC-VLP</t>
  </si>
  <si>
    <t>C002215</t>
  </si>
  <si>
    <t>RWAMAGANA-MAIN BRANCH</t>
  </si>
  <si>
    <t>ILITYAYE Aimee</t>
  </si>
  <si>
    <t>rwamagana.hospital@moh.gov.rw</t>
  </si>
  <si>
    <t>C002790</t>
  </si>
  <si>
    <t>Bahizi</t>
  </si>
  <si>
    <t>bahigerd@yahoo.fr;enpttcgacuba2@yahoo.fr</t>
  </si>
  <si>
    <t>C003018</t>
  </si>
  <si>
    <t>FIBER INTERNET 7MBPS</t>
  </si>
  <si>
    <t>Prosper Ndutiye</t>
  </si>
  <si>
    <t xml:space="preserve">prosper.ndutiye@flyzipline.com </t>
  </si>
  <si>
    <t>0783709575</t>
  </si>
  <si>
    <t xml:space="preserve">Kigali </t>
  </si>
  <si>
    <t>FIBER INTERNET 10Mbps</t>
  </si>
  <si>
    <t>C000880</t>
  </si>
  <si>
    <t>UZAMUGURA Jean Marie</t>
  </si>
  <si>
    <t>jmanzi@agropyltd.com</t>
  </si>
  <si>
    <t>0788-639-444</t>
  </si>
  <si>
    <t>RGB 4G Service</t>
  </si>
  <si>
    <t>C000644</t>
  </si>
  <si>
    <t>Richard Ishimwe</t>
  </si>
  <si>
    <t>rishimwe@eucl.reg.rw</t>
  </si>
  <si>
    <t>C000972</t>
  </si>
  <si>
    <t>fiber vpn 10mbps</t>
  </si>
  <si>
    <t>Anaclet</t>
  </si>
  <si>
    <t>info@rp.iprcngoma.ac.rw</t>
  </si>
  <si>
    <t>C002035</t>
  </si>
  <si>
    <t>POST OFFICE HQ</t>
  </si>
  <si>
    <t>Uwizewe Jean d'Amour</t>
  </si>
  <si>
    <t>uwizewe@i-posita.rw</t>
  </si>
  <si>
    <t>0788-672-782</t>
  </si>
  <si>
    <t>MSS Platinum</t>
  </si>
  <si>
    <t>MSS Platinum Package</t>
  </si>
  <si>
    <t>C000708</t>
  </si>
  <si>
    <t>Gakenke</t>
  </si>
  <si>
    <t>NSHIMIYIMANA Levis</t>
  </si>
  <si>
    <t>ictgakenke@gakenke.gov.rw</t>
  </si>
  <si>
    <t>0788-807-478</t>
  </si>
  <si>
    <t>C000325</t>
  </si>
  <si>
    <t>VPN</t>
  </si>
  <si>
    <t>Sixbert Mbonyumuvunyi</t>
  </si>
  <si>
    <t xml:space="preserve">sixbert.mbonyumuvunyi@bugesera.gov.rw </t>
  </si>
  <si>
    <t>Bugesera Cell</t>
  </si>
  <si>
    <t>Bugesera HQ</t>
  </si>
  <si>
    <t>C001908</t>
  </si>
  <si>
    <t>NIYOSHIMYE</t>
  </si>
  <si>
    <t>exec@nyanza.gov.rw</t>
  </si>
  <si>
    <t>C002487</t>
  </si>
  <si>
    <t>RWANDA WATER  RESOURCES BOARD (RWB)</t>
  </si>
  <si>
    <t>Jackline Uwimbabazi</t>
  </si>
  <si>
    <t>jackline.uwimbabazi@rwb.rw</t>
  </si>
  <si>
    <t xml:space="preserve">4G MUP 4GB/DAY </t>
  </si>
  <si>
    <t>VC</t>
  </si>
  <si>
    <t>Fiber Internet: CMA HQ</t>
  </si>
  <si>
    <t>Fiber Broadband Internet 10Mbps</t>
  </si>
  <si>
    <t>C000676</t>
  </si>
  <si>
    <t>FIBER Internet 30MBPS</t>
  </si>
  <si>
    <t>Sylvain KANANI</t>
  </si>
  <si>
    <t>s.kanani@fonerwa.org</t>
  </si>
  <si>
    <t>C000955</t>
  </si>
  <si>
    <t>INSTITUTE SAINT FAMILLE Nyamasheke</t>
  </si>
  <si>
    <t>Lucie</t>
  </si>
  <si>
    <t>rucie.nagiruwishema@gmail.com;isfnyamasheke52@gmail.com</t>
  </si>
  <si>
    <t>0783113373/0783557475</t>
  </si>
  <si>
    <t>C004037</t>
  </si>
  <si>
    <t>MINUBUMWE 4G Service</t>
  </si>
  <si>
    <t xml:space="preserve">Raymond Ntirenganya </t>
  </si>
  <si>
    <t>raymond.ntirenganya@minubumwe.gov.rw</t>
  </si>
  <si>
    <t>0 788 440 641</t>
  </si>
  <si>
    <t>4G LTE 60GB</t>
  </si>
  <si>
    <t>C003648</t>
  </si>
  <si>
    <t>Kayigire/Godefroid NKUNZIMANA</t>
  </si>
  <si>
    <t>augustinkayigire28@gmail.com;nkunzigode@yahoo.com</t>
  </si>
  <si>
    <t>C002245</t>
  </si>
  <si>
    <t>Fixed Wireless Internet 5mbps</t>
  </si>
  <si>
    <t xml:space="preserve">Sezikeye Jean Paul </t>
  </si>
  <si>
    <t>itcom@rwandabar.org.rw</t>
  </si>
  <si>
    <t>C002548</t>
  </si>
  <si>
    <t>Benjamin Rukundo</t>
  </si>
  <si>
    <t>brukundo@sdgcafrica.org</t>
  </si>
  <si>
    <t>BUSENGO SECTOR</t>
  </si>
  <si>
    <t>GASHENYI SECTOR</t>
  </si>
  <si>
    <t>RUSASA SECTOR</t>
  </si>
  <si>
    <t>MUZO SECTOR</t>
  </si>
  <si>
    <t>YEGO CENTER</t>
  </si>
  <si>
    <t>RUSHASHI SECTOR</t>
  </si>
  <si>
    <t>MATABA SECTOR</t>
  </si>
  <si>
    <t>KIVURUGA SECTOR</t>
  </si>
  <si>
    <t>MUHONDO SECTOR</t>
  </si>
  <si>
    <t>COKO SECTOR</t>
  </si>
  <si>
    <t>JANJA SECTOR</t>
  </si>
  <si>
    <t>NEMBA SECTOR</t>
  </si>
  <si>
    <t>GAKENKE SECTOR</t>
  </si>
  <si>
    <t>CYABINGO SECTOR</t>
  </si>
  <si>
    <t>KAMUBUGA SECTOR</t>
  </si>
  <si>
    <t>MUGUNGA SECTOR</t>
  </si>
  <si>
    <t>C000200</t>
  </si>
  <si>
    <t>FINANCIAL</t>
  </si>
  <si>
    <t>Timothee Mugaragu</t>
  </si>
  <si>
    <t>mailto:tmugaragu@bk.rw</t>
  </si>
  <si>
    <t>0 788 888 601</t>
  </si>
  <si>
    <t>C003172</t>
  </si>
  <si>
    <t>Rene Mutabazi</t>
  </si>
  <si>
    <t>rmutabazi@minema.gov.rw</t>
  </si>
  <si>
    <t>0788-450-600</t>
  </si>
  <si>
    <t>4G 50GB BUNDLE</t>
  </si>
  <si>
    <t>C000925</t>
  </si>
  <si>
    <t>MSS Gold: ILPD Nyanza</t>
  </si>
  <si>
    <t>Ngango Jean Baptiste</t>
  </si>
  <si>
    <t>ngango@ilpd.ac.rw</t>
  </si>
  <si>
    <t>0 784 216484</t>
  </si>
  <si>
    <t>MSS Secure Browsing: ILPD Kigali</t>
  </si>
  <si>
    <t>MSS Secure Browsing Package</t>
  </si>
  <si>
    <t>C003707</t>
  </si>
  <si>
    <t>FONERWA GCF PROJECT</t>
  </si>
  <si>
    <t>C001068</t>
  </si>
  <si>
    <t>Uwayezu Charlotte</t>
  </si>
  <si>
    <t xml:space="preserve">uwachan12@gmail.com </t>
  </si>
  <si>
    <t>0783689026</t>
  </si>
  <si>
    <t>C001470</t>
  </si>
  <si>
    <t>Smart Africa</t>
  </si>
  <si>
    <t>Antoine Kundimana</t>
  </si>
  <si>
    <t>akundimana@minict.gov.rw</t>
  </si>
  <si>
    <t>C000766</t>
  </si>
  <si>
    <t>GIHUNDWE-MAIN BRANCH</t>
  </si>
  <si>
    <t>UWAYEZU Diane</t>
  </si>
  <si>
    <t>gihundwe.hospital@moh.gov.rw</t>
  </si>
  <si>
    <t>C002246</t>
  </si>
  <si>
    <t>RBC-HQ</t>
  </si>
  <si>
    <t>MSS PLATINUM</t>
  </si>
  <si>
    <t>KAGIRANEZA Samuel</t>
  </si>
  <si>
    <t>samuel.kagiraneza@rbc.gov.rw</t>
  </si>
  <si>
    <t>MCCH-FREEZONE</t>
  </si>
  <si>
    <t>RCBT-HUYE</t>
  </si>
  <si>
    <t>RCBT-KARONGI</t>
  </si>
  <si>
    <t>MCCH-MAGERWA</t>
  </si>
  <si>
    <t>RCBT-MUSANZE</t>
  </si>
  <si>
    <t>NRL</t>
  </si>
  <si>
    <t>RCBT-RWAMAGANA</t>
  </si>
  <si>
    <t>4G MUP 4GB/DAY</t>
  </si>
  <si>
    <t>4G MUP 3GB/DAY</t>
  </si>
  <si>
    <t>C002888</t>
  </si>
  <si>
    <t>Urunana 4G Service</t>
  </si>
  <si>
    <t>4G MUP 4GB/DAY PRIV</t>
  </si>
  <si>
    <t>George Gahenda</t>
  </si>
  <si>
    <t>gahendak.george@gmail.com</t>
  </si>
  <si>
    <t>0 788 303 349</t>
  </si>
  <si>
    <t>C000056</t>
  </si>
  <si>
    <t>Sedar</t>
  </si>
  <si>
    <t>sedar.sagamba@agaciro.rw</t>
  </si>
  <si>
    <t>C002452</t>
  </si>
  <si>
    <t>FIBER INTERNET 10MBPS</t>
  </si>
  <si>
    <t xml:space="preserve">Amizero Willy </t>
  </si>
  <si>
    <t>aamizero@gmail.com</t>
  </si>
  <si>
    <t>0788-564-539</t>
  </si>
  <si>
    <t>C001769</t>
  </si>
  <si>
    <t>hyacinte</t>
  </si>
  <si>
    <t>nzigiye.hyacinthe@ngororero.gov.rw</t>
  </si>
  <si>
    <t>C002297</t>
  </si>
  <si>
    <t>Murebwayire Jeanne D'Arc</t>
  </si>
  <si>
    <t xml:space="preserve">niboye@kicukiro.gov.rw </t>
  </si>
  <si>
    <t>0785529176</t>
  </si>
  <si>
    <t>C003779</t>
  </si>
  <si>
    <t>NPPA Nyagatare 4G Service</t>
  </si>
  <si>
    <t>Gedeon Kwizera</t>
  </si>
  <si>
    <t>gedeon.kwizera@nppa.gov.rw</t>
  </si>
  <si>
    <t>0 788 434 585</t>
  </si>
  <si>
    <t>C002065</t>
  </si>
  <si>
    <t>Ralga</t>
  </si>
  <si>
    <t>Raissa Mutabazi</t>
  </si>
  <si>
    <t>rmutabazi@ralga.rw</t>
  </si>
  <si>
    <t xml:space="preserve">Fiber VPN 3MBPS </t>
  </si>
  <si>
    <t>C002085</t>
  </si>
  <si>
    <t>RRH-MAIN BRANCH</t>
  </si>
  <si>
    <t>Kamonyi</t>
  </si>
  <si>
    <t>UFITEYESU Samuel</t>
  </si>
  <si>
    <t>rugufs@gmail.com</t>
  </si>
  <si>
    <t>C002478</t>
  </si>
  <si>
    <t>RSB HQ</t>
  </si>
  <si>
    <t>Gaston Serge Uwayo</t>
  </si>
  <si>
    <t>RSB Digital Office' digital@rsb.gov.rw</t>
  </si>
  <si>
    <t>0788-766-510/0784-844-260</t>
  </si>
  <si>
    <t>RWANDA FDA-KICUKIRO SITE</t>
  </si>
  <si>
    <t>DAVID Rafiki</t>
  </si>
  <si>
    <t>C003801</t>
  </si>
  <si>
    <t>EP KINDAMA</t>
  </si>
  <si>
    <t>WIRELESS 25MBPS</t>
  </si>
  <si>
    <t>NTABANA Martin</t>
  </si>
  <si>
    <t>mntabana@unicef.org</t>
  </si>
  <si>
    <t>EP GITWE</t>
  </si>
  <si>
    <t>EP HIGH LAND</t>
  </si>
  <si>
    <t>EP CYUGARO</t>
  </si>
  <si>
    <t>EP MURAGO</t>
  </si>
  <si>
    <t>EP MBYO</t>
  </si>
  <si>
    <t>BUKUMBA PRIMARY SCHOOL</t>
  </si>
  <si>
    <t>RUKOYOYO PRIMARY SCHOOL</t>
  </si>
  <si>
    <t>EP SHAMI</t>
  </si>
  <si>
    <t>EP KIGUSA</t>
  </si>
  <si>
    <t>EP NEMBA</t>
  </si>
  <si>
    <t>EP NGERUKA</t>
  </si>
  <si>
    <t>EP LES COLOMBE</t>
  </si>
  <si>
    <t>Little Angels school</t>
  </si>
  <si>
    <t>EP KAYOVU</t>
  </si>
  <si>
    <t>HILL MAX SCHOOL</t>
  </si>
  <si>
    <t>EP MUSOVU</t>
  </si>
  <si>
    <t>EP RWAMANYONI</t>
  </si>
  <si>
    <t>FAITH &amp; HOPE PS</t>
  </si>
  <si>
    <t>GS NYABIHEKE</t>
  </si>
  <si>
    <t>GS NYABICWAMBA</t>
  </si>
  <si>
    <t>GS MUGERA</t>
  </si>
  <si>
    <t>NGARAMA TVET</t>
  </si>
  <si>
    <t>GATSIBO TVET</t>
  </si>
  <si>
    <t>GS GATSIBO</t>
  </si>
  <si>
    <t>EFA NYAGAHANGA</t>
  </si>
  <si>
    <t>Paysannat LB</t>
  </si>
  <si>
    <t>Paysannat LA</t>
  </si>
  <si>
    <t>Paysannat LC</t>
  </si>
  <si>
    <t>Paysannat LD</t>
  </si>
  <si>
    <t>Paysannat LE</t>
  </si>
  <si>
    <t>GS KANAZI</t>
  </si>
  <si>
    <t>WIRELESS 50MBPS</t>
  </si>
  <si>
    <t>GS KAYENZI</t>
  </si>
  <si>
    <t xml:space="preserve">GS KAGASA NGERUKA </t>
  </si>
  <si>
    <t>GS KIBENGA</t>
  </si>
  <si>
    <t>GS MARANYUNDO</t>
  </si>
  <si>
    <t>GS MUYENZI</t>
  </si>
  <si>
    <t>GS RANGO</t>
  </si>
  <si>
    <t>GS MAYANGE B</t>
  </si>
  <si>
    <t>GS GASHORA</t>
  </si>
  <si>
    <t>GS RWIMINAZI</t>
  </si>
  <si>
    <t>G.S TUNDA</t>
  </si>
  <si>
    <t>ES KAMABUYE</t>
  </si>
  <si>
    <t>GS RUSHUBI</t>
  </si>
  <si>
    <t>G.S RULINDO</t>
  </si>
  <si>
    <t>G.S GATANGA</t>
  </si>
  <si>
    <t>GS RUZO</t>
  </si>
  <si>
    <t>GS NYIRARUKOBWA</t>
  </si>
  <si>
    <t>GS CYERU</t>
  </si>
  <si>
    <t>GS MAREBA</t>
  </si>
  <si>
    <t>WIRELESS 100MBPS</t>
  </si>
  <si>
    <t>GS NYAGIHUNIKA</t>
  </si>
  <si>
    <t>GS MURAMA</t>
  </si>
  <si>
    <t>GS NTARAMA</t>
  </si>
  <si>
    <t>GS NYIRAGISEKE</t>
  </si>
  <si>
    <t>GS TWIMPALA</t>
  </si>
  <si>
    <t>GS NYABAGENDWA</t>
  </si>
  <si>
    <t>NELSON MANDELA TVET SCHOOL</t>
  </si>
  <si>
    <t>Lycee de la Sante Trinity APED</t>
  </si>
  <si>
    <t>NYAMATA TTC</t>
  </si>
  <si>
    <t>APEBU NYAMATA</t>
  </si>
  <si>
    <t>MIRACLE CORNER TVET SCHOOL</t>
  </si>
  <si>
    <t>RUHUHA TVET</t>
  </si>
  <si>
    <t>G.S MUSENYI (TVET)</t>
  </si>
  <si>
    <t>C001475</t>
  </si>
  <si>
    <t>KABERA Marie Goretti</t>
  </si>
  <si>
    <t>gkabera@myculture.gov.rw,dmutunge@myculture.gov.rw</t>
  </si>
  <si>
    <t>C001409</t>
  </si>
  <si>
    <t>Kaberuka Jean de Dieu</t>
  </si>
  <si>
    <t>infospiu@minagri.gov.rw</t>
  </si>
  <si>
    <t>0788-641-820</t>
  </si>
  <si>
    <t>C002321</t>
  </si>
  <si>
    <t>VPN Link btn Meteo Rwanda &amp; AoS (Bugesera DR)</t>
  </si>
  <si>
    <t>Ernest Bagambiki</t>
  </si>
  <si>
    <t>e.bagambiki@meteorwanda.gov.rw</t>
  </si>
  <si>
    <t>0788-529-706</t>
  </si>
  <si>
    <t>Gicumbi Station</t>
  </si>
  <si>
    <t>Byimana Station</t>
  </si>
  <si>
    <t>Kazo Station</t>
  </si>
  <si>
    <t>Nyamagabe Station</t>
  </si>
  <si>
    <t>Kawangire Station</t>
  </si>
  <si>
    <t>Gisenyi Station</t>
  </si>
  <si>
    <t>Maranyundo Radar Station.</t>
  </si>
  <si>
    <t>Rwanda Meteological Agency - HQ</t>
  </si>
  <si>
    <t>C000958</t>
  </si>
  <si>
    <t>IPRC-Nyamishaba</t>
  </si>
  <si>
    <t>Ephrem</t>
  </si>
  <si>
    <t>info@iprckarongi.rp.ac.rw/ictdepartment@iprckarongi.rp.ac.rw</t>
  </si>
  <si>
    <t>788440204/0788954380</t>
  </si>
  <si>
    <t>C002291</t>
  </si>
  <si>
    <t>RWANDA PUBLIC PROCUREMENT AUTHORITY (RPPA)</t>
  </si>
  <si>
    <t>Felix Mubiligi</t>
  </si>
  <si>
    <t>fmubiligi@rppa.gov.rw</t>
  </si>
  <si>
    <t>0788-846-868</t>
  </si>
  <si>
    <t>Fiber Service: Gacaca Project</t>
  </si>
  <si>
    <t>Fiber VPN: Gacaca Project</t>
  </si>
  <si>
    <t>Fiber VPN 10Mbps</t>
  </si>
  <si>
    <t>Fiber Service: Minubumwe HQ</t>
  </si>
  <si>
    <t xml:space="preserve">MSS Gold  </t>
  </si>
  <si>
    <t>C002589</t>
  </si>
  <si>
    <t>SHYIRA-MAIN BRANCH</t>
  </si>
  <si>
    <t>MUKAMAHORO Roselyne</t>
  </si>
  <si>
    <t>mukamahoro07@gmail.com</t>
  </si>
  <si>
    <t>C003169</t>
  </si>
  <si>
    <t>Jack Ngali</t>
  </si>
  <si>
    <t>jack@africastalking.com</t>
  </si>
  <si>
    <t>0786-361-981 </t>
  </si>
  <si>
    <t>Cloud 1vCPU. 1GB RAM. 30GB Storage</t>
  </si>
  <si>
    <t>C000443</t>
  </si>
  <si>
    <t>C L GISENYI-MAIN BRANCH</t>
  </si>
  <si>
    <t>NKURUNZIZA Valens</t>
  </si>
  <si>
    <t>inyemerakolej10@gmail.com</t>
  </si>
  <si>
    <t>C000951</t>
  </si>
  <si>
    <t>fiber vpn 25 mbps</t>
  </si>
  <si>
    <t>Samarwa</t>
  </si>
  <si>
    <t>jmsamarwa@yahoo.fr</t>
  </si>
  <si>
    <t>C001188</t>
  </si>
  <si>
    <t>KIGEME-MAIN BRANCH</t>
  </si>
  <si>
    <t>MUSEMAKWELI Ezekiel</t>
  </si>
  <si>
    <t>musema13@gmail.com</t>
  </si>
  <si>
    <t>C003026</t>
  </si>
  <si>
    <t>Fiber VPN: R-Switch</t>
  </si>
  <si>
    <t>Fiber VPN 1Mbps</t>
  </si>
  <si>
    <t>Irene Wanderi</t>
  </si>
  <si>
    <t xml:space="preserve">irene@simbanet.co.ke </t>
  </si>
  <si>
    <t>00 254 20 765 0000</t>
  </si>
  <si>
    <t>Fiber VPN: KFW</t>
  </si>
  <si>
    <t>Fiber VPN 2Mbps</t>
  </si>
  <si>
    <t>Fiber VPN: Equity Bank Muhanga</t>
  </si>
  <si>
    <t>Fiber VPN 5Mbps</t>
  </si>
  <si>
    <t>Fiber VPN: Britam</t>
  </si>
  <si>
    <t>Backhaul: Kigali-Gatuna</t>
  </si>
  <si>
    <t>Fiber VPN 15Mbps</t>
  </si>
  <si>
    <t>Fiber VPN: Equity Bank HQ</t>
  </si>
  <si>
    <t>Fiber VPN 25Mbps</t>
  </si>
  <si>
    <t>Backhaul: Kigali-Rusumo</t>
  </si>
  <si>
    <t>Fiber VPN 45Mbps</t>
  </si>
  <si>
    <t>Maintenance fees</t>
  </si>
  <si>
    <t>Maintenance of Simbanet Sites</t>
  </si>
  <si>
    <t>C003027</t>
  </si>
  <si>
    <t>Fiber VPN: Huawei Rwanda</t>
  </si>
  <si>
    <t>Fiber VPN 8Mbps</t>
  </si>
  <si>
    <t>Fiber VPN: PWC Rwanda</t>
  </si>
  <si>
    <t>C001425</t>
  </si>
  <si>
    <t>Kimihurura</t>
  </si>
  <si>
    <t>FIBER INTERNET 20MBPS GOV</t>
  </si>
  <si>
    <t>Jean Claude Sinzikwita</t>
  </si>
  <si>
    <t>digitalization@minicom.gov.rw</t>
  </si>
  <si>
    <t>VoIP PHONES 71 - 100</t>
  </si>
  <si>
    <t>C002286</t>
  </si>
  <si>
    <t>REMA HQ</t>
  </si>
  <si>
    <t>Peter Songa</t>
  </si>
  <si>
    <t>psonga@rema.gov.rw</t>
  </si>
  <si>
    <t>0788-533-127</t>
  </si>
  <si>
    <t>C000021</t>
  </si>
  <si>
    <t>OLIVIER MUYANGE</t>
  </si>
  <si>
    <t>cmorkide@gmail.com</t>
  </si>
  <si>
    <t>C004061</t>
  </si>
  <si>
    <t>Forefront Services Ltd HQ.</t>
  </si>
  <si>
    <t>Wilson Kazungu</t>
  </si>
  <si>
    <t>wilsonkazungu@forefrontservices.rw</t>
  </si>
  <si>
    <t>0788-502-236</t>
  </si>
  <si>
    <t>Fiber Internet: ILPD Kigali</t>
  </si>
  <si>
    <t>C003148</t>
  </si>
  <si>
    <t>NIYONZIMA Patrick</t>
  </si>
  <si>
    <t>kabgeye@gmail.com</t>
  </si>
  <si>
    <t>0788828397/0785412108</t>
  </si>
  <si>
    <t>C003788</t>
  </si>
  <si>
    <t>Aimable Rwema</t>
  </si>
  <si>
    <t>arwema@gmail.com</t>
  </si>
  <si>
    <t>0788-304-524</t>
  </si>
  <si>
    <t>C001469</t>
  </si>
  <si>
    <t>MOH- MAIN BRANCH</t>
  </si>
  <si>
    <t>BYIRINGIRO Jean Baptiste</t>
  </si>
  <si>
    <t>ict@moh.gov.rw,info@moh.gov.rw</t>
  </si>
  <si>
    <t>VC SERVICE</t>
  </si>
  <si>
    <t>C002223</t>
  </si>
  <si>
    <t>Rwanda Agricultural Board (RAB) - HQ</t>
  </si>
  <si>
    <t>Augustin Ndayambaje</t>
  </si>
  <si>
    <t>augustin.ndayambaje@rab.gov.rw</t>
  </si>
  <si>
    <t>0783-199-105</t>
  </si>
  <si>
    <t>C002263</t>
  </si>
  <si>
    <t>Rwanda Cooperative Agency (RCA)</t>
  </si>
  <si>
    <t>UWIZEYE</t>
  </si>
  <si>
    <t>jfuwizeye@rca.gov.rw</t>
  </si>
  <si>
    <t>C003167</t>
  </si>
  <si>
    <t>Brice Rukirande</t>
  </si>
  <si>
    <t>brice.rukirande@rfl.rw</t>
  </si>
  <si>
    <t>C002788</t>
  </si>
  <si>
    <t>Gervais</t>
  </si>
  <si>
    <t>ntezegervais@gmail.com;delasalle@yahoo.fr;</t>
  </si>
  <si>
    <t>C003120</t>
  </si>
  <si>
    <t>Edward Kirenga</t>
  </si>
  <si>
    <t>edward@uplus.rw</t>
  </si>
  <si>
    <t>0783-099-700</t>
  </si>
  <si>
    <t>C000971</t>
  </si>
  <si>
    <t>IPRC NGOMA</t>
  </si>
  <si>
    <t>info@rp.iprcngoma.ac.rw;ranaclet2012@gmail.com;bizpeter2020@gmail.com</t>
  </si>
  <si>
    <t>C003113</t>
  </si>
  <si>
    <t>FIBER VPN 100MBPS PRIV</t>
  </si>
  <si>
    <t>Chipiwa CZimbwa</t>
  </si>
  <si>
    <t xml:space="preserve">czimbwa@andrew.cmu.edu </t>
  </si>
  <si>
    <t>0788381032</t>
  </si>
  <si>
    <t>VSAT: BOSSEMBELE POB BN HQ</t>
  </si>
  <si>
    <t>Central Africa</t>
  </si>
  <si>
    <t>VSAT Internet 6Mbps</t>
  </si>
  <si>
    <t>VSAT: COY BOSSEMPTELE</t>
  </si>
  <si>
    <t>VSAT: COY BIROKO POB</t>
  </si>
  <si>
    <t>C004140</t>
  </si>
  <si>
    <t>GASABO</t>
  </si>
  <si>
    <t>James KANAMUGIRE</t>
  </si>
  <si>
    <t>james.kanamugire@raeb.gov.rw</t>
  </si>
  <si>
    <t>C004141</t>
  </si>
  <si>
    <t>C004095</t>
  </si>
  <si>
    <t>Fiber VPN: VFR-BNR</t>
  </si>
  <si>
    <t>Rumongi Charles</t>
  </si>
  <si>
    <t>crumongi@vfcrwanda.rw</t>
  </si>
  <si>
    <t>0 788 894 696</t>
  </si>
  <si>
    <t>C000400</t>
  </si>
  <si>
    <t>robert</t>
  </si>
  <si>
    <t>robert.habinshuti@cheno.gov.rw</t>
  </si>
  <si>
    <t>C000401</t>
  </si>
  <si>
    <t>Fiber VPN Service: Embassy HQ</t>
  </si>
  <si>
    <t>EMBASSY</t>
  </si>
  <si>
    <t>Ingabire Alphonse</t>
  </si>
  <si>
    <t>al4nse@gmail.com</t>
  </si>
  <si>
    <t xml:space="preserve">0 785 864 191 </t>
  </si>
  <si>
    <t>China Embassy 4G Service</t>
  </si>
  <si>
    <t>C000446</t>
  </si>
  <si>
    <t>Faustin</t>
  </si>
  <si>
    <t>faustin.niyitegeka@gmail.com/nfaustinus@gmail.com</t>
  </si>
  <si>
    <t>C000605</t>
  </si>
  <si>
    <t>Sylvie Senga</t>
  </si>
  <si>
    <t>ssenga@ensafrica.com</t>
  </si>
  <si>
    <t>0788-746-661</t>
  </si>
  <si>
    <t>A0000734</t>
  </si>
  <si>
    <t>Thomas</t>
  </si>
  <si>
    <t>izamareren@yahoo.com</t>
  </si>
  <si>
    <t>0788-424-094</t>
  </si>
  <si>
    <t>C003125</t>
  </si>
  <si>
    <t>Residence</t>
  </si>
  <si>
    <t>BUSINESS</t>
  </si>
  <si>
    <t>4G Home Broadband up to 15MBPS</t>
  </si>
  <si>
    <t>Lucie Tuyishime</t>
  </si>
  <si>
    <t>lucietuyish@gmail.com</t>
  </si>
  <si>
    <t>0786589977</t>
  </si>
  <si>
    <t>C002298</t>
  </si>
  <si>
    <t>Kabayiza</t>
  </si>
  <si>
    <t>gsndpcyanika2010@yahoo.fr</t>
  </si>
  <si>
    <t>0788611099/078</t>
  </si>
  <si>
    <t>MSS-Secure Browsing</t>
  </si>
  <si>
    <t>C001389</t>
  </si>
  <si>
    <t>Fiber Service: Migeprof HQ</t>
  </si>
  <si>
    <t>Fiber Broadband Internet 15Mbps</t>
  </si>
  <si>
    <t>Claire Uwamahoro</t>
  </si>
  <si>
    <t>cuwamahoro@migeprof.gov.rw</t>
  </si>
  <si>
    <t xml:space="preserve">0 788 614734 </t>
  </si>
  <si>
    <t>4G</t>
  </si>
  <si>
    <t>Ministry of Environment  SPIU</t>
  </si>
  <si>
    <t>C000043</t>
  </si>
  <si>
    <t>Fiber VPN: AOS - RSSB 1</t>
  </si>
  <si>
    <t>Brice Kayihura</t>
  </si>
  <si>
    <t xml:space="preserve">brice.kayihura@aos.rw </t>
  </si>
  <si>
    <t>0788 318892</t>
  </si>
  <si>
    <t>Fiber VPN: AOS - RSSB 2</t>
  </si>
  <si>
    <t>Fiber VPN: AOS TH - RPPA HQ</t>
  </si>
  <si>
    <t>Fiber VPN 30Mbps</t>
  </si>
  <si>
    <t>Fiber VPN: AOS TH - AOS DR Site</t>
  </si>
  <si>
    <t>C001601</t>
  </si>
  <si>
    <t>MUP 8GB/Day</t>
  </si>
  <si>
    <t>December</t>
  </si>
  <si>
    <t>Hodari</t>
  </si>
  <si>
    <t>ahodari@iprcmusanze.rp.ac.rw;info@iprcmusanze.rp.ac.rw;</t>
  </si>
  <si>
    <t>Fiber VPN: AOS DR Site - RPPA HQ</t>
  </si>
  <si>
    <t>Fiber VPN: AOS - KTRN BBR2</t>
  </si>
  <si>
    <t>Fiber VPN 50Mbps</t>
  </si>
  <si>
    <t>C002746</t>
  </si>
  <si>
    <t>Fiber Internet: Techplus Link+Akamai local content provision</t>
  </si>
  <si>
    <t>Fiber Broadband Internet 100Mbps</t>
  </si>
  <si>
    <t>Elie Mabano</t>
  </si>
  <si>
    <t xml:space="preserve">admin@techplusys.com </t>
  </si>
  <si>
    <t>00 243 815414 725</t>
  </si>
  <si>
    <t>C003095</t>
  </si>
  <si>
    <t>Fiber Service: Mininter HQ</t>
  </si>
  <si>
    <t>FIBER INTERNET 50MBPS GOV</t>
  </si>
  <si>
    <t>JMV Mbonyumuvunyi</t>
  </si>
  <si>
    <t>jmv.mbonyumuvunyi@mininter.gov.rw</t>
  </si>
  <si>
    <t xml:space="preserve">0 788 432 462 </t>
  </si>
  <si>
    <t>VoIP PHONES 40</t>
  </si>
  <si>
    <t>C004318</t>
  </si>
  <si>
    <t>FIBER INTERNET 4MBPS</t>
  </si>
  <si>
    <t>David Hategekimana.</t>
  </si>
  <si>
    <t>David Hategekimana &lt;davidh@kivuchoice.com&gt;</t>
  </si>
  <si>
    <t>0791-431-544</t>
  </si>
  <si>
    <t>C004092</t>
  </si>
  <si>
    <t xml:space="preserve">Cloud Computing: SEEGH </t>
  </si>
  <si>
    <t>Cloud Computing: Package 2</t>
  </si>
  <si>
    <t>Muhawenimana Sylvain</t>
  </si>
  <si>
    <t>esy3@gmail.com</t>
  </si>
  <si>
    <t>0 788 473 847</t>
  </si>
  <si>
    <t>MININTER 4G Service</t>
  </si>
  <si>
    <t>C001439</t>
  </si>
  <si>
    <t>MOD Kimihurura</t>
  </si>
  <si>
    <t>BSC VIP-Visitors 200GB Basic Unlimited(POST)</t>
  </si>
  <si>
    <t>Neza</t>
  </si>
  <si>
    <t>dirinfosyscec@minadef.gov.rw</t>
  </si>
  <si>
    <t>4G ONE NETWORK 1GB/DAY GOV</t>
  </si>
  <si>
    <t>4G ONE NETWORK 2GB/DAY GOV</t>
  </si>
  <si>
    <t>4G ONE NETWORK 8GB/DAY GOV</t>
  </si>
  <si>
    <t>4G ONE NETWORK 4GB/DAY GOV</t>
  </si>
  <si>
    <t>C000366</t>
  </si>
  <si>
    <t>Fiber Internet: Save Campus</t>
  </si>
  <si>
    <t>Straton Karekezi</t>
  </si>
  <si>
    <t>kstraton1964@gmail.com</t>
  </si>
  <si>
    <t xml:space="preserve">0 788 307 098 </t>
  </si>
  <si>
    <t>Fiber Internet: Taba Campus</t>
  </si>
  <si>
    <t>Exedus</t>
  </si>
  <si>
    <t>FIBER VPN 1MBPSs</t>
  </si>
  <si>
    <t xml:space="preserve">Faustin Rushema </t>
  </si>
  <si>
    <t xml:space="preserve">faustin.rushema@accessbankplc.com </t>
  </si>
  <si>
    <t>0788619318</t>
  </si>
  <si>
    <t>C000016</t>
  </si>
  <si>
    <t>FIBER INTERNET 30MBPS</t>
  </si>
  <si>
    <t>4G MUP 1GB/DAY PRIV</t>
  </si>
  <si>
    <t>C002261</t>
  </si>
  <si>
    <t>Fiber Internet: RCAA HQ</t>
  </si>
  <si>
    <t>Fiber Broadband Internet 25Mbps</t>
  </si>
  <si>
    <t>Marshall Gasana</t>
  </si>
  <si>
    <t>mgasana@caa.gov.rw</t>
  </si>
  <si>
    <t>0 788 302 298</t>
  </si>
  <si>
    <t>Fiber Internet: Wireless LAN</t>
  </si>
  <si>
    <t>C000060</t>
  </si>
  <si>
    <t>AHAZAZA INDEPENDENT SCHOOL</t>
  </si>
  <si>
    <t>ahazaza@hotmail.com;flavimuhire@gmail.com</t>
  </si>
  <si>
    <t>C000735</t>
  </si>
  <si>
    <t>Eric Karengera</t>
  </si>
  <si>
    <t>secteurgatenga@gmail.com</t>
  </si>
  <si>
    <t>0788502133</t>
  </si>
  <si>
    <t>C004060</t>
  </si>
  <si>
    <t>ONE NETWORK 15MBPS</t>
  </si>
  <si>
    <t>HABIYAREMYE HASHITUKY</t>
  </si>
  <si>
    <t>hashituky@gmail.com</t>
  </si>
  <si>
    <t>0784373270</t>
  </si>
  <si>
    <t>ONE NETWORK 5MBPS</t>
  </si>
  <si>
    <t>C000969</t>
  </si>
  <si>
    <t>Ruzindana</t>
  </si>
  <si>
    <t>jkht08@yahoo.fr;eruzindana@iprckitabi.ac.rw;haezechiel@gmail.com</t>
  </si>
  <si>
    <t>0783443170/0789669111</t>
  </si>
  <si>
    <t>Kitabi college</t>
  </si>
  <si>
    <t>4G 1GB/DAY</t>
  </si>
  <si>
    <t>January</t>
  </si>
  <si>
    <t>Fiber vpn 10mbps</t>
  </si>
  <si>
    <t>C001415</t>
  </si>
  <si>
    <t>Fiber Service: Minaloc HQ</t>
  </si>
  <si>
    <t>Claude Mugabo</t>
  </si>
  <si>
    <t>claude.mugabo@minaloc.gov.rw</t>
  </si>
  <si>
    <t xml:space="preserve">0 788 429 853 </t>
  </si>
  <si>
    <t>C001891</t>
  </si>
  <si>
    <t>Steven MUGISHA</t>
  </si>
  <si>
    <t>ict@nyagatare.gov.rw</t>
  </si>
  <si>
    <t>C002284</t>
  </si>
  <si>
    <t>Fiber Internet 10Mbps</t>
  </si>
  <si>
    <t>Angelique Birungi</t>
  </si>
  <si>
    <t>hgakwaya@reaf.gov.rw,abirungi@reaf.gov.rw</t>
  </si>
  <si>
    <t>HQ VPN CSS</t>
  </si>
  <si>
    <t>patrick munanana</t>
  </si>
  <si>
    <t>C002454</t>
  </si>
  <si>
    <t>GSOB Huye</t>
  </si>
  <si>
    <t>Florent</t>
  </si>
  <si>
    <t>florent.hope@yahoo.com</t>
  </si>
  <si>
    <t>C001900</t>
  </si>
  <si>
    <t>Eric Thormas</t>
  </si>
  <si>
    <t>network@nyamagabe.gov.rw</t>
  </si>
  <si>
    <t>C002262</t>
  </si>
  <si>
    <t>Intwari Gedeon</t>
  </si>
  <si>
    <t>gedeon.intwari@rcb.rw</t>
  </si>
  <si>
    <t>0 786 275 984</t>
  </si>
  <si>
    <t>RCB 4G Service</t>
  </si>
  <si>
    <t>C000198</t>
  </si>
  <si>
    <t>DFL: Gatuna - Kigali</t>
  </si>
  <si>
    <t xml:space="preserve">Winston Nyabera  </t>
  </si>
  <si>
    <t>winston@bcs-ea.com</t>
  </si>
  <si>
    <t>0 788 448 554</t>
  </si>
  <si>
    <t>DFL: Kagitumba - Kigali</t>
  </si>
  <si>
    <t>DFL: Kigali - Gisenyi</t>
  </si>
  <si>
    <t>C000524</t>
  </si>
  <si>
    <t>Munezero Diane</t>
  </si>
  <si>
    <t>munezero.diane@duhamic.org.rw</t>
  </si>
  <si>
    <t>0783-199-400</t>
  </si>
  <si>
    <t>C000928</t>
  </si>
  <si>
    <t>Bisate Lodge</t>
  </si>
  <si>
    <t>Rob Baas</t>
  </si>
  <si>
    <t>Robb@wilderness-safaris.com</t>
  </si>
  <si>
    <t xml:space="preserve">0781-447-925 </t>
  </si>
  <si>
    <t>C002675</t>
  </si>
  <si>
    <t>Fred Gashemeza</t>
  </si>
  <si>
    <t>fred.gashemeza@judiciary.gov.rw</t>
  </si>
  <si>
    <t>0 788 305665</t>
  </si>
  <si>
    <t>VoIP PHONES 70</t>
  </si>
  <si>
    <t>C000234</t>
  </si>
  <si>
    <t>Bugesera Telecenter</t>
  </si>
  <si>
    <t xml:space="preserve">FIBER VPN 1MBPS </t>
  </si>
  <si>
    <t>Olivier Bivegete</t>
  </si>
  <si>
    <t>o.hategeka@bdf.rw</t>
  </si>
  <si>
    <t>Burera Telecenter</t>
  </si>
  <si>
    <t>Batsinda Telecenter</t>
  </si>
  <si>
    <t>Gatsibo Telecenter</t>
  </si>
  <si>
    <t>Gicumbi Telecenter</t>
  </si>
  <si>
    <t>Gisagara Telecener</t>
  </si>
  <si>
    <t>Huye Telecenter</t>
  </si>
  <si>
    <t>Karongi Telecenter</t>
  </si>
  <si>
    <t>Kayonza Telecenter</t>
  </si>
  <si>
    <t>Gatenga Telecenter</t>
  </si>
  <si>
    <t>Kirehe Telecenter</t>
  </si>
  <si>
    <t>Muhanga Telecenter</t>
  </si>
  <si>
    <t>Ngoma Telecenter</t>
  </si>
  <si>
    <t>Ngororero Telecenter</t>
  </si>
  <si>
    <t>Nyabihu Telecenter</t>
  </si>
  <si>
    <t>Nyagatare Telecenter</t>
  </si>
  <si>
    <t>Nyamasheke Telecenter</t>
  </si>
  <si>
    <t>Nyanza Telecenter</t>
  </si>
  <si>
    <t>C000225</t>
  </si>
  <si>
    <t>BDF HQ</t>
  </si>
  <si>
    <t>Nyaruguru Telecenter</t>
  </si>
  <si>
    <t>Nyaruguru</t>
  </si>
  <si>
    <t>Ruhango Telecenter</t>
  </si>
  <si>
    <t>Rutsiro Telecenter</t>
  </si>
  <si>
    <t>Rwamagana Telecenter</t>
  </si>
  <si>
    <t>Musanze Telecenter</t>
  </si>
  <si>
    <t xml:space="preserve">FIBER VPN 3MBPS </t>
  </si>
  <si>
    <t>Rusizi Telecenter</t>
  </si>
  <si>
    <t>Gakenke Telecenter</t>
  </si>
  <si>
    <t>Kamonyi Telecenter</t>
  </si>
  <si>
    <t xml:space="preserve">Nyamagabe Telecenter </t>
  </si>
  <si>
    <t>C004355</t>
  </si>
  <si>
    <t>MUP 8GB/DAY</t>
  </si>
  <si>
    <t>LYSE UWINGABIRE</t>
  </si>
  <si>
    <t>lyse.uwingabire@enabel.be</t>
  </si>
  <si>
    <t>0788388137</t>
  </si>
  <si>
    <t>C003110</t>
  </si>
  <si>
    <t>Fiber Internet: Ferwafa HQ</t>
  </si>
  <si>
    <t xml:space="preserve">IRAGUHA David </t>
  </si>
  <si>
    <t>iragyhadavid@gmail.com</t>
  </si>
  <si>
    <t>0 788 328208</t>
  </si>
  <si>
    <t>C002249</t>
  </si>
  <si>
    <t>Anicet</t>
  </si>
  <si>
    <t>anindacet@yahoo.fr;groupekabare@gmail.com</t>
  </si>
  <si>
    <t>C001419</t>
  </si>
  <si>
    <t>MINECOFIN 4G Service</t>
  </si>
  <si>
    <t>Florent Kwizera</t>
  </si>
  <si>
    <t>florent.kwizera@minecofin.gov.rw</t>
  </si>
  <si>
    <t>0 788 599711</t>
  </si>
  <si>
    <t>C001587</t>
  </si>
  <si>
    <t>MURUNDA-MAIN BRANCH</t>
  </si>
  <si>
    <t>MUKESHIMANA Rosalie</t>
  </si>
  <si>
    <t>murunda.hospital@moh.gov.rw</t>
  </si>
  <si>
    <t>C002046</t>
  </si>
  <si>
    <t>MSS Gold Plus</t>
  </si>
  <si>
    <t>MSS Gold Plus Package</t>
  </si>
  <si>
    <t>Gashugi Aimé Claude</t>
  </si>
  <si>
    <t>agashugi@primature.gov.rw</t>
  </si>
  <si>
    <t>0 788 529 042</t>
  </si>
  <si>
    <t>PMO 4G LTE</t>
  </si>
  <si>
    <t>4G 30GB Bundle</t>
  </si>
  <si>
    <t>C003798</t>
  </si>
  <si>
    <t>RCI HQ.</t>
  </si>
  <si>
    <t>Dieudonne Dukuzumuremyi</t>
  </si>
  <si>
    <t>dukuzumuremyi@cooperation.rw</t>
  </si>
  <si>
    <t>0783-058-756</t>
  </si>
  <si>
    <t>C003109</t>
  </si>
  <si>
    <t>Bugesera prison</t>
  </si>
  <si>
    <t>Wilson Kabagambe</t>
  </si>
  <si>
    <t>wilson.kabagambe@rcs.gov.rw</t>
  </si>
  <si>
    <t>Mpaga Prison</t>
  </si>
  <si>
    <t>Gicumbi Prison</t>
  </si>
  <si>
    <t>Huye prison</t>
  </si>
  <si>
    <t>RCS HQ</t>
  </si>
  <si>
    <t>Muhanga Prison</t>
  </si>
  <si>
    <t>Musanze Prison</t>
  </si>
  <si>
    <t>Ngoma Prison</t>
  </si>
  <si>
    <t>Nyagatare Prison</t>
  </si>
  <si>
    <t>Nyamagabe prison</t>
  </si>
  <si>
    <t>Nyarugenge Prison</t>
  </si>
  <si>
    <t>Rubavu Prison</t>
  </si>
  <si>
    <t>Rusizi Prison</t>
  </si>
  <si>
    <t>Rwamagana Trainning school</t>
  </si>
  <si>
    <t>Rwamagana Prison</t>
  </si>
  <si>
    <t>C003574</t>
  </si>
  <si>
    <t>RMS Ngoma Branch</t>
  </si>
  <si>
    <t>NZABANDORA Felix</t>
  </si>
  <si>
    <t>nzabandoraf@gmail.com</t>
  </si>
  <si>
    <t>RMS Nyamasheke Branch</t>
  </si>
  <si>
    <t>RMS HQ</t>
  </si>
  <si>
    <t>RMS Burera Branch</t>
  </si>
  <si>
    <t>RMS Musanze Branch</t>
  </si>
  <si>
    <t>RMS Gasabo Branch</t>
  </si>
  <si>
    <t>RMS Freezone Warehouse</t>
  </si>
  <si>
    <t>RMS Gatsibo Branch</t>
  </si>
  <si>
    <t>RMS Gicubi Branch</t>
  </si>
  <si>
    <t>RMS Gisagara Branch</t>
  </si>
  <si>
    <t>RMS Huye Branch</t>
  </si>
  <si>
    <t>RMS Kamonyi Branch</t>
  </si>
  <si>
    <t>RMSKayonza Branch</t>
  </si>
  <si>
    <t>RMS Kirehe Branch</t>
  </si>
  <si>
    <t>RMS Muhanga Branch</t>
  </si>
  <si>
    <t>RMS Ngororero Branch</t>
  </si>
  <si>
    <t>RMS Nyabihu Branch</t>
  </si>
  <si>
    <t>RMS  Nyagatare Branch</t>
  </si>
  <si>
    <t>RMS Nyanza Branch</t>
  </si>
  <si>
    <t>RMS Nyaruguru Branch</t>
  </si>
  <si>
    <t>RMS Rulindo Branch</t>
  </si>
  <si>
    <t>RMS Rusizi Branch</t>
  </si>
  <si>
    <t>RMS Rwamagana Branch</t>
  </si>
  <si>
    <t>RMS Bugesera Branch</t>
  </si>
  <si>
    <t>RMS Gakenke Branch</t>
  </si>
  <si>
    <t>RMS -HQ</t>
  </si>
  <si>
    <t>RMS Karongi Branch</t>
  </si>
  <si>
    <t>RMS Kicukiro Branch</t>
  </si>
  <si>
    <t>RMS Nyamagabe Branch</t>
  </si>
  <si>
    <t>RMS NYARUGENGE Branch</t>
  </si>
  <si>
    <t>RMS Rubavu Branch</t>
  </si>
  <si>
    <t>RMS Ruhango Branch</t>
  </si>
  <si>
    <t>RMS Rutsiro Branch</t>
  </si>
  <si>
    <t>C000068</t>
  </si>
  <si>
    <t>Dark Fiber Lease: Kigali-Gatuna</t>
  </si>
  <si>
    <t xml:space="preserve">Samuel Murenzi </t>
  </si>
  <si>
    <t>Samuel.Murenzi@rw.airtel.com</t>
  </si>
  <si>
    <t>0 731 000 042</t>
  </si>
  <si>
    <t>Pole Lease</t>
  </si>
  <si>
    <t xml:space="preserve">Pole Lease </t>
  </si>
  <si>
    <t>C002141</t>
  </si>
  <si>
    <t>Jeannette</t>
  </si>
  <si>
    <t>chantum.rrpplus@gmail.com</t>
  </si>
  <si>
    <t>Fiber Internet: TB Gacurabwenge</t>
  </si>
  <si>
    <t>Fiber Internet: TB Kirehe</t>
  </si>
  <si>
    <t>Fiber Internet: TB Nyarubuye</t>
  </si>
  <si>
    <t>Fiber Internet: TB Sake</t>
  </si>
  <si>
    <t>Fiber Internet: TB Ngarama</t>
  </si>
  <si>
    <t>Fiber Internet: TB Kagano</t>
  </si>
  <si>
    <t>Fiber Internet: TB Ndora</t>
  </si>
  <si>
    <t>Fiber Broadband Internet 4Mbps</t>
  </si>
  <si>
    <t>Fiber Internet: TGI Karongi</t>
  </si>
  <si>
    <t>Fiber Internet: TB Bwishyura</t>
  </si>
  <si>
    <t>Fiber Internet: TB Kiramuruzi</t>
  </si>
  <si>
    <t>Fiber Internet: TB Kabarondo</t>
  </si>
  <si>
    <t>Fiber Internet: TB Nyamabuye</t>
  </si>
  <si>
    <t>Fiber Internet: TB Muhoza</t>
  </si>
  <si>
    <t>Fiber Internet: TB Ngoma</t>
  </si>
  <si>
    <t>Fiber Internet: TB Ngororero</t>
  </si>
  <si>
    <t>Fiber Internet: TB Mukamira</t>
  </si>
  <si>
    <t>Fiber Internet: TB Nyagatare</t>
  </si>
  <si>
    <t>Fiber Internet: TB Kibeho</t>
  </si>
  <si>
    <t>Fiber Internet: TB Gisenyi</t>
  </si>
  <si>
    <t>Fiber Internet: TB Ruhango</t>
  </si>
  <si>
    <t>Fiber Internet: TGI Rusizi</t>
  </si>
  <si>
    <t>Fiber Internet: TB Kamembe</t>
  </si>
  <si>
    <t>Fiber Internet: TB Gasabo</t>
  </si>
  <si>
    <t>Fiber Internet: TGI Gicumbi</t>
  </si>
  <si>
    <t>Fiber Internet: TGI Huye</t>
  </si>
  <si>
    <t>Fiber Internet: TB Kicukiro</t>
  </si>
  <si>
    <t>Fiber Internet: TGI Muhanga</t>
  </si>
  <si>
    <t>Fiber Internet: TGI Ngoma</t>
  </si>
  <si>
    <t>Fiber Internet: TGI Nyagatare</t>
  </si>
  <si>
    <t>Fiber Internet: TGI Nyamagabe</t>
  </si>
  <si>
    <t>Fiber Internet: TGI Nyarugenge</t>
  </si>
  <si>
    <t>Fiber Internet: TB Nyarugenge</t>
  </si>
  <si>
    <t>Fiber Internet: TGI Rubavu</t>
  </si>
  <si>
    <t>Fiber Internet: HC Rusizi</t>
  </si>
  <si>
    <t>Fiber Internet: TGI Musanze</t>
  </si>
  <si>
    <t>Fiber Broadband Internet 6Mbps</t>
  </si>
  <si>
    <t>Fiber Internet: HC Nyanza</t>
  </si>
  <si>
    <t>Fiber Internet: HC Rwamagana</t>
  </si>
  <si>
    <t>Fiber Internet: HC-COM-TC</t>
  </si>
  <si>
    <t>4G Service: TB Mbogo</t>
  </si>
  <si>
    <t>4G Service: TB Gashali</t>
  </si>
  <si>
    <t>4G Service: TB Kiyumba</t>
  </si>
  <si>
    <t>4G Service: TB Gatunda</t>
  </si>
  <si>
    <t>4G Service: TB Kaniga</t>
  </si>
  <si>
    <t>4G Service: TB Kaduha</t>
  </si>
  <si>
    <t>4G Service: TB Nyakabuye</t>
  </si>
  <si>
    <t>4G Service: TB Nzige</t>
  </si>
  <si>
    <t>Marie Goretti KABERA</t>
  </si>
  <si>
    <t>C001918</t>
  </si>
  <si>
    <t>VIANNEY</t>
  </si>
  <si>
    <t>info@nyaruguru.gov.rw</t>
  </si>
  <si>
    <t>VSAT: CHINDA</t>
  </si>
  <si>
    <t>C002070</t>
  </si>
  <si>
    <t>RC Musanze</t>
  </si>
  <si>
    <t>Furaha Janvier</t>
  </si>
  <si>
    <t>rba_it@rba.co.rw</t>
  </si>
  <si>
    <t>0722-000-694</t>
  </si>
  <si>
    <t>RC Nyagatare</t>
  </si>
  <si>
    <t>RC Rubavu</t>
  </si>
  <si>
    <t>RC Rusizi</t>
  </si>
  <si>
    <t>VPN link btn RBA &amp; AoS (NDC)</t>
  </si>
  <si>
    <t>RBA - HQ</t>
  </si>
  <si>
    <t>C002107</t>
  </si>
  <si>
    <t>RISA CEO 4G</t>
  </si>
  <si>
    <t xml:space="preserve">4G ONE NETWORK 5MBPS </t>
  </si>
  <si>
    <t xml:space="preserve">Deo Kimonyo </t>
  </si>
  <si>
    <t>deo.kimonyo@risa.gov.rw</t>
  </si>
  <si>
    <t>0788524094</t>
  </si>
  <si>
    <t>C003181</t>
  </si>
  <si>
    <t>RDH-MAIN BRANCH</t>
  </si>
  <si>
    <t>Edmond</t>
  </si>
  <si>
    <t>ruhango.hospital@moh.gov.rw</t>
  </si>
  <si>
    <t>C002244</t>
  </si>
  <si>
    <t>rwa@mf.worldatheletic.org</t>
  </si>
  <si>
    <t>C001496</t>
  </si>
  <si>
    <t>Mount Kenya University</t>
  </si>
  <si>
    <t>Gathangi</t>
  </si>
  <si>
    <t>igathangi@mku.ac.ke;dkariuki@mku.ac.ke</t>
  </si>
  <si>
    <t>788817647/784419928</t>
  </si>
  <si>
    <t>A0000703</t>
  </si>
  <si>
    <t>Leatitia</t>
  </si>
  <si>
    <t>rpfeasternprovince@yahoo.com</t>
  </si>
  <si>
    <t>0788-616-965</t>
  </si>
  <si>
    <t>C000707</t>
  </si>
  <si>
    <t>GAHINI-MAIN BRANCH</t>
  </si>
  <si>
    <t xml:space="preserve">Eugene </t>
  </si>
  <si>
    <t>gahini.hospital@moh.gov.rw</t>
  </si>
  <si>
    <t>C001070</t>
  </si>
  <si>
    <t>KADUHA-MAIN BRANCH</t>
  </si>
  <si>
    <t>NGABOYAMAHINA Faustin</t>
  </si>
  <si>
    <t>ngaboyamahinafaustin77@gmail.com</t>
  </si>
  <si>
    <t>C001172</t>
  </si>
  <si>
    <t>KIBUNGO-MAIN BRANCH</t>
  </si>
  <si>
    <t>SIBONIYO DAVID</t>
  </si>
  <si>
    <t>info@krh.gov.rw</t>
  </si>
  <si>
    <t>C001174</t>
  </si>
  <si>
    <t>KIBUYE-MAIN BRANCH</t>
  </si>
  <si>
    <t>TUYISHIME Fortunatus</t>
  </si>
  <si>
    <t>tuyishimefortunatus@gmail.com</t>
  </si>
  <si>
    <t>C001386</t>
  </si>
  <si>
    <t>MIFOTRA - HQ</t>
  </si>
  <si>
    <t>Aristote Narayisenze</t>
  </si>
  <si>
    <t>anarayisenze@mifotra.gov.rw</t>
  </si>
  <si>
    <t>0788-816-699</t>
  </si>
  <si>
    <t>MIFOTRA - HQ2</t>
  </si>
  <si>
    <t>4G UNLIMITED 100GB</t>
  </si>
  <si>
    <t>C001422</t>
  </si>
  <si>
    <t>MINEDUC - VPN to AoS DC</t>
  </si>
  <si>
    <t>Bella RWIGAMBA</t>
  </si>
  <si>
    <t>BRWIGAMBA@mineduc.gov.rw</t>
  </si>
  <si>
    <t>0788-898-259</t>
  </si>
  <si>
    <t>MINEDUC - HQ</t>
  </si>
  <si>
    <t>0788-898-255</t>
  </si>
  <si>
    <t>0788-898-257</t>
  </si>
  <si>
    <t>0788-898-258</t>
  </si>
  <si>
    <t>0788-898-256</t>
  </si>
  <si>
    <t>C001385</t>
  </si>
  <si>
    <t>MINEMA -HQ</t>
  </si>
  <si>
    <t>VoIP PHONES 21- 40</t>
  </si>
  <si>
    <t>C001384</t>
  </si>
  <si>
    <t>0788-450-601</t>
  </si>
  <si>
    <t>C001427</t>
  </si>
  <si>
    <t>Florian IRUTABAMI</t>
  </si>
  <si>
    <t>it@minisports.gov.rw</t>
  </si>
  <si>
    <t>0788-227-070</t>
  </si>
  <si>
    <t>VOIP TRUNK GATEWAY</t>
  </si>
  <si>
    <t>C003800</t>
  </si>
  <si>
    <t>FIBER INTERNET 15MBPS GOV</t>
  </si>
  <si>
    <t>Toussaint Lionnel Maniriho</t>
  </si>
  <si>
    <t>t.maniriho@ncsa.gov.rw</t>
  </si>
  <si>
    <t>0788582957</t>
  </si>
  <si>
    <t>C001889</t>
  </si>
  <si>
    <t>NYABIHU  DISTRICT HQ - VPN LAIS.</t>
  </si>
  <si>
    <t>Pascal Ndikubwimana</t>
  </si>
  <si>
    <t>pascal.ndikubwimana@nyabihu.gov.rw</t>
  </si>
  <si>
    <t>0788-547-103</t>
  </si>
  <si>
    <t>NYABIHU DISTRICT HQ.</t>
  </si>
  <si>
    <t>NYABIHU DISTRICT HQ</t>
  </si>
  <si>
    <t>C001895</t>
  </si>
  <si>
    <t>NYAGATARE-MAIN BRANCH</t>
  </si>
  <si>
    <t>Evode BYARUGABA</t>
  </si>
  <si>
    <t>nyagatare.hospital@moh.gov.rw</t>
  </si>
  <si>
    <t>C001936</t>
  </si>
  <si>
    <t>Fiber VPN: OAG-AOS</t>
  </si>
  <si>
    <t>Evergiste Bushayija</t>
  </si>
  <si>
    <t>Evergiste.Bushayija@oag.gov.rw</t>
  </si>
  <si>
    <t xml:space="preserve">0 788 511 916 </t>
  </si>
  <si>
    <t>Fiber Internet: OAG HQ</t>
  </si>
  <si>
    <t>Fiber Broadband Internet 50Mbps</t>
  </si>
  <si>
    <t>C001960</t>
  </si>
  <si>
    <t>Celestin Rutayisire</t>
  </si>
  <si>
    <t xml:space="preserve">ombudsinfo@ombudsman.gov.rw </t>
  </si>
  <si>
    <t>0788-761-805</t>
  </si>
  <si>
    <t>OMBUDSMAN OFFICE HQ</t>
  </si>
  <si>
    <t>ombudsinfo@ombudsman.gov.rw</t>
  </si>
  <si>
    <t>C002028</t>
  </si>
  <si>
    <t>Fanny Colombe</t>
  </si>
  <si>
    <t>fanny.colombe@pivotaccess.com</t>
  </si>
  <si>
    <t>0788-622-377</t>
  </si>
  <si>
    <t>Fiber VPN: RCB-AOS</t>
  </si>
  <si>
    <t>C000952</t>
  </si>
  <si>
    <t>Rwanda Culture Heritage Academy (RCHA)</t>
  </si>
  <si>
    <t>Theogene Murinzi</t>
  </si>
  <si>
    <t>fkamusiime@museum.gov.rw</t>
  </si>
  <si>
    <t xml:space="preserve">RCHA-KANDT HOUSE </t>
  </si>
  <si>
    <t>RCHA-HQ</t>
  </si>
  <si>
    <t>RCHA-HUYE</t>
  </si>
  <si>
    <t>RCHA FOR CAMPAGN AGAINST GENOCIDE</t>
  </si>
  <si>
    <t>INMR-KWIGIRA RCHA RWESERO</t>
  </si>
  <si>
    <t>C002220</t>
  </si>
  <si>
    <t>Rwagasana Jean Pierre</t>
  </si>
  <si>
    <t>jp.rwagasana@rlrc.gov.rw,info@rlrc.gov.rw</t>
  </si>
  <si>
    <t>MSS Secure Browsing</t>
  </si>
  <si>
    <t>C002128</t>
  </si>
  <si>
    <t>Road Maintenance Fund FER</t>
  </si>
  <si>
    <t>Uwimana Theophille</t>
  </si>
  <si>
    <t>theophile.uwimana@rmf.gov.rw</t>
  </si>
  <si>
    <t>C002325</t>
  </si>
  <si>
    <t>RMH- RADIOTHERAPY</t>
  </si>
  <si>
    <t xml:space="preserve">Lt GATETE Donath </t>
  </si>
  <si>
    <t>d.gatete@rmh.rw</t>
  </si>
  <si>
    <t>RMH- VIP WING</t>
  </si>
  <si>
    <t>RMH- MAIN BRANCH</t>
  </si>
  <si>
    <t>C002136</t>
  </si>
  <si>
    <t>Jeannot Gapira</t>
  </si>
  <si>
    <t>jeannot.gapira@rpfinkotanyi.rw</t>
  </si>
  <si>
    <t>4G UNLIMITED 200GB PRIV</t>
  </si>
  <si>
    <t>C002394</t>
  </si>
  <si>
    <t>RRA ELDORET</t>
  </si>
  <si>
    <t>Tanzania</t>
  </si>
  <si>
    <t>FIBER INTERNET 1MBPS</t>
  </si>
  <si>
    <t>Anicet Kubwumuremyi</t>
  </si>
  <si>
    <t>anicet.kubwumuremyi@rra.gov.rw,claudine.byukusenge@rra.gov.rw</t>
  </si>
  <si>
    <t>RRA STAFF APARTMENT TZ</t>
  </si>
  <si>
    <t>RRA NYAMATA</t>
  </si>
  <si>
    <t>RRA BURERA</t>
  </si>
  <si>
    <t>RRA GAKENKE</t>
  </si>
  <si>
    <t>RRA RDB</t>
  </si>
  <si>
    <t>RRA GICUMBI</t>
  </si>
  <si>
    <t>RRA GISAGARA</t>
  </si>
  <si>
    <t>RRA HUYE_TI(BTC)</t>
  </si>
  <si>
    <t>RRA - BNR HUYE</t>
  </si>
  <si>
    <t>RRA KAMONYI</t>
  </si>
  <si>
    <t>RRA KARONGI</t>
  </si>
  <si>
    <t>RRA KAYONZA</t>
  </si>
  <si>
    <t>RRA AIRPORT</t>
  </si>
  <si>
    <t>RRA - RPD</t>
  </si>
  <si>
    <t>RRA KIREHE</t>
  </si>
  <si>
    <t>RRA MUHANGA</t>
  </si>
  <si>
    <t>RRA MUSANZE</t>
  </si>
  <si>
    <t>RRA NGOMA</t>
  </si>
  <si>
    <t>RRA NGORORERO</t>
  </si>
  <si>
    <t>RRA NYABIHU</t>
  </si>
  <si>
    <t>RRA NYAGATARE</t>
  </si>
  <si>
    <t>RRA NYAMAGABE</t>
  </si>
  <si>
    <t>RRA NYAMASHEKE</t>
  </si>
  <si>
    <t>RRA NYANZA</t>
  </si>
  <si>
    <t>RRA - POST</t>
  </si>
  <si>
    <t>RRA - GT BANK</t>
  </si>
  <si>
    <t>RRA - BK</t>
  </si>
  <si>
    <t>RRA-ACCESS BANK</t>
  </si>
  <si>
    <t>RRA - RSSB</t>
  </si>
  <si>
    <t>VPN LINK RRA-BNR</t>
  </si>
  <si>
    <t>VPN LINK RRA-KCB</t>
  </si>
  <si>
    <t>RRA NYARUGURU</t>
  </si>
  <si>
    <t>RRA RUBAVU DTD</t>
  </si>
  <si>
    <t>RRA RUHANGO</t>
  </si>
  <si>
    <t>RRA RULINDO</t>
  </si>
  <si>
    <t>RRA RUSIZI DTD</t>
  </si>
  <si>
    <t>RRA RUTSIRO</t>
  </si>
  <si>
    <t>RRA RWAMAGANA</t>
  </si>
  <si>
    <t>RRA TANZANIA(DAR ES SALAAM)</t>
  </si>
  <si>
    <t>RRA INTERNATIONAL VPN 5MBPS(Mombasa)</t>
  </si>
  <si>
    <t>Kenya</t>
  </si>
  <si>
    <t>RRA Masaka</t>
  </si>
  <si>
    <t>RRA NEMBA</t>
  </si>
  <si>
    <t>RRA RUHWA</t>
  </si>
  <si>
    <t>RRA DR SITE BUGESERA VPN</t>
  </si>
  <si>
    <t>RRA DR SITE BUGESERA INTERNET</t>
  </si>
  <si>
    <t>RRA AKANYARU</t>
  </si>
  <si>
    <t>RRA RUSUMO</t>
  </si>
  <si>
    <t>RRA CYANIKA</t>
  </si>
  <si>
    <t>RRA GATUNA</t>
  </si>
  <si>
    <t>RRA KAGITUMBA</t>
  </si>
  <si>
    <t>RRA POIDS LOURDS</t>
  </si>
  <si>
    <t>RRA LA CORNICHE</t>
  </si>
  <si>
    <t>RRA RUSIZI 2</t>
  </si>
  <si>
    <t>RRA BUGARAMA</t>
  </si>
  <si>
    <t>RRA RUSIZI 1</t>
  </si>
  <si>
    <t>RRA GIKONDO CUSTOMS</t>
  </si>
  <si>
    <t>RRA HQ VPN</t>
  </si>
  <si>
    <t>RRA HQ to Telecom House(Rinex)</t>
  </si>
  <si>
    <t>RRA HQ(80Mbps) &amp; IP Transit(20Mbps)</t>
  </si>
  <si>
    <t>FIBER VPN 100MBPS</t>
  </si>
  <si>
    <t>DR BUGESERA DARK FIBER LEASE</t>
  </si>
  <si>
    <t>4G MUP 2GB/Day + Device</t>
  </si>
  <si>
    <t>4G MUP 4GB/DAY + Device</t>
  </si>
  <si>
    <t>RSSB-Kibagabaga hospital</t>
  </si>
  <si>
    <t>FIBER VPN 1MBPS</t>
  </si>
  <si>
    <t>RSSB-King Faisal Hospital</t>
  </si>
  <si>
    <t>RSSB-Byumba Hospital</t>
  </si>
  <si>
    <t>RSSB-Kabgayi Hospital.</t>
  </si>
  <si>
    <t>RSSB-Kanombe Hospital</t>
  </si>
  <si>
    <t>RSSB-Gihundwe Hospital</t>
  </si>
  <si>
    <t>RSSB-Nyanza Hospital</t>
  </si>
  <si>
    <t>RSSB-CHUK</t>
  </si>
  <si>
    <t>RSSB-Ruhengeri Hospital</t>
  </si>
  <si>
    <t>RSSB-Gisenyi Hospital.</t>
  </si>
  <si>
    <t>RSSB Bugesera</t>
  </si>
  <si>
    <t>RSSB Burera</t>
  </si>
  <si>
    <t>RSSB Gakenke</t>
  </si>
  <si>
    <t>RSSB 2nd New Link</t>
  </si>
  <si>
    <t>RSSB Gasabo</t>
  </si>
  <si>
    <t>RSSB Gatsibo</t>
  </si>
  <si>
    <t>RSSB Gicumbi</t>
  </si>
  <si>
    <t>RSSB Gisagara</t>
  </si>
  <si>
    <t>RSSB Huye</t>
  </si>
  <si>
    <t>RSSB Kamonyi</t>
  </si>
  <si>
    <t>RSSB Karongi</t>
  </si>
  <si>
    <t>RSSB Kayonza</t>
  </si>
  <si>
    <t>RSSB Kicukiro</t>
  </si>
  <si>
    <t>RSSB Kirehe</t>
  </si>
  <si>
    <t>RSSB Muhanga</t>
  </si>
  <si>
    <t>RSSB Musanze</t>
  </si>
  <si>
    <t>RSSB Ngoma</t>
  </si>
  <si>
    <t>RSSB Ngororero</t>
  </si>
  <si>
    <t>RSSB Nyabihu</t>
  </si>
  <si>
    <t>RSSB Nyagatare</t>
  </si>
  <si>
    <t>RSSB Nyamagabe</t>
  </si>
  <si>
    <t>RSSB Nyanza</t>
  </si>
  <si>
    <t>RSSB Nyamasheke</t>
  </si>
  <si>
    <t>RSSB New Link</t>
  </si>
  <si>
    <t>RSSB Nyarugenge</t>
  </si>
  <si>
    <t>RSSB Nyaruguru</t>
  </si>
  <si>
    <t>RSSB Rubavu</t>
  </si>
  <si>
    <t>RSSB Ruhango</t>
  </si>
  <si>
    <t>RSSB-Rulindo</t>
  </si>
  <si>
    <t>RSSB Rusizi</t>
  </si>
  <si>
    <t>RSSB Rutsiro</t>
  </si>
  <si>
    <t>RSSB Rwamagana</t>
  </si>
  <si>
    <t>RSSB HQ</t>
  </si>
  <si>
    <t>FIBER VPN 150MBPS</t>
  </si>
  <si>
    <t>RSSB VPN HQ</t>
  </si>
  <si>
    <t>C002143</t>
  </si>
  <si>
    <t>Joel Gasagure</t>
  </si>
  <si>
    <t xml:space="preserve">rubavudistrict@rubavu.gov.rw </t>
  </si>
  <si>
    <t>0788578289</t>
  </si>
  <si>
    <t>C002179</t>
  </si>
  <si>
    <t>Giheke Sector</t>
  </si>
  <si>
    <t>NZABANDORA Jean Damascene</t>
  </si>
  <si>
    <t>ict@rusizi.gov.rw</t>
  </si>
  <si>
    <t>0788-551-314</t>
  </si>
  <si>
    <t>Gashonga Sector</t>
  </si>
  <si>
    <t>Rwimbogo Sector</t>
  </si>
  <si>
    <t>Mururu Sector</t>
  </si>
  <si>
    <t>Gihundwe Sector</t>
  </si>
  <si>
    <t>Bugarama Sector</t>
  </si>
  <si>
    <t>Nzahaha Sector</t>
  </si>
  <si>
    <t>RUSIZI District HQ - VPN LAIS.</t>
  </si>
  <si>
    <t>RUSIZI District HQ.</t>
  </si>
  <si>
    <t>C004042</t>
  </si>
  <si>
    <t>RPA</t>
  </si>
  <si>
    <t>Joy</t>
  </si>
  <si>
    <t>joybebeto@gmail.com</t>
  </si>
  <si>
    <t>Fiber Internet: TB Gihango</t>
  </si>
  <si>
    <t>Fiber VPN: IDC Link</t>
  </si>
  <si>
    <t>Fiber Internet: TB Nyamata</t>
  </si>
  <si>
    <t>Fiber Internet: TB Cyeru</t>
  </si>
  <si>
    <t>Fiber Internet: TB Gakenke</t>
  </si>
  <si>
    <t>Fiber Internet: TB Gahunga</t>
  </si>
  <si>
    <t>Fiber Internet: TGI Gasabo</t>
  </si>
  <si>
    <t>Fiber Internet: Supreme Court HQ</t>
  </si>
  <si>
    <t>C002330</t>
  </si>
  <si>
    <t>UNESCO-MAIN BRANCH</t>
  </si>
  <si>
    <t>KANAMUGIRE Felix</t>
  </si>
  <si>
    <t>felix.kanamugire@unesco.org</t>
  </si>
  <si>
    <t>RMA Gako kf</t>
  </si>
  <si>
    <t>vpn (1mbps)</t>
  </si>
  <si>
    <t>MOD Kami kf</t>
  </si>
  <si>
    <t>VPN (1Mbps)</t>
  </si>
  <si>
    <t>204Bde Kami kf</t>
  </si>
  <si>
    <t>2 Div HQ kf</t>
  </si>
  <si>
    <t>CTC Gabiro kf</t>
  </si>
  <si>
    <t>Gicumbi Barracks kf</t>
  </si>
  <si>
    <t>Huye Barracks kf</t>
  </si>
  <si>
    <t>Karongi Barracks kf</t>
  </si>
  <si>
    <t>RMH-Kanombe kf</t>
  </si>
  <si>
    <t>WB Brigade kf</t>
  </si>
  <si>
    <t>Muhanga Barracks kf</t>
  </si>
  <si>
    <t>CSC Nyakinama kf</t>
  </si>
  <si>
    <t>Ngoma Barracks kf</t>
  </si>
  <si>
    <t>BMTC Nasho kf</t>
  </si>
  <si>
    <t>Bigogwe kf</t>
  </si>
  <si>
    <t>Nyagatare Barracks kf</t>
  </si>
  <si>
    <t>Nyamagabe Barracks kf</t>
  </si>
  <si>
    <t>Rubavu Div kf</t>
  </si>
  <si>
    <t>Rusizi Barracks kf</t>
  </si>
  <si>
    <t>BDE HQ Military Barracks-Bugesera</t>
  </si>
  <si>
    <t>VPN (3Mbps)</t>
  </si>
  <si>
    <t>Motocloc Kibugabuga</t>
  </si>
  <si>
    <t>HQ-RDF KF</t>
  </si>
  <si>
    <t>Motocloc hq</t>
  </si>
  <si>
    <t>MOD KF</t>
  </si>
  <si>
    <t>MOD AD KF LINK</t>
  </si>
  <si>
    <t>VPN LINK DCIC</t>
  </si>
  <si>
    <t>Motocloc Republican Guard</t>
  </si>
  <si>
    <t>Motocloc Kami</t>
  </si>
  <si>
    <t>Kibuye Barracks-Karongi</t>
  </si>
  <si>
    <t>Mbare Military Barracks-Muhanga</t>
  </si>
  <si>
    <t>BDE HQ Military Barracks-Ngoma</t>
  </si>
  <si>
    <t>Mukamira Barracks-Nyabihu</t>
  </si>
  <si>
    <t>Nyagatare Military Barracks</t>
  </si>
  <si>
    <t>Military Barracks HQ-Nyamagabe</t>
  </si>
  <si>
    <t xml:space="preserve">MOD Kiyovu </t>
  </si>
  <si>
    <t>Motocloc Rubavu</t>
  </si>
  <si>
    <t>Military Barracks HQ-Rusizi</t>
  </si>
  <si>
    <t>VPN Link RF Kacyiru</t>
  </si>
  <si>
    <t>VPN (5 Mbps)</t>
  </si>
  <si>
    <t>MOD (Airforce) -Kimihurura</t>
  </si>
  <si>
    <t>MOD -Supply Regt</t>
  </si>
  <si>
    <t>vpn (5mbps)</t>
  </si>
  <si>
    <t>IG-RUGANDO</t>
  </si>
  <si>
    <t>VPN (5MBPS)</t>
  </si>
  <si>
    <t>Tumba Military Barracks – Huye</t>
  </si>
  <si>
    <t>VPN (5Mbps)</t>
  </si>
  <si>
    <t>Kanombe Air Force Base</t>
  </si>
  <si>
    <t>Kanombe Airforce Base Office</t>
  </si>
  <si>
    <t xml:space="preserve">WB Brigade </t>
  </si>
  <si>
    <t>Musanze Barracks Div</t>
  </si>
  <si>
    <t>Bigogwe Barracks</t>
  </si>
  <si>
    <t>Gabiro Airbase Airport</t>
  </si>
  <si>
    <t>Rubavu Barracks (Div HQ)</t>
  </si>
  <si>
    <t>Mayange Training Center</t>
  </si>
  <si>
    <t>VPN (10 Mbps)</t>
  </si>
  <si>
    <t>Kami Barracks</t>
  </si>
  <si>
    <t>SOM</t>
  </si>
  <si>
    <t>Internet link RF Kacyiru</t>
  </si>
  <si>
    <t>Telecom to MOD</t>
  </si>
  <si>
    <t>VPN (10MBPS)</t>
  </si>
  <si>
    <t>Military High Court</t>
  </si>
  <si>
    <t>vpn (10mbps)</t>
  </si>
  <si>
    <t>Kanombe Mech</t>
  </si>
  <si>
    <t>Rwanda Peace Academy – Nyakinama</t>
  </si>
  <si>
    <t>MOD Nyanza Airforce</t>
  </si>
  <si>
    <t xml:space="preserve"> Shyorongi AD</t>
  </si>
  <si>
    <t>Gabiro Airbase-Accommodation</t>
  </si>
  <si>
    <t>vpn (15mbps)</t>
  </si>
  <si>
    <t>Engineering HQ-Rebero</t>
  </si>
  <si>
    <t>VPN (30Mbps)</t>
  </si>
  <si>
    <t>BMTC NASHO</t>
  </si>
  <si>
    <t xml:space="preserve">VPN (15Mbps) </t>
  </si>
  <si>
    <t>MOD-Separate Link</t>
  </si>
  <si>
    <t>VPN (20Mbps)</t>
  </si>
  <si>
    <t xml:space="preserve">Republican Guard </t>
  </si>
  <si>
    <t>Rebero DRD</t>
  </si>
  <si>
    <t>VPN (30MBPS)</t>
  </si>
  <si>
    <t>CTC Gabiro</t>
  </si>
  <si>
    <t>FIBER VPN 80MBPS</t>
  </si>
  <si>
    <t>Nyakinama Military Academy-Musanze</t>
  </si>
  <si>
    <t>VPN (50Mbps)</t>
  </si>
  <si>
    <t>MOD HQ</t>
  </si>
  <si>
    <t>VPN (200Mbps)</t>
  </si>
  <si>
    <t>Rwanda Military Academy-Bugesera</t>
  </si>
  <si>
    <t>VPN (180Mbps)</t>
  </si>
  <si>
    <t>Video Conference service</t>
  </si>
  <si>
    <t>vc</t>
  </si>
  <si>
    <t>Rebero-Kacyiru-Dark Fiber</t>
  </si>
  <si>
    <t>Airforce Busanza</t>
  </si>
  <si>
    <t>Motocloc Kacyiru</t>
  </si>
  <si>
    <t>Kanombe Military Police</t>
  </si>
  <si>
    <t>Engineering HQ kf</t>
  </si>
  <si>
    <t>Rebero DRD VOIP</t>
  </si>
  <si>
    <t>Gicumbi Barracks</t>
  </si>
  <si>
    <t>Rubavu Bde kf</t>
  </si>
  <si>
    <t>CSC VOIP Nyakinama</t>
  </si>
  <si>
    <t>Rwamagana Reserve Force</t>
  </si>
  <si>
    <t>Gacurabwenge</t>
  </si>
  <si>
    <t>Nyarupfubire T</t>
  </si>
  <si>
    <t>Gabiro Airbase T</t>
  </si>
  <si>
    <t>Kamembe T</t>
  </si>
  <si>
    <t>Huye T</t>
  </si>
  <si>
    <t>HQ T</t>
  </si>
  <si>
    <t>C001194</t>
  </si>
  <si>
    <t>KFH-MAIN BRANCH</t>
  </si>
  <si>
    <t>MUHIRE Ali</t>
  </si>
  <si>
    <t>ali.muhire@kfhkigali.com</t>
  </si>
  <si>
    <t>1 UNIT</t>
  </si>
  <si>
    <t>C000057</t>
  </si>
  <si>
    <t>fiber vpn 60mbps</t>
  </si>
  <si>
    <t>Deo</t>
  </si>
  <si>
    <t>deo@asyv.org;christine@asyv.org</t>
  </si>
  <si>
    <t>C004169</t>
  </si>
  <si>
    <t>Blackstone</t>
  </si>
  <si>
    <t>Flex-internet</t>
  </si>
  <si>
    <t>Benjamin</t>
  </si>
  <si>
    <t>manzibenjamin2018@gmail.com</t>
  </si>
  <si>
    <t>C002016</t>
  </si>
  <si>
    <t>BUSHENGE- MAIN BRANCH</t>
  </si>
  <si>
    <t>Donat NDAHAYO</t>
  </si>
  <si>
    <t>info@bushengehospital.gov.rw</t>
  </si>
  <si>
    <t>BUSHENGE -MAIN BRANCH</t>
  </si>
  <si>
    <t>C000567</t>
  </si>
  <si>
    <t>ECOLE DE SCIENCES DE BYIMANA</t>
  </si>
  <si>
    <t>karerangabo</t>
  </si>
  <si>
    <t>esc.byimana@yahoo.com;crekafms@gmail.com</t>
  </si>
  <si>
    <t>788996374/0788316663</t>
  </si>
  <si>
    <t>C000621</t>
  </si>
  <si>
    <t>egishoma@yahoo.fr/amwitaba@yahoo.fr</t>
  </si>
  <si>
    <t>0788458307/0726203704</t>
  </si>
  <si>
    <t>C000633</t>
  </si>
  <si>
    <t>ESC LOUIS DE MONT FORT NYANZA</t>
  </si>
  <si>
    <t>Clement</t>
  </si>
  <si>
    <t>jhanclement@gmail.com/'esclmnyanza@gmail.com'</t>
  </si>
  <si>
    <t>C000774</t>
  </si>
  <si>
    <t>GITWE-MAIN BRANCH</t>
  </si>
  <si>
    <t>Vedaste</t>
  </si>
  <si>
    <t>ggitwehospital@gmail.com</t>
  </si>
  <si>
    <t>C001076</t>
  </si>
  <si>
    <t>KAGARAMA SECONDARY SCHOOL</t>
  </si>
  <si>
    <t>Samweul</t>
  </si>
  <si>
    <t>samnkuru1975@gmail.com/kagaramasec@yahoo.com</t>
  </si>
  <si>
    <t>C001165</t>
  </si>
  <si>
    <t>KIBAGABAGA-MAIN BRANCH</t>
  </si>
  <si>
    <t>NSENGIMANA Isidore</t>
  </si>
  <si>
    <t>nsenga1@gmail.com/kibagaba.hospital@moh.gov.rw</t>
  </si>
  <si>
    <t>C001168</t>
  </si>
  <si>
    <t>KIBOGORA-MAIN BRANCH</t>
  </si>
  <si>
    <t>MUHIRE Francis</t>
  </si>
  <si>
    <t>francismuhire1@gmail.com/kibogorahospital@gmail.com/kibogora.hospital@moh.gov.rw</t>
  </si>
  <si>
    <t>0789739401/0788845007</t>
  </si>
  <si>
    <t>C003418</t>
  </si>
  <si>
    <t>KINIHIRA-MAIN BRANCH</t>
  </si>
  <si>
    <t>KAMANAYO Anananie</t>
  </si>
  <si>
    <t>kinihira.hospital@moh.gov.rw</t>
  </si>
  <si>
    <t>C001519</t>
  </si>
  <si>
    <t>MUGONERO-MAIN BRANCH</t>
  </si>
  <si>
    <t>KAYIBANDA Erneste</t>
  </si>
  <si>
    <t>mugonero.hospital@moh.gov.rw</t>
  </si>
  <si>
    <t>C001527</t>
  </si>
  <si>
    <t>FIBER VPN 5</t>
  </si>
  <si>
    <t>NKUNDIMANA Xavier</t>
  </si>
  <si>
    <t>muhima.hospital@moh.gov.rw</t>
  </si>
  <si>
    <t>C001535</t>
  </si>
  <si>
    <t>MUHORORORO-MAIN BRANCH</t>
  </si>
  <si>
    <t>BIZIMANA PHOCAS</t>
  </si>
  <si>
    <t>muhororohospital@gmail.com</t>
  </si>
  <si>
    <t>C001597</t>
  </si>
  <si>
    <t>MUSANZE District HQ - VPN LAIS.</t>
  </si>
  <si>
    <t>Gady</t>
  </si>
  <si>
    <t>ictmusanze@musanze.gov.rw</t>
  </si>
  <si>
    <t>0788-537-860</t>
  </si>
  <si>
    <t>MUSANZE District HQ</t>
  </si>
  <si>
    <t>C001654</t>
  </si>
  <si>
    <t>Uwizeyimana Leonille</t>
  </si>
  <si>
    <t>m.mediatrice@naeb.gov.rw</t>
  </si>
  <si>
    <t>C002084</t>
  </si>
  <si>
    <t>Alone Ruhigande</t>
  </si>
  <si>
    <t>gsrr02@gmail.com</t>
  </si>
  <si>
    <t>C002643</t>
  </si>
  <si>
    <t>Special Gaurantie Fund (SGF) HQ.</t>
  </si>
  <si>
    <t>Joseph NIYITANGA</t>
  </si>
  <si>
    <t>jniyitanga@ikigega.rw</t>
  </si>
  <si>
    <t>0788-239-930</t>
  </si>
  <si>
    <t>C002989</t>
  </si>
  <si>
    <t>CSS VPN</t>
  </si>
  <si>
    <t>Kamanzi Jean d'Amour</t>
  </si>
  <si>
    <t>mboneza@zigamacss.rw</t>
  </si>
  <si>
    <t>CSS musanze</t>
  </si>
  <si>
    <t>CSS Bigogwe</t>
  </si>
  <si>
    <t>CSS Gicumbi</t>
  </si>
  <si>
    <t>CSS kayonza</t>
  </si>
  <si>
    <t>CSS Gishali</t>
  </si>
  <si>
    <t>CSS Huye</t>
  </si>
  <si>
    <t>CSS Kacyiru</t>
  </si>
  <si>
    <t>CSS Kanombe</t>
  </si>
  <si>
    <t>CSS Karongi</t>
  </si>
  <si>
    <t>CSS Kibungo</t>
  </si>
  <si>
    <t>CSS MOD</t>
  </si>
  <si>
    <t>CSS Muhanga</t>
  </si>
  <si>
    <t>CSS Muhima</t>
  </si>
  <si>
    <t>CSS Nyagatare</t>
  </si>
  <si>
    <t>CSS Nyamagabe</t>
  </si>
  <si>
    <t>CSS Nyamata</t>
  </si>
  <si>
    <t>CSS Nyarugenge</t>
  </si>
  <si>
    <t>CSS RSWITCH VPN</t>
  </si>
  <si>
    <t>CSS Ruhengeri</t>
  </si>
  <si>
    <t>CSS Rusizi</t>
  </si>
  <si>
    <t>CSS Rwamagana</t>
  </si>
  <si>
    <t>Primature ATM</t>
  </si>
  <si>
    <t>Kacyiru ATM</t>
  </si>
  <si>
    <t>Gabiro ATM</t>
  </si>
  <si>
    <t>Gako ATM</t>
  </si>
  <si>
    <t>Kanombe ATM</t>
  </si>
  <si>
    <t>Kimihurura ATM</t>
  </si>
  <si>
    <t>Mukamira ATM</t>
  </si>
  <si>
    <t>CSS Kacyiru fiber internet</t>
  </si>
  <si>
    <t>CSS HQ</t>
  </si>
  <si>
    <t>Fiber VPN 30MBPS</t>
  </si>
  <si>
    <t>ZIGAMA CSS HQ</t>
  </si>
  <si>
    <t>C002942</t>
  </si>
  <si>
    <t>West HQ</t>
  </si>
  <si>
    <t>steven</t>
  </si>
  <si>
    <t>info@westernprovince.gov.rw</t>
  </si>
  <si>
    <t xml:space="preserve">Fiber VPN 15MBPS </t>
  </si>
  <si>
    <t>C003344</t>
  </si>
  <si>
    <t>British High Commission</t>
  </si>
  <si>
    <t>Andrew Tuitoek</t>
  </si>
  <si>
    <t>andrew.tuitoek@seacom.com</t>
  </si>
  <si>
    <t>00 254 72 0934657</t>
  </si>
  <si>
    <t>Under Renewal</t>
  </si>
  <si>
    <t>Fiber Service: Minecofin HQ</t>
  </si>
  <si>
    <t>Fiber Broadband Internet 80Mbps</t>
  </si>
  <si>
    <t>DFL: AOS TH-Minecofin</t>
  </si>
  <si>
    <t>MCCH-ECONOMIC ZONE</t>
  </si>
  <si>
    <t>NRL-NCBT</t>
  </si>
  <si>
    <t>FIBER VPN 60MBPS</t>
  </si>
  <si>
    <t>C004151</t>
  </si>
  <si>
    <t>Ariane Uwiturije</t>
  </si>
  <si>
    <t>ariane.uwiturije@ruzizienergy.com</t>
  </si>
  <si>
    <t>0788683262</t>
  </si>
  <si>
    <t>C001267</t>
  </si>
  <si>
    <t>Colocation Service: 1/4U</t>
  </si>
  <si>
    <t>Ramadhani Nshakabatenda</t>
  </si>
  <si>
    <t>ramadhani.nshaka@liquid.tech</t>
  </si>
  <si>
    <t xml:space="preserve">0788 629 054 </t>
  </si>
  <si>
    <t>0788-738-798</t>
  </si>
  <si>
    <t>C001441</t>
  </si>
  <si>
    <t>VSAT: Battle Group A-Coy Bria</t>
  </si>
  <si>
    <t>VSAT Internet 1Mbps</t>
  </si>
  <si>
    <t>VSAT A-Coy (4eme Arrondissement)</t>
  </si>
  <si>
    <t>VSAT Internet 3Mbps</t>
  </si>
  <si>
    <t>VSAT B-Coy (7eme Arrondissement)</t>
  </si>
  <si>
    <t>VSAT: Battle Group Bria HQ</t>
  </si>
  <si>
    <t>VSAT: Battle Group Bria Base Camp</t>
  </si>
  <si>
    <t>VSAT: Battle Group Bambari</t>
  </si>
  <si>
    <t>VSAT: Damara 1</t>
  </si>
  <si>
    <t>VSAT: Damara 2</t>
  </si>
  <si>
    <t>VSAT: Juba Airforce HQ</t>
  </si>
  <si>
    <t>South Sudan</t>
  </si>
  <si>
    <t>VSAT: Malakal RAF</t>
  </si>
  <si>
    <t>VSAT: Malakal Log Base</t>
  </si>
  <si>
    <t>VSAT: Bunj</t>
  </si>
  <si>
    <t>VSAT: CAR HQ (Mpoko)</t>
  </si>
  <si>
    <t>VSAT: Bimbo</t>
  </si>
  <si>
    <t>VSAT: Rwambatt Juba HQ</t>
  </si>
  <si>
    <t>VSAT: Torit</t>
  </si>
  <si>
    <t>VSAT: Malakal HQ</t>
  </si>
  <si>
    <t>VSAT Internet 5Mbps</t>
  </si>
  <si>
    <t>VSAT: Durupi</t>
  </si>
  <si>
    <t>C001446</t>
  </si>
  <si>
    <t>VSAT: Level 2 Hospital in MINUSCA</t>
  </si>
  <si>
    <t>VSAT: Maintenance of 22 sites</t>
  </si>
  <si>
    <t>VSAT Maintenance</t>
  </si>
  <si>
    <t>C001697</t>
  </si>
  <si>
    <t>Fiber Internet: NRS HQ</t>
  </si>
  <si>
    <t>Fiber Broadband Internet 8Mbps</t>
  </si>
  <si>
    <t>Jean Bosco Dusabimana</t>
  </si>
  <si>
    <t>jbosco.dusabimana@nrs.gov.rw</t>
  </si>
  <si>
    <t xml:space="preserve">0 789 052 115  </t>
  </si>
  <si>
    <t>NRS 4G Service</t>
  </si>
  <si>
    <t>C000661</t>
  </si>
  <si>
    <t>Eugenia</t>
  </si>
  <si>
    <t>fawe.girls@yahoo.com</t>
  </si>
  <si>
    <t>788452604/0784291501</t>
  </si>
  <si>
    <t>ILPD 4G Service</t>
  </si>
  <si>
    <t>C001521</t>
  </si>
  <si>
    <t>info@muhanga.gov.rw</t>
  </si>
  <si>
    <t>MUHANGA District</t>
  </si>
  <si>
    <t>C001689</t>
  </si>
  <si>
    <t>Claude Busogi</t>
  </si>
  <si>
    <t>cbusogi@nec.gov.rw</t>
  </si>
  <si>
    <t>C002142</t>
  </si>
  <si>
    <t>Freddy Shabani</t>
  </si>
  <si>
    <t xml:space="preserve">freddy.shabani@rswitch.co.rw </t>
  </si>
  <si>
    <t>0783009203</t>
  </si>
  <si>
    <t>C002486</t>
  </si>
  <si>
    <t>DF_NISS-TH</t>
  </si>
  <si>
    <t>Dark Fiber Lease  2.3Kms/2cores</t>
  </si>
  <si>
    <t>Antoine Twizere</t>
  </si>
  <si>
    <t>antoine.twizere@rura.rw</t>
  </si>
  <si>
    <t>DF_RNP- TH</t>
  </si>
  <si>
    <t>Dark Fiber Lease  3.6Kms/2cores</t>
  </si>
  <si>
    <t>DF_Airtel-TH</t>
  </si>
  <si>
    <t>Dark Fiber Lease  4.2Kms/2Cores</t>
  </si>
  <si>
    <t>C004184</t>
  </si>
  <si>
    <t>THE PHONE FIX-MAIN BRANCH</t>
  </si>
  <si>
    <t>FLEX PLUS</t>
  </si>
  <si>
    <t>RUGEMA Andre</t>
  </si>
  <si>
    <t>andrerugema2015@gmail.com</t>
  </si>
  <si>
    <t>C002859</t>
  </si>
  <si>
    <t>ULK-Gisenyi</t>
  </si>
  <si>
    <t>fiber vpn 20mbps</t>
  </si>
  <si>
    <t>Alex</t>
  </si>
  <si>
    <t>nzabojustin@gmail.com/nzidavid@ulk.ac.rw;ndayisaba.alexis@ulk.ac.rw</t>
  </si>
  <si>
    <t>C001077</t>
  </si>
  <si>
    <t>Uwamwiza M Chantal</t>
  </si>
  <si>
    <t>kagaramasector@yahoo.com</t>
  </si>
  <si>
    <t>0788429069</t>
  </si>
  <si>
    <t>C001703</t>
  </si>
  <si>
    <t>National Youth Council (NYC)</t>
  </si>
  <si>
    <t>gkabera@myculture.gov.rw</t>
  </si>
  <si>
    <t>0789707986</t>
  </si>
  <si>
    <t>C004212</t>
  </si>
  <si>
    <t>SLICE AND CAKES-MAIN BRANCH</t>
  </si>
  <si>
    <t>MUCYO Christopher</t>
  </si>
  <si>
    <t>chris@sliceandcakes.com</t>
  </si>
  <si>
    <t>C000560</t>
  </si>
  <si>
    <t>Sandrine Abumucyo</t>
  </si>
  <si>
    <t xml:space="preserve">ictsandrine@easternprovince.gov.rw </t>
  </si>
  <si>
    <t>0788739679</t>
  </si>
  <si>
    <t>C001176</t>
  </si>
  <si>
    <t>Vincent Nsengiyumva</t>
  </si>
  <si>
    <t>nsengavincent@yahoo.com</t>
  </si>
  <si>
    <t>0788556227</t>
  </si>
  <si>
    <t>C001271</t>
  </si>
  <si>
    <t>Jean d'Amour Habiyambere</t>
  </si>
  <si>
    <t>jeandamour.habiyambere@loda.gov.rw</t>
  </si>
  <si>
    <t>C002006</t>
  </si>
  <si>
    <t>Cloud 16vCPU. 32GB RAM. 1200GB Storage</t>
  </si>
  <si>
    <t>RWEMA Aimable</t>
  </si>
  <si>
    <t>paymaticltd@gmail.com</t>
  </si>
  <si>
    <t>RAB Songa</t>
  </si>
  <si>
    <t>RAB GENEBANK</t>
  </si>
  <si>
    <t>RAB Masaka</t>
  </si>
  <si>
    <t>RAB Mulindi.</t>
  </si>
  <si>
    <t>RAB Muhanga</t>
  </si>
  <si>
    <t>RAB Kinigi</t>
  </si>
  <si>
    <t>RAB Nyagatare</t>
  </si>
  <si>
    <t>RAB Nyamagabe</t>
  </si>
  <si>
    <t>RAB Ntendezi</t>
  </si>
  <si>
    <t>RAB Karongi Gakuta</t>
  </si>
  <si>
    <t>RAB Ngoma</t>
  </si>
  <si>
    <t>RAB Rwamagana</t>
  </si>
  <si>
    <t>RAB Rubirizi.</t>
  </si>
  <si>
    <t>RAB Musanze</t>
  </si>
  <si>
    <t>RAB Rubona</t>
  </si>
  <si>
    <t>C002266</t>
  </si>
  <si>
    <t>RDRC Mutobo</t>
  </si>
  <si>
    <t>Hilaire Nduwayo</t>
  </si>
  <si>
    <t>nhilaire@demobrwanda.gov.rw</t>
  </si>
  <si>
    <t>RDRC HQ</t>
  </si>
  <si>
    <t>C002498</t>
  </si>
  <si>
    <t>AIME NDAYAMBAJE</t>
  </si>
  <si>
    <t>aime.ndayambaje@hipporoofings.co.rw</t>
  </si>
  <si>
    <t>788556611 </t>
  </si>
  <si>
    <t xml:space="preserve">DFL: Kigali-Kagitumba </t>
  </si>
  <si>
    <t xml:space="preserve">DFL: Nyamagabe-Huye </t>
  </si>
  <si>
    <t xml:space="preserve">DFL: Kigoma-Karongi </t>
  </si>
  <si>
    <t xml:space="preserve">DFL: Karongi-Rubengera </t>
  </si>
  <si>
    <t xml:space="preserve">DFL: Ruhango-Muhanga </t>
  </si>
  <si>
    <t xml:space="preserve">DFL: Kigali-Musanze </t>
  </si>
  <si>
    <t xml:space="preserve">DFL: Musanze-Mukungwa </t>
  </si>
  <si>
    <t xml:space="preserve">DFL: Kayonza-Ngoma </t>
  </si>
  <si>
    <t xml:space="preserve">DFL: Ngoma-Rusumo </t>
  </si>
  <si>
    <t xml:space="preserve">DFL: Ruhango-Nyamagabe </t>
  </si>
  <si>
    <t xml:space="preserve">DFL: Nyanza-Ruhango </t>
  </si>
  <si>
    <t xml:space="preserve">DFL: Musanze-Rubavu </t>
  </si>
  <si>
    <t xml:space="preserve">DFL: Kigali-Gatuna </t>
  </si>
  <si>
    <t>C000359</t>
  </si>
  <si>
    <t>Evode Muhire</t>
  </si>
  <si>
    <t>ndera.hospital@moh.gov.rw</t>
  </si>
  <si>
    <t>C003876</t>
  </si>
  <si>
    <t>NESA Inspectors connection</t>
  </si>
  <si>
    <t>MWIZERWA ERASTO</t>
  </si>
  <si>
    <t>emwizerwa@nesa.gov.rw</t>
  </si>
  <si>
    <t>0788-535-226</t>
  </si>
  <si>
    <t>C000344</t>
  </si>
  <si>
    <t>BYUMBA -MAIN BRANCH</t>
  </si>
  <si>
    <t>Christine MUKANEZA</t>
  </si>
  <si>
    <t>chrisneza@gmail.com</t>
  </si>
  <si>
    <t>L000197</t>
  </si>
  <si>
    <t>AIR</t>
  </si>
  <si>
    <t xml:space="preserve">Fiber Vpn </t>
  </si>
  <si>
    <t>Jude Rwaka</t>
  </si>
  <si>
    <t>jude.rwaka@rwandair.com</t>
  </si>
  <si>
    <t>AOS HQ</t>
  </si>
  <si>
    <t>VoIP Integration</t>
  </si>
  <si>
    <t>Service Terminated on Customer request</t>
  </si>
  <si>
    <t>Trunk Gateway</t>
  </si>
  <si>
    <t>C000332</t>
  </si>
  <si>
    <t>BUTARO -MAIN BRANCH</t>
  </si>
  <si>
    <t>Bob MUHUMUZA</t>
  </si>
  <si>
    <t>butaro.hospital@moh.gov.rw</t>
  </si>
  <si>
    <t>C000448</t>
  </si>
  <si>
    <t>COMMERCIAL BANK OF AFRICA RWANDA (CBA)</t>
  </si>
  <si>
    <t>FIBER VPN 10MBPS PRIV</t>
  </si>
  <si>
    <t>Samuel Kamali</t>
  </si>
  <si>
    <t>Samuel.Kamali@ncbagroup.com</t>
  </si>
  <si>
    <t xml:space="preserve">0788-316-909  </t>
  </si>
  <si>
    <t>C001274</t>
  </si>
  <si>
    <t>Yvette Uwamwezi</t>
  </si>
  <si>
    <t>yvetuwamwezi@gmail.com</t>
  </si>
  <si>
    <t>0730227865</t>
  </si>
  <si>
    <t>C002293</t>
  </si>
  <si>
    <t>Rwanda Housing Authority (RHA)</t>
  </si>
  <si>
    <t xml:space="preserve">Fiber VPN 20MBPS </t>
  </si>
  <si>
    <t>Emmy Bucyana</t>
  </si>
  <si>
    <t>emmy.bucyana@rha.gov.rw</t>
  </si>
  <si>
    <t>C003985</t>
  </si>
  <si>
    <t>IKUZE CLAUDINE</t>
  </si>
  <si>
    <t>saccogikondo@gmail.com</t>
  </si>
  <si>
    <t>0788-834-846</t>
  </si>
  <si>
    <t>C004041</t>
  </si>
  <si>
    <t>FIBER INTERNET 150MBPS</t>
  </si>
  <si>
    <t>Claude Afadhali</t>
  </si>
  <si>
    <t xml:space="preserve">claudeafadhali@greenhillsacademy.rw </t>
  </si>
  <si>
    <t>0788309557</t>
  </si>
  <si>
    <t>C003979</t>
  </si>
  <si>
    <t>JEAN BAPTISTE ZABANYINSHI</t>
  </si>
  <si>
    <t>ijabosaccokigaramaa@gmail.com</t>
  </si>
  <si>
    <t>0788-548-099</t>
  </si>
  <si>
    <t>C001183</t>
  </si>
  <si>
    <t>Claudine Nkurikiye</t>
  </si>
  <si>
    <t>kmcpoliclinic@yahoo.com</t>
  </si>
  <si>
    <t>0788560322</t>
  </si>
  <si>
    <t>C001632</t>
  </si>
  <si>
    <t>Bobson RUGAMBWA</t>
  </si>
  <si>
    <t>rbob@mvend.co.rw</t>
  </si>
  <si>
    <t>0788-318-046</t>
  </si>
  <si>
    <t>Cloud 1vCPU. 2GB RAM. 100GB Storage</t>
  </si>
  <si>
    <t>VPN Link btn RFL &amp; AoS (NDC)</t>
  </si>
  <si>
    <t>Theobard Bayingana</t>
  </si>
  <si>
    <t xml:space="preserve">Fiber VPN 5MBPS </t>
  </si>
  <si>
    <t>C002669</t>
  </si>
  <si>
    <t>NSABIMANA M. DESIRE</t>
  </si>
  <si>
    <t>rusororosector@gasabo.gov.rw</t>
  </si>
  <si>
    <t>C003993</t>
  </si>
  <si>
    <t>TRIPHOSE UMURERWA</t>
  </si>
  <si>
    <t>saccogahanga@yahoo.com</t>
  </si>
  <si>
    <t>0788-668-755</t>
  </si>
  <si>
    <t>C004001</t>
  </si>
  <si>
    <t>NSENGIYUMVA SIMON</t>
  </si>
  <si>
    <t>sacco2014sik@gmail.com</t>
  </si>
  <si>
    <t>DFL: Kigali - Muhanga</t>
  </si>
  <si>
    <t>C003023</t>
  </si>
  <si>
    <t>DR Bugesera</t>
  </si>
  <si>
    <t>Patrick Ntwali</t>
  </si>
  <si>
    <t xml:space="preserve">patrick.ntwali@imbank.co.rw </t>
  </si>
  <si>
    <t>0788300147</t>
  </si>
  <si>
    <t>Magerwa</t>
  </si>
  <si>
    <t>Kigali City Market</t>
  </si>
  <si>
    <t>CHIC Muhima</t>
  </si>
  <si>
    <t>Nyabugogo</t>
  </si>
  <si>
    <t>BNR</t>
  </si>
  <si>
    <t>Nyamirambo 2nd Link</t>
  </si>
  <si>
    <t>I&amp;M Data Center</t>
  </si>
  <si>
    <t>Rwamagana</t>
  </si>
  <si>
    <t>Remera</t>
  </si>
  <si>
    <t>Nyamirambo</t>
  </si>
  <si>
    <t xml:space="preserve">Kacyiru </t>
  </si>
  <si>
    <t>C002229</t>
  </si>
  <si>
    <t>CCM-GLOBAL MAIN BRANCH</t>
  </si>
  <si>
    <t>MICHEL</t>
  </si>
  <si>
    <t>mtmichel2001@gmail.com</t>
  </si>
  <si>
    <t>C000046</t>
  </si>
  <si>
    <t>Ruben</t>
  </si>
  <si>
    <t>rubenhaba6@gmail.com</t>
  </si>
  <si>
    <t>C000313</t>
  </si>
  <si>
    <t>BRD HQ</t>
  </si>
  <si>
    <t>Irenee Mugunga</t>
  </si>
  <si>
    <t>i.mugunga@brd.rw</t>
  </si>
  <si>
    <t>BRD DR 2nd Link</t>
  </si>
  <si>
    <t>Fiber VPN 50MBPS</t>
  </si>
  <si>
    <t>C000449</t>
  </si>
  <si>
    <t>Didier Mbonyumugenzi</t>
  </si>
  <si>
    <t>JMbonyumugenzi@rw.ci.org</t>
  </si>
  <si>
    <t>0788300884</t>
  </si>
  <si>
    <t>C001211</t>
  </si>
  <si>
    <t>Casimir</t>
  </si>
  <si>
    <t>casimir1958@yahoo.com/karegeya08@yahoo.fr</t>
  </si>
  <si>
    <t>0781411198/788870348</t>
  </si>
  <si>
    <t>C002165</t>
  </si>
  <si>
    <t>GASTON</t>
  </si>
  <si>
    <t>gnteziyaremye@rulindo.gov.rw</t>
  </si>
  <si>
    <t>C004162</t>
  </si>
  <si>
    <t>Benjamin Mulinzi</t>
  </si>
  <si>
    <t xml:space="preserve">plateaupcp@gmail.com </t>
  </si>
  <si>
    <t>0788-505-234</t>
  </si>
  <si>
    <t>C000635</t>
  </si>
  <si>
    <t>Mutesa</t>
  </si>
  <si>
    <t>mutesajacques@yahoo.com</t>
  </si>
  <si>
    <t>0788-807-299</t>
  </si>
  <si>
    <t>C002481</t>
  </si>
  <si>
    <t>RWANDA TELECENTER NETWORK</t>
  </si>
  <si>
    <t>Oliver Heinen</t>
  </si>
  <si>
    <t>oliver.heinen@posteo.de</t>
  </si>
  <si>
    <t>0788352325</t>
  </si>
  <si>
    <t>C003665</t>
  </si>
  <si>
    <t>cloud</t>
  </si>
  <si>
    <t>GAPITENE Bonaventure</t>
  </si>
  <si>
    <t>GAPITENE Bonaventure belecomsarl@gmail.com</t>
  </si>
  <si>
    <t>0783-271-311</t>
  </si>
  <si>
    <t>C000739</t>
  </si>
  <si>
    <t>Iyamuremye Francois</t>
  </si>
  <si>
    <t>gatsatasector@yahoo.com</t>
  </si>
  <si>
    <t>0788203319</t>
  </si>
  <si>
    <t>C000627</t>
  </si>
  <si>
    <t>Michel</t>
  </si>
  <si>
    <t>michelmuvange@yahoo.fr;esnyamirama@yahoo.co.uk</t>
  </si>
  <si>
    <t>C001404</t>
  </si>
  <si>
    <t>Addid Abbab - Vsat Link.</t>
  </si>
  <si>
    <t>Ethiopia</t>
  </si>
  <si>
    <t>Eric Ngabo</t>
  </si>
  <si>
    <t>engabo@minaffet.gov.rw</t>
  </si>
  <si>
    <t>0787-3549-68</t>
  </si>
  <si>
    <t>MINAFFET -Ministry HQ</t>
  </si>
  <si>
    <t>0787-3549-56</t>
  </si>
  <si>
    <t>0787-3549-55</t>
  </si>
  <si>
    <t>VoIP PHONES 1 - 20</t>
  </si>
  <si>
    <t>0787-3549-57</t>
  </si>
  <si>
    <t>0787-3549-58</t>
  </si>
  <si>
    <t>0787-3549-59</t>
  </si>
  <si>
    <t>0787-3549-69</t>
  </si>
  <si>
    <t>0787-3549-62</t>
  </si>
  <si>
    <t>0787-3549-61</t>
  </si>
  <si>
    <t>C001838</t>
  </si>
  <si>
    <t>Dr Deborah Abimana</t>
  </si>
  <si>
    <t xml:space="preserve">aderamia12@gmail.com </t>
  </si>
  <si>
    <t>0788897890</t>
  </si>
  <si>
    <t>C002797</t>
  </si>
  <si>
    <t>Tulay Bag</t>
  </si>
  <si>
    <t>embassy.kigali@mfa.gov.tr</t>
  </si>
  <si>
    <t>C001164</t>
  </si>
  <si>
    <t>Victor Mugabe</t>
  </si>
  <si>
    <t xml:space="preserve">victor.mugabe@kiac.org.rw </t>
  </si>
  <si>
    <t>0788411782</t>
  </si>
  <si>
    <t>RFL HQ.</t>
  </si>
  <si>
    <t>C000994</t>
  </si>
  <si>
    <t>NIYITURAGIYE Vedaste</t>
  </si>
  <si>
    <t xml:space="preserve"> hanikaaip3@gmail.com</t>
  </si>
  <si>
    <t>C000802</t>
  </si>
  <si>
    <t xml:space="preserve">Sr MUKAMANZI Philomene </t>
  </si>
  <si>
    <t>gbonconseil11@yahoo.com</t>
  </si>
  <si>
    <t>C001119</t>
  </si>
  <si>
    <t>Albert Ntabareshya</t>
  </si>
  <si>
    <t xml:space="preserve"> karongidistrict@karongi.gov.rw</t>
  </si>
  <si>
    <t>Karongi HQ</t>
  </si>
  <si>
    <t>Karongi Cell</t>
  </si>
  <si>
    <t>C001318</t>
  </si>
  <si>
    <t>kwizerafaustin12@gmail.com;gmaranyundo@yahoo.com</t>
  </si>
  <si>
    <t>783608242/0787924585/0782536587</t>
  </si>
  <si>
    <t>C002477</t>
  </si>
  <si>
    <t>C001691</t>
  </si>
  <si>
    <t>Remy Ntwali</t>
  </si>
  <si>
    <t>remy.ntwali@npsc.gov.rw</t>
  </si>
  <si>
    <t>0 783 427 843</t>
  </si>
  <si>
    <t>C003107</t>
  </si>
  <si>
    <t>N/A</t>
  </si>
  <si>
    <t>GIKUNGU JEAN CLAUDE</t>
  </si>
  <si>
    <t>gatengasacco18@gmail.com</t>
  </si>
  <si>
    <t>0788-593-874</t>
  </si>
  <si>
    <t>C001701</t>
  </si>
  <si>
    <t>RUTAGANDA Silas</t>
  </si>
  <si>
    <t>srutaganda@cnf.gov.rw</t>
  </si>
  <si>
    <t>0788771765</t>
  </si>
  <si>
    <t>Silas</t>
  </si>
  <si>
    <t>ruts1961@yahoo.fr</t>
  </si>
  <si>
    <t>0788-771-765</t>
  </si>
  <si>
    <t>C000763</t>
  </si>
  <si>
    <t>Gicumbi District VPN LAIS</t>
  </si>
  <si>
    <t>Mathus Mutesa.</t>
  </si>
  <si>
    <t>gicumbidistrict@gicumbi.gov.rw</t>
  </si>
  <si>
    <t>Secure Browsing</t>
  </si>
  <si>
    <t>4G ONE NETWORK 500MB</t>
  </si>
  <si>
    <t>C000956</t>
  </si>
  <si>
    <t>Marie-Bonne Umwiza</t>
  </si>
  <si>
    <t>mumwiza@intare.rw</t>
  </si>
  <si>
    <t>C001472</t>
  </si>
  <si>
    <t xml:space="preserve">Egide Mugwaneza </t>
  </si>
  <si>
    <t>egide.mugwaneza@minijust.gov.rw</t>
  </si>
  <si>
    <t>0 784 304 647</t>
  </si>
  <si>
    <t>C004204</t>
  </si>
  <si>
    <t>Four Points by Sheraton</t>
  </si>
  <si>
    <t>FIBER INTERNET 200MBPS</t>
  </si>
  <si>
    <t>Aimable Nshimiye</t>
  </si>
  <si>
    <t xml:space="preserve">Aimable.nshimiye@marriott.com </t>
  </si>
  <si>
    <t>0722000029</t>
  </si>
  <si>
    <t>C003910</t>
  </si>
  <si>
    <t>KIGALI MARRIOTT HOTEL</t>
  </si>
  <si>
    <t>FIBER INTERNET 350MBPS</t>
  </si>
  <si>
    <t xml:space="preserve">Aimable.nshimiye@marriot.com </t>
  </si>
  <si>
    <t>0788533038</t>
  </si>
  <si>
    <t>C001690</t>
  </si>
  <si>
    <t>NATIONAL FORUM FOR POLITICAL ORGANISATIONS (NFPO)</t>
  </si>
  <si>
    <t>Ngarambe JeanPaul</t>
  </si>
  <si>
    <t>ngabe.paul@gmail.com,info@forumfp.org.rw</t>
  </si>
  <si>
    <t>C002955</t>
  </si>
  <si>
    <t>MUTIJIMA</t>
  </si>
  <si>
    <t>amutijima@rtb.gov.rw</t>
  </si>
  <si>
    <t>Rwanda Coding Academy</t>
  </si>
  <si>
    <t>MSS-GOLD</t>
  </si>
  <si>
    <t>C001783</t>
  </si>
  <si>
    <t>NIRDA Huye</t>
  </si>
  <si>
    <t>Valens Nyangezi</t>
  </si>
  <si>
    <t>fabrice.tubanenimana@nirda.gov.rw</t>
  </si>
  <si>
    <t>NIRDA Kigali</t>
  </si>
  <si>
    <t>C002356</t>
  </si>
  <si>
    <t>RNP-MDP JTF HQ</t>
  </si>
  <si>
    <t>Elie KUBWIMANA</t>
  </si>
  <si>
    <t>dit@police.gov.rw</t>
  </si>
  <si>
    <t>0788-311-706</t>
  </si>
  <si>
    <t>RNP-PRIMIERO DE MAIO</t>
  </si>
  <si>
    <t>C000158</t>
  </si>
  <si>
    <t xml:space="preserve">Pierrot Kagabe </t>
  </si>
  <si>
    <t>pierrot.kagabe@atl.rw</t>
  </si>
  <si>
    <t>0788540134</t>
  </si>
  <si>
    <t>C004027</t>
  </si>
  <si>
    <t>NSANZIMANA SYLVESTRE</t>
  </si>
  <si>
    <t>bazirubusa55@gmail.com</t>
  </si>
  <si>
    <t>C000603</t>
  </si>
  <si>
    <t>KANA Jean Pierre</t>
  </si>
  <si>
    <t>endpkschool@gmail.com</t>
  </si>
  <si>
    <t>C003138</t>
  </si>
  <si>
    <t>AIMABLE HAKUZIMANA</t>
  </si>
  <si>
    <t>gasabo.remera@gov.rw</t>
  </si>
  <si>
    <t>remerasector@gasabo.gov.rw</t>
  </si>
  <si>
    <t>0788471740</t>
  </si>
  <si>
    <t>C001186</t>
  </si>
  <si>
    <t>10Mbps HBB Package</t>
  </si>
  <si>
    <t>Gilbert Gasasira</t>
  </si>
  <si>
    <t>kigalisacco@yahoo.fr</t>
  </si>
  <si>
    <t>0788765741</t>
  </si>
  <si>
    <t>C002957</t>
  </si>
  <si>
    <t>World Food Program</t>
  </si>
  <si>
    <t>Fiber Private Internet 4MBPS</t>
  </si>
  <si>
    <t>placide</t>
  </si>
  <si>
    <t>placide.mutuyimana@wfp.org</t>
  </si>
  <si>
    <t>C001394</t>
  </si>
  <si>
    <t>Martin NSENGIYUMVA</t>
  </si>
  <si>
    <t>dir_ict@mmi.gov.rw,sysadmin@mmi.gov.rw</t>
  </si>
  <si>
    <t>C002273</t>
  </si>
  <si>
    <t>Rusizi Tourism</t>
  </si>
  <si>
    <t>FIBER INTERNET1MBPS GOV</t>
  </si>
  <si>
    <t>Laurence Umuhire</t>
  </si>
  <si>
    <t>laurence.umuhire@rdb.rw</t>
  </si>
  <si>
    <t>0783855488</t>
  </si>
  <si>
    <t>Kinigi VPN</t>
  </si>
  <si>
    <t>Kinigi Office</t>
  </si>
  <si>
    <t>FIBER INTERNET 3MBPS GOV</t>
  </si>
  <si>
    <t>Camp Kigali</t>
  </si>
  <si>
    <t>Rubavu Tourism</t>
  </si>
  <si>
    <t xml:space="preserve">Huye Employement </t>
  </si>
  <si>
    <t>FIBER INTERNET 5MBPS GOV</t>
  </si>
  <si>
    <t xml:space="preserve">Musanze Employement </t>
  </si>
  <si>
    <t>Gishwati Mukura</t>
  </si>
  <si>
    <t>Data Center</t>
  </si>
  <si>
    <t>ICT Innovation</t>
  </si>
  <si>
    <t>RDB HQ</t>
  </si>
  <si>
    <t>NATIONAL ID PROJECT (NID) HQ</t>
  </si>
  <si>
    <t>Eric NTAGANZWA</t>
  </si>
  <si>
    <t>eric.ntaganzwa@nida.gov.rw</t>
  </si>
  <si>
    <t>C000566</t>
  </si>
  <si>
    <t>Nizeyimana</t>
  </si>
  <si>
    <t>vedangani@gmail.com;ecodartnyundo@gmail.com</t>
  </si>
  <si>
    <t>0785089996/0788623303</t>
  </si>
  <si>
    <t>C000628</t>
  </si>
  <si>
    <t>Kazungu jp</t>
  </si>
  <si>
    <t>esnyange@yahoo.fr;jmukandayisaba@gmail.com</t>
  </si>
  <si>
    <t>0788585259/0789139650</t>
  </si>
  <si>
    <t>C000643</t>
  </si>
  <si>
    <t>UGIRINSHUTI Jean d'Amour</t>
  </si>
  <si>
    <t>etogatumba@gmail.com</t>
  </si>
  <si>
    <t>IPRC Karongi</t>
  </si>
  <si>
    <t>fiber vpn 15mbps</t>
  </si>
  <si>
    <t>Ephraim</t>
  </si>
  <si>
    <t>iprcwest@gmail.com;iprckarongi@gmail.com;info@iprckarongi.rp.ac.rw</t>
  </si>
  <si>
    <t>C002446</t>
  </si>
  <si>
    <t>FIBER INTERNET 60MBPS</t>
  </si>
  <si>
    <t xml:space="preserve">KIREZI Croix </t>
  </si>
  <si>
    <t>Croix.KIREZI@mantiscollection.com</t>
  </si>
  <si>
    <t>0783 221 871</t>
  </si>
  <si>
    <t>SAINTE BERNADETTE</t>
  </si>
  <si>
    <t>Ruhuha – RIB Station</t>
  </si>
  <si>
    <t>Nyamata – RIB Station</t>
  </si>
  <si>
    <t>RIRIMA– RIB Station</t>
  </si>
  <si>
    <t>NTARAMA– RIB Station</t>
  </si>
  <si>
    <t>GASHORA – RIB Station</t>
  </si>
  <si>
    <t>KAMABUYE – RIB Station</t>
  </si>
  <si>
    <t>Cyanika – RIB Station</t>
  </si>
  <si>
    <t>Butaro – RIB Station</t>
  </si>
  <si>
    <t>Gahunga – RIB Station</t>
  </si>
  <si>
    <t>Bungwe – RIB Station</t>
  </si>
  <si>
    <t>Nyarusiza – RIB Station</t>
  </si>
  <si>
    <t>Cyabingo – RIB Station</t>
  </si>
  <si>
    <t>Janja – RIB Station</t>
  </si>
  <si>
    <t>Rushashi – RIB Station</t>
  </si>
  <si>
    <t>Ruli – RIB Station</t>
  </si>
  <si>
    <t>RWERU– RIB Station</t>
  </si>
  <si>
    <t>Kimironko – RIB Station</t>
  </si>
  <si>
    <t>Rusororo – RIB Station</t>
  </si>
  <si>
    <t>Ndera – RIB Station</t>
  </si>
  <si>
    <t>Kacyiru – RIB Station</t>
  </si>
  <si>
    <t>Gatsata – RIB Station</t>
  </si>
  <si>
    <t>Kinyinya – RIB Station</t>
  </si>
  <si>
    <t>Nduba – RIB Station</t>
  </si>
  <si>
    <t>Jabana – RIB Station</t>
  </si>
  <si>
    <t>Kimihurura – RIB Station</t>
  </si>
  <si>
    <t>Gikomero – RIB Station</t>
  </si>
  <si>
    <t>Bumbogo – RIB Station</t>
  </si>
  <si>
    <t xml:space="preserve">Ngarama </t>
  </si>
  <si>
    <t>Rugarama – RIB Station.</t>
  </si>
  <si>
    <t>Kiramuruzi – RIB Station.</t>
  </si>
  <si>
    <t>Gatsibo – RIB Station.</t>
  </si>
  <si>
    <t>Gahini – RIB Station.</t>
  </si>
  <si>
    <t>Mwiri – RIB Station.</t>
  </si>
  <si>
    <t>Kaniga – RIB Station</t>
  </si>
  <si>
    <t>Byumba – RIB Station</t>
  </si>
  <si>
    <t>Rutare – RIB Station</t>
  </si>
  <si>
    <t>Bukure – RIB Station</t>
  </si>
  <si>
    <t>CYUMBA – RIB Station</t>
  </si>
  <si>
    <t>RUSHAKI– RIB Station</t>
  </si>
  <si>
    <t>Save – RIB Station</t>
  </si>
  <si>
    <t>RIB KIBIRIZI– RIB Station</t>
  </si>
  <si>
    <t>RIB MUGOMBWA– RIB Station</t>
  </si>
  <si>
    <t>RIB SAVE– RIB Station</t>
  </si>
  <si>
    <t>RIB GIKONKO– RIB Station</t>
  </si>
  <si>
    <t>Ngoma – RIB Station</t>
  </si>
  <si>
    <t>NTYAZO– RIB Station</t>
  </si>
  <si>
    <t>HUYE.– RIB Station</t>
  </si>
  <si>
    <t>SIMBI– RIB Station</t>
  </si>
  <si>
    <t>MBAZI– RIB Station</t>
  </si>
  <si>
    <t>MUKURA– RIB Station</t>
  </si>
  <si>
    <t>TUMBA– RIB Station</t>
  </si>
  <si>
    <t>KARAMA– RIB Station</t>
  </si>
  <si>
    <t>KINAZI– RIB Station</t>
  </si>
  <si>
    <t>RUSATIRA– RIB Station</t>
  </si>
  <si>
    <t>GACURAMBWENGE– RIB Station</t>
  </si>
  <si>
    <t>Runda – RIB Station</t>
  </si>
  <si>
    <t>Musambira – RIB Station</t>
  </si>
  <si>
    <t>Rukoma – RIB Station</t>
  </si>
  <si>
    <t>Mugina – RIB Station</t>
  </si>
  <si>
    <t>Kayenzi – RIB Station</t>
  </si>
  <si>
    <t>Gashari – RIB Station</t>
  </si>
  <si>
    <t>NYANGE– RIB Station</t>
  </si>
  <si>
    <t>RUBENGERA– RIB Station</t>
  </si>
  <si>
    <t>RWANKUBA– RIB Station</t>
  </si>
  <si>
    <t>GISHYITA– RIB Station</t>
  </si>
  <si>
    <t>MURUNDI– RIB Station</t>
  </si>
  <si>
    <t>RIB GISHARI– RIB Station</t>
  </si>
  <si>
    <t>Rukara – RIB Station.</t>
  </si>
  <si>
    <t>Kabarondo – RIB Station.</t>
  </si>
  <si>
    <t>Rwinkwavu – RIB Station.</t>
  </si>
  <si>
    <t>Nyamirama – RIB Station.</t>
  </si>
  <si>
    <t>Katabagemu – RIB Station.</t>
  </si>
  <si>
    <t>Kayonza – RIB Station.</t>
  </si>
  <si>
    <t>Ndego – RIB Station.</t>
  </si>
  <si>
    <t>Murama – RIB Station.</t>
  </si>
  <si>
    <t>Ruramira – RIB Station.</t>
  </si>
  <si>
    <t xml:space="preserve">Gikondo – RIB Station </t>
  </si>
  <si>
    <t>Nyarugunga – RIB Station</t>
  </si>
  <si>
    <t>Kanombe – RIB Station</t>
  </si>
  <si>
    <t>Gahanga – RIB Station</t>
  </si>
  <si>
    <t>Masaka – RIB Station</t>
  </si>
  <si>
    <t>KIcukiro – RIB Station</t>
  </si>
  <si>
    <t>KIgarama – RIB Station</t>
  </si>
  <si>
    <t>Nyarubuye – RIB Station</t>
  </si>
  <si>
    <t>NYAMUGALI– RIB Station</t>
  </si>
  <si>
    <t>MAHAMA– RIB Station</t>
  </si>
  <si>
    <t>GATORE– RIB Station</t>
  </si>
  <si>
    <t>NASHO– RIB Station</t>
  </si>
  <si>
    <t>MPANGA– RIB Station</t>
  </si>
  <si>
    <t>Muhanga – RIB Station</t>
  </si>
  <si>
    <t>Kiyumba  – RIB Station</t>
  </si>
  <si>
    <t>RUSANGE – RIB Station</t>
  </si>
  <si>
    <t>MUSHISHIRO – RIB Station</t>
  </si>
  <si>
    <t>NYAMABUYE – RIB Station</t>
  </si>
  <si>
    <t>Kinigi – RIB Station.</t>
  </si>
  <si>
    <t>Busogo – RIB Station</t>
  </si>
  <si>
    <t>Remera – RIB Station</t>
  </si>
  <si>
    <t>Zaza – RIB Station</t>
  </si>
  <si>
    <t>Sake – RIB Station</t>
  </si>
  <si>
    <t>Mutenderi – RIB Station</t>
  </si>
  <si>
    <t>NGOMA - REMERA– RIB Station</t>
  </si>
  <si>
    <t>RUKIRA– RIB Station</t>
  </si>
  <si>
    <t>RUKUMBERI– RIB Station</t>
  </si>
  <si>
    <t>Kavumu – RIB Station</t>
  </si>
  <si>
    <t>Gatumba – RIB Station</t>
  </si>
  <si>
    <t>Ngororero– RIB Station</t>
  </si>
  <si>
    <t>Kabaya – RIB Station</t>
  </si>
  <si>
    <t xml:space="preserve">Rugera – RIB Station </t>
  </si>
  <si>
    <t>JENDA– RIB Station</t>
  </si>
  <si>
    <t>JOMBA– RIB Station</t>
  </si>
  <si>
    <t>Matimba – RIB Station</t>
  </si>
  <si>
    <t>Gatunda – RIB Station</t>
  </si>
  <si>
    <t>Mimuri – RIB Station</t>
  </si>
  <si>
    <t>Rwempasha – RIB Station.</t>
  </si>
  <si>
    <t>Musheri – RIB Station.</t>
  </si>
  <si>
    <t>Karangaz i – RIB Station.</t>
  </si>
  <si>
    <t>Rwimiyaga – RIB Station.</t>
  </si>
  <si>
    <t>Karama – RIB Station.</t>
  </si>
  <si>
    <t>Kaduha – RIB Station</t>
  </si>
  <si>
    <t>Tare – RIB Station</t>
  </si>
  <si>
    <t>GASASIRA– RIB Station</t>
  </si>
  <si>
    <t>GASAKA– RIB Station</t>
  </si>
  <si>
    <t>RUSEBEYA– RIB Station</t>
  </si>
  <si>
    <t>KITABI– RIB Station</t>
  </si>
  <si>
    <t>MUSEBEYA– RIB Station</t>
  </si>
  <si>
    <t>KIBANGO– RIB Station</t>
  </si>
  <si>
    <t xml:space="preserve">Kanjongo – RIB Station </t>
  </si>
  <si>
    <t>MACUBA– RIB Station</t>
  </si>
  <si>
    <t>GIHOMBO– RIB Station</t>
  </si>
  <si>
    <t>RUHARAMBUGA.– RIB Station</t>
  </si>
  <si>
    <t>SHANGI– RIB Station</t>
  </si>
  <si>
    <t>Byimana – RIB Station</t>
  </si>
  <si>
    <t>Kinazi – RIB Station</t>
  </si>
  <si>
    <t>KABAGALI– RIB Station</t>
  </si>
  <si>
    <t>Muyira – RIB Station</t>
  </si>
  <si>
    <t>NYANZA– RIB Station</t>
  </si>
  <si>
    <t>MUKINGO– RIB Station</t>
  </si>
  <si>
    <t>BUSORO– RIB Station</t>
  </si>
  <si>
    <t>NYAGISOZI– RIB Station</t>
  </si>
  <si>
    <t>BUSASAMANA– RIB Station</t>
  </si>
  <si>
    <t>Mageragere – RIB Station</t>
  </si>
  <si>
    <t>Kigali – RIB Station</t>
  </si>
  <si>
    <t>Rwezamenyo – RIB Station</t>
  </si>
  <si>
    <t>Kimisagara – RIB Station</t>
  </si>
  <si>
    <t>Nyarugenge – RIB Station</t>
  </si>
  <si>
    <t>Muhima – RIB Station</t>
  </si>
  <si>
    <t>Nyamirambo – RIB Station</t>
  </si>
  <si>
    <t>DCI Office.</t>
  </si>
  <si>
    <t>Mata – RIB Station</t>
  </si>
  <si>
    <t>Nyagisozi – RIB Station</t>
  </si>
  <si>
    <t>Muganza – RIB Station</t>
  </si>
  <si>
    <t>KIBEHO – RIB Station</t>
  </si>
  <si>
    <t>MUGANZA – RIB Station</t>
  </si>
  <si>
    <t>Ngera – RIB Station</t>
  </si>
  <si>
    <t>Busanze – RIB Station</t>
  </si>
  <si>
    <t xml:space="preserve">Kanama – RIB Station </t>
  </si>
  <si>
    <t>RUGERERO– RIB Station</t>
  </si>
  <si>
    <t>GISENYI– RIB Station</t>
  </si>
  <si>
    <t>Kibangu – RIB Station.</t>
  </si>
  <si>
    <t>Nyamabuye – RIB Station.</t>
  </si>
  <si>
    <t>Kabagari – RIB Station</t>
  </si>
  <si>
    <t>Kinihira – RIB Station</t>
  </si>
  <si>
    <t>Bushoki – RIB Station</t>
  </si>
  <si>
    <t>Tumba – RIB Station</t>
  </si>
  <si>
    <t>Murambi – RIB Station</t>
  </si>
  <si>
    <t>Shyorongi – RIB Station</t>
  </si>
  <si>
    <t>Ntarabana – RIB Station</t>
  </si>
  <si>
    <t>Kamembe – RIB Station.</t>
  </si>
  <si>
    <t>Rwimbogo – RIB Station</t>
  </si>
  <si>
    <t>Gashonga – RIB Station</t>
  </si>
  <si>
    <t>Nyakabuye– RIB Station</t>
  </si>
  <si>
    <t>Bweyeye – RIB Station</t>
  </si>
  <si>
    <t>Nyakarenzo – RIB Station</t>
  </si>
  <si>
    <t>Bugarama – RIB Station.</t>
  </si>
  <si>
    <t>Nkaka – RIB Station</t>
  </si>
  <si>
    <t xml:space="preserve">Kivumu – RIB Station </t>
  </si>
  <si>
    <t>Ruhango – RIB Station</t>
  </si>
  <si>
    <t xml:space="preserve">Rutsiro – RIB D. Bureau. </t>
  </si>
  <si>
    <t>Musha – RIB Station</t>
  </si>
  <si>
    <t>Nzige – RIB Station</t>
  </si>
  <si>
    <t>Rubona – RIB Station</t>
  </si>
  <si>
    <t>Muyumbu – RIB Station</t>
  </si>
  <si>
    <t>Karenge – RIB Station</t>
  </si>
  <si>
    <t>RWANDA INVESTIGSTION BUREAU (RIB) HQ.</t>
  </si>
  <si>
    <t>RWA100</t>
  </si>
  <si>
    <t>KAMUHANDA BENOIT</t>
  </si>
  <si>
    <t>kamustreet@gmail.com</t>
  </si>
  <si>
    <t>0788-828-266</t>
  </si>
  <si>
    <t>5U Rack Space</t>
  </si>
  <si>
    <t>Kagitumba - Remera SS (via Birembo)</t>
  </si>
  <si>
    <t>IHS Rubavu - Umubano Pylon (via Musanze)</t>
  </si>
  <si>
    <t>IHS Rubavu - Remera SS (via Karongi)</t>
  </si>
  <si>
    <t>C003810</t>
  </si>
  <si>
    <t>Pension Plazza</t>
  </si>
  <si>
    <t>Judith Umulinga</t>
  </si>
  <si>
    <t>judith.umulinga@udl.rw</t>
  </si>
  <si>
    <t>0788478273</t>
  </si>
  <si>
    <t xml:space="preserve">Kacyiru Executive Apartement </t>
  </si>
  <si>
    <t>Fiber Internet: ILPD Nyanza</t>
  </si>
  <si>
    <t>C000052</t>
  </si>
  <si>
    <t>Fiber Internet: Afriprecast Masaka</t>
  </si>
  <si>
    <t>Urbain Mugiraneza</t>
  </si>
  <si>
    <t>urbainm@afriprecastltd.com</t>
  </si>
  <si>
    <t>0 788 383 000</t>
  </si>
  <si>
    <t xml:space="preserve"> C004377 </t>
  </si>
  <si>
    <t xml:space="preserve"> SINELAC </t>
  </si>
  <si>
    <t xml:space="preserve"> Standard </t>
  </si>
  <si>
    <t>FIBER INTERNET 3MBS ZERO RATED</t>
  </si>
  <si>
    <t>C000514</t>
  </si>
  <si>
    <t>Immigration La corniche (Extension)</t>
  </si>
  <si>
    <t>Kyllia Diane</t>
  </si>
  <si>
    <t>crwagasore@migration.gov.rw,mrwamwaga@state.gov.rw,dkuwase@state.gov.rw</t>
  </si>
  <si>
    <t>Cyanika</t>
  </si>
  <si>
    <t xml:space="preserve">Immigration Gatuna Border </t>
  </si>
  <si>
    <t>Immigration Kagitumba Border (RW)</t>
  </si>
  <si>
    <t xml:space="preserve">Immigration Ruhwa Border </t>
  </si>
  <si>
    <t xml:space="preserve">Immigration Bugarama Border </t>
  </si>
  <si>
    <t xml:space="preserve">Immigration Akanyaru Border </t>
  </si>
  <si>
    <t>Immigration  Rusizi 2 Border</t>
  </si>
  <si>
    <t>Immigration Rusizi 1  Border</t>
  </si>
  <si>
    <t>Immigration  Cyanika  Border (UG&amp;RW)</t>
  </si>
  <si>
    <t>Immigration Kagitumba Border (UG)</t>
  </si>
  <si>
    <t>Immigration Petite Barriere (Poid Lourd)</t>
  </si>
  <si>
    <t>Immigration  Kanombe  Airport (VIP)</t>
  </si>
  <si>
    <t>Immigration  Kanombe  Airport</t>
  </si>
  <si>
    <t>Immigration Rusumo -  Border (RW)</t>
  </si>
  <si>
    <t>Immigration Rusumo -  Border (GW)</t>
  </si>
  <si>
    <t>Immigration Rubavu La Corniche Border</t>
  </si>
  <si>
    <t>DGIE Kacyiru</t>
  </si>
  <si>
    <t>L000087</t>
  </si>
  <si>
    <t>Buzare Gershom</t>
  </si>
  <si>
    <t>buzaregershom16@gmail.com</t>
  </si>
  <si>
    <t>C001407</t>
  </si>
  <si>
    <t>MINAGRI - Kirehe (NAICO) - Warren Buffet</t>
  </si>
  <si>
    <t>Alex Lamberts</t>
  </si>
  <si>
    <t>nashoirrigation@gmail.com</t>
  </si>
  <si>
    <t>0787-520-930</t>
  </si>
  <si>
    <t>C001790</t>
  </si>
  <si>
    <t>NISS Kimihurura</t>
  </si>
  <si>
    <t>Wireless Broadband 5Mbps</t>
  </si>
  <si>
    <t>NISS Kacyiru</t>
  </si>
  <si>
    <t>NISS Gako</t>
  </si>
  <si>
    <t>FIBER VPN 35MBPS</t>
  </si>
  <si>
    <t>NISS HQ</t>
  </si>
  <si>
    <t>4G MUP 200GB</t>
  </si>
  <si>
    <t>4G MUP 100GB</t>
  </si>
  <si>
    <t xml:space="preserve"> Bugesera</t>
  </si>
  <si>
    <t>NISS Gakenke</t>
  </si>
  <si>
    <t>NISS Nemba</t>
  </si>
  <si>
    <t xml:space="preserve"> Gasabo:</t>
  </si>
  <si>
    <t>NISS Gatsibo</t>
  </si>
  <si>
    <t>NISS Gicumbi</t>
  </si>
  <si>
    <t>NISS Gatuna</t>
  </si>
  <si>
    <t>NISS Gisagara</t>
  </si>
  <si>
    <t>NISS Huye</t>
  </si>
  <si>
    <t>NISS Kamonyi</t>
  </si>
  <si>
    <t>NISS Karongi</t>
  </si>
  <si>
    <t>NISS Kayonza</t>
  </si>
  <si>
    <t>NISS Kagitumba</t>
  </si>
  <si>
    <t>NISS Airport</t>
  </si>
  <si>
    <t>NISS Kicukiro</t>
  </si>
  <si>
    <t>NISS Kirehe</t>
  </si>
  <si>
    <t>NISS Rusumo</t>
  </si>
  <si>
    <t xml:space="preserve"> Muhanga</t>
  </si>
  <si>
    <t xml:space="preserve"> Musanze</t>
  </si>
  <si>
    <t>NISS Ngoma</t>
  </si>
  <si>
    <t xml:space="preserve"> Ngororero</t>
  </si>
  <si>
    <t xml:space="preserve"> Nyabihu</t>
  </si>
  <si>
    <t>NISS Nyagatare</t>
  </si>
  <si>
    <t>NISS Nyamagabe</t>
  </si>
  <si>
    <t xml:space="preserve"> Cyanika</t>
  </si>
  <si>
    <t>NISS Nyamasheke</t>
  </si>
  <si>
    <t>NISS Nyanza</t>
  </si>
  <si>
    <t>NISS Akanyaru</t>
  </si>
  <si>
    <t>NISS Nyarugenge</t>
  </si>
  <si>
    <t>Poids lourd</t>
  </si>
  <si>
    <t>NISS Nyaruguru</t>
  </si>
  <si>
    <t>NISS Rubavu</t>
  </si>
  <si>
    <t>Corniche</t>
  </si>
  <si>
    <t>NISS Ruhango</t>
  </si>
  <si>
    <t>NISS Rulindo</t>
  </si>
  <si>
    <t>NISS Rusizi</t>
  </si>
  <si>
    <t>NISS Rusizi 1</t>
  </si>
  <si>
    <t>NISS Rusizi 2</t>
  </si>
  <si>
    <t>NISS Ruhwa</t>
  </si>
  <si>
    <t>Bugarama</t>
  </si>
  <si>
    <t>NISS Rutsiro</t>
  </si>
  <si>
    <t>NISS Rwamagana</t>
  </si>
  <si>
    <t>VPN over LTE 1Mbps</t>
  </si>
  <si>
    <t>FIBER VPN 8MBPS</t>
  </si>
  <si>
    <t>FIBER VPN 12MBPS</t>
  </si>
  <si>
    <t>C002112</t>
  </si>
  <si>
    <t>BUGESERA</t>
  </si>
  <si>
    <t>Akumuntu Athanase</t>
  </si>
  <si>
    <t>JeanPierre.Ndayisaba@rlma.rw</t>
  </si>
  <si>
    <t>CORS-RDB</t>
  </si>
  <si>
    <t>CORS-UR HUYE</t>
  </si>
  <si>
    <t>CORS KARONGI</t>
  </si>
  <si>
    <t>KARONGI RLMUA</t>
  </si>
  <si>
    <t>CORS KAYONZA</t>
  </si>
  <si>
    <t>KAYONZA RLMUA</t>
  </si>
  <si>
    <t>CARS-KIREHE</t>
  </si>
  <si>
    <t>CORS-UR ISAE BUSOGO</t>
  </si>
  <si>
    <t>MUSANZE</t>
  </si>
  <si>
    <t>CORS-NYAGATARE</t>
  </si>
  <si>
    <t>Nyanza RLMUA</t>
  </si>
  <si>
    <t>NYANZA RLMUA</t>
  </si>
  <si>
    <t>HQ RLMUA</t>
  </si>
  <si>
    <t>CORS HQ</t>
  </si>
  <si>
    <t>RUBAVU RLMUA</t>
  </si>
  <si>
    <t>RUSIZI HC</t>
  </si>
  <si>
    <t>RLMUA HQ</t>
  </si>
  <si>
    <t>ISCO</t>
  </si>
  <si>
    <t>ISCO HQ</t>
  </si>
  <si>
    <t>Fiber broadband internet  25Mbps</t>
  </si>
  <si>
    <t>Jerome RUZIGANA</t>
  </si>
  <si>
    <t>jruzigana@isco.co.rw</t>
  </si>
  <si>
    <t>0788301481</t>
  </si>
  <si>
    <t>Real Contractors HQ</t>
  </si>
  <si>
    <t>Fiber Broadband Internet 22Mbps</t>
  </si>
  <si>
    <t>INYANGE Industry Masaka</t>
  </si>
  <si>
    <t>Real Contractors (Amahoro Stadium)</t>
  </si>
  <si>
    <t>Real Contractors Gikondo Production</t>
  </si>
  <si>
    <t>SEAL</t>
  </si>
  <si>
    <t>NPD KIP</t>
  </si>
  <si>
    <t>C001196</t>
  </si>
  <si>
    <t>Jean Claude Niyonsaba</t>
  </si>
  <si>
    <t>jeanclaude_niyonsaba13@yahoo.com</t>
  </si>
  <si>
    <t>0789197948</t>
  </si>
  <si>
    <t>C000942</t>
  </si>
  <si>
    <t>INILAK Nyanza</t>
  </si>
  <si>
    <t>Richard</t>
  </si>
  <si>
    <t>niyo_richard@yahoo.fr;nyenani@gmail.com</t>
  </si>
  <si>
    <t>0738306501/0738306534</t>
  </si>
  <si>
    <t>INILAK HQ</t>
  </si>
  <si>
    <t>0738306501/0738306536</t>
  </si>
  <si>
    <t>Maranatha</t>
  </si>
  <si>
    <t>0738306501/0738306537</t>
  </si>
  <si>
    <t>INILAK Rwamagana</t>
  </si>
  <si>
    <t>0738306501/0738306535</t>
  </si>
  <si>
    <t>C001406</t>
  </si>
  <si>
    <t>MINAGRI - HQ</t>
  </si>
  <si>
    <t>FiBER VPN 1MBPS (Kaspersky Server)</t>
  </si>
  <si>
    <t>Martine K. Nezerwa</t>
  </si>
  <si>
    <t xml:space="preserve">ekwizera@minagri.gov.rw </t>
  </si>
  <si>
    <t>0781-811-253</t>
  </si>
  <si>
    <t>C001905</t>
  </si>
  <si>
    <t>NYAMATA-MAIN BRANCH</t>
  </si>
  <si>
    <t xml:space="preserve">SEZIRAHIGA Eugene </t>
  </si>
  <si>
    <t>nyamata.hospital@moh.gov.rw</t>
  </si>
  <si>
    <t>C001937</t>
  </si>
  <si>
    <t>Emmanuel Hategekimana</t>
  </si>
  <si>
    <t>ehategekimana@ogs.gov.rw</t>
  </si>
  <si>
    <t>C004226</t>
  </si>
  <si>
    <t>10 GB&amp;20mbps</t>
  </si>
  <si>
    <t>RUGAMBYA MAGNIFIQUE GAKUBA</t>
  </si>
  <si>
    <t>info@rmlogistics.rw</t>
  </si>
  <si>
    <t>0788-410-043</t>
  </si>
  <si>
    <t>Peter songa</t>
  </si>
  <si>
    <t>RWANDA POLYTECHNIC (RP)</t>
  </si>
  <si>
    <t>fiber vpn 100mbps</t>
  </si>
  <si>
    <t>David Mugume</t>
  </si>
  <si>
    <t>info@rp.ac.rw;dmugume@rp.ac.rw;dvcaf@rp.ac.rw</t>
  </si>
  <si>
    <t>C004107</t>
  </si>
  <si>
    <t>FIBER INTERNET 50MBPS</t>
  </si>
  <si>
    <t xml:space="preserve">Rutebuka Hervé </t>
  </si>
  <si>
    <t>hrutebuka@sfhrwanda.org,imigambi@sfhrwanda.org</t>
  </si>
  <si>
    <t>C004142</t>
  </si>
  <si>
    <t>CLAUDINE  UMULINGA</t>
  </si>
  <si>
    <t>mwangamj@gmail.com</t>
  </si>
  <si>
    <t>0789-000-340</t>
  </si>
  <si>
    <t>C000825</t>
  </si>
  <si>
    <t>Didier Mugiraneza</t>
  </si>
  <si>
    <t xml:space="preserve">didier.mugiraneza@gtbank.com </t>
  </si>
  <si>
    <t>0788355818</t>
  </si>
  <si>
    <t>C003898</t>
  </si>
  <si>
    <t>Cloud 6vCPU. 12GB RAM. 450GB Storage</t>
  </si>
  <si>
    <t>Rene Kabagamba</t>
  </si>
  <si>
    <t>renekabagamba@gmail.com</t>
  </si>
  <si>
    <t>0785-561-509</t>
  </si>
  <si>
    <t>NESA HQ.</t>
  </si>
  <si>
    <t xml:space="preserve"> 4G MUP 8GB/DAY </t>
  </si>
  <si>
    <t>Fiber Internet: PM Residence</t>
  </si>
  <si>
    <t>C001917</t>
  </si>
  <si>
    <t>Innocent Hagenimana</t>
  </si>
  <si>
    <t>nyarugunga@kicukiro.gov.rw</t>
  </si>
  <si>
    <t>0783542526</t>
  </si>
  <si>
    <t>C002635</t>
  </si>
  <si>
    <t>Museveni joseph</t>
  </si>
  <si>
    <t>musevenijoseph@gmail.com</t>
  </si>
  <si>
    <t>0783-259-969</t>
  </si>
  <si>
    <t>C004077</t>
  </si>
  <si>
    <t>Marceline Sugira</t>
  </si>
  <si>
    <t>msugira@fic.gov.rw</t>
  </si>
  <si>
    <t>0785175203</t>
  </si>
  <si>
    <t>VoIP</t>
  </si>
  <si>
    <t>IP Range 1-20 Phones</t>
  </si>
  <si>
    <t>New Link</t>
  </si>
  <si>
    <t>C000893</t>
  </si>
  <si>
    <t>Dr. Patrick Rwagatare</t>
  </si>
  <si>
    <t>isangehuye@gmail.com</t>
  </si>
  <si>
    <t>0788-411-307</t>
  </si>
  <si>
    <t>C000959</t>
  </si>
  <si>
    <t>Iyamuremye Aimable</t>
  </si>
  <si>
    <t>iaimable@iprckigali.ac.rw</t>
  </si>
  <si>
    <t>IPRC 4G One Network</t>
  </si>
  <si>
    <t>C004192</t>
  </si>
  <si>
    <t>30gb&amp;20mbps</t>
  </si>
  <si>
    <t>CEDRIC IRADUKUNDA</t>
  </si>
  <si>
    <t>higiro@maicoltd.com</t>
  </si>
  <si>
    <t>0 783-020-220</t>
  </si>
  <si>
    <t>C001765</t>
  </si>
  <si>
    <t>June</t>
  </si>
  <si>
    <t>Patrice Mvuyekure</t>
  </si>
  <si>
    <t>patrice.mvuyekure@ngoma.gov.rw</t>
  </si>
  <si>
    <t>0788466112</t>
  </si>
  <si>
    <t>C003254</t>
  </si>
  <si>
    <t xml:space="preserve">Aloys Nsekalije </t>
  </si>
  <si>
    <t>ict@kamonyi.gov.rw</t>
  </si>
  <si>
    <t>0788506720</t>
  </si>
  <si>
    <t>C001684</t>
  </si>
  <si>
    <t>Kayumba Theogene</t>
  </si>
  <si>
    <t>tkayumba@ncst.gov.rw</t>
  </si>
  <si>
    <t>Erasto Mwizerwa</t>
  </si>
  <si>
    <t>C003255</t>
  </si>
  <si>
    <t>C002050</t>
  </si>
  <si>
    <t>PRIVATE SECTOR FEDERATION (PSF)</t>
  </si>
  <si>
    <t>Hassan Muhire</t>
  </si>
  <si>
    <t>hassanm@psf.org.rw</t>
  </si>
  <si>
    <t>0788-212-020</t>
  </si>
  <si>
    <t>C000452</t>
  </si>
  <si>
    <t>Mark Muyenzi</t>
  </si>
  <si>
    <t>mark@comzafrica.com</t>
  </si>
  <si>
    <t>0733272727</t>
  </si>
  <si>
    <t>C002929</t>
  </si>
  <si>
    <t>Kigali Heights</t>
  </si>
  <si>
    <t>FIBER INTERNET 5Mbps</t>
  </si>
  <si>
    <t>Robert Bita</t>
  </si>
  <si>
    <t xml:space="preserve">robertbita4@gmail.com </t>
  </si>
  <si>
    <t>0788604447</t>
  </si>
  <si>
    <t>Kimironko</t>
  </si>
  <si>
    <t>4G MUP 3GB/DAY PRIV</t>
  </si>
  <si>
    <t>Gacuriro</t>
  </si>
  <si>
    <t>King Faisal</t>
  </si>
  <si>
    <t>Nyarugunga</t>
  </si>
  <si>
    <t>G-Nova Down Town</t>
  </si>
  <si>
    <t>G-Nova Nyarugenge</t>
  </si>
  <si>
    <t>C003479</t>
  </si>
  <si>
    <t>C001095</t>
  </si>
  <si>
    <t>Kamonyi Youth Center</t>
  </si>
  <si>
    <t>Aloys Nsekalije</t>
  </si>
  <si>
    <t>C001231</t>
  </si>
  <si>
    <t>KIGALI TODAY HQ.</t>
  </si>
  <si>
    <t>Cyrien A</t>
  </si>
  <si>
    <t>riomakaveli@gmail.com</t>
  </si>
  <si>
    <t>0788-680-698</t>
  </si>
  <si>
    <t>FIBER INTERNET 23MBPS</t>
  </si>
  <si>
    <t>C000072</t>
  </si>
  <si>
    <t>ICT HUB Remera</t>
  </si>
  <si>
    <t>Daniel</t>
  </si>
  <si>
    <t>danny@akageraaviation.com</t>
  </si>
  <si>
    <t>2 vCPU, 4GB RAM, 200GB HDD</t>
  </si>
  <si>
    <t>C004013</t>
  </si>
  <si>
    <t>Fiber Internet: Ubumuntu HQ</t>
  </si>
  <si>
    <t>Martin Niwenshuti</t>
  </si>
  <si>
    <t>Martin@ubumuntu.art</t>
  </si>
  <si>
    <t xml:space="preserve">0 788 354 022 </t>
  </si>
  <si>
    <t>Wireless broadband 3mbps</t>
  </si>
  <si>
    <t>C002093</t>
  </si>
  <si>
    <t>urayeneza Eric</t>
  </si>
  <si>
    <t>urayeneza@rg.gov.rw</t>
  </si>
  <si>
    <t>C002358</t>
  </si>
  <si>
    <t>Suzan Mukasano</t>
  </si>
  <si>
    <t xml:space="preserve">gikondo@kicukiro.gov.rw </t>
  </si>
  <si>
    <t>0788447875</t>
  </si>
  <si>
    <t>1gb/day</t>
  </si>
  <si>
    <t>COLOCATION 2U</t>
  </si>
  <si>
    <t>A0000669</t>
  </si>
  <si>
    <t xml:space="preserve">Kantengwa </t>
  </si>
  <si>
    <t>claudine.kantegwa@kivubacoffee.com</t>
  </si>
  <si>
    <t>0788-540-071</t>
  </si>
  <si>
    <t>C002863</t>
  </si>
  <si>
    <t>Gitwe Ruhango</t>
  </si>
  <si>
    <t>fiber vpn 20 mbps</t>
  </si>
  <si>
    <t>Aaron</t>
  </si>
  <si>
    <t>ict@uog.ac.rw;info@uog.ac.rw;7niyonsenga@gmail.com</t>
  </si>
  <si>
    <t>0784433421/0789044290</t>
  </si>
  <si>
    <t>C001906</t>
  </si>
  <si>
    <t>SEBATWARE Bienvenu</t>
  </si>
  <si>
    <t>big117466@gmail.com</t>
  </si>
  <si>
    <t>REMA HQ.</t>
  </si>
  <si>
    <t>C003257</t>
  </si>
  <si>
    <t>One Network 3Mbps</t>
  </si>
  <si>
    <t>C001910</t>
  </si>
  <si>
    <t>NYANZA-MAIN BRANCH</t>
  </si>
  <si>
    <t>NIYONSHUTI Devothe</t>
  </si>
  <si>
    <t>nyanza.hospital@moh.gov.rw</t>
  </si>
  <si>
    <t>NYANZA EXTENSION</t>
  </si>
  <si>
    <t>C000434</t>
  </si>
  <si>
    <t>Janvier</t>
  </si>
  <si>
    <t>oceriba@gmail.com</t>
  </si>
  <si>
    <t>C000772</t>
  </si>
  <si>
    <t>James Nkurunziza</t>
  </si>
  <si>
    <t>jnkurunziza@iprcgishari.rp.ac.rw; nkurunzizajames8@gmail.com;info@iprcgishari.rp.ac.rw</t>
  </si>
  <si>
    <t>Gishali 4G</t>
  </si>
  <si>
    <t>C004071</t>
  </si>
  <si>
    <t>MUNINI-MAIN BRANCH</t>
  </si>
  <si>
    <t>FURERE Charles</t>
  </si>
  <si>
    <t>muninihospital@moh.gov.rw</t>
  </si>
  <si>
    <t>C002326</t>
  </si>
  <si>
    <t>HQ &amp; AOS</t>
  </si>
  <si>
    <t>Jean Bonfils TUYISHIMIRE</t>
  </si>
  <si>
    <t>it.support@rmb.gov.rw,jbonfils.tuyishimire@rmb.gov.rw</t>
  </si>
  <si>
    <t>HQ 2nd Link</t>
  </si>
  <si>
    <t>One Network 5MBPS</t>
  </si>
  <si>
    <t>One Network 3MBPS</t>
  </si>
  <si>
    <t>C001063</t>
  </si>
  <si>
    <t>KABGAYI -MAIN BRANCH</t>
  </si>
  <si>
    <t>BIRAHO Pantaleon</t>
  </si>
  <si>
    <t>pantaleon.biraho@kabgayihospital.rw;info@kabgayihospital.rw</t>
  </si>
  <si>
    <t>C004102</t>
  </si>
  <si>
    <t>NINETTE NSABIMANA</t>
  </si>
  <si>
    <t>nnsabimana@qtsoftwareltd.com</t>
  </si>
  <si>
    <t xml:space="preserve">8GB RAM,4VCPU &amp;300GBSTORAGE </t>
  </si>
  <si>
    <t xml:space="preserve">DANIEL </t>
  </si>
  <si>
    <t>C001169</t>
  </si>
  <si>
    <t>Betty</t>
  </si>
  <si>
    <t>kibogorabookings@gmail.com</t>
  </si>
  <si>
    <t>MINIJUST 4G Service</t>
  </si>
  <si>
    <t>C001944</t>
  </si>
  <si>
    <t>Kacyiru</t>
  </si>
  <si>
    <t>Arthur Uwisibo</t>
  </si>
  <si>
    <t>auwisibo@presidency.gov.rw</t>
  </si>
  <si>
    <t>FIBER VPN 25MBPS</t>
  </si>
  <si>
    <t>RG-Kacyiru</t>
  </si>
  <si>
    <t>FIBER Internet 5MBPS</t>
  </si>
  <si>
    <t>Fiber Internet: RGB HQ</t>
  </si>
  <si>
    <t>CSOs Project: 4G</t>
  </si>
  <si>
    <t>DDAG Project: 4G</t>
  </si>
  <si>
    <t>C003536</t>
  </si>
  <si>
    <t>INSURANCE</t>
  </si>
  <si>
    <t>Longin Dusengeyezu</t>
  </si>
  <si>
    <t>Longin Dusengeyezu &lt;ldusengeyezu@rica.gov.rw&gt;</t>
  </si>
  <si>
    <t>0787-344-599</t>
  </si>
  <si>
    <t>C003537</t>
  </si>
  <si>
    <t>C002484</t>
  </si>
  <si>
    <t>RTDA HQ</t>
  </si>
  <si>
    <t>FELIX</t>
  </si>
  <si>
    <t>felix.nshimiyimana@rtda.gov.rw</t>
  </si>
  <si>
    <t>FIBER INTERNET 30MBPS GOV</t>
  </si>
  <si>
    <t>RURA HQ- MTN Remera</t>
  </si>
  <si>
    <t>Dark Fiber Lease  10Kms/2Cores</t>
  </si>
  <si>
    <t>Rura Agencies</t>
  </si>
  <si>
    <t>C002131</t>
  </si>
  <si>
    <t>Cross-connect: LTR</t>
  </si>
  <si>
    <t>Cross-connect</t>
  </si>
  <si>
    <t>Michael Mukasa</t>
  </si>
  <si>
    <t>accounts@roketelkom.co.ug</t>
  </si>
  <si>
    <t>00 256 772 918826</t>
  </si>
  <si>
    <t>C002862</t>
  </si>
  <si>
    <t>Clement MUHIRE</t>
  </si>
  <si>
    <t>cmuhire@ughe.org;tbiseruka@ughe.org;singabire@ughe.org</t>
  </si>
  <si>
    <t>786992021/0788301025</t>
  </si>
  <si>
    <t>Cross-connect: Axiom</t>
  </si>
  <si>
    <t>Cross-connect: BCS</t>
  </si>
  <si>
    <t>Colocation Services</t>
  </si>
  <si>
    <t>Colocation Service: 5U</t>
  </si>
  <si>
    <t>C002978</t>
  </si>
  <si>
    <t>PS</t>
  </si>
  <si>
    <t>Pascal Mwemayire</t>
  </si>
  <si>
    <t xml:space="preserve">pmwemayire@gmail.com </t>
  </si>
  <si>
    <t>0783280962</t>
  </si>
  <si>
    <t>C000727</t>
  </si>
  <si>
    <t>KURADUSENGE Benjamin</t>
  </si>
  <si>
    <t>kuradusengeb@gashoragirlsacademy.org</t>
  </si>
  <si>
    <t>C002479</t>
  </si>
  <si>
    <t>RWANDA STOCK EXCHANGE HQ</t>
  </si>
  <si>
    <t>Robert Twagira</t>
  </si>
  <si>
    <t>rtwagira@rse.rw</t>
  </si>
  <si>
    <t>0788-516-021</t>
  </si>
  <si>
    <t>C001657</t>
  </si>
  <si>
    <t xml:space="preserve">BNR AB Bank </t>
  </si>
  <si>
    <t>Emmanuel Ngirinshuti</t>
  </si>
  <si>
    <t>ENgirinshuti@bnr.rw</t>
  </si>
  <si>
    <t>BNR Access Bank HQ</t>
  </si>
  <si>
    <t>BNR Bank OF AFRICA HQ</t>
  </si>
  <si>
    <t>BNR Bank of Kigali</t>
  </si>
  <si>
    <t>BNR BPR HQ</t>
  </si>
  <si>
    <t>BNR BRD HQ</t>
  </si>
  <si>
    <t>BNR Cogebank HQ</t>
  </si>
  <si>
    <t>BNR CRANE BANK</t>
  </si>
  <si>
    <t>BNR Ecobank HQ</t>
  </si>
  <si>
    <t>BNR Equity HQ</t>
  </si>
  <si>
    <t>BNR GT BANK</t>
  </si>
  <si>
    <t>BNR I&amp;M Bank HQ</t>
  </si>
  <si>
    <t>BNR KCB HQ</t>
  </si>
  <si>
    <t>BNR R-SWITCH</t>
  </si>
  <si>
    <t>BNR Rwamagana DR Site</t>
  </si>
  <si>
    <t>BNR Unguka HQ</t>
  </si>
  <si>
    <t>BNR Urewgo Opportunity Bank</t>
  </si>
  <si>
    <t>BNR Zigama CSS</t>
  </si>
  <si>
    <t>BNR Huye</t>
  </si>
  <si>
    <t>BNR Musanze</t>
  </si>
  <si>
    <t>BNR Rubavu</t>
  </si>
  <si>
    <t>BNR Rusizi</t>
  </si>
  <si>
    <t>BNR Rwamagana</t>
  </si>
  <si>
    <t>VPN BNR HQ</t>
  </si>
  <si>
    <t>DARKFIBER</t>
  </si>
  <si>
    <t>BNR HQ</t>
  </si>
  <si>
    <t>Fiber VPN 100MBPS</t>
  </si>
  <si>
    <t>C001686</t>
  </si>
  <si>
    <t>Felicien Rimenyande</t>
  </si>
  <si>
    <t>frimenyande@ncpd.gov.rw</t>
  </si>
  <si>
    <t>C002460</t>
  </si>
  <si>
    <t xml:space="preserve">Brigitte Niyonsaba </t>
  </si>
  <si>
    <t>ca</t>
  </si>
  <si>
    <t>0788287405</t>
  </si>
  <si>
    <t>nderasector@gasabo.gov.rw</t>
  </si>
  <si>
    <t>C004399</t>
  </si>
  <si>
    <t>FIBER INTERNET 120MBPS</t>
  </si>
  <si>
    <t>Simon Pierre Sharamanzi</t>
  </si>
  <si>
    <t>simon.sharamanzi@parkinn.com</t>
  </si>
  <si>
    <t>0788670646</t>
  </si>
  <si>
    <t>C000892</t>
  </si>
  <si>
    <t>Philbert Karenzi</t>
  </si>
  <si>
    <t xml:space="preserve">ictofficer@huye.gov.rw </t>
  </si>
  <si>
    <t>0788967751</t>
  </si>
  <si>
    <t>FIBER VPN 12 MBPS</t>
  </si>
  <si>
    <t>C004038</t>
  </si>
  <si>
    <t>4G Broadband- 5Mbps</t>
  </si>
  <si>
    <t>SANDRINE DUSHIMIMANA</t>
  </si>
  <si>
    <t>dusandrine@yahoo.com</t>
  </si>
  <si>
    <t>HQ Secretariat</t>
  </si>
  <si>
    <t>C004367</t>
  </si>
  <si>
    <t>Business</t>
  </si>
  <si>
    <t>standard</t>
  </si>
  <si>
    <t>FiberInternet 30Mbps</t>
  </si>
  <si>
    <t>Kabango Joseph</t>
  </si>
  <si>
    <t>joseph@creng.solar</t>
  </si>
  <si>
    <t>Fiber Internet: NPSC HQ</t>
  </si>
  <si>
    <t>Fiber Internet: PMO HQ</t>
  </si>
  <si>
    <t>C002155</t>
  </si>
  <si>
    <t>Ruhango Sector</t>
  </si>
  <si>
    <t>Marine Ishimwe</t>
  </si>
  <si>
    <t>ict@ruhango.gov.rw</t>
  </si>
  <si>
    <t>0788323878</t>
  </si>
  <si>
    <t>Ruhango Youth Center</t>
  </si>
  <si>
    <t>C002374</t>
  </si>
  <si>
    <t xml:space="preserve">NIYOMUGABO ERIC </t>
  </si>
  <si>
    <t>eric.niyo@rpc.rw</t>
  </si>
  <si>
    <t>C000883</t>
  </si>
  <si>
    <t>C000444</t>
  </si>
  <si>
    <t>Jacques</t>
  </si>
  <si>
    <t>hakizimanajacques2007@yahoo.fr</t>
  </si>
  <si>
    <t>0783087705/0788833622</t>
  </si>
  <si>
    <t>C000810</t>
  </si>
  <si>
    <t>Pelagie</t>
  </si>
  <si>
    <t>gsmaterdeinyanz@yahoo.fr;pelagiemat@gmail.com</t>
  </si>
  <si>
    <t>C000814</t>
  </si>
  <si>
    <t>Clementine</t>
  </si>
  <si>
    <t>gsndanyundo1985@gmail.com</t>
  </si>
  <si>
    <t>788648586/0788415095</t>
  </si>
  <si>
    <t>C000822</t>
  </si>
  <si>
    <t>Anselme</t>
  </si>
  <si>
    <t>philippenerigisagara@gmail.com</t>
  </si>
  <si>
    <t>C001600</t>
  </si>
  <si>
    <t>ahodari@iprcmusanze.rp.ac.rw;info@iprcmusanze.rp.ac.rw;df@iprcmusanze.rp.ac.rw</t>
  </si>
  <si>
    <t>20mbps on ktrn , 40mbps on BSC</t>
  </si>
  <si>
    <t>4g MUP 4GB/DAY (4 sim cards)</t>
  </si>
  <si>
    <t>5Mbps One Network</t>
  </si>
  <si>
    <t>C004187</t>
  </si>
  <si>
    <t>STECOMA-MAIN BRANCH</t>
  </si>
  <si>
    <t>1GB RAM,1VCPU &amp; 30GB STORAGE</t>
  </si>
  <si>
    <t>HAKUZWEYEZU Placide</t>
  </si>
  <si>
    <t>info@stecoma.org.rw</t>
  </si>
  <si>
    <t>C001903</t>
  </si>
  <si>
    <t xml:space="preserve">Paulin </t>
  </si>
  <si>
    <t>ict@nyamasheke.gov.rw</t>
  </si>
  <si>
    <t>C000460</t>
  </si>
  <si>
    <t xml:space="preserve">1vCPU, 2GB RAM &amp; 100GB </t>
  </si>
  <si>
    <t>Paulin Buregeya</t>
  </si>
  <si>
    <t>bpaulin@copedgroup.com</t>
  </si>
  <si>
    <t>C004181</t>
  </si>
  <si>
    <t xml:space="preserve">HQ </t>
  </si>
  <si>
    <t xml:space="preserve">Jean Pierre Ndayisaba </t>
  </si>
  <si>
    <t>jeanpierre.ndayisaba@ggr.co.rw</t>
  </si>
  <si>
    <t>0788313018</t>
  </si>
  <si>
    <t>C000884</t>
  </si>
  <si>
    <t>Fiber VPN: IECMS - Gasabo</t>
  </si>
  <si>
    <t>Fiber VPN: IECMS - Musanze</t>
  </si>
  <si>
    <t>Fiber VPN: IECMS - Rubavu</t>
  </si>
  <si>
    <t>Fiber VPN: IECMS - Rusizi</t>
  </si>
  <si>
    <t>Fiber VPN: IECMS - Gicumbi</t>
  </si>
  <si>
    <t>Fiber VPN: IECMS - Huye</t>
  </si>
  <si>
    <t>Fiber VPN: IECMS - Karongi</t>
  </si>
  <si>
    <t>Fiber VPN: IECMS - Nyamagabe</t>
  </si>
  <si>
    <t>Fiber VPN: IECMS - Ngoma</t>
  </si>
  <si>
    <t>Fiber VPN: IECMS - Muhanga</t>
  </si>
  <si>
    <t>Fiber VPN: IECMS - Nyagatare</t>
  </si>
  <si>
    <t>Fiber VPN: IECMS - Nyarugenge</t>
  </si>
  <si>
    <t>Fiber VPN: IECMS - Nyarugenge Base</t>
  </si>
  <si>
    <t xml:space="preserve">Fiber VPN: IECMS - Kicukiro </t>
  </si>
  <si>
    <t>Fiber Internet: Gasabo</t>
  </si>
  <si>
    <t>Fiber Internet: Gicumbi</t>
  </si>
  <si>
    <t>Fiber Internet: Huye</t>
  </si>
  <si>
    <t>Fiber Internet: Karongi</t>
  </si>
  <si>
    <t>Fiber Internet: Kicukiro (Nyarugunga)</t>
  </si>
  <si>
    <t xml:space="preserve">Fiber Internet: Muhanga </t>
  </si>
  <si>
    <t>Fiber Internet: Musanze</t>
  </si>
  <si>
    <t>Fiber Internet: Ngoma</t>
  </si>
  <si>
    <t>Fiber Internet: Nyagatare</t>
  </si>
  <si>
    <t>Fiber Internet: Nyamagabe</t>
  </si>
  <si>
    <t>Fiber Internet: Nyarugenge</t>
  </si>
  <si>
    <t>Fiber Internet: Nyarugenge Base</t>
  </si>
  <si>
    <t xml:space="preserve">Fiber Internet: Rubavu  </t>
  </si>
  <si>
    <t>Fiber Internet: Rusizi</t>
  </si>
  <si>
    <t xml:space="preserve">Fiber VPN: NPPA HQ-AOS </t>
  </si>
  <si>
    <t>Fiber Internet: NPPA HQ</t>
  </si>
  <si>
    <t>Fiber Broadband Internet 47Mbps</t>
  </si>
  <si>
    <t>C000740</t>
  </si>
  <si>
    <t>FIDELE</t>
  </si>
  <si>
    <t>gatsibodistrict@gatsibo.gov.rw</t>
  </si>
  <si>
    <t>C000769</t>
  </si>
  <si>
    <t>GISAGARA District HQ - VPN LAIS.</t>
  </si>
  <si>
    <t>TEMA Jean</t>
  </si>
  <si>
    <t xml:space="preserve">ictofficer@gisagara.gov.rw </t>
  </si>
  <si>
    <t>GISAGARA District HQ</t>
  </si>
  <si>
    <t>DPU Bugesera</t>
  </si>
  <si>
    <t>DPU Burera</t>
  </si>
  <si>
    <t>DPU Gakenke</t>
  </si>
  <si>
    <t>RNP VPN Link RRA</t>
  </si>
  <si>
    <t>RNP VPN Link INTERPOL</t>
  </si>
  <si>
    <t>DPU Gicumbi</t>
  </si>
  <si>
    <t>DPU Kamonyi</t>
  </si>
  <si>
    <t>DPU Kicukiro</t>
  </si>
  <si>
    <t>DPU Muhanga</t>
  </si>
  <si>
    <t>DPU Musanze</t>
  </si>
  <si>
    <t>RNP Musanze Regional Unit</t>
  </si>
  <si>
    <t>DPU Ngoma</t>
  </si>
  <si>
    <t>DPU Nyagatare</t>
  </si>
  <si>
    <t>DPU Nyamagabe</t>
  </si>
  <si>
    <t>DPU Nyanza</t>
  </si>
  <si>
    <t>DPU Rubavu</t>
  </si>
  <si>
    <t>DPU Rulindo</t>
  </si>
  <si>
    <t>South Soudan - Mission</t>
  </si>
  <si>
    <t>RNP Gasabo Regional + DPU</t>
  </si>
  <si>
    <t>RNP Huye HQ+ DPU</t>
  </si>
  <si>
    <t>RNP MIC Huye</t>
  </si>
  <si>
    <t>RNP Musanze CID School</t>
  </si>
  <si>
    <t>RNP MIC Musanze</t>
  </si>
  <si>
    <t>RNP Rwamagana Training School</t>
  </si>
  <si>
    <t>RNP Rwamagana Regional + DPU + Station</t>
  </si>
  <si>
    <t>RNP MIC Rwamagana</t>
  </si>
  <si>
    <t>Muhima Online Examination Center</t>
  </si>
  <si>
    <t>Gishali - Extension.</t>
  </si>
  <si>
    <t>RNP Moto Vehicle Inspection</t>
  </si>
  <si>
    <t>RNP Kigali Metropolitan</t>
  </si>
  <si>
    <t>Busanza Driving Test Center.</t>
  </si>
  <si>
    <t>IGP - Wireless broadband Link.</t>
  </si>
  <si>
    <t>Wireless Broadband 25MBPS</t>
  </si>
  <si>
    <t>RNP - Busanza Driving Test Center.</t>
  </si>
  <si>
    <t>RNP Intelligence Gikondo</t>
  </si>
  <si>
    <t>Rwanda National Police (RNP)- HQ</t>
  </si>
  <si>
    <t>RNP Musanze College</t>
  </si>
  <si>
    <t>4G ONE NETWORK 10GB/DAY</t>
  </si>
  <si>
    <t>0788-311-707</t>
  </si>
  <si>
    <t>4G ONE NETWORK VPN 3MBPS</t>
  </si>
  <si>
    <t xml:space="preserve"> C002356 </t>
  </si>
  <si>
    <t xml:space="preserve"> Rwanda National Police (RNP)- HQ </t>
  </si>
  <si>
    <t>200GB Unlimited</t>
  </si>
  <si>
    <t xml:space="preserve"> Elie KUBWIMANA </t>
  </si>
  <si>
    <t xml:space="preserve"> dit@police.gov.rw </t>
  </si>
  <si>
    <t xml:space="preserve"> 0788-311-706 </t>
  </si>
  <si>
    <t>C004242</t>
  </si>
  <si>
    <t>Fiber internet 20Mbps</t>
  </si>
  <si>
    <t>Denise Mugisha</t>
  </si>
  <si>
    <t>denise.mugisha@gasmeth.com</t>
  </si>
  <si>
    <t>Dark Fiber lease</t>
  </si>
  <si>
    <t>Dark Fiber lease 8KMs/1Core</t>
  </si>
  <si>
    <t>May</t>
  </si>
  <si>
    <t>2026</t>
  </si>
  <si>
    <t>Valid Contract</t>
  </si>
  <si>
    <t>C004235</t>
  </si>
  <si>
    <t>NYABIKENKE-MAIN BRANCH</t>
  </si>
  <si>
    <t>NKIKABIHIZI Fulgence</t>
  </si>
  <si>
    <t>nyabikenke.hospital@moh.gov.rw</t>
  </si>
  <si>
    <t>C003025</t>
  </si>
  <si>
    <t>Ngororero Mining Company.</t>
  </si>
  <si>
    <t>Anaclet Muyombayire</t>
  </si>
  <si>
    <t>amuyombayire@rwandamountaintea.com</t>
  </si>
  <si>
    <t>0788-309-011</t>
  </si>
  <si>
    <t>CARAES-HUYE</t>
  </si>
  <si>
    <t>C002843</t>
  </si>
  <si>
    <t>THIERRY</t>
  </si>
  <si>
    <t>thierry.mugisha@umwalimusacco.rw</t>
  </si>
  <si>
    <t>karongi</t>
  </si>
  <si>
    <t>kayonza</t>
  </si>
  <si>
    <t>HQ VPN</t>
  </si>
  <si>
    <t xml:space="preserve">FIBER VPN 10MBPS </t>
  </si>
  <si>
    <t>C004022</t>
  </si>
  <si>
    <t>GATONDE-MAIN BRANCH</t>
  </si>
  <si>
    <t>INGAMBA Emile</t>
  </si>
  <si>
    <t>ngamile31@gmail.com;gatonde.hospital@moh.gov.rw</t>
  </si>
  <si>
    <t>CARAES-KICUKIRO</t>
  </si>
  <si>
    <t>C001723</t>
  </si>
  <si>
    <t>Rukundo Francois</t>
  </si>
  <si>
    <t>ndubasector@yahoo.com</t>
  </si>
  <si>
    <t>0788665853</t>
  </si>
  <si>
    <t>C003888</t>
  </si>
  <si>
    <t>Dark Fiber lease 5KMs/2Cores</t>
  </si>
  <si>
    <t>Alfred Dushimimana</t>
  </si>
  <si>
    <t>adushimimana@wasac.rw</t>
  </si>
  <si>
    <t>Wasac Datacenter</t>
  </si>
  <si>
    <t>Fiber internet 40Mbps</t>
  </si>
  <si>
    <t>C002861</t>
  </si>
  <si>
    <t>CHUK-MAIN BRANCH</t>
  </si>
  <si>
    <t>Alpha-Arsene Marara</t>
  </si>
  <si>
    <t>alpaarsne.marara@chuk.rw</t>
  </si>
  <si>
    <t>C001197</t>
  </si>
  <si>
    <t>Desire Ininahazwe</t>
  </si>
  <si>
    <t>ictofficer@kirehe.gov.rw</t>
  </si>
  <si>
    <t>0783715426</t>
  </si>
  <si>
    <t>C001149</t>
  </si>
  <si>
    <t>VPN LINK</t>
  </si>
  <si>
    <t>Gatete Augustine</t>
  </si>
  <si>
    <t>augustin.gatete@kayonza.gov.rw</t>
  </si>
  <si>
    <t>Kayonza Cell</t>
  </si>
  <si>
    <t>Kayonza HQ</t>
  </si>
  <si>
    <t>C000973</t>
  </si>
  <si>
    <t>IPRC Huye</t>
  </si>
  <si>
    <t>Mugisha</t>
  </si>
  <si>
    <t>jckabayiza@iprcsouth.ac.rw;imugisha@iprchuye.rp.ac.rw;cajem123@gmail.com</t>
  </si>
  <si>
    <t>788808321/0783130939</t>
  </si>
  <si>
    <t>C000571</t>
  </si>
  <si>
    <t>NGABOYAMAHINA Eraste</t>
  </si>
  <si>
    <t>ngaboyamahinae@gmail.com</t>
  </si>
  <si>
    <t>C000704</t>
  </si>
  <si>
    <t xml:space="preserve">gatera02@gmail.com </t>
  </si>
  <si>
    <t>0783722729</t>
  </si>
  <si>
    <t>GAKENKE  DISTRICT HQ - VPN LAIS.</t>
  </si>
  <si>
    <t>GAKENKE  DISTRICT HQ.</t>
  </si>
  <si>
    <t>C000824</t>
  </si>
  <si>
    <t>Sr MUKAMUKIGA Caritas</t>
  </si>
  <si>
    <t>byigsndl@gmail.com</t>
  </si>
  <si>
    <t>Sectors</t>
  </si>
  <si>
    <t>C002055</t>
  </si>
  <si>
    <t>PIASS-KARONGI</t>
  </si>
  <si>
    <t>Rene</t>
  </si>
  <si>
    <t>fathebu@yahoo.fr;rurangwarene@yahoo.fr</t>
  </si>
  <si>
    <t>788890046/0783093662</t>
  </si>
  <si>
    <t>PROTESTANT INSTITUTE OF ARTS AND SOCIAL SCINCES</t>
  </si>
  <si>
    <t>C001823</t>
  </si>
  <si>
    <t>March</t>
  </si>
  <si>
    <t>Modeste Nsanzimana</t>
  </si>
  <si>
    <t>modeste.nsanzimana@northernprovince.gov.rw</t>
  </si>
  <si>
    <t>1 Unit</t>
  </si>
  <si>
    <t>C000640</t>
  </si>
  <si>
    <t>BASA NGABO Jean</t>
  </si>
  <si>
    <t>basangabo2020@yahoo.fr</t>
  </si>
  <si>
    <t>C001198</t>
  </si>
  <si>
    <t>KIREHE-MAIN BRANCH</t>
  </si>
  <si>
    <t>NTABWOBA Patrick</t>
  </si>
  <si>
    <t>kirehe.hospital@moh.gov.rw</t>
  </si>
  <si>
    <t>C001729</t>
  </si>
  <si>
    <t>NEMBA-MAIN BRANCH</t>
  </si>
  <si>
    <t>nemba.hospital@moh.gov.rw</t>
  </si>
  <si>
    <t>C002331</t>
  </si>
  <si>
    <t>RWANDA NATIONAL INVESTMENT TRUST (RNIT)</t>
  </si>
  <si>
    <t>Nature Emmanuel  ICYITEGETSE</t>
  </si>
  <si>
    <t>jeanpaul.ndisanze@rnit.rw,natureemmanuel.icyitegetse@rnit.rw,admin@rnit.rw</t>
  </si>
  <si>
    <t>C002157</t>
  </si>
  <si>
    <t>RUHENGERI-MAIN BRANCH</t>
  </si>
  <si>
    <t>MAPENDANO Emmanuel</t>
  </si>
  <si>
    <t>ruhengeri.hospital@moh.gov.rw</t>
  </si>
  <si>
    <t>C002493</t>
  </si>
  <si>
    <t>RWINKWAVU - MAIN BRANCH</t>
  </si>
  <si>
    <t>KARAMBIZI Francis</t>
  </si>
  <si>
    <t>fkarambizi@pih.org</t>
  </si>
  <si>
    <t>C002714</t>
  </si>
  <si>
    <t>KAREGEYA DJUMA</t>
  </si>
  <si>
    <t>kozigundusacco@gmail.com</t>
  </si>
  <si>
    <t>C000447</t>
  </si>
  <si>
    <t>Sister MUREKATETE Domina</t>
  </si>
  <si>
    <t>collegesaintemariek@gmail.com</t>
  </si>
  <si>
    <t>C000630</t>
  </si>
  <si>
    <t>vincentmuhoza@yahoo.fr;christineuwa2002@yahoo.fr</t>
  </si>
  <si>
    <t>0788516084/0781651128</t>
  </si>
  <si>
    <t>C000820</t>
  </si>
  <si>
    <t>Rudasingwa</t>
  </si>
  <si>
    <t>rudasingwacamille@gmail.com</t>
  </si>
  <si>
    <t>C000821</t>
  </si>
  <si>
    <t>groupescolairestjoseph@yahoo.fr</t>
  </si>
  <si>
    <t>C001106</t>
  </si>
  <si>
    <t>BISANGABAGABO Youssouf</t>
  </si>
  <si>
    <t>youssoufmuk@yahoo.fr</t>
  </si>
  <si>
    <t>C001170</t>
  </si>
  <si>
    <t>fiber vpn 40mbps</t>
  </si>
  <si>
    <t>Amitié Sabba/Hillel</t>
  </si>
  <si>
    <t>usamitier@gmail.com;dfa@kp.ac.rw;info@kp.ac.rw</t>
  </si>
  <si>
    <t>788730582/0788754398</t>
  </si>
  <si>
    <t>C001911</t>
  </si>
  <si>
    <t>Eric</t>
  </si>
  <si>
    <t>etogitarama@gmail.com</t>
  </si>
  <si>
    <t>C000869</t>
  </si>
  <si>
    <t>Donatha Uwimbabazi</t>
  </si>
  <si>
    <t>duwimbabazi@hec.gov.rw</t>
  </si>
  <si>
    <t>C002383</t>
  </si>
  <si>
    <t>Charlie Redington</t>
  </si>
  <si>
    <t>noc@cymru.com</t>
  </si>
  <si>
    <t>C004421</t>
  </si>
  <si>
    <t xml:space="preserve">Simpo Technologies Ltd </t>
  </si>
  <si>
    <t>Cloud computing - Package 2</t>
  </si>
  <si>
    <t xml:space="preserve">Kabiligi Viateur </t>
  </si>
  <si>
    <t>ceo@simpotechs.com  / robert@simpotechs.com</t>
  </si>
  <si>
    <t>(+250)788 30 4 663 / 788 521 614</t>
  </si>
  <si>
    <t>Crystal Ventures Ltd</t>
  </si>
  <si>
    <t>Fiber Broadband Internet 38Mbps</t>
  </si>
  <si>
    <t>Stonecraft - NPD</t>
  </si>
  <si>
    <t>Fiber Broadband Internet 2Mbps</t>
  </si>
  <si>
    <t>Gaheke Milk - Nyamasheke</t>
  </si>
  <si>
    <t>Inyange Industry- Savana -Nyagatare</t>
  </si>
  <si>
    <t>Inyange Milk Powder plant</t>
  </si>
  <si>
    <t>Mukamira Dairy</t>
  </si>
  <si>
    <t>EAGI(East African Granite Industries)-Nyagatare</t>
  </si>
  <si>
    <t>EAGI Gasabo</t>
  </si>
  <si>
    <t>Ruliba Clays</t>
  </si>
  <si>
    <t>Fiber Broadband Internet 7Mbps</t>
  </si>
  <si>
    <t>Intare Investment -Rusororo "ICA"</t>
  </si>
  <si>
    <t>Crystal Ventures -Intare Arena DR-DC</t>
  </si>
  <si>
    <t>NPD-HQ</t>
  </si>
  <si>
    <t>NPD - JABANA Production</t>
  </si>
  <si>
    <t>Cons truck</t>
  </si>
  <si>
    <t>Billinng Cycle</t>
  </si>
  <si>
    <t>AM</t>
  </si>
  <si>
    <t>Weekly</t>
  </si>
  <si>
    <t>Quarterly</t>
  </si>
  <si>
    <t>UWIHIRWE</t>
  </si>
  <si>
    <t>MUHIZI</t>
  </si>
  <si>
    <t>Managed Network Services</t>
  </si>
  <si>
    <t>Public Wi-Fi</t>
  </si>
  <si>
    <t>Projects</t>
  </si>
  <si>
    <t>Beyond Borders</t>
  </si>
  <si>
    <t>Contract Sales</t>
  </si>
  <si>
    <t>By Qty</t>
  </si>
  <si>
    <t>Expires &lt; 60 Days</t>
  </si>
  <si>
    <t>Expires &lt; 30 Days</t>
  </si>
  <si>
    <t>Expired</t>
  </si>
  <si>
    <t>Sum of Total Sales</t>
  </si>
  <si>
    <t>Quantity</t>
  </si>
  <si>
    <t>C004372</t>
  </si>
  <si>
    <t>KANOMBE SACCO</t>
  </si>
  <si>
    <t>Kanombe</t>
  </si>
  <si>
    <t xml:space="preserve">4G LTE </t>
  </si>
  <si>
    <t>Online Transaction</t>
  </si>
  <si>
    <t>4G- Online transaction</t>
  </si>
  <si>
    <t>Consumption</t>
  </si>
  <si>
    <t>4G- Consumption</t>
  </si>
  <si>
    <t>consumption</t>
  </si>
  <si>
    <t>New activation</t>
  </si>
  <si>
    <t>4G- New activation</t>
  </si>
  <si>
    <t>new activation</t>
  </si>
  <si>
    <t>Top-Up</t>
  </si>
  <si>
    <t>Top-UP</t>
  </si>
  <si>
    <t>4G- TOPUP</t>
  </si>
  <si>
    <t>projects</t>
  </si>
  <si>
    <t xml:space="preserve">Valid Contract </t>
  </si>
  <si>
    <t>4G Devices</t>
  </si>
  <si>
    <t>4G LTE Devices</t>
  </si>
  <si>
    <t>BoD</t>
  </si>
  <si>
    <t>BoD - Germain</t>
  </si>
  <si>
    <t>4G- BoD</t>
  </si>
  <si>
    <t>OGN Sales</t>
  </si>
  <si>
    <t>EDUCATION Cat. 3</t>
  </si>
  <si>
    <t>4G ONE NETWORK 10MBPS</t>
  </si>
  <si>
    <t>Cell Cat 1</t>
  </si>
  <si>
    <t>2GB/Day</t>
  </si>
  <si>
    <t>HP Cat 1</t>
  </si>
  <si>
    <t>HP Cat 2</t>
  </si>
  <si>
    <t>4GB/Day</t>
  </si>
  <si>
    <t>HP Cat 3</t>
  </si>
  <si>
    <t>Prepaid HC</t>
  </si>
  <si>
    <t>HC- Idriss</t>
  </si>
  <si>
    <t>4G for HC</t>
  </si>
  <si>
    <t>HC- kizza</t>
  </si>
  <si>
    <t>HC- patrick</t>
  </si>
  <si>
    <t>HC- nadia</t>
  </si>
  <si>
    <t>(blank)</t>
  </si>
  <si>
    <t>PRODUCTS</t>
  </si>
  <si>
    <t>June_Actuals</t>
  </si>
  <si>
    <t>June_Target</t>
  </si>
  <si>
    <t>May_Performance</t>
  </si>
  <si>
    <t>RBC-Command post</t>
  </si>
  <si>
    <t>510*GB/DAY</t>
  </si>
  <si>
    <t xml:space="preserve">4G Devices </t>
  </si>
  <si>
    <t xml:space="preserve"> 6,300,000 </t>
  </si>
  <si>
    <t>Total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</si>
</sst>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1" formatCode="_-* #,##0_-;\-* #,##0_-;_-* &quot;-&quot;_-;_-@_-"/>
    <numFmt numFmtId="43" formatCode="_-* #,##0.00_-;\-* #,##0.00_-;_-* &quot;-&quot;??_-;_-@_-"/>
    <numFmt numFmtId="164" formatCode="_(* #,##0.00_);_(* \(#,##0.00\);_(* &quot;-&quot;??_);_(@_)"/>
    <numFmt numFmtId="165" formatCode="_(* #,##0_);_(* \(#,##0\);_(* &quot;-&quot;??_);_(@_)"/>
    <numFmt numFmtId="166" formatCode="dd/mm/yyyy;@"/>
    <numFmt numFmtId="167" formatCode="_(* #,##0.0_);_(* \(#,##0.0\);_(* &quot;-&quot;??_);_(@_)"/>
  </numFmts>
  <fonts count="26" x14ac:knownFonts="1">
    <font>
      <sz val="11"/>
      <color theme="1"/>
      <name val="Calibri"/>
      <family val="2"/>
      <scheme val="minor"/>
    </font>
    <font>
      <sz val="8"/>
      <name val="Calibri"/>
      <family val="2"/>
      <scheme val="minor"/>
    </font>
    <font>
      <sz val="11"/>
      <color theme="1"/>
      <name val="Calibri"/>
      <family val="2"/>
      <scheme val="minor"/>
    </font>
    <font>
      <sz val="10"/>
      <color theme="1"/>
      <name val="Trebuchet MS"/>
      <family val="2"/>
    </font>
    <font>
      <sz val="10"/>
      <name val="Trebuchet MS"/>
      <family val="2"/>
    </font>
    <font>
      <u/>
      <sz val="10"/>
      <name val="Trebuchet MS"/>
      <family val="2"/>
    </font>
    <font>
      <u/>
      <sz val="11"/>
      <color theme="10"/>
      <name val="Calibri"/>
      <family val="2"/>
      <scheme val="minor"/>
    </font>
    <font>
      <sz val="10"/>
      <name val="Trebuchet MS"/>
      <family val="2"/>
    </font>
    <font>
      <sz val="10"/>
      <color rgb="FFC00000"/>
      <name val="Trebuchet MS"/>
      <family val="2"/>
    </font>
    <font>
      <sz val="11"/>
      <name val="Calibri"/>
      <family val="2"/>
      <charset val="1"/>
    </font>
    <font>
      <sz val="11"/>
      <name val="Calibri"/>
      <family val="2"/>
    </font>
    <font>
      <u/>
      <sz val="11"/>
      <name val="Calibri"/>
      <family val="2"/>
      <scheme val="minor"/>
    </font>
    <font>
      <sz val="10"/>
      <color theme="1"/>
      <name val="Montserrat"/>
    </font>
    <font>
      <sz val="10"/>
      <name val="Trebuchet MS"/>
      <family val="2"/>
    </font>
    <font>
      <sz val="11"/>
      <color theme="1"/>
      <name val="Montserrat"/>
    </font>
    <font>
      <b/>
      <sz val="11"/>
      <color rgb="FFFA7D00"/>
      <name val="montserrat"/>
      <family val="2"/>
    </font>
    <font>
      <sz val="10"/>
      <name val="Trebuchet MS"/>
      <family val="2"/>
    </font>
    <font>
      <sz val="9"/>
      <color indexed="81"/>
      <name val="Tahoma"/>
      <family val="2"/>
    </font>
    <font>
      <b/>
      <sz val="9"/>
      <color indexed="81"/>
      <name val="Tahoma"/>
      <family val="2"/>
    </font>
    <font>
      <sz val="10"/>
      <name val="Trebuchet MS"/>
      <family val="2"/>
    </font>
    <font>
      <sz val="11"/>
      <name val="Trebuchet MS"/>
      <family val="2"/>
    </font>
    <font>
      <u/>
      <sz val="10"/>
      <name val="Trebuchet MS"/>
      <family val="2"/>
    </font>
    <font>
      <sz val="10"/>
      <color theme="1"/>
      <name val="Trebuchet MS"/>
      <family val="2"/>
    </font>
    <font>
      <b/>
      <sz val="12"/>
      <color theme="1"/>
      <name val="Montserrat"/>
    </font>
    <font>
      <b/>
      <sz val="12"/>
      <color rgb="FF000000"/>
      <name val="Montserrat"/>
    </font>
    <font>
      <sz val="12"/>
      <color theme="1"/>
      <name val="Montserrat"/>
    </font>
  </fonts>
  <fills count="11">
    <fill>
      <patternFill patternType="none"/>
    </fill>
    <fill>
      <patternFill patternType="gray125"/>
    </fill>
    <fill>
      <patternFill patternType="solid">
        <fgColor rgb="FFF8CBAD"/>
        <bgColor rgb="FFF8CBAD"/>
      </patternFill>
    </fill>
    <fill>
      <patternFill patternType="solid">
        <fgColor rgb="FFFFFFFF"/>
        <bgColor indexed="64"/>
      </patternFill>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D9E1F2"/>
        <bgColor indexed="64"/>
      </patternFill>
    </fill>
    <fill>
      <patternFill patternType="solid">
        <fgColor rgb="FFF2F2F2"/>
      </patternFill>
    </fill>
    <fill>
      <patternFill patternType="solid">
        <fgColor theme="5" tint="0.39997558519241921"/>
        <bgColor indexed="64"/>
      </patternFill>
    </fill>
    <fill>
      <patternFill patternType="solid">
        <fgColor theme="5" tint="0.39997558519241921"/>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rgb="FF000000"/>
      </bottom>
      <diagonal/>
    </border>
    <border>
      <left style="thin">
        <color rgb="FF7F7F7F"/>
      </left>
      <right style="thin">
        <color rgb="FF7F7F7F"/>
      </right>
      <top style="thin">
        <color rgb="FF7F7F7F"/>
      </top>
      <bottom style="thin">
        <color rgb="FF7F7F7F"/>
      </bottom>
      <diagonal/>
    </border>
    <border>
      <left style="thin">
        <color indexed="64"/>
      </left>
      <right/>
      <top/>
      <bottom/>
      <diagonal/>
    </border>
    <border>
      <left style="thin">
        <color rgb="FF000000"/>
      </left>
      <right style="thin">
        <color rgb="FF000000"/>
      </right>
      <top/>
      <bottom style="thin">
        <color rgb="FF000000"/>
      </bottom>
      <diagonal/>
    </border>
    <border>
      <left/>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164" fontId="2" fillId="0" borderId="0" applyFont="0" applyFill="0" applyBorder="0" applyAlignment="0" applyProtection="0"/>
    <xf numFmtId="0" fontId="6" fillId="0" borderId="0" applyNumberFormat="0" applyFill="0" applyBorder="0" applyAlignment="0" applyProtection="0"/>
    <xf numFmtId="9" fontId="2" fillId="0" borderId="0" applyFont="0" applyFill="0" applyBorder="0" applyAlignment="0" applyProtection="0"/>
    <xf numFmtId="0" fontId="15" fillId="8" borderId="8" applyNumberFormat="0" applyAlignment="0" applyProtection="0"/>
    <xf numFmtId="41" fontId="2" fillId="0" borderId="0" applyFont="0" applyFill="0" applyBorder="0" applyAlignment="0" applyProtection="0"/>
  </cellStyleXfs>
  <cellXfs count="231">
    <xf numFmtId="0" fontId="0" fillId="0" borderId="0" xfId="0"/>
    <xf numFmtId="0" fontId="4" fillId="0" borderId="1" xfId="0" applyFont="1" applyBorder="1" applyAlignment="1">
      <alignment vertical="top"/>
    </xf>
    <xf numFmtId="165" fontId="4" fillId="0" borderId="1" xfId="1" applyNumberFormat="1" applyFont="1" applyBorder="1" applyAlignment="1">
      <alignment horizontal="left" vertical="top"/>
    </xf>
    <xf numFmtId="165" fontId="4" fillId="0" borderId="0" xfId="1" applyNumberFormat="1" applyFont="1" applyAlignment="1">
      <alignment horizontal="left" vertical="top"/>
    </xf>
    <xf numFmtId="165" fontId="4" fillId="2" borderId="2" xfId="1" applyNumberFormat="1" applyFont="1" applyFill="1" applyBorder="1" applyAlignment="1">
      <alignment horizontal="left" vertical="top"/>
    </xf>
    <xf numFmtId="0" fontId="4" fillId="0" borderId="1" xfId="0" applyFont="1" applyBorder="1" applyAlignment="1">
      <alignment horizontal="left"/>
    </xf>
    <xf numFmtId="0" fontId="4" fillId="3" borderId="1" xfId="0" applyFont="1" applyFill="1" applyBorder="1" applyAlignment="1">
      <alignment horizontal="left" vertical="top"/>
    </xf>
    <xf numFmtId="0" fontId="4" fillId="0" borderId="3" xfId="0" applyFont="1" applyBorder="1" applyAlignment="1">
      <alignment horizontal="left" vertical="top"/>
    </xf>
    <xf numFmtId="0" fontId="0" fillId="0" borderId="1" xfId="0" applyBorder="1"/>
    <xf numFmtId="165" fontId="7" fillId="0" borderId="0" xfId="1" applyNumberFormat="1" applyFont="1" applyBorder="1" applyAlignment="1">
      <alignment horizontal="left" vertical="top"/>
    </xf>
    <xf numFmtId="0" fontId="7" fillId="0" borderId="0" xfId="0" applyFont="1" applyAlignment="1">
      <alignment vertical="top"/>
    </xf>
    <xf numFmtId="0" fontId="7" fillId="0" borderId="0" xfId="0" applyFont="1" applyAlignment="1">
      <alignment horizontal="left" vertical="top"/>
    </xf>
    <xf numFmtId="165" fontId="7" fillId="0" borderId="0" xfId="1" applyNumberFormat="1" applyFont="1" applyFill="1" applyBorder="1" applyAlignment="1">
      <alignment horizontal="left" vertical="top"/>
    </xf>
    <xf numFmtId="165" fontId="7" fillId="3" borderId="0" xfId="1" applyNumberFormat="1" applyFont="1" applyFill="1" applyBorder="1" applyAlignment="1">
      <alignment horizontal="left" vertical="top"/>
    </xf>
    <xf numFmtId="165" fontId="4" fillId="0" borderId="1" xfId="1" applyNumberFormat="1" applyFont="1" applyBorder="1" applyAlignment="1" applyProtection="1">
      <alignment horizontal="left" vertical="top"/>
      <protection locked="0"/>
    </xf>
    <xf numFmtId="165" fontId="4" fillId="0" borderId="1" xfId="1" applyNumberFormat="1" applyFont="1" applyBorder="1" applyAlignment="1" applyProtection="1">
      <alignment horizontal="left" vertical="top"/>
    </xf>
    <xf numFmtId="165" fontId="5" fillId="0" borderId="1" xfId="1" applyNumberFormat="1" applyFont="1" applyBorder="1" applyAlignment="1" applyProtection="1">
      <alignment horizontal="left" vertical="top"/>
      <protection locked="0"/>
    </xf>
    <xf numFmtId="165" fontId="4" fillId="0" borderId="1" xfId="1" applyNumberFormat="1" applyFont="1" applyBorder="1" applyAlignment="1" applyProtection="1">
      <alignment horizontal="right" vertical="top"/>
      <protection locked="0"/>
    </xf>
    <xf numFmtId="0" fontId="4" fillId="0" borderId="1" xfId="0" applyFont="1" applyBorder="1" applyAlignment="1" applyProtection="1">
      <alignment horizontal="left" vertical="top"/>
      <protection locked="0"/>
    </xf>
    <xf numFmtId="165" fontId="4" fillId="0" borderId="1" xfId="1" applyNumberFormat="1" applyFont="1" applyBorder="1" applyAlignment="1" applyProtection="1">
      <alignment vertical="top"/>
      <protection locked="0"/>
    </xf>
    <xf numFmtId="165" fontId="4" fillId="0" borderId="1" xfId="1" applyNumberFormat="1" applyFont="1" applyFill="1" applyBorder="1" applyAlignment="1" applyProtection="1">
      <alignment horizontal="left" vertical="top"/>
      <protection locked="0"/>
    </xf>
    <xf numFmtId="166" fontId="4" fillId="0" borderId="1" xfId="1" applyNumberFormat="1" applyFont="1" applyBorder="1" applyAlignment="1" applyProtection="1">
      <alignment horizontal="right" vertical="top"/>
      <protection locked="0"/>
    </xf>
    <xf numFmtId="166" fontId="4" fillId="0" borderId="1" xfId="1" applyNumberFormat="1" applyFont="1" applyFill="1" applyBorder="1" applyAlignment="1" applyProtection="1">
      <alignment horizontal="right" vertical="top"/>
    </xf>
    <xf numFmtId="166" fontId="4" fillId="0" borderId="1" xfId="1" applyNumberFormat="1" applyFont="1" applyBorder="1" applyAlignment="1" applyProtection="1">
      <alignment horizontal="right" vertical="top"/>
    </xf>
    <xf numFmtId="165" fontId="4" fillId="0" borderId="1" xfId="1" applyNumberFormat="1" applyFont="1" applyBorder="1" applyAlignment="1" applyProtection="1">
      <alignment horizontal="center" vertical="top"/>
    </xf>
    <xf numFmtId="166" fontId="4" fillId="0" borderId="1" xfId="0" applyNumberFormat="1" applyFont="1" applyBorder="1" applyAlignment="1" applyProtection="1">
      <alignment horizontal="right" vertical="top"/>
      <protection locked="0"/>
    </xf>
    <xf numFmtId="0" fontId="4" fillId="0" borderId="1" xfId="0" applyFont="1" applyBorder="1" applyAlignment="1" applyProtection="1">
      <alignment vertical="top"/>
      <protection locked="0"/>
    </xf>
    <xf numFmtId="0" fontId="4" fillId="0" borderId="1" xfId="0" applyFont="1" applyBorder="1" applyAlignment="1" applyProtection="1">
      <alignment horizontal="right" vertical="top"/>
      <protection locked="0"/>
    </xf>
    <xf numFmtId="165" fontId="4" fillId="0" borderId="1" xfId="1" applyNumberFormat="1" applyFont="1" applyFill="1" applyBorder="1" applyAlignment="1" applyProtection="1">
      <alignment horizontal="center" vertical="top"/>
    </xf>
    <xf numFmtId="165" fontId="4" fillId="2" borderId="5" xfId="1" applyNumberFormat="1" applyFont="1" applyFill="1" applyBorder="1" applyAlignment="1" applyProtection="1">
      <alignment horizontal="left" vertical="top"/>
      <protection locked="0"/>
    </xf>
    <xf numFmtId="166" fontId="4" fillId="2" borderId="5" xfId="1" applyNumberFormat="1" applyFont="1" applyFill="1" applyBorder="1" applyAlignment="1" applyProtection="1">
      <alignment horizontal="left" vertical="top"/>
    </xf>
    <xf numFmtId="165" fontId="4" fillId="2" borderId="4" xfId="1" applyNumberFormat="1" applyFont="1" applyFill="1" applyBorder="1" applyAlignment="1" applyProtection="1">
      <alignment horizontal="left" vertical="top"/>
      <protection locked="0"/>
    </xf>
    <xf numFmtId="166" fontId="4" fillId="0" borderId="1" xfId="1" applyNumberFormat="1" applyFont="1" applyFill="1" applyBorder="1" applyAlignment="1" applyProtection="1">
      <alignment horizontal="right" vertical="top"/>
      <protection locked="0"/>
    </xf>
    <xf numFmtId="165" fontId="11" fillId="0" borderId="1" xfId="2" applyNumberFormat="1" applyFont="1" applyBorder="1" applyAlignment="1" applyProtection="1">
      <alignment horizontal="left" vertical="top"/>
      <protection locked="0"/>
    </xf>
    <xf numFmtId="166" fontId="4" fillId="0" borderId="1" xfId="0" applyNumberFormat="1" applyFont="1" applyBorder="1" applyAlignment="1">
      <alignment horizontal="right" vertical="top"/>
    </xf>
    <xf numFmtId="0" fontId="5" fillId="0" borderId="1" xfId="2" applyFont="1" applyBorder="1" applyAlignment="1" applyProtection="1">
      <alignment horizontal="left" vertical="top"/>
      <protection locked="0"/>
    </xf>
    <xf numFmtId="0" fontId="4" fillId="0" borderId="1" xfId="0" quotePrefix="1" applyFont="1" applyBorder="1" applyAlignment="1" applyProtection="1">
      <alignment horizontal="right" vertical="top"/>
      <protection locked="0"/>
    </xf>
    <xf numFmtId="165" fontId="7" fillId="0" borderId="0" xfId="1" applyNumberFormat="1" applyFont="1" applyAlignment="1">
      <alignment horizontal="left" vertical="top"/>
    </xf>
    <xf numFmtId="0" fontId="4" fillId="5" borderId="1" xfId="0" applyFont="1" applyFill="1" applyBorder="1" applyAlignment="1" applyProtection="1">
      <alignment horizontal="left" vertical="top"/>
      <protection locked="0"/>
    </xf>
    <xf numFmtId="0" fontId="11" fillId="0" borderId="1" xfId="2" applyFont="1" applyFill="1" applyBorder="1" applyAlignment="1" applyProtection="1">
      <alignment horizontal="left" vertical="top"/>
      <protection locked="0"/>
    </xf>
    <xf numFmtId="165" fontId="7" fillId="0" borderId="0" xfId="1" applyNumberFormat="1" applyFont="1" applyFill="1" applyAlignment="1">
      <alignment horizontal="left" vertical="top"/>
    </xf>
    <xf numFmtId="165" fontId="8" fillId="0" borderId="0" xfId="1" applyNumberFormat="1" applyFont="1" applyBorder="1" applyAlignment="1">
      <alignment horizontal="left" vertical="top"/>
    </xf>
    <xf numFmtId="0" fontId="5" fillId="0" borderId="1" xfId="2" applyFont="1" applyFill="1" applyBorder="1" applyAlignment="1" applyProtection="1">
      <alignment horizontal="left" vertical="top"/>
      <protection locked="0"/>
    </xf>
    <xf numFmtId="165" fontId="5" fillId="0" borderId="1" xfId="1" applyNumberFormat="1" applyFont="1" applyFill="1" applyBorder="1" applyAlignment="1" applyProtection="1">
      <alignment horizontal="left" vertical="top"/>
      <protection locked="0"/>
    </xf>
    <xf numFmtId="165" fontId="8" fillId="0" borderId="0" xfId="1" applyNumberFormat="1" applyFont="1" applyFill="1" applyBorder="1" applyAlignment="1">
      <alignment horizontal="left" vertical="top"/>
    </xf>
    <xf numFmtId="165" fontId="5" fillId="0" borderId="1" xfId="2" applyNumberFormat="1" applyFont="1" applyBorder="1" applyAlignment="1" applyProtection="1">
      <alignment horizontal="left" vertical="top"/>
      <protection locked="0"/>
    </xf>
    <xf numFmtId="167" fontId="4" fillId="0" borderId="1" xfId="1" applyNumberFormat="1" applyFont="1" applyBorder="1" applyAlignment="1" applyProtection="1">
      <alignment horizontal="left" vertical="top"/>
      <protection locked="0"/>
    </xf>
    <xf numFmtId="165" fontId="8" fillId="0" borderId="0" xfId="1" applyNumberFormat="1" applyFont="1" applyBorder="1" applyAlignment="1">
      <alignment vertical="top"/>
    </xf>
    <xf numFmtId="0" fontId="11" fillId="0" borderId="1" xfId="2" applyFont="1" applyBorder="1" applyAlignment="1" applyProtection="1">
      <alignment horizontal="left" vertical="top"/>
      <protection locked="0"/>
    </xf>
    <xf numFmtId="165" fontId="11" fillId="0" borderId="1" xfId="2" applyNumberFormat="1" applyFont="1" applyFill="1" applyBorder="1" applyAlignment="1" applyProtection="1">
      <alignment horizontal="left" vertical="top"/>
      <protection locked="0"/>
    </xf>
    <xf numFmtId="165" fontId="4" fillId="0" borderId="1" xfId="1" applyNumberFormat="1" applyFont="1" applyFill="1" applyBorder="1" applyAlignment="1" applyProtection="1">
      <alignment vertical="top"/>
      <protection locked="0"/>
    </xf>
    <xf numFmtId="166" fontId="5" fillId="0" borderId="1" xfId="2" applyNumberFormat="1" applyFont="1" applyBorder="1" applyAlignment="1" applyProtection="1">
      <alignment horizontal="left" vertical="top"/>
      <protection locked="0"/>
    </xf>
    <xf numFmtId="0" fontId="4" fillId="0" borderId="1" xfId="0" quotePrefix="1" applyFont="1" applyBorder="1" applyAlignment="1" applyProtection="1">
      <alignment horizontal="left" vertical="top"/>
      <protection locked="0"/>
    </xf>
    <xf numFmtId="16" fontId="5" fillId="0" borderId="1" xfId="2" applyNumberFormat="1" applyFont="1" applyBorder="1" applyAlignment="1" applyProtection="1">
      <alignment horizontal="left" vertical="top"/>
      <protection locked="0"/>
    </xf>
    <xf numFmtId="1" fontId="4" fillId="0" borderId="1" xfId="1" applyNumberFormat="1" applyFont="1" applyBorder="1" applyAlignment="1" applyProtection="1">
      <alignment horizontal="right" vertical="top"/>
      <protection locked="0"/>
    </xf>
    <xf numFmtId="0" fontId="3" fillId="0" borderId="1" xfId="0" applyFont="1" applyBorder="1" applyAlignment="1" applyProtection="1">
      <alignment vertical="top"/>
      <protection locked="0"/>
    </xf>
    <xf numFmtId="0" fontId="7" fillId="3" borderId="0" xfId="0" applyFont="1" applyFill="1" applyAlignment="1">
      <alignment horizontal="left" vertical="top"/>
    </xf>
    <xf numFmtId="166" fontId="4" fillId="0" borderId="1" xfId="1" applyNumberFormat="1" applyFont="1" applyBorder="1" applyAlignment="1">
      <alignment horizontal="right" vertical="top"/>
    </xf>
    <xf numFmtId="165" fontId="4" fillId="0" borderId="1" xfId="1" applyNumberFormat="1" applyFont="1" applyBorder="1" applyAlignment="1">
      <alignment horizontal="center" vertical="top"/>
    </xf>
    <xf numFmtId="165" fontId="5" fillId="0" borderId="1" xfId="1" quotePrefix="1" applyNumberFormat="1" applyFont="1" applyBorder="1" applyAlignment="1" applyProtection="1">
      <alignment horizontal="left" vertical="top"/>
      <protection locked="0"/>
    </xf>
    <xf numFmtId="165" fontId="4" fillId="0" borderId="1" xfId="1" quotePrefix="1" applyNumberFormat="1" applyFont="1" applyBorder="1" applyAlignment="1" applyProtection="1">
      <alignment horizontal="left" vertical="top"/>
      <protection locked="0"/>
    </xf>
    <xf numFmtId="166" fontId="4" fillId="0" borderId="1" xfId="0" applyNumberFormat="1" applyFont="1" applyBorder="1" applyAlignment="1" applyProtection="1">
      <alignment vertical="top"/>
      <protection locked="0"/>
    </xf>
    <xf numFmtId="165" fontId="4" fillId="0" borderId="1" xfId="1" quotePrefix="1" applyNumberFormat="1" applyFont="1" applyBorder="1" applyAlignment="1" applyProtection="1">
      <alignment horizontal="right" vertical="top"/>
      <protection locked="0"/>
    </xf>
    <xf numFmtId="0" fontId="11" fillId="0" borderId="1" xfId="2" applyFont="1" applyBorder="1" applyAlignment="1" applyProtection="1">
      <alignment vertical="top"/>
      <protection locked="0"/>
    </xf>
    <xf numFmtId="0" fontId="9" fillId="0" borderId="1" xfId="0" applyFont="1" applyBorder="1" applyAlignment="1" applyProtection="1">
      <alignment vertical="top"/>
      <protection locked="0"/>
    </xf>
    <xf numFmtId="0" fontId="10" fillId="0" borderId="1" xfId="0" applyFont="1" applyBorder="1" applyAlignment="1" applyProtection="1">
      <alignment vertical="top"/>
      <protection locked="0"/>
    </xf>
    <xf numFmtId="165" fontId="4" fillId="0" borderId="1" xfId="1" applyNumberFormat="1" applyFont="1" applyFill="1" applyBorder="1" applyAlignment="1" applyProtection="1">
      <alignment horizontal="right" vertical="top"/>
      <protection locked="0"/>
    </xf>
    <xf numFmtId="165" fontId="4" fillId="0" borderId="1" xfId="1" applyNumberFormat="1" applyFont="1" applyBorder="1" applyAlignment="1" applyProtection="1">
      <alignment horizontal="right" vertical="top"/>
    </xf>
    <xf numFmtId="0" fontId="4" fillId="0" borderId="1" xfId="2" applyFont="1" applyFill="1" applyBorder="1" applyAlignment="1" applyProtection="1">
      <alignment horizontal="left" vertical="top"/>
      <protection locked="0"/>
    </xf>
    <xf numFmtId="166" fontId="4" fillId="0" borderId="1" xfId="0" applyNumberFormat="1" applyFont="1" applyBorder="1" applyAlignment="1" applyProtection="1">
      <alignment horizontal="left" vertical="top"/>
      <protection locked="0"/>
    </xf>
    <xf numFmtId="165" fontId="4" fillId="6" borderId="1" xfId="1" applyNumberFormat="1" applyFont="1" applyFill="1" applyBorder="1" applyAlignment="1" applyProtection="1">
      <alignment horizontal="left" vertical="top"/>
      <protection locked="0"/>
    </xf>
    <xf numFmtId="165" fontId="6" fillId="0" borderId="1" xfId="2" applyNumberFormat="1" applyFill="1" applyBorder="1" applyAlignment="1" applyProtection="1">
      <alignment horizontal="left" vertical="top"/>
      <protection locked="0"/>
    </xf>
    <xf numFmtId="0" fontId="7" fillId="4" borderId="0" xfId="0" applyFont="1" applyFill="1" applyAlignment="1">
      <alignment horizontal="left" vertical="top"/>
    </xf>
    <xf numFmtId="165" fontId="6" fillId="0" borderId="1" xfId="2" applyNumberFormat="1" applyBorder="1" applyAlignment="1" applyProtection="1">
      <alignment horizontal="left" vertical="top"/>
      <protection locked="0"/>
    </xf>
    <xf numFmtId="0" fontId="4" fillId="7" borderId="1" xfId="0" applyFont="1" applyFill="1" applyBorder="1" applyAlignment="1" applyProtection="1">
      <alignment horizontal="left" vertical="top"/>
      <protection locked="0"/>
    </xf>
    <xf numFmtId="165" fontId="4" fillId="7" borderId="1" xfId="1" applyNumberFormat="1" applyFont="1" applyFill="1" applyBorder="1" applyAlignment="1" applyProtection="1">
      <alignment horizontal="left" vertical="top"/>
      <protection locked="0"/>
    </xf>
    <xf numFmtId="165" fontId="4" fillId="7" borderId="1" xfId="1" applyNumberFormat="1" applyFont="1" applyFill="1" applyBorder="1" applyAlignment="1" applyProtection="1">
      <alignment horizontal="left" vertical="top"/>
    </xf>
    <xf numFmtId="166" fontId="4" fillId="7" borderId="1" xfId="0" applyNumberFormat="1" applyFont="1" applyFill="1" applyBorder="1" applyAlignment="1" applyProtection="1">
      <alignment horizontal="right" vertical="top"/>
      <protection locked="0"/>
    </xf>
    <xf numFmtId="0" fontId="4" fillId="7" borderId="1" xfId="2" applyFont="1" applyFill="1" applyBorder="1" applyAlignment="1" applyProtection="1">
      <alignment horizontal="left" vertical="top"/>
      <protection locked="0"/>
    </xf>
    <xf numFmtId="0" fontId="8" fillId="0" borderId="0" xfId="0" applyFont="1" applyAlignment="1">
      <alignment vertical="top"/>
    </xf>
    <xf numFmtId="165" fontId="4" fillId="0" borderId="6" xfId="1" applyNumberFormat="1" applyFont="1" applyBorder="1" applyAlignment="1" applyProtection="1">
      <alignment horizontal="left" vertical="top"/>
      <protection locked="0"/>
    </xf>
    <xf numFmtId="0" fontId="6" fillId="0" borderId="1" xfId="2" applyBorder="1" applyAlignment="1" applyProtection="1">
      <alignment horizontal="left" vertical="top"/>
      <protection locked="0"/>
    </xf>
    <xf numFmtId="0" fontId="4" fillId="0" borderId="6" xfId="0" applyFont="1" applyBorder="1" applyAlignment="1" applyProtection="1">
      <alignment vertical="top"/>
      <protection locked="0"/>
    </xf>
    <xf numFmtId="165" fontId="4" fillId="0" borderId="6" xfId="1" applyNumberFormat="1" applyFont="1" applyBorder="1" applyAlignment="1" applyProtection="1">
      <alignment horizontal="left" vertical="top"/>
    </xf>
    <xf numFmtId="165" fontId="4" fillId="0" borderId="6" xfId="1" applyNumberFormat="1" applyFont="1" applyBorder="1" applyAlignment="1" applyProtection="1">
      <alignment horizontal="center" vertical="top"/>
    </xf>
    <xf numFmtId="0" fontId="4" fillId="0" borderId="6" xfId="0" applyFont="1" applyBorder="1" applyAlignment="1" applyProtection="1">
      <alignment horizontal="right" vertical="top"/>
      <protection locked="0"/>
    </xf>
    <xf numFmtId="0" fontId="12" fillId="0" borderId="0" xfId="0" pivotButton="1" applyFont="1"/>
    <xf numFmtId="165" fontId="12" fillId="0" borderId="0" xfId="0" applyNumberFormat="1" applyFont="1"/>
    <xf numFmtId="0" fontId="12" fillId="0" borderId="0" xfId="0" applyFont="1"/>
    <xf numFmtId="0" fontId="12" fillId="0" borderId="0" xfId="0" applyFont="1" applyAlignment="1">
      <alignment horizontal="left"/>
    </xf>
    <xf numFmtId="0" fontId="12" fillId="0" borderId="0" xfId="0" applyFont="1" applyAlignment="1">
      <alignment horizontal="left" indent="1"/>
    </xf>
    <xf numFmtId="165" fontId="12" fillId="0" borderId="0" xfId="1" applyNumberFormat="1" applyFont="1"/>
    <xf numFmtId="10" fontId="12" fillId="0" borderId="0" xfId="3" applyNumberFormat="1" applyFont="1"/>
    <xf numFmtId="10" fontId="0" fillId="0" borderId="0" xfId="3" applyNumberFormat="1" applyFont="1"/>
    <xf numFmtId="164" fontId="4" fillId="0" borderId="1" xfId="1" applyFont="1" applyBorder="1" applyAlignment="1" applyProtection="1">
      <alignment horizontal="left" vertical="top"/>
      <protection locked="0"/>
    </xf>
    <xf numFmtId="165" fontId="5" fillId="0" borderId="1" xfId="2" applyNumberFormat="1" applyFont="1" applyFill="1" applyBorder="1" applyAlignment="1" applyProtection="1">
      <alignment horizontal="left" vertical="top"/>
      <protection locked="0"/>
    </xf>
    <xf numFmtId="0" fontId="6" fillId="0" borderId="1" xfId="2" applyFill="1" applyBorder="1" applyAlignment="1" applyProtection="1">
      <alignment horizontal="left" vertical="top"/>
      <protection locked="0"/>
    </xf>
    <xf numFmtId="0" fontId="13" fillId="0" borderId="0" xfId="0" applyFont="1" applyAlignment="1">
      <alignment horizontal="left" vertical="top"/>
    </xf>
    <xf numFmtId="165" fontId="4" fillId="0" borderId="0" xfId="1" applyNumberFormat="1" applyFont="1" applyFill="1" applyBorder="1" applyAlignment="1" applyProtection="1">
      <alignment horizontal="left" vertical="top"/>
      <protection locked="0"/>
    </xf>
    <xf numFmtId="0" fontId="14" fillId="0" borderId="0" xfId="0" pivotButton="1" applyFont="1"/>
    <xf numFmtId="0" fontId="14" fillId="0" borderId="0" xfId="0" applyFont="1"/>
    <xf numFmtId="0" fontId="14" fillId="0" borderId="0" xfId="0" applyFont="1" applyAlignment="1">
      <alignment horizontal="left"/>
    </xf>
    <xf numFmtId="165" fontId="14" fillId="0" borderId="0" xfId="0" applyNumberFormat="1" applyFont="1"/>
    <xf numFmtId="0" fontId="14" fillId="0" borderId="0" xfId="0" applyFont="1" applyAlignment="1">
      <alignment horizontal="left" indent="1"/>
    </xf>
    <xf numFmtId="166" fontId="4" fillId="2" borderId="5" xfId="1" applyNumberFormat="1" applyFont="1" applyFill="1" applyBorder="1" applyAlignment="1" applyProtection="1">
      <alignment horizontal="left" vertical="top"/>
      <protection locked="0"/>
    </xf>
    <xf numFmtId="165" fontId="4" fillId="2" borderId="5" xfId="1" applyNumberFormat="1" applyFont="1" applyFill="1" applyBorder="1" applyAlignment="1" applyProtection="1">
      <alignment horizontal="right" vertical="top"/>
      <protection locked="0"/>
    </xf>
    <xf numFmtId="165" fontId="4" fillId="2" borderId="5" xfId="1" applyNumberFormat="1" applyFont="1" applyFill="1" applyBorder="1" applyAlignment="1" applyProtection="1">
      <alignment horizontal="right" vertical="top"/>
    </xf>
    <xf numFmtId="165" fontId="14" fillId="0" borderId="0" xfId="0" applyNumberFormat="1" applyFont="1" applyAlignment="1">
      <alignment horizontal="right"/>
    </xf>
    <xf numFmtId="165" fontId="14" fillId="0" borderId="0" xfId="1" applyNumberFormat="1" applyFont="1" applyAlignment="1">
      <alignment horizontal="right"/>
    </xf>
    <xf numFmtId="0" fontId="0" fillId="0" borderId="0" xfId="0" pivotButton="1"/>
    <xf numFmtId="0" fontId="0" fillId="0" borderId="0" xfId="0" applyAlignment="1">
      <alignment horizontal="left"/>
    </xf>
    <xf numFmtId="165" fontId="16" fillId="0" borderId="0" xfId="1" applyNumberFormat="1" applyFont="1" applyAlignment="1">
      <alignment horizontal="left" vertical="top"/>
    </xf>
    <xf numFmtId="43" fontId="0" fillId="0" borderId="0" xfId="0" applyNumberFormat="1"/>
    <xf numFmtId="41" fontId="14" fillId="0" borderId="0" xfId="0" applyNumberFormat="1" applyFont="1"/>
    <xf numFmtId="0" fontId="0" fillId="0" borderId="9" xfId="0" applyBorder="1"/>
    <xf numFmtId="166" fontId="4" fillId="0" borderId="6" xfId="1" applyNumberFormat="1" applyFont="1" applyFill="1" applyBorder="1" applyAlignment="1" applyProtection="1">
      <alignment horizontal="right" vertical="top"/>
    </xf>
    <xf numFmtId="165" fontId="4" fillId="0" borderId="0" xfId="1" applyNumberFormat="1" applyFont="1" applyBorder="1" applyAlignment="1" applyProtection="1">
      <alignment horizontal="left" vertical="top"/>
      <protection locked="0"/>
    </xf>
    <xf numFmtId="165" fontId="4" fillId="0" borderId="0" xfId="1" applyNumberFormat="1" applyFont="1" applyAlignment="1" applyProtection="1">
      <alignment horizontal="left" vertical="top"/>
      <protection locked="0"/>
    </xf>
    <xf numFmtId="165" fontId="4" fillId="0" borderId="0" xfId="1" applyNumberFormat="1" applyFont="1" applyFill="1" applyAlignment="1" applyProtection="1">
      <alignment horizontal="left" vertical="top"/>
      <protection locked="0"/>
    </xf>
    <xf numFmtId="165" fontId="4" fillId="4" borderId="0" xfId="1" applyNumberFormat="1" applyFont="1" applyFill="1" applyBorder="1" applyAlignment="1" applyProtection="1">
      <alignment horizontal="left" vertical="top"/>
      <protection locked="0"/>
    </xf>
    <xf numFmtId="165" fontId="4" fillId="3" borderId="0" xfId="1" applyNumberFormat="1" applyFont="1" applyFill="1" applyBorder="1" applyAlignment="1" applyProtection="1">
      <alignment horizontal="left" vertical="top"/>
      <protection locked="0"/>
    </xf>
    <xf numFmtId="165" fontId="4" fillId="0" borderId="0" xfId="1" applyNumberFormat="1" applyFont="1" applyBorder="1" applyAlignment="1" applyProtection="1">
      <alignment vertical="top"/>
      <protection locked="0"/>
    </xf>
    <xf numFmtId="165" fontId="4" fillId="3" borderId="0" xfId="0" applyNumberFormat="1" applyFont="1" applyFill="1" applyAlignment="1" applyProtection="1">
      <alignment horizontal="left" vertical="top"/>
      <protection locked="0"/>
    </xf>
    <xf numFmtId="165" fontId="4" fillId="0" borderId="0" xfId="0" applyNumberFormat="1" applyFont="1" applyAlignment="1" applyProtection="1">
      <alignment horizontal="left" vertical="top"/>
      <protection locked="0"/>
    </xf>
    <xf numFmtId="165" fontId="4" fillId="4" borderId="0" xfId="0" applyNumberFormat="1" applyFont="1" applyFill="1" applyAlignment="1" applyProtection="1">
      <alignment horizontal="left" vertical="top"/>
      <protection locked="0"/>
    </xf>
    <xf numFmtId="165" fontId="4" fillId="0" borderId="0" xfId="0" applyNumberFormat="1" applyFont="1" applyAlignment="1" applyProtection="1">
      <alignment vertical="top"/>
      <protection locked="0"/>
    </xf>
    <xf numFmtId="165" fontId="4" fillId="2" borderId="10" xfId="1" applyNumberFormat="1" applyFont="1" applyFill="1" applyBorder="1" applyAlignment="1" applyProtection="1">
      <alignment horizontal="left" vertical="top"/>
      <protection locked="0"/>
    </xf>
    <xf numFmtId="165" fontId="4" fillId="0" borderId="6" xfId="1" applyNumberFormat="1" applyFont="1" applyBorder="1" applyAlignment="1" applyProtection="1">
      <alignment vertical="top"/>
      <protection locked="0"/>
    </xf>
    <xf numFmtId="166" fontId="4" fillId="0" borderId="6" xfId="1" applyNumberFormat="1" applyFont="1" applyBorder="1" applyAlignment="1" applyProtection="1">
      <alignment horizontal="right" vertical="top"/>
    </xf>
    <xf numFmtId="165" fontId="4" fillId="0" borderId="6" xfId="1" applyNumberFormat="1" applyFont="1" applyBorder="1" applyAlignment="1" applyProtection="1">
      <alignment horizontal="right" vertical="top"/>
      <protection locked="0"/>
    </xf>
    <xf numFmtId="166" fontId="4" fillId="0" borderId="6" xfId="0" applyNumberFormat="1" applyFont="1" applyBorder="1" applyAlignment="1" applyProtection="1">
      <alignment horizontal="right" vertical="top"/>
      <protection locked="0"/>
    </xf>
    <xf numFmtId="166" fontId="4" fillId="0" borderId="6" xfId="0" applyNumberFormat="1" applyFont="1" applyBorder="1" applyAlignment="1">
      <alignment horizontal="right" vertical="top"/>
    </xf>
    <xf numFmtId="165" fontId="0" fillId="0" borderId="0" xfId="0" applyNumberFormat="1"/>
    <xf numFmtId="165" fontId="4" fillId="0" borderId="1" xfId="1" applyNumberFormat="1" applyFont="1" applyFill="1" applyBorder="1" applyAlignment="1" applyProtection="1">
      <alignment horizontal="left" vertical="top"/>
    </xf>
    <xf numFmtId="166" fontId="4" fillId="0" borderId="6" xfId="1" applyNumberFormat="1" applyFont="1" applyBorder="1" applyAlignment="1" applyProtection="1">
      <alignment horizontal="right" vertical="top"/>
      <protection locked="0"/>
    </xf>
    <xf numFmtId="0" fontId="5" fillId="0" borderId="0" xfId="2" applyFont="1" applyBorder="1" applyAlignment="1" applyProtection="1">
      <alignment horizontal="left" vertical="top"/>
      <protection locked="0"/>
    </xf>
    <xf numFmtId="165" fontId="4" fillId="0" borderId="1" xfId="1" quotePrefix="1" applyNumberFormat="1" applyFont="1" applyFill="1" applyBorder="1" applyAlignment="1" applyProtection="1">
      <alignment horizontal="right" vertical="top"/>
      <protection locked="0"/>
    </xf>
    <xf numFmtId="165" fontId="0" fillId="0" borderId="0" xfId="1" applyNumberFormat="1" applyFont="1"/>
    <xf numFmtId="9" fontId="0" fillId="0" borderId="0" xfId="3" applyFont="1"/>
    <xf numFmtId="0" fontId="0" fillId="0" borderId="11" xfId="0" applyBorder="1"/>
    <xf numFmtId="165" fontId="0" fillId="0" borderId="11" xfId="1" applyNumberFormat="1" applyFont="1" applyBorder="1"/>
    <xf numFmtId="9" fontId="0" fillId="0" borderId="11" xfId="3" applyFont="1" applyBorder="1"/>
    <xf numFmtId="165" fontId="19" fillId="0" borderId="1" xfId="1" applyNumberFormat="1" applyFont="1" applyBorder="1" applyAlignment="1" applyProtection="1">
      <alignment horizontal="left" vertical="top"/>
      <protection locked="0"/>
    </xf>
    <xf numFmtId="165" fontId="19" fillId="6" borderId="1" xfId="1" applyNumberFormat="1" applyFont="1" applyFill="1" applyBorder="1" applyAlignment="1" applyProtection="1">
      <alignment horizontal="left" vertical="top"/>
      <protection locked="0"/>
    </xf>
    <xf numFmtId="165" fontId="19" fillId="0" borderId="1" xfId="1" applyNumberFormat="1" applyFont="1" applyBorder="1" applyAlignment="1" applyProtection="1">
      <alignment horizontal="left" vertical="top"/>
    </xf>
    <xf numFmtId="166" fontId="19" fillId="0" borderId="1" xfId="1" applyNumberFormat="1" applyFont="1" applyBorder="1" applyAlignment="1" applyProtection="1">
      <alignment horizontal="right" vertical="top"/>
      <protection locked="0"/>
    </xf>
    <xf numFmtId="166" fontId="19" fillId="0" borderId="1" xfId="1" applyNumberFormat="1" applyFont="1" applyFill="1" applyBorder="1" applyAlignment="1" applyProtection="1">
      <alignment horizontal="right" vertical="top"/>
    </xf>
    <xf numFmtId="165" fontId="19" fillId="0" borderId="1" xfId="1" applyNumberFormat="1" applyFont="1" applyFill="1" applyBorder="1" applyAlignment="1" applyProtection="1">
      <alignment horizontal="center" vertical="top"/>
    </xf>
    <xf numFmtId="165" fontId="19" fillId="0" borderId="1" xfId="1" applyNumberFormat="1" applyFont="1" applyFill="1" applyBorder="1" applyAlignment="1" applyProtection="1">
      <alignment horizontal="left" vertical="top"/>
      <protection locked="0"/>
    </xf>
    <xf numFmtId="165" fontId="19" fillId="0" borderId="0" xfId="1" applyNumberFormat="1" applyFont="1" applyBorder="1" applyAlignment="1" applyProtection="1">
      <alignment horizontal="left" vertical="top"/>
      <protection locked="0"/>
    </xf>
    <xf numFmtId="165" fontId="4" fillId="0" borderId="3" xfId="1" applyNumberFormat="1" applyFont="1" applyBorder="1" applyAlignment="1" applyProtection="1">
      <alignment horizontal="left" vertical="top"/>
      <protection locked="0"/>
    </xf>
    <xf numFmtId="0" fontId="4" fillId="0" borderId="3" xfId="0" applyFont="1" applyBorder="1" applyAlignment="1" applyProtection="1">
      <alignment horizontal="left" vertical="top"/>
      <protection locked="0"/>
    </xf>
    <xf numFmtId="165" fontId="19" fillId="0" borderId="1" xfId="1" applyNumberFormat="1" applyFont="1" applyBorder="1" applyAlignment="1">
      <alignment horizontal="left" vertical="top"/>
    </xf>
    <xf numFmtId="165" fontId="4" fillId="0" borderId="3" xfId="1" applyNumberFormat="1" applyFont="1" applyBorder="1" applyAlignment="1" applyProtection="1">
      <alignment vertical="top"/>
      <protection locked="0"/>
    </xf>
    <xf numFmtId="0" fontId="4" fillId="0" borderId="3" xfId="0" applyFont="1" applyBorder="1" applyAlignment="1" applyProtection="1">
      <alignment vertical="top"/>
      <protection locked="0"/>
    </xf>
    <xf numFmtId="165" fontId="4" fillId="0" borderId="3" xfId="1" applyNumberFormat="1" applyFont="1" applyFill="1" applyBorder="1" applyAlignment="1" applyProtection="1">
      <alignment horizontal="left" vertical="top"/>
      <protection locked="0"/>
    </xf>
    <xf numFmtId="165" fontId="4" fillId="0" borderId="3" xfId="1" applyNumberFormat="1" applyFont="1" applyBorder="1" applyAlignment="1" applyProtection="1">
      <alignment horizontal="left" vertical="top"/>
    </xf>
    <xf numFmtId="165" fontId="20" fillId="0" borderId="1" xfId="1" applyNumberFormat="1" applyFont="1" applyBorder="1" applyAlignment="1">
      <alignment horizontal="left" vertical="top"/>
    </xf>
    <xf numFmtId="166" fontId="4" fillId="0" borderId="3" xfId="1" applyNumberFormat="1" applyFont="1" applyBorder="1" applyAlignment="1" applyProtection="1">
      <alignment horizontal="right" vertical="top"/>
      <protection locked="0"/>
    </xf>
    <xf numFmtId="166" fontId="19" fillId="0" borderId="1" xfId="1" applyNumberFormat="1" applyFont="1" applyBorder="1" applyAlignment="1">
      <alignment horizontal="right" vertical="top"/>
    </xf>
    <xf numFmtId="166" fontId="4" fillId="0" borderId="3" xfId="0" applyNumberFormat="1" applyFont="1" applyBorder="1" applyAlignment="1" applyProtection="1">
      <alignment horizontal="right" vertical="top"/>
      <protection locked="0"/>
    </xf>
    <xf numFmtId="166" fontId="4" fillId="0" borderId="3" xfId="1" applyNumberFormat="1" applyFont="1" applyFill="1" applyBorder="1" applyAlignment="1" applyProtection="1">
      <alignment horizontal="right" vertical="top"/>
    </xf>
    <xf numFmtId="166" fontId="4" fillId="0" borderId="3" xfId="0" applyNumberFormat="1" applyFont="1" applyBorder="1" applyAlignment="1">
      <alignment horizontal="right" vertical="top"/>
    </xf>
    <xf numFmtId="166" fontId="4" fillId="0" borderId="7" xfId="0" applyNumberFormat="1" applyFont="1" applyBorder="1" applyAlignment="1">
      <alignment horizontal="right" vertical="top"/>
    </xf>
    <xf numFmtId="166" fontId="4" fillId="0" borderId="3" xfId="1" applyNumberFormat="1" applyFont="1" applyBorder="1" applyAlignment="1" applyProtection="1">
      <alignment horizontal="right" vertical="top"/>
    </xf>
    <xf numFmtId="165" fontId="4" fillId="0" borderId="3" xfId="1" applyNumberFormat="1" applyFont="1" applyBorder="1" applyAlignment="1" applyProtection="1">
      <alignment horizontal="center" vertical="top"/>
    </xf>
    <xf numFmtId="165" fontId="19" fillId="0" borderId="1" xfId="1" applyNumberFormat="1" applyFont="1" applyBorder="1" applyAlignment="1">
      <alignment horizontal="center" vertical="top"/>
    </xf>
    <xf numFmtId="165" fontId="4" fillId="0" borderId="3" xfId="1" applyNumberFormat="1" applyFont="1" applyFill="1" applyBorder="1" applyAlignment="1" applyProtection="1">
      <alignment horizontal="center" vertical="top"/>
    </xf>
    <xf numFmtId="165" fontId="5" fillId="0" borderId="3" xfId="1" applyNumberFormat="1" applyFont="1" applyFill="1" applyBorder="1" applyAlignment="1" applyProtection="1">
      <alignment horizontal="left" vertical="top"/>
      <protection locked="0"/>
    </xf>
    <xf numFmtId="0" fontId="5" fillId="0" borderId="3" xfId="2" applyFont="1" applyFill="1" applyBorder="1" applyAlignment="1" applyProtection="1">
      <alignment horizontal="left" vertical="top"/>
      <protection locked="0"/>
    </xf>
    <xf numFmtId="165" fontId="5" fillId="0" borderId="6" xfId="1" applyNumberFormat="1" applyFont="1" applyFill="1" applyBorder="1" applyAlignment="1" applyProtection="1">
      <alignment horizontal="left" vertical="top"/>
      <protection locked="0"/>
    </xf>
    <xf numFmtId="165" fontId="11" fillId="0" borderId="3" xfId="2" applyNumberFormat="1" applyFont="1" applyBorder="1" applyAlignment="1" applyProtection="1">
      <alignment horizontal="left" vertical="top"/>
      <protection locked="0"/>
    </xf>
    <xf numFmtId="165" fontId="19" fillId="0" borderId="1" xfId="1" quotePrefix="1" applyNumberFormat="1" applyFont="1" applyBorder="1" applyAlignment="1" applyProtection="1">
      <alignment horizontal="right" vertical="top"/>
      <protection locked="0"/>
    </xf>
    <xf numFmtId="165" fontId="4" fillId="0" borderId="3" xfId="1" applyNumberFormat="1" applyFont="1" applyBorder="1" applyAlignment="1" applyProtection="1">
      <alignment horizontal="right" vertical="top"/>
      <protection locked="0"/>
    </xf>
    <xf numFmtId="0" fontId="4" fillId="0" borderId="3" xfId="0" applyFont="1" applyBorder="1" applyAlignment="1" applyProtection="1">
      <alignment horizontal="right" vertical="top"/>
      <protection locked="0"/>
    </xf>
    <xf numFmtId="165" fontId="19" fillId="0" borderId="0" xfId="1" applyNumberFormat="1" applyFont="1" applyBorder="1" applyAlignment="1">
      <alignment horizontal="left" vertical="top"/>
    </xf>
    <xf numFmtId="165" fontId="4" fillId="0" borderId="3" xfId="0" applyNumberFormat="1" applyFont="1" applyBorder="1" applyAlignment="1" applyProtection="1">
      <alignment horizontal="left" vertical="top"/>
      <protection locked="0"/>
    </xf>
    <xf numFmtId="16" fontId="4" fillId="0" borderId="3" xfId="0" applyNumberFormat="1" applyFont="1" applyBorder="1" applyAlignment="1" applyProtection="1">
      <alignment vertical="top"/>
      <protection locked="0"/>
    </xf>
    <xf numFmtId="0" fontId="5" fillId="0" borderId="6" xfId="2" applyFont="1" applyBorder="1" applyAlignment="1" applyProtection="1">
      <alignment horizontal="left" vertical="top"/>
      <protection locked="0"/>
    </xf>
    <xf numFmtId="16" fontId="6" fillId="0" borderId="3" xfId="2" applyNumberFormat="1" applyBorder="1" applyAlignment="1" applyProtection="1">
      <alignment horizontal="left" vertical="top"/>
      <protection locked="0"/>
    </xf>
    <xf numFmtId="165" fontId="19" fillId="0" borderId="1" xfId="1" applyNumberFormat="1" applyFont="1" applyBorder="1" applyAlignment="1" applyProtection="1">
      <alignment horizontal="right" vertical="top"/>
      <protection locked="0"/>
    </xf>
    <xf numFmtId="0" fontId="19" fillId="0" borderId="1" xfId="0" applyFont="1" applyBorder="1" applyAlignment="1" applyProtection="1">
      <alignment horizontal="right" vertical="top"/>
      <protection locked="0"/>
    </xf>
    <xf numFmtId="165" fontId="19" fillId="0" borderId="0" xfId="0" applyNumberFormat="1" applyFont="1" applyAlignment="1" applyProtection="1">
      <alignment horizontal="left" vertical="top"/>
      <protection locked="0"/>
    </xf>
    <xf numFmtId="0" fontId="22" fillId="0" borderId="1" xfId="0" applyFont="1" applyBorder="1" applyAlignment="1" applyProtection="1">
      <alignment vertical="top"/>
      <protection locked="0"/>
    </xf>
    <xf numFmtId="0" fontId="21" fillId="0" borderId="1" xfId="2" applyFont="1" applyBorder="1" applyAlignment="1" applyProtection="1">
      <alignment horizontal="left" vertical="top"/>
      <protection locked="0"/>
    </xf>
    <xf numFmtId="0" fontId="19" fillId="0" borderId="1" xfId="0" applyFont="1" applyBorder="1" applyAlignment="1" applyProtection="1">
      <alignment horizontal="left" vertical="top"/>
      <protection locked="0"/>
    </xf>
    <xf numFmtId="165" fontId="19" fillId="0" borderId="12" xfId="1" applyNumberFormat="1" applyFont="1" applyBorder="1" applyAlignment="1" applyProtection="1">
      <alignment horizontal="left" vertical="top"/>
      <protection locked="0"/>
    </xf>
    <xf numFmtId="166" fontId="19" fillId="0" borderId="1" xfId="0" applyNumberFormat="1" applyFont="1" applyBorder="1" applyAlignment="1">
      <alignment horizontal="right" vertical="top"/>
    </xf>
    <xf numFmtId="165" fontId="21" fillId="0" borderId="1" xfId="2" applyNumberFormat="1" applyFont="1" applyBorder="1" applyAlignment="1" applyProtection="1">
      <alignment horizontal="left" vertical="top"/>
      <protection locked="0"/>
    </xf>
    <xf numFmtId="165" fontId="19" fillId="0" borderId="0" xfId="1" applyNumberFormat="1" applyFont="1" applyFill="1" applyBorder="1" applyAlignment="1" applyProtection="1">
      <alignment horizontal="left" vertical="top"/>
      <protection locked="0"/>
    </xf>
    <xf numFmtId="165" fontId="19" fillId="0" borderId="6" xfId="1" applyNumberFormat="1" applyFont="1" applyFill="1" applyBorder="1" applyAlignment="1" applyProtection="1">
      <alignment horizontal="left" vertical="top"/>
      <protection locked="0"/>
    </xf>
    <xf numFmtId="165" fontId="4" fillId="0" borderId="6" xfId="1" applyNumberFormat="1" applyFont="1" applyFill="1" applyBorder="1" applyAlignment="1" applyProtection="1">
      <alignment horizontal="left" vertical="top"/>
      <protection locked="0"/>
    </xf>
    <xf numFmtId="165" fontId="19" fillId="0" borderId="13" xfId="1" applyNumberFormat="1" applyFont="1" applyFill="1" applyBorder="1" applyAlignment="1" applyProtection="1">
      <alignment horizontal="left" vertical="top"/>
      <protection locked="0"/>
    </xf>
    <xf numFmtId="165" fontId="19" fillId="0" borderId="14" xfId="1" applyNumberFormat="1" applyFont="1" applyFill="1" applyBorder="1" applyAlignment="1" applyProtection="1">
      <alignment horizontal="left" vertical="top"/>
      <protection locked="0"/>
    </xf>
    <xf numFmtId="165" fontId="19" fillId="0" borderId="6" xfId="1" applyNumberFormat="1" applyFont="1" applyFill="1" applyBorder="1" applyAlignment="1" applyProtection="1">
      <alignment horizontal="left" vertical="top"/>
    </xf>
    <xf numFmtId="165" fontId="6" fillId="0" borderId="6" xfId="2" applyNumberFormat="1" applyFill="1" applyBorder="1" applyAlignment="1" applyProtection="1">
      <alignment horizontal="left" vertical="top"/>
      <protection locked="0"/>
    </xf>
    <xf numFmtId="165" fontId="19" fillId="0" borderId="6" xfId="1" applyNumberFormat="1" applyFont="1" applyFill="1" applyBorder="1" applyAlignment="1" applyProtection="1">
      <alignment horizontal="right" vertical="top"/>
      <protection locked="0"/>
    </xf>
    <xf numFmtId="165" fontId="19" fillId="6" borderId="15" xfId="1" applyNumberFormat="1" applyFont="1" applyFill="1" applyBorder="1" applyAlignment="1" applyProtection="1">
      <alignment horizontal="left" vertical="top"/>
      <protection locked="0"/>
    </xf>
    <xf numFmtId="165" fontId="19" fillId="0" borderId="15" xfId="1" applyNumberFormat="1" applyFont="1" applyFill="1" applyBorder="1" applyAlignment="1" applyProtection="1">
      <alignment horizontal="left" vertical="top"/>
      <protection locked="0"/>
    </xf>
    <xf numFmtId="165" fontId="19" fillId="0" borderId="1" xfId="1" applyNumberFormat="1" applyFont="1" applyFill="1" applyBorder="1" applyAlignment="1">
      <alignment horizontal="left" vertical="top"/>
    </xf>
    <xf numFmtId="165" fontId="19" fillId="0" borderId="1" xfId="1" applyNumberFormat="1" applyFont="1" applyFill="1" applyBorder="1" applyAlignment="1" applyProtection="1">
      <alignment horizontal="left" vertical="top"/>
    </xf>
    <xf numFmtId="165" fontId="21" fillId="0" borderId="1" xfId="2" applyNumberFormat="1" applyFont="1" applyFill="1" applyBorder="1" applyAlignment="1" applyProtection="1">
      <alignment horizontal="left" vertical="top"/>
      <protection locked="0"/>
    </xf>
    <xf numFmtId="165" fontId="4" fillId="0" borderId="12" xfId="1" applyNumberFormat="1" applyFont="1" applyBorder="1" applyAlignment="1" applyProtection="1">
      <alignment horizontal="left" vertical="top"/>
      <protection locked="0"/>
    </xf>
    <xf numFmtId="165" fontId="4" fillId="6" borderId="15" xfId="1" applyNumberFormat="1" applyFont="1" applyFill="1" applyBorder="1" applyAlignment="1" applyProtection="1">
      <alignment horizontal="left" vertical="top"/>
      <protection locked="0"/>
    </xf>
    <xf numFmtId="41" fontId="0" fillId="0" borderId="0" xfId="0" applyNumberFormat="1"/>
    <xf numFmtId="41" fontId="0" fillId="0" borderId="0" xfId="5" applyFont="1"/>
    <xf numFmtId="0" fontId="23" fillId="9" borderId="16" xfId="0" applyFont="1" applyFill="1" applyBorder="1" applyAlignment="1">
      <alignment horizontal="left"/>
    </xf>
    <xf numFmtId="0" fontId="24" fillId="10" borderId="17" xfId="0" applyFont="1" applyFill="1" applyBorder="1"/>
    <xf numFmtId="0" fontId="24" fillId="10" borderId="18" xfId="0" applyFont="1" applyFill="1" applyBorder="1"/>
    <xf numFmtId="0" fontId="23" fillId="9" borderId="19" xfId="0" applyFont="1" applyFill="1" applyBorder="1"/>
    <xf numFmtId="41" fontId="25" fillId="0" borderId="1" xfId="5" applyFont="1" applyBorder="1"/>
    <xf numFmtId="9" fontId="23" fillId="0" borderId="20" xfId="3" applyFont="1" applyBorder="1"/>
    <xf numFmtId="0" fontId="23" fillId="9" borderId="21" xfId="0" applyFont="1" applyFill="1" applyBorder="1"/>
    <xf numFmtId="41" fontId="23" fillId="0" borderId="22" xfId="5" applyFont="1" applyBorder="1"/>
    <xf numFmtId="41" fontId="23" fillId="0" borderId="22" xfId="0" applyNumberFormat="1" applyFont="1" applyBorder="1"/>
    <xf numFmtId="9" fontId="23" fillId="0" borderId="23" xfId="3" applyFont="1" applyBorder="1"/>
    <xf numFmtId="0" fontId="23" fillId="9" borderId="16" xfId="0" applyFont="1" applyFill="1" applyBorder="1"/>
    <xf numFmtId="0" fontId="23" fillId="9" borderId="17" xfId="0" applyFont="1" applyFill="1" applyBorder="1"/>
    <xf numFmtId="0" fontId="24" fillId="10" borderId="19" xfId="0" applyFont="1" applyFill="1" applyBorder="1"/>
    <xf numFmtId="41" fontId="23" fillId="9" borderId="1" xfId="5" applyFont="1" applyFill="1" applyBorder="1"/>
    <xf numFmtId="0" fontId="24" fillId="10" borderId="21" xfId="0" applyFont="1" applyFill="1" applyBorder="1"/>
    <xf numFmtId="9" fontId="23" fillId="0" borderId="22" xfId="3" applyFont="1" applyFill="1" applyBorder="1"/>
    <xf numFmtId="0" fontId="23" fillId="0" borderId="19" xfId="0" applyFont="1" applyBorder="1"/>
    <xf numFmtId="41" fontId="23" fillId="0" borderId="19" xfId="5" applyFont="1" applyBorder="1"/>
    <xf numFmtId="3" fontId="4" fillId="0" borderId="1" xfId="0" applyNumberFormat="1" applyFont="1" applyBorder="1"/>
    <xf numFmtId="0" fontId="6" fillId="0" borderId="1" xfId="2" applyBorder="1" applyAlignment="1"/>
    <xf numFmtId="0" fontId="9" fillId="0" borderId="1" xfId="0" applyFont="1" applyBorder="1" applyProtection="1">
      <protection locked="0"/>
    </xf>
    <xf numFmtId="0" fontId="10" fillId="0" borderId="1" xfId="0" applyFont="1" applyBorder="1" applyProtection="1">
      <protection locked="0"/>
    </xf>
    <xf numFmtId="41" fontId="4" fillId="0" borderId="1" xfId="5" applyFont="1" applyBorder="1" applyAlignment="1" applyProtection="1">
      <alignment horizontal="left" vertical="top"/>
      <protection locked="0"/>
    </xf>
    <xf numFmtId="41" fontId="23" fillId="9" borderId="1" xfId="0" applyNumberFormat="1" applyFont="1" applyFill="1" applyBorder="1"/>
    <xf numFmtId="0" fontId="15" fillId="8" borderId="8" xfId="4" applyAlignment="1">
      <alignment horizontal="center" vertical="center"/>
    </xf>
  </cellXfs>
  <cellStyles count="6">
    <cellStyle name="Calculation" xfId="4" builtinId="22"/>
    <cellStyle name="Comma" xfId="1" builtinId="3"/>
    <cellStyle name="Comma [0]" xfId="5" builtinId="6"/>
    <cellStyle name="Hyperlink" xfId="2" builtinId="8"/>
    <cellStyle name="Normal" xfId="0" builtinId="0"/>
    <cellStyle name="Percent" xfId="3" builtinId="5"/>
  </cellStyles>
  <dxfs count="121">
    <dxf>
      <fill>
        <patternFill patternType="solid">
          <fgColor rgb="FFFFE599"/>
          <bgColor rgb="FFFFE599"/>
        </patternFill>
      </fill>
    </dxf>
    <dxf>
      <fill>
        <patternFill patternType="solid">
          <fgColor rgb="FF6AA84F"/>
          <bgColor rgb="FF6AA84F"/>
        </patternFill>
      </fill>
    </dxf>
    <dxf>
      <fill>
        <patternFill patternType="solid">
          <fgColor rgb="FFCC0000"/>
          <bgColor rgb="FFCC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E599"/>
          <bgColor rgb="FFFFE599"/>
        </patternFill>
      </fill>
    </dxf>
    <dxf>
      <fill>
        <patternFill patternType="solid">
          <fgColor rgb="FF6AA84F"/>
          <bgColor rgb="FF6AA84F"/>
        </patternFill>
      </fill>
    </dxf>
    <dxf>
      <fill>
        <patternFill patternType="solid">
          <fgColor rgb="FFCC0000"/>
          <bgColor rgb="FFCC0000"/>
        </patternFill>
      </fill>
    </dxf>
    <dxf>
      <fill>
        <patternFill patternType="solid">
          <fgColor rgb="FFFFE599"/>
          <bgColor rgb="FFFFE599"/>
        </patternFill>
      </fill>
    </dxf>
    <dxf>
      <fill>
        <patternFill patternType="solid">
          <fgColor rgb="FF6AA84F"/>
          <bgColor rgb="FF6AA84F"/>
        </patternFill>
      </fill>
    </dxf>
    <dxf>
      <fill>
        <patternFill patternType="solid">
          <fgColor rgb="FFCC0000"/>
          <bgColor rgb="FFCC0000"/>
        </patternFill>
      </fill>
    </dxf>
    <dxf>
      <fill>
        <patternFill patternType="solid">
          <fgColor rgb="FFFFE599"/>
          <bgColor rgb="FFFFE599"/>
        </patternFill>
      </fill>
    </dxf>
    <dxf>
      <fill>
        <patternFill patternType="solid">
          <fgColor rgb="FF6AA84F"/>
          <bgColor rgb="FF6AA84F"/>
        </patternFill>
      </fill>
    </dxf>
    <dxf>
      <fill>
        <patternFill patternType="solid">
          <fgColor rgb="FFCC0000"/>
          <bgColor rgb="FFCC0000"/>
        </patternFill>
      </fill>
    </dxf>
    <dxf>
      <fill>
        <patternFill patternType="solid">
          <fgColor rgb="FFFFE599"/>
          <bgColor rgb="FFFFE599"/>
        </patternFill>
      </fill>
    </dxf>
    <dxf>
      <fill>
        <patternFill patternType="solid">
          <fgColor rgb="FF6AA84F"/>
          <bgColor rgb="FF6AA84F"/>
        </patternFill>
      </fill>
    </dxf>
    <dxf>
      <fill>
        <patternFill patternType="solid">
          <fgColor rgb="FFCC0000"/>
          <bgColor rgb="FFCC0000"/>
        </patternFill>
      </fill>
    </dxf>
    <dxf>
      <fill>
        <patternFill patternType="solid">
          <fgColor rgb="FFFFE599"/>
          <bgColor rgb="FFFFE599"/>
        </patternFill>
      </fill>
    </dxf>
    <dxf>
      <fill>
        <patternFill patternType="solid">
          <fgColor rgb="FF6AA84F"/>
          <bgColor rgb="FF6AA84F"/>
        </patternFill>
      </fill>
    </dxf>
    <dxf>
      <fill>
        <patternFill patternType="solid">
          <fgColor rgb="FFCC0000"/>
          <bgColor rgb="FFCC00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numFmt numFmtId="33" formatCode="_-* #,##0_-;\-* #,##0_-;_-* &quot;-&quot;_-;_-@_-"/>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numFmt numFmtId="165" formatCode="_(* #,##0_);_(* \(#,##0\);_(* &quot;-&quot;??_);_(@_)"/>
    </dxf>
    <dxf>
      <numFmt numFmtId="165" formatCode="_(* #,##0_);_(* \(#,##0\);_(* &quot;-&quot;??_);_(@_)"/>
    </dxf>
    <dxf>
      <font>
        <strike val="0"/>
        <outline val="0"/>
        <shadow val="0"/>
        <vertAlign val="baseline"/>
        <sz val="10"/>
        <color auto="1"/>
        <name val="Trebuchet MS"/>
      </font>
      <numFmt numFmtId="165" formatCode="_(* #,##0_);_(* \(#,##0\);_(* &quot;-&quot;??_);_(@_)"/>
      <alignment vertical="top" textRotation="0" wrapText="0" indent="0" justifyLastLine="0" shrinkToFit="0" readingOrder="0"/>
      <protection locked="0" hidden="0"/>
    </dxf>
    <dxf>
      <font>
        <strike val="0"/>
        <outline val="0"/>
        <shadow val="0"/>
        <vertAlign val="baseline"/>
        <sz val="10"/>
        <color auto="1"/>
        <name val="Trebuchet MS"/>
      </font>
      <numFmt numFmtId="165" formatCode="_(* #,##0_);_(* \(#,##0\);_(* &quot;-&quot;??_);_(@_)"/>
      <alignment vertical="top" textRotation="0" wrapText="0" indent="0" justifyLastLine="0" shrinkToFit="0" readingOrder="0"/>
      <protection locked="0" hidden="0"/>
    </dxf>
    <dxf>
      <font>
        <strike val="0"/>
        <outline val="0"/>
        <shadow val="0"/>
        <vertAlign val="baseline"/>
        <sz val="10"/>
        <color auto="1"/>
        <name val="Trebuchet MS"/>
      </font>
      <alignmen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ertAlign val="baseline"/>
        <sz val="10"/>
        <color auto="1"/>
        <name val="Trebuchet MS"/>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numFmt numFmtId="165" formatCode="_(* #,##0_);_(* \(#,##0\);_(* &quot;-&quot;??_);_(@_)"/>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numFmt numFmtId="165" formatCode="_(* #,##0_);_(* \(#,##0\);_(* &quot;-&quot;??_);_(@_)"/>
      <fill>
        <patternFill patternType="none"/>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Trebuchet MS"/>
        <scheme val="none"/>
      </font>
      <numFmt numFmtId="166" formatCode="dd/mm/yyyy;@"/>
      <fill>
        <patternFill patternType="none"/>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Trebuchet MS"/>
        <scheme val="none"/>
      </font>
      <numFmt numFmtId="166" formatCode="dd/mm/yyyy;@"/>
      <fill>
        <patternFill patternType="none"/>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Trebuchet MS"/>
        <scheme val="none"/>
      </font>
      <numFmt numFmtId="166" formatCode="dd/mm/yyyy;@"/>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family val="2"/>
        <scheme val="none"/>
      </font>
      <numFmt numFmtId="165" formatCode="_(* #,##0_);_(* \(#,##0\);_(* &quot;-&quot;??_);_(@_)"/>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family val="2"/>
        <scheme val="none"/>
      </font>
      <numFmt numFmtId="165" formatCode="_(* #,##0_);_(* \(#,##0\);_(* &quot;-&quot;??_);_(@_)"/>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auto="1"/>
        <name val="Trebuchet MS"/>
        <scheme val="none"/>
      </font>
      <numFmt numFmtId="165" formatCode="_(* #,##0_);_(* \(#,##0\);_(* &quot;-&quot;??_);_(@_)"/>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Trebuchet MS"/>
        <scheme val="none"/>
      </font>
      <numFmt numFmtId="165" formatCode="_(* #,##0_);_(* \(#,##0\);_(* &quot;-&quot;??_);_(@_)"/>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numFmt numFmtId="165" formatCode="_(* #,##0_);_(* \(#,##0\);_(* &quot;-&quot;??_);_(@_)"/>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numFmt numFmtId="165" formatCode="_(* #,##0_);_(* \(#,##0\);_(* &quot;-&quot;??_);_(@_)"/>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numFmt numFmtId="165" formatCode="_(* #,##0_);_(* \(#,##0\);_(* &quot;-&quot;??_);_(@_)"/>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numFmt numFmtId="165" formatCode="_(* #,##0_);_(* \(#,##0\);_(* &quot;-&quot;??_);_(@_)"/>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numFmt numFmtId="165" formatCode="_(* #,##0_);_(* \(#,##0\);_(* &quot;-&quot;??_);_(@_)"/>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family val="2"/>
        <scheme val="none"/>
      </font>
      <numFmt numFmtId="165" formatCode="_(* #,##0_);_(* \(#,##0\);_(* &quot;-&quot;??_);_(@_)"/>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Trebuchet MS"/>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vertAlign val="baseline"/>
        <sz val="10"/>
        <color auto="1"/>
        <name val="Trebuchet MS"/>
      </font>
      <numFmt numFmtId="165" formatCode="_(* #,##0_);_(* \(#,##0\);_(* &quot;-&quot;??_);_(@_)"/>
      <alignment vertical="top" textRotation="0" wrapText="0" indent="0" justifyLastLine="0" shrinkToFit="0" readingOrder="0"/>
      <protection locked="0" hidden="0"/>
    </dxf>
    <dxf>
      <border>
        <bottom style="thin">
          <color rgb="FF000000"/>
        </bottom>
      </border>
    </dxf>
    <dxf>
      <font>
        <b val="0"/>
        <i val="0"/>
        <strike val="0"/>
        <condense val="0"/>
        <extend val="0"/>
        <outline val="0"/>
        <shadow val="0"/>
        <u val="none"/>
        <vertAlign val="baseline"/>
        <sz val="10"/>
        <color auto="1"/>
        <name val="Trebuchet MS"/>
        <scheme val="none"/>
      </font>
      <numFmt numFmtId="165" formatCode="_(* #,##0_);_(* \(#,##0\);_(* &quot;-&quot;??_);_(@_)"/>
      <fill>
        <patternFill patternType="solid">
          <fgColor rgb="FFF8CBAD"/>
          <bgColor rgb="FFF8CBAD"/>
        </patternFill>
      </fill>
      <alignment horizontal="left" vertical="top" textRotation="0" wrapText="0" indent="0" justifyLastLine="0" shrinkToFit="0" readingOrder="0"/>
      <border diagonalUp="0" diagonalDown="0" outline="0">
        <left style="thin">
          <color rgb="FF000000"/>
        </left>
        <right style="thin">
          <color rgb="FF000000"/>
        </right>
        <top/>
        <bottom/>
      </border>
      <protection locked="0" hidden="0"/>
    </dxf>
    <dxf>
      <alignment horizontal="right"/>
    </dxf>
    <dxf>
      <numFmt numFmtId="165" formatCode="_(* #,##0_);_(* \(#,##0\);_(* &quot;-&quot;??_);_(@_)"/>
    </dxf>
    <dxf>
      <alignment horizontal="right"/>
    </dxf>
    <dxf>
      <alignment horizontal="righ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numFmt numFmtId="165" formatCode="_(* #,##0_);_(* \(#,##0\);_(* &quot;-&quot;??_);_(@_)"/>
    </dxf>
    <dxf>
      <numFmt numFmtId="165" formatCode="_(* #,##0_);_(* \(#,##0\);_(* &quot;-&quot;??_);_(@_)"/>
    </dxf>
    <dxf>
      <numFmt numFmtId="35" formatCode="_-* #,##0.00_-;\-* #,##0.00_-;_-* &quot;-&quot;??_-;_-@_-"/>
    </dxf>
    <dxf>
      <numFmt numFmtId="165" formatCode="_(* #,##0_);_(* \(#,##0\);_(* &quot;-&quot;??_);_(@_)"/>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font>
    </dxf>
    <dxf>
      <font>
        <name val="Montserrat"/>
        <scheme val="none"/>
      </font>
    </dxf>
  </dxfs>
  <tableStyles count="1" defaultTableStyle="TableStyleMedium2" defaultPivotStyle="PivotStyleLight16">
    <tableStyle name="Slicer Style 1" pivot="0" table="0" count="2" xr9:uid="{F8A52D7C-E47C-44A4-B365-5FB33B12C50E}">
      <tableStyleElement type="wholeTable" dxfId="120"/>
      <tableStyleElement type="headerRow" dxfId="119"/>
    </tableStyle>
  </tableStyles>
  <colors>
    <mruColors>
      <color rgb="FFFF660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theme" Target="theme/theme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microsoft.com/office/2007/relationships/slicerCache" Target="slicerCaches/slicerCache2.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7.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microsoft.com/office/2007/relationships/slicerCache" Target="slicerCaches/slicerCache1.xml"/><Relationship Id="rId27" Type="http://schemas.openxmlformats.org/officeDocument/2006/relationships/sharedStrings" Target="sharedStrings.xml"/><Relationship Id="rId30"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9714469144594337E-2"/>
          <c:y val="5.4495912806539509E-2"/>
          <c:w val="0.88144346165362419"/>
          <c:h val="0.50349407958882519"/>
        </c:manualLayout>
      </c:layout>
      <c:bar3DChart>
        <c:barDir val="col"/>
        <c:grouping val="clustered"/>
        <c:varyColors val="0"/>
        <c:ser>
          <c:idx val="0"/>
          <c:order val="0"/>
          <c:tx>
            <c:strRef>
              <c:f>'Product Performance June-2023'!$B$21</c:f>
              <c:strCache>
                <c:ptCount val="1"/>
                <c:pt idx="0">
                  <c:v>June_Actuals</c:v>
                </c:pt>
              </c:strCache>
            </c:strRef>
          </c:tx>
          <c:spPr>
            <a:solidFill>
              <a:srgbClr val="92D050"/>
            </a:solidFill>
            <a:ln>
              <a:noFill/>
            </a:ln>
            <a:effectLst/>
            <a:sp3d/>
          </c:spPr>
          <c:invertIfNegative val="0"/>
          <c:dPt>
            <c:idx val="3"/>
            <c:invertIfNegative val="0"/>
            <c:bubble3D val="0"/>
            <c:spPr>
              <a:solidFill>
                <a:srgbClr val="FF0000"/>
              </a:solidFill>
              <a:ln>
                <a:noFill/>
              </a:ln>
              <a:effectLst/>
              <a:sp3d/>
            </c:spPr>
            <c:extLst>
              <c:ext xmlns:c16="http://schemas.microsoft.com/office/drawing/2014/chart" uri="{C3380CC4-5D6E-409C-BE32-E72D297353CC}">
                <c16:uniqueId val="{00000005-0909-4664-A8CF-9BC8C242176B}"/>
              </c:ext>
            </c:extLst>
          </c:dPt>
          <c:dPt>
            <c:idx val="4"/>
            <c:invertIfNegative val="0"/>
            <c:bubble3D val="0"/>
            <c:spPr>
              <a:solidFill>
                <a:srgbClr val="FF0000"/>
              </a:solidFill>
              <a:ln>
                <a:noFill/>
              </a:ln>
              <a:effectLst/>
              <a:sp3d/>
            </c:spPr>
            <c:extLst>
              <c:ext xmlns:c16="http://schemas.microsoft.com/office/drawing/2014/chart" uri="{C3380CC4-5D6E-409C-BE32-E72D297353CC}">
                <c16:uniqueId val="{00000006-0909-4664-A8CF-9BC8C242176B}"/>
              </c:ext>
            </c:extLst>
          </c:dPt>
          <c:dPt>
            <c:idx val="6"/>
            <c:invertIfNegative val="0"/>
            <c:bubble3D val="0"/>
            <c:spPr>
              <a:solidFill>
                <a:srgbClr val="FF0000"/>
              </a:solidFill>
              <a:ln>
                <a:noFill/>
              </a:ln>
              <a:effectLst/>
              <a:sp3d/>
            </c:spPr>
            <c:extLst>
              <c:ext xmlns:c16="http://schemas.microsoft.com/office/drawing/2014/chart" uri="{C3380CC4-5D6E-409C-BE32-E72D297353CC}">
                <c16:uniqueId val="{00000007-0909-4664-A8CF-9BC8C242176B}"/>
              </c:ext>
            </c:extLst>
          </c:dPt>
          <c:dPt>
            <c:idx val="10"/>
            <c:invertIfNegative val="0"/>
            <c:bubble3D val="0"/>
            <c:spPr>
              <a:solidFill>
                <a:srgbClr val="FF0000"/>
              </a:solidFill>
              <a:ln>
                <a:noFill/>
              </a:ln>
              <a:effectLst/>
              <a:sp3d/>
            </c:spPr>
            <c:extLst>
              <c:ext xmlns:c16="http://schemas.microsoft.com/office/drawing/2014/chart" uri="{C3380CC4-5D6E-409C-BE32-E72D297353CC}">
                <c16:uniqueId val="{00000008-0909-4664-A8CF-9BC8C242176B}"/>
              </c:ext>
            </c:extLst>
          </c:dPt>
          <c:dPt>
            <c:idx val="13"/>
            <c:invertIfNegative val="0"/>
            <c:bubble3D val="0"/>
            <c:spPr>
              <a:solidFill>
                <a:srgbClr val="FF0000"/>
              </a:solidFill>
              <a:ln>
                <a:noFill/>
              </a:ln>
              <a:effectLst/>
              <a:sp3d/>
            </c:spPr>
            <c:extLst>
              <c:ext xmlns:c16="http://schemas.microsoft.com/office/drawing/2014/chart" uri="{C3380CC4-5D6E-409C-BE32-E72D297353CC}">
                <c16:uniqueId val="{00000009-0909-4664-A8CF-9BC8C242176B}"/>
              </c:ext>
            </c:extLst>
          </c:dPt>
          <c:dPt>
            <c:idx val="14"/>
            <c:invertIfNegative val="0"/>
            <c:bubble3D val="0"/>
            <c:spPr>
              <a:solidFill>
                <a:srgbClr val="FF0000"/>
              </a:solidFill>
              <a:ln>
                <a:noFill/>
              </a:ln>
              <a:effectLst/>
              <a:sp3d/>
            </c:spPr>
            <c:extLst>
              <c:ext xmlns:c16="http://schemas.microsoft.com/office/drawing/2014/chart" uri="{C3380CC4-5D6E-409C-BE32-E72D297353CC}">
                <c16:uniqueId val="{0000000A-0909-4664-A8CF-9BC8C24217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ontserrat" panose="00000500000000000000" pitchFamily="2"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 June-2023'!$A$22:$A$36</c:f>
              <c:strCache>
                <c:ptCount val="15"/>
                <c:pt idx="0">
                  <c:v>4G LTE connectivity</c:v>
                </c:pt>
                <c:pt idx="1">
                  <c:v>Cloud Computing</c:v>
                </c:pt>
                <c:pt idx="2">
                  <c:v>Dark Fiber Lease</c:v>
                </c:pt>
                <c:pt idx="3">
                  <c:v>Fiber Broadband Internet - GoR</c:v>
                </c:pt>
                <c:pt idx="4">
                  <c:v>Fiber Broadband Internet - Private</c:v>
                </c:pt>
                <c:pt idx="5">
                  <c:v>Fixed Wireless Internet</c:v>
                </c:pt>
                <c:pt idx="6">
                  <c:v>Flex Faiba</c:v>
                </c:pt>
                <c:pt idx="7">
                  <c:v>Local Content</c:v>
                </c:pt>
                <c:pt idx="8">
                  <c:v>Local Transport</c:v>
                </c:pt>
                <c:pt idx="9">
                  <c:v>Managed Security Services</c:v>
                </c:pt>
                <c:pt idx="10">
                  <c:v>Video Conferencing Services</c:v>
                </c:pt>
                <c:pt idx="11">
                  <c:v>VOIP</c:v>
                </c:pt>
                <c:pt idx="12">
                  <c:v>VSAT</c:v>
                </c:pt>
                <c:pt idx="13">
                  <c:v>Projects</c:v>
                </c:pt>
                <c:pt idx="14">
                  <c:v>4G LTE Devices</c:v>
                </c:pt>
              </c:strCache>
            </c:strRef>
          </c:cat>
          <c:val>
            <c:numRef>
              <c:f>'Product Performance June-2023'!$B$22:$B$36</c:f>
              <c:numCache>
                <c:formatCode>_(* #,##0_);_(* \(#,##0\);_(* "-"_);_(@_)</c:formatCode>
                <c:ptCount val="15"/>
                <c:pt idx="0">
                  <c:v>608565442.20359135</c:v>
                </c:pt>
                <c:pt idx="1">
                  <c:v>15427051.451186441</c:v>
                </c:pt>
                <c:pt idx="2">
                  <c:v>96670049.751898304</c:v>
                </c:pt>
                <c:pt idx="3">
                  <c:v>456535979.57423729</c:v>
                </c:pt>
                <c:pt idx="4">
                  <c:v>142568038.56423727</c:v>
                </c:pt>
                <c:pt idx="5">
                  <c:v>32610051.360847451</c:v>
                </c:pt>
                <c:pt idx="6">
                  <c:v>474575.71186440677</c:v>
                </c:pt>
                <c:pt idx="7">
                  <c:v>434658</c:v>
                </c:pt>
                <c:pt idx="8">
                  <c:v>13926990</c:v>
                </c:pt>
                <c:pt idx="9">
                  <c:v>64447300.444067203</c:v>
                </c:pt>
                <c:pt idx="10">
                  <c:v>18063274.726271182</c:v>
                </c:pt>
                <c:pt idx="11">
                  <c:v>2510042.3728813557</c:v>
                </c:pt>
                <c:pt idx="12">
                  <c:v>129815926.13559322</c:v>
                </c:pt>
                <c:pt idx="13">
                  <c:v>4436653</c:v>
                </c:pt>
                <c:pt idx="14">
                  <c:v>3555500</c:v>
                </c:pt>
              </c:numCache>
            </c:numRef>
          </c:val>
          <c:shape val="cylinder"/>
          <c:extLst>
            <c:ext xmlns:c16="http://schemas.microsoft.com/office/drawing/2014/chart" uri="{C3380CC4-5D6E-409C-BE32-E72D297353CC}">
              <c16:uniqueId val="{00000000-0909-4664-A8CF-9BC8C242176B}"/>
            </c:ext>
          </c:extLst>
        </c:ser>
        <c:ser>
          <c:idx val="1"/>
          <c:order val="1"/>
          <c:tx>
            <c:strRef>
              <c:f>'Product Performance June-2023'!$C$21</c:f>
              <c:strCache>
                <c:ptCount val="1"/>
                <c:pt idx="0">
                  <c:v>June_Target</c:v>
                </c:pt>
              </c:strCache>
            </c:strRef>
          </c:tx>
          <c:spPr>
            <a:solidFill>
              <a:srgbClr val="FFFF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ontserrat" panose="00000500000000000000" pitchFamily="2"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 June-2023'!$A$22:$A$36</c:f>
              <c:strCache>
                <c:ptCount val="15"/>
                <c:pt idx="0">
                  <c:v>4G LTE connectivity</c:v>
                </c:pt>
                <c:pt idx="1">
                  <c:v>Cloud Computing</c:v>
                </c:pt>
                <c:pt idx="2">
                  <c:v>Dark Fiber Lease</c:v>
                </c:pt>
                <c:pt idx="3">
                  <c:v>Fiber Broadband Internet - GoR</c:v>
                </c:pt>
                <c:pt idx="4">
                  <c:v>Fiber Broadband Internet - Private</c:v>
                </c:pt>
                <c:pt idx="5">
                  <c:v>Fixed Wireless Internet</c:v>
                </c:pt>
                <c:pt idx="6">
                  <c:v>Flex Faiba</c:v>
                </c:pt>
                <c:pt idx="7">
                  <c:v>Local Content</c:v>
                </c:pt>
                <c:pt idx="8">
                  <c:v>Local Transport</c:v>
                </c:pt>
                <c:pt idx="9">
                  <c:v>Managed Security Services</c:v>
                </c:pt>
                <c:pt idx="10">
                  <c:v>Video Conferencing Services</c:v>
                </c:pt>
                <c:pt idx="11">
                  <c:v>VOIP</c:v>
                </c:pt>
                <c:pt idx="12">
                  <c:v>VSAT</c:v>
                </c:pt>
                <c:pt idx="13">
                  <c:v>Projects</c:v>
                </c:pt>
                <c:pt idx="14">
                  <c:v>4G LTE Devices</c:v>
                </c:pt>
              </c:strCache>
            </c:strRef>
          </c:cat>
          <c:val>
            <c:numRef>
              <c:f>'Product Performance June-2023'!$C$22:$C$36</c:f>
              <c:numCache>
                <c:formatCode>_(* #,##0_);_(* \(#,##0\);_(* "-"_);_(@_)</c:formatCode>
                <c:ptCount val="15"/>
                <c:pt idx="0">
                  <c:v>521580589.810839</c:v>
                </c:pt>
                <c:pt idx="1">
                  <c:v>6821528</c:v>
                </c:pt>
                <c:pt idx="2">
                  <c:v>53461290.637161285</c:v>
                </c:pt>
                <c:pt idx="3">
                  <c:v>485964060.32958198</c:v>
                </c:pt>
                <c:pt idx="4">
                  <c:v>242556512.77056995</c:v>
                </c:pt>
                <c:pt idx="5">
                  <c:v>2291666.6666666665</c:v>
                </c:pt>
                <c:pt idx="6">
                  <c:v>2252366.461538461</c:v>
                </c:pt>
                <c:pt idx="7">
                  <c:v>4339000</c:v>
                </c:pt>
                <c:pt idx="8">
                  <c:v>13926989.999999998</c:v>
                </c:pt>
                <c:pt idx="9">
                  <c:v>56436756.969188936</c:v>
                </c:pt>
                <c:pt idx="10">
                  <c:v>21293045.548300002</c:v>
                </c:pt>
                <c:pt idx="11">
                  <c:v>3391225.9110070253</c:v>
                </c:pt>
                <c:pt idx="12">
                  <c:v>115436254.5016077</c:v>
                </c:pt>
                <c:pt idx="13">
                  <c:v>128122958.06325717</c:v>
                </c:pt>
                <c:pt idx="14">
                  <c:v>13736556.042391576</c:v>
                </c:pt>
              </c:numCache>
            </c:numRef>
          </c:val>
          <c:shape val="cylinder"/>
          <c:extLst>
            <c:ext xmlns:c16="http://schemas.microsoft.com/office/drawing/2014/chart" uri="{C3380CC4-5D6E-409C-BE32-E72D297353CC}">
              <c16:uniqueId val="{00000001-0909-4664-A8CF-9BC8C242176B}"/>
            </c:ext>
          </c:extLst>
        </c:ser>
        <c:dLbls>
          <c:showLegendKey val="0"/>
          <c:showVal val="0"/>
          <c:showCatName val="0"/>
          <c:showSerName val="0"/>
          <c:showPercent val="0"/>
          <c:showBubbleSize val="0"/>
        </c:dLbls>
        <c:gapWidth val="150"/>
        <c:shape val="box"/>
        <c:axId val="307804863"/>
        <c:axId val="307802943"/>
        <c:axId val="0"/>
      </c:bar3DChart>
      <c:catAx>
        <c:axId val="3078048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ontserrat" panose="00000500000000000000" pitchFamily="2" charset="0"/>
                <a:ea typeface="+mn-ea"/>
                <a:cs typeface="+mn-cs"/>
              </a:defRPr>
            </a:pPr>
            <a:endParaRPr lang="en-US"/>
          </a:p>
        </c:txPr>
        <c:crossAx val="307802943"/>
        <c:crosses val="autoZero"/>
        <c:auto val="1"/>
        <c:lblAlgn val="ctr"/>
        <c:lblOffset val="100"/>
        <c:noMultiLvlLbl val="0"/>
      </c:catAx>
      <c:valAx>
        <c:axId val="307802943"/>
        <c:scaling>
          <c:orientation val="minMax"/>
        </c:scaling>
        <c:delete val="0"/>
        <c:axPos val="l"/>
        <c:majorGridlines>
          <c:spPr>
            <a:ln w="9525" cap="flat" cmpd="sng" algn="ctr">
              <a:solidFill>
                <a:schemeClr val="tx1">
                  <a:lumMod val="65000"/>
                  <a:lumOff val="3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ontserrat" panose="00000500000000000000" pitchFamily="2" charset="0"/>
                <a:ea typeface="+mn-ea"/>
                <a:cs typeface="+mn-cs"/>
              </a:defRPr>
            </a:pPr>
            <a:endParaRPr lang="en-US"/>
          </a:p>
        </c:txPr>
        <c:crossAx val="307804863"/>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layout>
        <c:manualLayout>
          <c:xMode val="edge"/>
          <c:yMode val="edge"/>
          <c:x val="0.269027252888353"/>
          <c:y val="0.90354151916296555"/>
          <c:w val="0.27882121749169841"/>
          <c:h val="5.104522016491807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ontserrat" panose="00000500000000000000"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4772782762619787E-2"/>
          <c:y val="9.6919349255797857E-2"/>
          <c:w val="0.88746235935624329"/>
          <c:h val="0.65174337631472079"/>
        </c:manualLayout>
      </c:layout>
      <c:bar3DChart>
        <c:barDir val="col"/>
        <c:grouping val="clustered"/>
        <c:varyColors val="0"/>
        <c:ser>
          <c:idx val="0"/>
          <c:order val="0"/>
          <c:spPr>
            <a:solidFill>
              <a:schemeClr val="accent1"/>
            </a:solidFill>
            <a:ln>
              <a:noFill/>
            </a:ln>
            <a:effectLst/>
            <a:sp3d/>
          </c:spPr>
          <c:invertIfNegative val="0"/>
          <c:dPt>
            <c:idx val="0"/>
            <c:invertIfNegative val="0"/>
            <c:bubble3D val="0"/>
            <c:spPr>
              <a:solidFill>
                <a:srgbClr val="FF0000"/>
              </a:solidFill>
              <a:ln>
                <a:noFill/>
              </a:ln>
              <a:effectLst/>
              <a:sp3d/>
            </c:spPr>
            <c:extLst>
              <c:ext xmlns:c16="http://schemas.microsoft.com/office/drawing/2014/chart" uri="{C3380CC4-5D6E-409C-BE32-E72D297353CC}">
                <c16:uniqueId val="{00000003-8D67-4D7E-8DE2-886D03A90834}"/>
              </c:ext>
            </c:extLst>
          </c:dPt>
          <c:dPt>
            <c:idx val="1"/>
            <c:invertIfNegative val="0"/>
            <c:bubble3D val="0"/>
            <c:spPr>
              <a:solidFill>
                <a:srgbClr val="FF0000"/>
              </a:solidFill>
              <a:ln>
                <a:noFill/>
              </a:ln>
              <a:effectLst/>
              <a:sp3d/>
            </c:spPr>
            <c:extLst>
              <c:ext xmlns:c16="http://schemas.microsoft.com/office/drawing/2014/chart" uri="{C3380CC4-5D6E-409C-BE32-E72D297353CC}">
                <c16:uniqueId val="{00000004-8D67-4D7E-8DE2-886D03A90834}"/>
              </c:ext>
            </c:extLst>
          </c:dPt>
          <c:dPt>
            <c:idx val="2"/>
            <c:invertIfNegative val="0"/>
            <c:bubble3D val="0"/>
            <c:spPr>
              <a:solidFill>
                <a:srgbClr val="FF0000"/>
              </a:solidFill>
              <a:ln>
                <a:noFill/>
              </a:ln>
              <a:effectLst/>
              <a:sp3d/>
            </c:spPr>
            <c:extLst>
              <c:ext xmlns:c16="http://schemas.microsoft.com/office/drawing/2014/chart" uri="{C3380CC4-5D6E-409C-BE32-E72D297353CC}">
                <c16:uniqueId val="{00000005-8D67-4D7E-8DE2-886D03A90834}"/>
              </c:ext>
            </c:extLst>
          </c:dPt>
          <c:dPt>
            <c:idx val="3"/>
            <c:invertIfNegative val="0"/>
            <c:bubble3D val="0"/>
            <c:spPr>
              <a:solidFill>
                <a:srgbClr val="FF0000"/>
              </a:solidFill>
              <a:ln>
                <a:noFill/>
              </a:ln>
              <a:effectLst/>
              <a:sp3d/>
            </c:spPr>
            <c:extLst>
              <c:ext xmlns:c16="http://schemas.microsoft.com/office/drawing/2014/chart" uri="{C3380CC4-5D6E-409C-BE32-E72D297353CC}">
                <c16:uniqueId val="{00000006-8D67-4D7E-8DE2-886D03A90834}"/>
              </c:ext>
            </c:extLst>
          </c:dPt>
          <c:dPt>
            <c:idx val="4"/>
            <c:invertIfNegative val="0"/>
            <c:bubble3D val="0"/>
            <c:spPr>
              <a:solidFill>
                <a:srgbClr val="92D050"/>
              </a:solidFill>
              <a:ln>
                <a:noFill/>
              </a:ln>
              <a:effectLst/>
              <a:sp3d/>
            </c:spPr>
            <c:extLst>
              <c:ext xmlns:c16="http://schemas.microsoft.com/office/drawing/2014/chart" uri="{C3380CC4-5D6E-409C-BE32-E72D297353CC}">
                <c16:uniqueId val="{00000007-8D67-4D7E-8DE2-886D03A90834}"/>
              </c:ext>
            </c:extLst>
          </c:dPt>
          <c:dPt>
            <c:idx val="5"/>
            <c:invertIfNegative val="0"/>
            <c:bubble3D val="0"/>
            <c:spPr>
              <a:solidFill>
                <a:srgbClr val="FF0000"/>
              </a:solidFill>
              <a:ln>
                <a:noFill/>
              </a:ln>
              <a:effectLst/>
              <a:sp3d/>
            </c:spPr>
            <c:extLst>
              <c:ext xmlns:c16="http://schemas.microsoft.com/office/drawing/2014/chart" uri="{C3380CC4-5D6E-409C-BE32-E72D297353CC}">
                <c16:uniqueId val="{00000008-8D67-4D7E-8DE2-886D03A90834}"/>
              </c:ext>
            </c:extLst>
          </c:dPt>
          <c:dPt>
            <c:idx val="6"/>
            <c:invertIfNegative val="0"/>
            <c:bubble3D val="0"/>
            <c:spPr>
              <a:solidFill>
                <a:srgbClr val="92D050"/>
              </a:solidFill>
              <a:ln>
                <a:noFill/>
              </a:ln>
              <a:effectLst/>
              <a:sp3d/>
            </c:spPr>
            <c:extLst>
              <c:ext xmlns:c16="http://schemas.microsoft.com/office/drawing/2014/chart" uri="{C3380CC4-5D6E-409C-BE32-E72D297353CC}">
                <c16:uniqueId val="{0000000D-8D67-4D7E-8DE2-886D03A90834}"/>
              </c:ext>
            </c:extLst>
          </c:dPt>
          <c:dPt>
            <c:idx val="7"/>
            <c:invertIfNegative val="0"/>
            <c:bubble3D val="0"/>
            <c:spPr>
              <a:solidFill>
                <a:srgbClr val="FF0000"/>
              </a:solidFill>
              <a:ln>
                <a:noFill/>
              </a:ln>
              <a:effectLst/>
              <a:sp3d/>
            </c:spPr>
            <c:extLst>
              <c:ext xmlns:c16="http://schemas.microsoft.com/office/drawing/2014/chart" uri="{C3380CC4-5D6E-409C-BE32-E72D297353CC}">
                <c16:uniqueId val="{00000009-8D67-4D7E-8DE2-886D03A90834}"/>
              </c:ext>
            </c:extLst>
          </c:dPt>
          <c:dPt>
            <c:idx val="8"/>
            <c:invertIfNegative val="0"/>
            <c:bubble3D val="0"/>
            <c:spPr>
              <a:solidFill>
                <a:srgbClr val="FF0000"/>
              </a:solidFill>
              <a:ln>
                <a:noFill/>
              </a:ln>
              <a:effectLst/>
              <a:sp3d/>
            </c:spPr>
            <c:extLst>
              <c:ext xmlns:c16="http://schemas.microsoft.com/office/drawing/2014/chart" uri="{C3380CC4-5D6E-409C-BE32-E72D297353CC}">
                <c16:uniqueId val="{0000000A-8D67-4D7E-8DE2-886D03A90834}"/>
              </c:ext>
            </c:extLst>
          </c:dPt>
          <c:dPt>
            <c:idx val="9"/>
            <c:invertIfNegative val="0"/>
            <c:bubble3D val="0"/>
            <c:spPr>
              <a:solidFill>
                <a:srgbClr val="FF0000"/>
              </a:solidFill>
              <a:ln>
                <a:noFill/>
              </a:ln>
              <a:effectLst/>
              <a:sp3d/>
            </c:spPr>
            <c:extLst>
              <c:ext xmlns:c16="http://schemas.microsoft.com/office/drawing/2014/chart" uri="{C3380CC4-5D6E-409C-BE32-E72D297353CC}">
                <c16:uniqueId val="{0000000B-8D67-4D7E-8DE2-886D03A90834}"/>
              </c:ext>
            </c:extLst>
          </c:dPt>
          <c:dPt>
            <c:idx val="10"/>
            <c:invertIfNegative val="0"/>
            <c:bubble3D val="0"/>
            <c:spPr>
              <a:solidFill>
                <a:srgbClr val="92D050"/>
              </a:solidFill>
              <a:ln>
                <a:noFill/>
              </a:ln>
              <a:effectLst/>
              <a:sp3d/>
            </c:spPr>
            <c:extLst>
              <c:ext xmlns:c16="http://schemas.microsoft.com/office/drawing/2014/chart" uri="{C3380CC4-5D6E-409C-BE32-E72D297353CC}">
                <c16:uniqueId val="{0000000C-8D67-4D7E-8DE2-886D03A90834}"/>
              </c:ext>
            </c:extLst>
          </c:dPt>
          <c:dLbls>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ontserrat" panose="00000500000000000000" pitchFamily="2"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'AM Performance June-2023'!$B$24:$L$24</c:f>
              <c:strCache>
                <c:ptCount val="11"/>
                <c:pt idx="0">
                  <c:v>BANZA</c:v>
                </c:pt>
                <c:pt idx="1">
                  <c:v>GAHIGI</c:v>
                </c:pt>
                <c:pt idx="2">
                  <c:v>GASANA</c:v>
                </c:pt>
                <c:pt idx="3">
                  <c:v>GASASIRA</c:v>
                </c:pt>
                <c:pt idx="4">
                  <c:v>KIZZA</c:v>
                </c:pt>
                <c:pt idx="5">
                  <c:v>MUGISHA</c:v>
                </c:pt>
                <c:pt idx="6">
                  <c:v>MUHIZI</c:v>
                </c:pt>
                <c:pt idx="7">
                  <c:v>MUKAMANA</c:v>
                </c:pt>
                <c:pt idx="8">
                  <c:v>MUKANOHERI</c:v>
                </c:pt>
                <c:pt idx="9">
                  <c:v>MUSONI</c:v>
                </c:pt>
                <c:pt idx="10">
                  <c:v>NIYITEGEKA</c:v>
                </c:pt>
              </c:strCache>
            </c:strRef>
          </c:cat>
          <c:val>
            <c:numRef>
              <c:f>'AM Performance June-2023'!$B$40:$L$40</c:f>
              <c:numCache>
                <c:formatCode>_(* #,##0_);_(* \(#,##0\);_(* "-"_);_(@_)</c:formatCode>
                <c:ptCount val="11"/>
                <c:pt idx="0">
                  <c:v>318541702.74028027</c:v>
                </c:pt>
                <c:pt idx="1">
                  <c:v>155311854.05245551</c:v>
                </c:pt>
                <c:pt idx="2">
                  <c:v>18317807.377628371</c:v>
                </c:pt>
                <c:pt idx="3">
                  <c:v>10171324</c:v>
                </c:pt>
                <c:pt idx="4">
                  <c:v>44714688.279497236</c:v>
                </c:pt>
                <c:pt idx="5">
                  <c:v>224623308.3810848</c:v>
                </c:pt>
                <c:pt idx="6">
                  <c:v>25924350</c:v>
                </c:pt>
                <c:pt idx="7">
                  <c:v>157436302.38169423</c:v>
                </c:pt>
                <c:pt idx="8">
                  <c:v>144026382.28897372</c:v>
                </c:pt>
                <c:pt idx="9">
                  <c:v>158514667.42675117</c:v>
                </c:pt>
                <c:pt idx="10">
                  <c:v>332459146.36830592</c:v>
                </c:pt>
              </c:numCache>
            </c:numRef>
          </c:val>
          <c:shape val="cylinder"/>
          <c:extLst>
            <c:ext xmlns:c16="http://schemas.microsoft.com/office/drawing/2014/chart" uri="{C3380CC4-5D6E-409C-BE32-E72D297353CC}">
              <c16:uniqueId val="{00000000-8D67-4D7E-8DE2-886D03A90834}"/>
            </c:ext>
          </c:extLst>
        </c:ser>
        <c:ser>
          <c:idx val="1"/>
          <c:order val="1"/>
          <c:spPr>
            <a:solidFill>
              <a:srgbClr val="FFFF00"/>
            </a:solidFill>
            <a:ln>
              <a:noFill/>
            </a:ln>
            <a:effectLst/>
            <a:sp3d/>
          </c:spPr>
          <c:invertIfNegative val="0"/>
          <c:dLbls>
            <c:spPr>
              <a:solidFill>
                <a:schemeClr val="tx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ontserrat" panose="00000500000000000000" pitchFamily="2"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'AM Performance June-2023'!$B$24:$L$24</c:f>
              <c:strCache>
                <c:ptCount val="11"/>
                <c:pt idx="0">
                  <c:v>BANZA</c:v>
                </c:pt>
                <c:pt idx="1">
                  <c:v>GAHIGI</c:v>
                </c:pt>
                <c:pt idx="2">
                  <c:v>GASANA</c:v>
                </c:pt>
                <c:pt idx="3">
                  <c:v>GASASIRA</c:v>
                </c:pt>
                <c:pt idx="4">
                  <c:v>KIZZA</c:v>
                </c:pt>
                <c:pt idx="5">
                  <c:v>MUGISHA</c:v>
                </c:pt>
                <c:pt idx="6">
                  <c:v>MUHIZI</c:v>
                </c:pt>
                <c:pt idx="7">
                  <c:v>MUKAMANA</c:v>
                </c:pt>
                <c:pt idx="8">
                  <c:v>MUKANOHERI</c:v>
                </c:pt>
                <c:pt idx="9">
                  <c:v>MUSONI</c:v>
                </c:pt>
                <c:pt idx="10">
                  <c:v>NIYITEGEKA</c:v>
                </c:pt>
              </c:strCache>
            </c:strRef>
          </c:cat>
          <c:val>
            <c:numRef>
              <c:f>'AM Performance June-2023'!$B$41:$L$41</c:f>
              <c:numCache>
                <c:formatCode>_(* #,##0_);_(* \(#,##0\);_(* "-"_);_(@_)</c:formatCode>
                <c:ptCount val="11"/>
                <c:pt idx="0">
                  <c:v>388557400.21310252</c:v>
                </c:pt>
                <c:pt idx="1">
                  <c:v>217971979.09209064</c:v>
                </c:pt>
                <c:pt idx="2">
                  <c:v>21273377.235731944</c:v>
                </c:pt>
                <c:pt idx="3">
                  <c:v>21273377.235731944</c:v>
                </c:pt>
                <c:pt idx="4">
                  <c:v>33782395.853837274</c:v>
                </c:pt>
                <c:pt idx="5">
                  <c:v>299688367.3570801</c:v>
                </c:pt>
                <c:pt idx="7">
                  <c:v>178875872.9095301</c:v>
                </c:pt>
                <c:pt idx="8">
                  <c:v>178533104.99813491</c:v>
                </c:pt>
                <c:pt idx="9">
                  <c:v>195929802.80033478</c:v>
                </c:pt>
                <c:pt idx="10">
                  <c:v>139193503.93607304</c:v>
                </c:pt>
              </c:numCache>
            </c:numRef>
          </c:val>
          <c:shape val="cylinder"/>
          <c:extLst>
            <c:ext xmlns:c16="http://schemas.microsoft.com/office/drawing/2014/chart" uri="{C3380CC4-5D6E-409C-BE32-E72D297353CC}">
              <c16:uniqueId val="{00000001-8D67-4D7E-8DE2-886D03A90834}"/>
            </c:ext>
          </c:extLst>
        </c:ser>
        <c:dLbls>
          <c:showLegendKey val="0"/>
          <c:showVal val="0"/>
          <c:showCatName val="0"/>
          <c:showSerName val="0"/>
          <c:showPercent val="0"/>
          <c:showBubbleSize val="0"/>
        </c:dLbls>
        <c:gapWidth val="150"/>
        <c:shape val="box"/>
        <c:axId val="209900591"/>
        <c:axId val="209899151"/>
        <c:axId val="0"/>
      </c:bar3DChart>
      <c:catAx>
        <c:axId val="2099005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ontserrat" panose="00000500000000000000" pitchFamily="2" charset="0"/>
                <a:ea typeface="+mn-ea"/>
                <a:cs typeface="+mn-cs"/>
              </a:defRPr>
            </a:pPr>
            <a:endParaRPr lang="en-US"/>
          </a:p>
        </c:txPr>
        <c:crossAx val="209899151"/>
        <c:crosses val="autoZero"/>
        <c:auto val="1"/>
        <c:lblAlgn val="ctr"/>
        <c:lblOffset val="100"/>
        <c:noMultiLvlLbl val="0"/>
      </c:catAx>
      <c:valAx>
        <c:axId val="209899151"/>
        <c:scaling>
          <c:orientation val="minMax"/>
        </c:scaling>
        <c:delete val="0"/>
        <c:axPos val="l"/>
        <c:majorGridlines>
          <c:spPr>
            <a:ln w="9525" cap="flat" cmpd="sng" algn="ctr">
              <a:solidFill>
                <a:schemeClr val="tx1"/>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ontserrat" panose="00000500000000000000" pitchFamily="2" charset="0"/>
                <a:ea typeface="+mn-ea"/>
                <a:cs typeface="+mn-cs"/>
              </a:defRPr>
            </a:pPr>
            <a:endParaRPr lang="en-US"/>
          </a:p>
        </c:txPr>
        <c:crossAx val="209900591"/>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layout>
        <c:manualLayout>
          <c:xMode val="edge"/>
          <c:yMode val="edge"/>
          <c:x val="0.42971588943823885"/>
          <c:y val="0.92081994423594249"/>
          <c:w val="0.14056822112352235"/>
          <c:h val="3.41817864667228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63346</xdr:colOff>
      <xdr:row>11</xdr:row>
      <xdr:rowOff>124431</xdr:rowOff>
    </xdr:from>
    <xdr:to>
      <xdr:col>12</xdr:col>
      <xdr:colOff>52916</xdr:colOff>
      <xdr:row>18</xdr:row>
      <xdr:rowOff>153459</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AFB49811-2237-E28E-0068-21F7E2ADC29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3346" y="2230514"/>
              <a:ext cx="9144153" cy="1362528"/>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480060</xdr:colOff>
      <xdr:row>19</xdr:row>
      <xdr:rowOff>11430</xdr:rowOff>
    </xdr:from>
    <xdr:to>
      <xdr:col>16</xdr:col>
      <xdr:colOff>152400</xdr:colOff>
      <xdr:row>37</xdr:row>
      <xdr:rowOff>121920</xdr:rowOff>
    </xdr:to>
    <xdr:graphicFrame macro="">
      <xdr:nvGraphicFramePr>
        <xdr:cNvPr id="2" name="Chart 1">
          <a:extLst>
            <a:ext uri="{FF2B5EF4-FFF2-40B4-BE49-F238E27FC236}">
              <a16:creationId xmlns:a16="http://schemas.microsoft.com/office/drawing/2014/main" id="{A087E512-4253-066F-579A-49F61B852D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769620</xdr:colOff>
      <xdr:row>42</xdr:row>
      <xdr:rowOff>171450</xdr:rowOff>
    </xdr:from>
    <xdr:to>
      <xdr:col>10</xdr:col>
      <xdr:colOff>670560</xdr:colOff>
      <xdr:row>63</xdr:row>
      <xdr:rowOff>0</xdr:rowOff>
    </xdr:to>
    <xdr:graphicFrame macro="">
      <xdr:nvGraphicFramePr>
        <xdr:cNvPr id="3" name="Chart 2">
          <a:extLst>
            <a:ext uri="{FF2B5EF4-FFF2-40B4-BE49-F238E27FC236}">
              <a16:creationId xmlns:a16="http://schemas.microsoft.com/office/drawing/2014/main" id="{C49E639D-CC56-211C-42B8-BDBAAACF3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190499</xdr:colOff>
      <xdr:row>6</xdr:row>
      <xdr:rowOff>114299</xdr:rowOff>
    </xdr:from>
    <xdr:to>
      <xdr:col>10</xdr:col>
      <xdr:colOff>447674</xdr:colOff>
      <xdr:row>9</xdr:row>
      <xdr:rowOff>196215</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2ADF8BD6-848E-71E3-A215-84DC1CCE42A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943225" y="1257300"/>
              <a:ext cx="3714750" cy="923925"/>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190499</xdr:colOff>
      <xdr:row>0</xdr:row>
      <xdr:rowOff>180975</xdr:rowOff>
    </xdr:from>
    <xdr:to>
      <xdr:col>10</xdr:col>
      <xdr:colOff>466724</xdr:colOff>
      <xdr:row>4</xdr:row>
      <xdr:rowOff>62865</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23DAC720-A7D8-E8ED-A2EA-5744B25C08D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943225" y="180975"/>
              <a:ext cx="3714750" cy="1133475"/>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bscrwanda-my.sharepoint.com/personal/datainterns_bsc_rw/Documents/Documents/BSC%20docs/2023/june%20Report/KPI%20Projections%202023.xlsx" TargetMode="External"/><Relationship Id="rId1" Type="http://schemas.openxmlformats.org/officeDocument/2006/relationships/externalLinkPath" Target="KPI%20Projections%20202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bscrwanda-my.sharepoint.com/personal/datainterns_bsc_rw/Documents/Documents/BSC%20docs/2023/june%20Report/Online%20transactions%20June%202023.xls.xlsx" TargetMode="External"/><Relationship Id="rId1" Type="http://schemas.openxmlformats.org/officeDocument/2006/relationships/externalLinkPath" Target="Online%20transactions%20June%202023.xl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bscrwanda-my.sharepoint.com/personal/datainterns_bsc_rw/Documents/Documents/BSC%20docs/2023/june%20Report/4G%20consumption%20usage%20June%202023.xlsx" TargetMode="External"/><Relationship Id="rId1" Type="http://schemas.openxmlformats.org/officeDocument/2006/relationships/externalLinkPath" Target="4G%20consumption%20usage%20June%202023.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bscrwanda-my.sharepoint.com/personal/datainterns_bsc_rw/Documents/Documents/BSC%20docs/2023/june%20Report/New%20activations%20June%202023.xls.xlsx" TargetMode="External"/><Relationship Id="rId1" Type="http://schemas.openxmlformats.org/officeDocument/2006/relationships/externalLinkPath" Target="New%20activations%20June%202023.xls.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https://bscrwanda-my.sharepoint.com/personal/datainterns_bsc_rw/Documents/Documents/BSC%20docs/2023/june%20Report/4G%20Top%20up%20Transactions%20June%202023.xlsx" TargetMode="External"/><Relationship Id="rId1" Type="http://schemas.openxmlformats.org/officeDocument/2006/relationships/externalLinkPath" Target="4G%20Top%20up%20Transactions%20June%202023.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https://bscrwanda-my.sharepoint.com/personal/datainterns_bsc_rw/Documents/Documents/BSC%20docs/2023/june%20Report/Project%20Report%20(1).xlsx" TargetMode="External"/><Relationship Id="rId1" Type="http://schemas.openxmlformats.org/officeDocument/2006/relationships/externalLinkPath" Target="Project%20Report%20(1).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https://bscrwanda-my.sharepoint.com/personal/datainterns_bsc_rw/Documents/Documents/BSC%20docs/2023/june%20Report/Weekly%20Activities%20Report%20(3).xlsx" TargetMode="External"/><Relationship Id="rId1" Type="http://schemas.openxmlformats.org/officeDocument/2006/relationships/externalLinkPath" Target="Weekly%20Activities%20Report%20(3).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https://bscrwanda-my.sharepoint.com/personal/datainterns_bsc_rw/Documents/Documents/BSC%20docs/2023/june%20Report/HCs%20JUNE%2023.xlsx" TargetMode="External"/><Relationship Id="rId1" Type="http://schemas.openxmlformats.org/officeDocument/2006/relationships/externalLinkPath" Target="HCs%20JUNE%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ales 2022"/>
      <sheetName val="Budget Revenue Projections 2023"/>
      <sheetName val="Sheet1"/>
      <sheetName val="2023 Sales AMs Projection"/>
      <sheetName val="Assumptions"/>
      <sheetName val="Growth Rates Assumptions"/>
      <sheetName val="KPIs 2022 per product"/>
      <sheetName val="Thamar"/>
      <sheetName val="Jovia"/>
      <sheetName val="Alphonsine"/>
      <sheetName val="Germain"/>
      <sheetName val="Patrick"/>
      <sheetName val="Rogers"/>
      <sheetName val="Idrissa"/>
      <sheetName val="Moses"/>
      <sheetName val="Nadia"/>
      <sheetName val="Omer"/>
      <sheetName val="Shaffy"/>
    </sheetNames>
    <sheetDataSet>
      <sheetData sheetId="0"/>
      <sheetData sheetId="1"/>
      <sheetData sheetId="2"/>
      <sheetData sheetId="3">
        <row r="5">
          <cell r="H5">
            <v>485964060.32958198</v>
          </cell>
        </row>
        <row r="6">
          <cell r="H6">
            <v>242556512.77056995</v>
          </cell>
        </row>
        <row r="7">
          <cell r="H7">
            <v>521580589.810839</v>
          </cell>
        </row>
        <row r="8">
          <cell r="H8">
            <v>13736556.042391576</v>
          </cell>
        </row>
        <row r="9">
          <cell r="H9">
            <v>56436756.969188936</v>
          </cell>
        </row>
        <row r="10">
          <cell r="H10">
            <v>128122958.06325717</v>
          </cell>
        </row>
        <row r="11">
          <cell r="H11">
            <v>21293045.548300002</v>
          </cell>
        </row>
        <row r="12">
          <cell r="H12">
            <v>4339000</v>
          </cell>
        </row>
        <row r="13">
          <cell r="H13">
            <v>53461290.637161285</v>
          </cell>
        </row>
        <row r="14">
          <cell r="H14">
            <v>6821528</v>
          </cell>
        </row>
        <row r="15">
          <cell r="H15">
            <v>2291666.6666666665</v>
          </cell>
        </row>
        <row r="16">
          <cell r="H16">
            <v>115436254.5016077</v>
          </cell>
        </row>
        <row r="17">
          <cell r="H17">
            <v>13926989.999999998</v>
          </cell>
        </row>
        <row r="18">
          <cell r="H18">
            <v>2252366.461538461</v>
          </cell>
        </row>
        <row r="19">
          <cell r="H19">
            <v>3391225.9110070253</v>
          </cell>
        </row>
      </sheetData>
      <sheetData sheetId="4"/>
      <sheetData sheetId="5"/>
      <sheetData sheetId="6"/>
      <sheetData sheetId="7">
        <row r="61">
          <cell r="G61">
            <v>139193503.93607304</v>
          </cell>
        </row>
      </sheetData>
      <sheetData sheetId="8">
        <row r="61">
          <cell r="G61">
            <v>178533104.99813491</v>
          </cell>
        </row>
      </sheetData>
      <sheetData sheetId="9">
        <row r="61">
          <cell r="G61">
            <v>178875872.9095301</v>
          </cell>
        </row>
      </sheetData>
      <sheetData sheetId="10">
        <row r="61">
          <cell r="G61">
            <v>195929802.80033478</v>
          </cell>
        </row>
      </sheetData>
      <sheetData sheetId="11">
        <row r="61">
          <cell r="G61">
            <v>299688367.3570801</v>
          </cell>
        </row>
      </sheetData>
      <sheetData sheetId="12">
        <row r="61">
          <cell r="G61">
            <v>33782395.853837274</v>
          </cell>
        </row>
      </sheetData>
      <sheetData sheetId="13">
        <row r="61">
          <cell r="G61">
            <v>21273377.235731944</v>
          </cell>
        </row>
      </sheetData>
      <sheetData sheetId="14">
        <row r="61">
          <cell r="G61">
            <v>217971979.09209064</v>
          </cell>
        </row>
      </sheetData>
      <sheetData sheetId="15">
        <row r="61">
          <cell r="G61">
            <v>21273377.235731944</v>
          </cell>
        </row>
      </sheetData>
      <sheetData sheetId="16">
        <row r="61">
          <cell r="G61">
            <v>388557400.21310252</v>
          </cell>
        </row>
      </sheetData>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tatistics View"/>
    </sheetNames>
    <sheetDataSet>
      <sheetData sheetId="0">
        <row r="5">
          <cell r="C5">
            <v>1180775</v>
          </cell>
        </row>
      </sheetData>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June 23"/>
    </sheetNames>
    <sheetDataSet>
      <sheetData sheetId="0">
        <row r="12">
          <cell r="D12">
            <v>95714277.628000006</v>
          </cell>
        </row>
        <row r="13">
          <cell r="D13">
            <v>23423</v>
          </cell>
        </row>
        <row r="14">
          <cell r="D14">
            <v>4705507.7119999994</v>
          </cell>
        </row>
        <row r="15">
          <cell r="D15">
            <v>407098.11200000002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tatistics View"/>
    </sheetNames>
    <sheetDataSet>
      <sheetData sheetId="0">
        <row r="14">
          <cell r="B14">
            <v>283700</v>
          </cell>
        </row>
        <row r="16">
          <cell r="B16">
            <v>1503000</v>
          </cell>
        </row>
        <row r="17">
          <cell r="B17">
            <v>944600</v>
          </cell>
        </row>
        <row r="18">
          <cell r="B18">
            <v>289400</v>
          </cell>
        </row>
      </sheetData>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tatistics View"/>
    </sheetNames>
    <sheetDataSet>
      <sheetData sheetId="0">
        <row r="13">
          <cell r="B13">
            <v>6960225</v>
          </cell>
        </row>
        <row r="14">
          <cell r="B14">
            <v>2169625</v>
          </cell>
        </row>
        <row r="15">
          <cell r="B15">
            <v>13743125</v>
          </cell>
        </row>
        <row r="16">
          <cell r="B16">
            <v>2249625</v>
          </cell>
        </row>
      </sheetData>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Project Report (1)"/>
    </sheetNames>
    <sheetDataSet>
      <sheetData sheetId="0">
        <row r="12">
          <cell r="B12">
            <v>1367570</v>
          </cell>
          <cell r="F12">
            <v>1337500</v>
          </cell>
        </row>
        <row r="13">
          <cell r="B13">
            <v>3069083</v>
          </cell>
          <cell r="F13">
            <v>256000</v>
          </cell>
        </row>
      </sheetData>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Weekly Activities Report (3)"/>
    </sheetNames>
    <sheetDataSet>
      <sheetData sheetId="0">
        <row r="12">
          <cell r="B12">
            <v>1000</v>
          </cell>
        </row>
        <row r="13">
          <cell r="B13">
            <v>111500</v>
          </cell>
        </row>
      </sheetData>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HC JUNE 23"/>
    </sheetNames>
    <sheetDataSet>
      <sheetData sheetId="0">
        <row r="8">
          <cell r="A8">
            <v>313375</v>
          </cell>
        </row>
      </sheetData>
      <sheetData sheetId="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Moses" id="{413D68C7-B961-44FB-B8A2-C506F3BA9E2F}">
    <nsvFilter filterId="{A799C380-774B-48F8-AD5A-9249938E2CED}" ref="A1:AC2351" tableId="1">
      <columnFilter colId="22" id="{B955CA7C-409E-48FB-874B-87642D1E4B8F}">
        <filter colId="22">
          <x:filters>
            <x:filter val="GAHIGI"/>
          </x:filters>
        </filter>
      </columnFilter>
    </nsvFilter>
  </namedSheetView>
  <namedSheetView name="View1" id="{E562CB91-E3DA-4A3E-83F2-5C248FB3EC1C}">
    <nsvFilter filterId="{A799C380-774B-48F8-AD5A-9249938E2CED}" ref="A1:AC2351" tableId="1">
      <columnFilter colId="8" id="{170F7A62-5329-4202-BCF0-0213E42A7C93}">
        <filter colId="8">
          <x:filters>
            <x:filter val="VSAT"/>
          </x:filters>
        </filter>
      </columnFilter>
      <columnFilter colId="22" id="{B955CA7C-409E-48FB-874B-87642D1E4B8F}">
        <filter colId="22">
          <x:filters>
            <x:filter val="GAHIGI"/>
          </x:filters>
        </filter>
      </columnFilter>
      <sortRules>
        <sortRule colId="12" id="{28452CE3-B02D-4022-8EA1-2CEFEE147C61}">
          <sortCondition ref="M1:M2351"/>
        </sortRule>
      </sortRules>
    </nsvFilter>
  </namedSheetView>
</namedSheetView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14.528624999999" createdVersion="8" refreshedVersion="8" minRefreshableVersion="3" recordCount="2350" xr:uid="{AE414233-31CA-4CD1-BFD0-937C3A51C407}">
  <cacheSource type="worksheet">
    <worksheetSource name="Table1"/>
  </cacheSource>
  <cacheFields count="28">
    <cacheField name="BP Code" numFmtId="0">
      <sharedItems containsBlank="1"/>
    </cacheField>
    <cacheField name="BP Name" numFmtId="0">
      <sharedItems containsBlank="1" count="463">
        <s v="Rwamagana District"/>
        <s v="GVA RWANDA"/>
        <s v="KTRN"/>
        <s v="RICTA"/>
        <s v="MININFRA"/>
        <s v="Rwanda Women Community Development Network"/>
        <s v="TNSP"/>
        <s v="Imprimu Ltd"/>
        <s v="NYUNGWE MANAGEMENT COMPANY"/>
        <s v="RPF GATSIBO"/>
        <s v="VIVA GLOBAL DUTY FREE"/>
        <s v="National Human Rights Commission"/>
        <s v="MOD"/>
        <s v="MTN"/>
        <s v="Master Steel"/>
        <s v="KAVUMU VOCATIONAL TRAINING CENTER"/>
        <s v="GASABO DISTRICT"/>
        <s v="RUTSIRO District"/>
        <s v="Ministry of Environment"/>
        <s v="Nyungwe Lodge Rwanda Ltd"/>
        <s v="City Of Kigali"/>
        <s v="ES KIRAMBO"/>
        <s v="GS HVP GATAGARA"/>
        <s v="MASAKA HOSPITAL"/>
        <s v="Ngali Holdings"/>
        <s v="RSSB"/>
        <s v="Rwanda Space Agency"/>
        <s v="KASPERSKY RWANDA"/>
        <s v="Mininvest"/>
        <s v="TUMBA COLLEGE OF TECHNOLOGY"/>
        <s v="Horizon Construction Ltd"/>
        <s v="Horizon Sopyrwa Ltd"/>
        <s v="SOUTHERN PROVINCE"/>
        <s v="Transafrica Communications (AXIOM Networks)"/>
        <s v="Kigali Public Library"/>
        <s v="National Holdings Rwanda"/>
        <s v="PARLIAMENT"/>
        <s v="RAC"/>
        <s v="REB SPIU"/>
        <s v="RFA"/>
        <s v="RFL"/>
        <s v="BPR"/>
        <s v="PARTNERS IN HEALTH"/>
        <s v="GISENYI HOSPITAL"/>
        <s v="APEKI TUMBA"/>
        <s v="KINIHIRA TVET"/>
        <s v="Army Shop"/>
        <s v="Nile Basin Initiative/NELSAP"/>
        <s v="Nyarugenge District"/>
        <s v="BUMBOGO SECTOR"/>
        <s v="BURERA District"/>
        <s v="ES GISENYI"/>
        <s v="Gender Monitoring Office (GMO)"/>
        <s v="GS MUSHAKA"/>
        <s v="KABUTARE HOSPITAL"/>
        <s v="KIBILIZI HOSPITAL"/>
        <s v="Kicukiro District"/>
        <s v="KIGARAMA TVET SCHOOL"/>
        <s v="KIZIGURO HOSPITAL"/>
        <s v="NGARAMA HOSPITAL"/>
        <s v="NIDA"/>
        <s v="NISR"/>
        <s v="NPPA"/>
        <s v="NPPA Ngoma"/>
        <s v="REB"/>
        <s v="RIB"/>
        <s v="RMI"/>
        <s v="SCATEC SOLAR RWANDA LTD"/>
        <s v="TTC MURURU"/>
        <s v="UR"/>
        <s v="VOLKSWAGEN MOBILITY SOLUTIONS RWANDA LTD"/>
        <s v="EDCL LTD"/>
        <s v="RGB"/>
        <s v="KACYIRU HOSPITAL"/>
        <s v="RUTONGO HOSPITAL"/>
        <s v="RWANDA FDA"/>
        <s v="CHUB"/>
        <s v="BDO EA RWANDA"/>
        <s v="CMA"/>
        <s v="ECOLE DE SCIENCE MUSANZE"/>
        <s v="GS Gihundwe"/>
        <s v="Imanzi Business Institute (IBI)"/>
        <s v="URL Technologies"/>
        <s v="RWAMAGANA HOSPITAL"/>
        <s v="TTC GACUBA"/>
        <s v="ZIPLINE RWANDA"/>
        <s v="Horizon Agropy"/>
        <s v="EUCL RWANDA"/>
        <s v="IPRC EAST"/>
        <s v="POST OFFICE"/>
        <s v="GAKENKE  DISTRICT"/>
        <s v="BUGESERA District"/>
        <s v="NYANZA DISTRICT"/>
        <s v="RWB"/>
        <s v="FONERWA"/>
        <s v="ISF-NYA"/>
        <s v="MINUBUMWE"/>
        <s v="MOD-CPS"/>
        <s v="RWANDA BAR ASSOCIATION"/>
        <s v="SDGC/A"/>
        <s v="Bank of Kigali (BK)"/>
        <s v="MINEMA SPIU"/>
        <s v="ILPD"/>
        <s v="KACYIRU SECTOR"/>
        <s v="MINICT"/>
        <s v="GIHUNDWE HOSPITAL"/>
        <s v="RBC"/>
        <s v="Urunana DC"/>
        <s v="AGACIRO DEVELOPMENT FUND"/>
        <s v="LA CROIX DU SUD HOSPITAL"/>
        <s v="NGORORERO DISRTICT"/>
        <s v="Niboye Sector"/>
        <s v="NPPA Nyagatare"/>
        <s v="RALGA"/>
        <s v="REMERA RUKOMA HOSPITAL"/>
        <s v="RSB"/>
        <s v="UNICEF"/>
        <s v="MYCULTURE"/>
        <s v="MINAGRI - SPIU IFAD FUNDED PROJECT"/>
        <s v="Rwanda Meteological Agency"/>
        <s v="IPRC-WEST"/>
        <s v="RPPA"/>
        <s v="SHYIRA HOSPITAL"/>
        <s v="Africa's Talking"/>
        <s v="COLLEGE DE GISENYI"/>
        <s v="ICK"/>
        <s v="KIGEME HOSPITAL"/>
        <s v="Simbanet Kenya"/>
        <s v="Simbanet Tanzania"/>
        <s v="MINICOM"/>
        <s v="REMA"/>
        <s v="CENTRE MEDICAL ORKIDE"/>
        <s v="Forefront Services Ltd"/>
        <s v="KABGAYI EYE UNIT"/>
        <s v="ONGOZA FCZ"/>
        <s v="MOH"/>
        <s v="RAB"/>
        <s v="RCA"/>
        <s v="Rwanda Finance"/>
        <s v="TTC BYUMBA"/>
        <s v="UPLUS Mutual Partners Ltd."/>
        <s v="CMU"/>
        <s v="RAEB"/>
        <s v="Vision Fund Rwanda (VFR)"/>
        <s v="CHENO"/>
        <s v="China Embassy"/>
        <s v="COLLEGE SAINT ANDRE "/>
        <s v="ENS africa"/>
        <s v="FPR NGOMA DISTRICT"/>
        <s v="Gakara Frank"/>
        <s v="GSNDP CYANIKA"/>
        <s v="MIGEPROF"/>
        <s v="AoS"/>
        <s v="Musanze Polytechnic"/>
        <s v="TechPlus"/>
        <s v="MININTER"/>
        <s v="Kivu Choice"/>
        <s v="SEEGH"/>
        <s v="Catholic University of Rwanda (CUR)"/>
        <s v="Access Bank Ltd"/>
        <s v="RCAA"/>
        <s v="AHAZAZA"/>
        <s v="Gatenga Sector"/>
        <s v="JICA PRISM PROJEC"/>
        <s v="JICA PRISM PROJECT"/>
        <s v="KITABI 2ND LINK"/>
        <s v="KITABI COLLEGE OF CONSERVATION AND MANAGEMENT"/>
        <s v="KITABI MAIN -COLLEGE"/>
        <s v="Kitabi-upsite"/>
        <s v="MINALOC"/>
        <s v="NYAGATARE DISTRICT"/>
        <s v="REAF"/>
        <s v="GS DE BUTARE"/>
        <s v="NYAMAGABE DISTRICT"/>
        <s v="RCB"/>
        <s v="BCS"/>
        <s v="Duhamic Adri"/>
        <s v="IMIZI ECO-TOURISM DEVELOPMENT Ltd."/>
        <s v="Supreme Court"/>
        <s v="BDF"/>
        <s v="ENABEL/KWIGIRA PROJECT"/>
        <s v="FERWAFA"/>
        <s v="GS KABARE"/>
        <s v="MINECOFIN"/>
        <s v="MURUNDA HOSPITAL"/>
        <s v="PMO"/>
        <s v="RCI"/>
        <s v="RCS"/>
        <s v="RMS"/>
        <s v="AIRTEL"/>
        <s v="RRP"/>
        <s v="NYARUGURU DISTRICT"/>
        <s v="RBA"/>
        <s v="RISA"/>
        <s v="RUHANGO DISTRICT HOSPITAL"/>
        <s v="RWANDA ATHLETICS FEDERATION"/>
        <s v="MKU"/>
        <s v="FPR Eastern Province"/>
        <s v="GAHINI HOSPITAL"/>
        <s v="KADUHA HOSPITAL"/>
        <s v="KIBUNGO HOSPITAL"/>
        <s v="KIBUYE HOSPITAL"/>
        <s v="MIFOTRA"/>
        <s v="MINEDUC"/>
        <s v="MINEMA"/>
        <s v="MINISTRY OF SPORTS"/>
        <s v="NCSA"/>
        <s v="NYABIHU DISTRICT"/>
        <s v="NYAGATARE HOSPITAL"/>
        <s v="OAG"/>
        <s v="OMBUDSMAN OFFICE"/>
        <s v="Pivot Access Ltd"/>
        <s v="RCHA"/>
        <s v="RLRC"/>
        <s v="RMF"/>
        <s v="RMH"/>
        <s v="RPF"/>
        <s v="RRA"/>
        <s v="RUBAVU District"/>
        <s v="RUSIZI District"/>
        <s v="Rwanda Peace Academy"/>
        <s v="UNESCO"/>
        <s v="KING FAISAL HOSPITAL"/>
        <s v="AGAHOZO SHALOM YOUTH"/>
        <s v="Blackstone Lounge"/>
        <s v="BUSHENGE HOSPITAL"/>
        <s v="ES BYIMANA"/>
        <s v="ES GISHOMA"/>
        <s v="ESC LOUIS"/>
        <s v="GITWE HOSPITAL"/>
        <s v="KAGARAMA"/>
        <s v="KIBAGABAGA HOSPITAL"/>
        <s v="KIBOGORA HOSPITAL"/>
        <s v="KINIHIRA HOSPITAL"/>
        <s v="MUGONERO HOSPITAL"/>
        <s v="MUHIMA HOSPITAL"/>
        <s v="MUHORORO HOSPITAL"/>
        <s v="MUSANZE District"/>
        <s v="NAEB"/>
        <s v="REMERA RUKOMA"/>
        <s v="Special Gaurantie Fund (SGF)"/>
        <s v="ZIGAMA CSS  "/>
        <s v="WESTERN Province"/>
        <s v="SEACOM"/>
        <s v="RUZIZI ENERGY III"/>
        <s v="Liquid Telecom Rwanda (LTR)"/>
        <s v="NRS"/>
        <s v="FAWE GIRLS SCHOOL"/>
        <s v="Muhanga DISTRICT"/>
        <s v="NEC"/>
        <s v="R-Switch"/>
        <s v="RURA"/>
        <s v="THE PHONE FIX"/>
        <s v="UNIVERSITE LIBRE DE KIGALI (ULK-GISENYI)"/>
        <s v="KAGARAMA SECTOR"/>
        <s v="NYC"/>
        <s v="SLICE AND CAKES"/>
        <s v="EASTERN PROVINCE"/>
        <s v="KICUKIRO SECTOR"/>
        <s v="LODA"/>
        <s v="PAYMATIC"/>
        <s v="Rwanda Demobilisation and Reintegration Commission"/>
        <s v="S&amp;H INDUSTRIES"/>
        <s v="CARAES NDERA"/>
        <s v="NESA"/>
        <s v="BYUMBA HOSPITAL"/>
        <s v="Rwandair Ltd "/>
        <s v="BUTARO HOSPITAL"/>
        <s v="CBA"/>
        <s v="LOYAL TRUST COMPANY"/>
        <s v="RHA"/>
        <s v="ABAHIZI SACCO GIKONDO"/>
        <s v="Green Hills Academy"/>
        <s v="IJABO SACCO KIGARAMA"/>
        <s v="KIGALI MEDICAL CENTER"/>
        <s v="MVEND LTD"/>
        <s v="RUSORORO Sector "/>
        <s v="VISION SACCO GAHANGA"/>
        <s v="SACCO ICYEREKEZO KINYINYA"/>
        <s v="I&amp;M BANK"/>
        <s v="CCM-GLOBAL"/>
        <s v="AFRICA RISING CYCLING CENTER"/>
        <s v="BRD"/>
        <s v="COMPASSION INTERNATIONAL RWANDA"/>
        <s v="KIZIGURO SS"/>
        <s v="Rulindo District"/>
        <s v="Polyclinique du Plateau."/>
        <s v="ESCO"/>
        <s v="RTN"/>
        <s v="BELECOM LTD"/>
        <s v="GATSATA SECTOR"/>
        <s v="ES NYAMIRAMA"/>
        <s v="MINAFFET"/>
        <s v="NYARUGENGE DISTRICT HOSPITAL"/>
        <s v="TURKISH EMBASSY"/>
        <s v="KIAC"/>
        <s v="IT HANIKA"/>
        <s v="GS DU BON CONSEIL BYUMBA"/>
        <s v="KARONGI District"/>
        <s v="Maranyundo Girls School"/>
        <s v="MINICOM SPIU"/>
        <s v="NPSC"/>
        <s v="DYNASTY CONSTRUCTION"/>
        <s v="GATENGA SACCO"/>
        <s v="National Women's Council (CNF)"/>
        <s v="Gicumbi District"/>
        <s v="INTARE INVESTMENTS LIMITED"/>
        <s v="MINIJUST"/>
        <s v="New Horizon Ltd"/>
        <s v="NFPO"/>
        <s v="RWANDA TVET BOARD"/>
        <s v="NIRDA"/>
        <s v="RNP"/>
        <s v="AVIATION TRAVEL&amp;LOGISTICS (ATL)"/>
        <s v="COLLEGE MARIE REINE DE LA PAIX"/>
        <s v="ENDP KARUBANDA"/>
        <s v="REMERA SECTOR "/>
        <s v="SACCO Kigali"/>
        <s v="WFP"/>
        <s v="MILITARY MEDICAL INSURANCE (MMI) HQ"/>
        <s v="RDB"/>
        <s v="Ecole d'art de Nyundo"/>
        <s v="ES NYANGE"/>
        <s v="ETO GATUMBA"/>
        <s v="MANTIS EPIC HOTEL &amp; SUITES"/>
        <s v="RYAF"/>
        <s v="Ultimate Developpers Ltd (UDL)"/>
        <s v="AFRIPRECAST Ltd"/>
        <s v="SINELAC "/>
        <s v="DGIE"/>
        <s v="Kigali Parents School"/>
        <s v="NAICO"/>
        <s v="NISS"/>
        <s v="RLMUA"/>
        <s v="ISCO"/>
        <s v="KINYINYA SECTOR"/>
        <s v="INILAK"/>
        <s v="MINAGRI"/>
        <s v="NYAMATA HOSPITAL"/>
        <s v="OGS"/>
        <s v="R&amp;M Logistics LTD"/>
        <s v="RWANDA POLYTECHNIC"/>
        <s v="SFH Rwanda"/>
        <s v="Transexp ltd"/>
        <s v="GTBank Rwanda Ltd"/>
        <s v="eFiche Limited"/>
        <s v="NYARUGUNGA SECTOR"/>
        <s v="SOLACE MINISTRIES"/>
        <s v="FINANCIAL INTELLIGENCE CENTER"/>
        <s v="Huye Isange Rehabilitation Center"/>
        <s v="IPRC-KICUKIRO"/>
        <s v="IWACU FINANCE LTD"/>
        <s v="NGOMA District"/>
        <s v="KAYENZI SECTOR"/>
        <s v="NATIONAL COMMISSION FOR SCIENCE &amp; TECHNOLOGY (NCST)"/>
        <s v="NGAMBA SECTOR"/>
        <s v="PSF"/>
        <s v="ComzAfrica ltd"/>
        <s v="VINE Pharmacy"/>
        <s v="KAYUMBU SECTOR"/>
        <s v="KAMONYI District"/>
        <s v="KIGALI TODAY"/>
        <s v="Akagera Aviation"/>
        <s v="Ubumuntu Humanity Lts"/>
        <s v="REPUBLICAN GUARD"/>
        <s v="GIKONDO SECTOR"/>
        <s v="Teuscher Invest"/>
        <s v="UNIVERSITY OF GITWE"/>
        <s v="NYAMATA TVET"/>
        <s v="MUGINA SECTOR"/>
        <s v="NYANZA HOSPITAL"/>
        <s v="CMHSBD"/>
        <s v="Gishali Integrated Polytechnique"/>
        <s v="MUNINI HOSPITAL"/>
        <s v="RMB"/>
        <s v="KABGAYI HOSPITAL"/>
        <s v="QTSoftware Ltd"/>
        <s v="Akagera Aviation "/>
        <s v="KIBOGORA GUEST HOUSE"/>
        <s v="OTP"/>
        <s v="RICA"/>
        <s v="RTDA"/>
        <s v="Roke Telekom"/>
        <s v="UGHE"/>
        <s v="Zamara Actuaries. Administrators and Insurance Brokers"/>
        <s v="GASHORA GIRLS SCHOOL"/>
        <s v="RWANDA STOCK EXCHANGE"/>
        <s v="NATIONAL BANK OF RWANDA (BNR)"/>
        <s v="NATIONAL COUNCIL FOR PERSONS WITH DISABILITIES"/>
        <s v="NDERA SECTOR"/>
        <s v="PARK INN BY RADISSON KIGALI"/>
        <s v="Huye District"/>
        <s v="KOSEI NISHIDA"/>
        <s v="Current renewables Engineering(Creng Ltd)"/>
        <s v="RUHANGO DISTRICT"/>
        <s v="Rwanda Printery Company"/>
        <s v="HORIZON GROUP HQ"/>
        <s v="College du christ roi"/>
        <s v="GS MATER DEI"/>
        <s v="GS ND D'AFRIQUE"/>
        <s v="GS ST PHILIPE NERI"/>
        <s v="IPRC Musanze"/>
        <s v="STECOMA"/>
        <s v="NYAMASHEKE DISTRICT"/>
        <s v="COPED LTD"/>
        <s v="GASABO GOLD REFINERY"/>
        <s v="HORIZON LOGISTICS"/>
        <s v="GATSIBO DISTRICT"/>
        <s v="GISAGARA District"/>
        <s v="Gasmeth Power Plant"/>
        <s v="NYABIKENKE HOSPITAL"/>
        <s v="RMT"/>
        <s v="UMWALIMU SACCO"/>
        <s v="GATONDE HOSPITAL"/>
        <s v="NDUBA SECTOR"/>
        <s v="WASAC"/>
        <s v="CHUK"/>
        <s v="KIREHE DISTRICT"/>
        <s v="KAYONZA District"/>
        <s v="IPRC-SOUTH"/>
        <s v="BULINGA TVET SCHOOL"/>
        <s v="GAHANGA SECTOR"/>
        <s v="GSNDL BYIMANA"/>
        <s v="PIASS"/>
        <s v="NORTHERN PROVINCE"/>
        <s v="ESSA RUHENGERI"/>
        <s v="KIREHE HOSPITAL"/>
        <s v="NEMBA HOSPITAL"/>
        <s v="RNIT"/>
        <s v="RUHENGERI HOSPITAL"/>
        <s v="RWIKWAVU HOSPITAL"/>
        <s v="SACCO KOZIGUNDU Nduba"/>
        <s v="COLLEGE SAINTE MARIE KIBUYE"/>
        <s v="ES ST VICENT MUHOZA"/>
        <s v="GS ST ALOYS RWAMAGANA"/>
        <s v="GS ST JOSEPH KABGAYI"/>
        <s v="KARAMA TSS"/>
        <s v="KIBOGORA POLYTECHNIC"/>
        <s v="NYANZA TSS"/>
        <s v="Higher Education Council"/>
        <s v="Team CYMRU"/>
        <s v="Simpo Technologies Ltd "/>
        <m/>
        <s v="KANOMBE SACCO"/>
        <s v="Online Transaction"/>
        <s v="Consumption"/>
        <s v="New activation"/>
        <s v="Top-Up"/>
        <s v="projects"/>
        <s v="4G Devices"/>
        <s v="BoD"/>
        <s v="OGN Sales"/>
        <s v="Prepaid HC"/>
        <s v="RBC-Command post"/>
        <s v="SONRISE SCHOOL" u="1"/>
        <s v="GACURABWENGE SECTOR" u="1"/>
        <s v="NYAMIYAGA SECTOR" u="1"/>
        <s v=" SINELAC " u="1"/>
        <s v="MUSAMBIRA SECTOR" u="1"/>
        <s v="ENABEL BARAME" u="1"/>
        <s v="KABAYA HOSPITAL" u="1"/>
        <s v="DIMENSION DATA SOLUTIONS" u="1"/>
        <s v="RUNDA SECTOR" u="1"/>
      </sharedItems>
    </cacheField>
    <cacheField name="Customer Site" numFmtId="0">
      <sharedItems/>
    </cacheField>
    <cacheField name="District" numFmtId="0">
      <sharedItems/>
    </cacheField>
    <cacheField name="Profile" numFmtId="0">
      <sharedItems count="3">
        <s v="Government"/>
        <s v="Private"/>
        <s v=" Private " u="1"/>
      </sharedItems>
    </cacheField>
    <cacheField name="Sector" numFmtId="0">
      <sharedItems count="18">
        <s v="CENTRAL GOV"/>
        <s v="TECH"/>
        <s v="ENTERPRISE"/>
        <s v="SECURITY"/>
        <s v="EDUCATION"/>
        <s v="HOSPITALITY"/>
        <s v="HEALTH"/>
        <s v="PARASTATAL"/>
        <s v="LOGISTICS"/>
        <s v="BANK"/>
        <s v="NGO"/>
        <s v="JUDICIARY"/>
        <s v="FINANCIAL"/>
        <s v="EMBASSY"/>
        <s v="BUSINESS"/>
        <s v="AIR"/>
        <s v="INSURANCE"/>
        <s v=" PARASTATAL " u="1"/>
      </sharedItems>
    </cacheField>
    <cacheField name="Customer Category" numFmtId="165">
      <sharedItems/>
    </cacheField>
    <cacheField name="Supplier" numFmtId="0">
      <sharedItems count="7">
        <s v="KTRN"/>
        <s v="BSC"/>
        <s v="EUCL"/>
        <s v="GENNEXT"/>
        <s v="Simbanet"/>
        <s v="LTR"/>
        <s v=" KTRN " u="1"/>
      </sharedItems>
    </cacheField>
    <cacheField name="Product" numFmtId="0">
      <sharedItems count="16">
        <s v="Fiber Broadband Internet - GoR"/>
        <s v="Cloud Computing"/>
        <s v="Dark Fiber Lease"/>
        <s v="VOIP"/>
        <s v="Fixed Wireless Internet"/>
        <s v="Fiber Broadband Internet - Private"/>
        <s v="4G LTE connectivity"/>
        <s v="Managed Security Services"/>
        <s v="VSAT"/>
        <s v="Local Content"/>
        <s v="Video Conferencing Services"/>
        <s v="Local Transport"/>
        <s v="Flex Faiba"/>
        <s v="Projects"/>
        <s v="4G LTE Devices"/>
        <s v=" Fiber Broadband Internet - Private " u="1"/>
      </sharedItems>
    </cacheField>
    <cacheField name="BW" numFmtId="0">
      <sharedItems containsString="0" containsBlank="1" containsNumber="1" containsInteger="1" minValue="1" maxValue="1000"/>
    </cacheField>
    <cacheField name="Item/Service Description" numFmtId="0">
      <sharedItems/>
    </cacheField>
    <cacheField name="Kms DFL Only" numFmtId="0">
      <sharedItems containsString="0" containsBlank="1" containsNumber="1" minValue="1" maxValue="212.6"/>
    </cacheField>
    <cacheField name="Quantity" numFmtId="165">
      <sharedItems containsSemiMixedTypes="0" containsString="0" containsNumber="1" containsInteger="1" minValue="1" maxValue="1358"/>
    </cacheField>
    <cacheField name="Price" numFmtId="0">
      <sharedItems containsBlank="1" containsMixedTypes="1" containsNumber="1" minValue="1000" maxValue="95714277.628000006"/>
    </cacheField>
    <cacheField name="Total Sales" numFmtId="165">
      <sharedItems containsString="0" containsBlank="1" containsNumber="1" minValue="0" maxValue="166872881.35593221"/>
    </cacheField>
    <cacheField name="Billing Cycle" numFmtId="165">
      <sharedItems/>
    </cacheField>
    <cacheField name="End Date" numFmtId="166">
      <sharedItems containsSemiMixedTypes="0" containsNonDate="0" containsDate="1" containsString="0" minDate="2020-12-31T00:00:00" maxDate="2045-05-01T00:00:00"/>
    </cacheField>
    <cacheField name="Month" numFmtId="166">
      <sharedItems containsDate="1" containsMixedTypes="1" minDate="2024-05-31T00:00:00" maxDate="2024-06-01T00:00:00" count="14">
        <s v="December"/>
        <s v="June"/>
        <s v="July"/>
        <s v="August"/>
        <s v="September"/>
        <s v="November"/>
        <s v="January"/>
        <s v="February"/>
        <s v="March"/>
        <s v="April"/>
        <s v="May"/>
        <d v="2024-05-31T00:00:00"/>
        <s v="October"/>
        <s v="`" u="1"/>
      </sharedItems>
    </cacheField>
    <cacheField name="Year" numFmtId="0">
      <sharedItems containsBlank="1" count="9">
        <s v="2020"/>
        <s v="2022"/>
        <s v="2025"/>
        <s v="2023"/>
        <s v="2024"/>
        <s v="2027"/>
        <s v="2026"/>
        <m/>
        <s v="2045"/>
      </sharedItems>
    </cacheField>
    <cacheField name="Agreement Days" numFmtId="165">
      <sharedItems containsSemiMixedTypes="0" containsString="0" containsNumber="1" containsInteger="1" minValue="-7968" maxValue="918"/>
    </cacheField>
    <cacheField name="Contract Status" numFmtId="165">
      <sharedItems count="5">
        <s v="Expired"/>
        <s v="Valid Contract"/>
        <s v="Expires &lt; 30 Days"/>
        <s v="Expires &lt; 60 Days"/>
        <s v="Valid Contract "/>
      </sharedItems>
    </cacheField>
    <cacheField name="Account Manager" numFmtId="0">
      <sharedItems count="12">
        <s v="MUKAMANA"/>
        <s v="BANZA"/>
        <s v="MUSONI"/>
        <s v="KIZZA"/>
        <s v="GAHIGI"/>
        <s v="MUKANOHERI"/>
        <s v="NIYITEGEKA"/>
        <s v="MUGISHA"/>
        <s v="GASASIRA"/>
        <s v="GASANA"/>
        <s v="MUHIZI"/>
        <s v="UWIHIRWE" u="1"/>
      </sharedItems>
    </cacheField>
    <cacheField name="Contact Person" numFmtId="0">
      <sharedItems containsBlank="1"/>
    </cacheField>
    <cacheField name="CP Email" numFmtId="0">
      <sharedItems containsBlank="1" containsMixedTypes="1" containsNumber="1" containsInteger="1" minValue="788212672" maxValue="788212672"/>
    </cacheField>
    <cacheField name="CP Phone" numFmtId="0">
      <sharedItems containsBlank="1" containsMixedTypes="1" containsNumber="1" containsInteger="1" minValue="725188043" maxValue="789938585"/>
    </cacheField>
    <cacheField name="Comment" numFmtId="0">
      <sharedItems containsBlank="1" containsMixedTypes="1" containsNumber="1" containsInteger="1" minValue="788315243" maxValue="788315243"/>
    </cacheField>
    <cacheField name="Column1" numFmtId="165">
      <sharedItems containsBlank="1"/>
    </cacheField>
    <cacheField name="Column2" numFmtId="165">
      <sharedItems containsBlank="1"/>
    </cacheField>
  </cacheFields>
  <extLst>
    <ext xmlns:x14="http://schemas.microsoft.com/office/spreadsheetml/2009/9/main" uri="{725AE2AE-9491-48be-B2B4-4EB974FC3084}">
      <x14:pivotCacheDefinition pivotCacheId="16224860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0">
  <r>
    <s v="C002214"/>
    <x v="0"/>
    <s v="Lais"/>
    <s v="Rwamagana  "/>
    <x v="0"/>
    <x v="0"/>
    <s v="Standard"/>
    <x v="0"/>
    <x v="0"/>
    <n v="5"/>
    <s v="FIBER VPN 5MBPS"/>
    <m/>
    <n v="1"/>
    <n v="270000"/>
    <n v="270000"/>
    <s v="Monthly"/>
    <d v="2020-12-31T00:00:00"/>
    <x v="0"/>
    <x v="0"/>
    <n v="918"/>
    <x v="0"/>
    <x v="0"/>
    <s v="Simon Harindintwari"/>
    <s v="corporate@rwamagana.gov.rw"/>
    <s v="0788822178"/>
    <m/>
    <m/>
    <m/>
  </r>
  <r>
    <s v="C003180"/>
    <x v="1"/>
    <s v="Kigali - Gatuna"/>
    <s v="Burera"/>
    <x v="1"/>
    <x v="1"/>
    <s v="Standard"/>
    <x v="1"/>
    <x v="1"/>
    <m/>
    <s v="4U Rack Space"/>
    <m/>
    <n v="1"/>
    <n v="552711.86440677964"/>
    <n v="552711.86440677964"/>
    <s v="Monthly"/>
    <d v="2022-06-30T00:00:00"/>
    <x v="1"/>
    <x v="1"/>
    <n v="372"/>
    <x v="0"/>
    <x v="0"/>
    <s v="Patrick Manzi"/>
    <s v="patrick.manzi@gva.africa "/>
    <s v="0788422925"/>
    <m/>
    <m/>
    <m/>
  </r>
  <r>
    <s v="C003180"/>
    <x v="1"/>
    <s v="Kigali - Gatuna"/>
    <s v="Gicumbi"/>
    <x v="1"/>
    <x v="1"/>
    <s v="Standard"/>
    <x v="1"/>
    <x v="2"/>
    <m/>
    <s v="Dark Fiber Lease  "/>
    <n v="94.6"/>
    <n v="1"/>
    <n v="2363764.4067796613"/>
    <n v="2363764.4067796613"/>
    <s v="Monthly"/>
    <d v="2022-06-30T00:00:00"/>
    <x v="1"/>
    <x v="1"/>
    <n v="372"/>
    <x v="0"/>
    <x v="0"/>
    <s v="Patrick Manzi"/>
    <s v="patrick.manzi@gva.africa "/>
    <s v="0788422925"/>
    <m/>
    <m/>
    <m/>
  </r>
  <r>
    <s v="C001230"/>
    <x v="2"/>
    <s v="DFL: Gicumbi - Gatuna"/>
    <s v="Gicumbi"/>
    <x v="1"/>
    <x v="1"/>
    <s v="Standard"/>
    <x v="2"/>
    <x v="2"/>
    <m/>
    <s v="Dark Fiber Lease  "/>
    <n v="19.600000000000001"/>
    <n v="1"/>
    <n v="1220000"/>
    <n v="1220000"/>
    <s v="Monthly"/>
    <d v="2022-07-14T00:00:00"/>
    <x v="2"/>
    <x v="1"/>
    <n v="358"/>
    <x v="0"/>
    <x v="1"/>
    <s v="Aline Umutesi"/>
    <s v="aline.umutesi@ktrn.rw"/>
    <s v="0 782 502660 "/>
    <m/>
    <m/>
    <m/>
  </r>
  <r>
    <s v="C001230"/>
    <x v="2"/>
    <s v="DFL: SFB - Kigoma"/>
    <s v="Kicukiro"/>
    <x v="1"/>
    <x v="1"/>
    <s v="Standard"/>
    <x v="2"/>
    <x v="2"/>
    <m/>
    <s v="Dark Fiber Lease  "/>
    <n v="50"/>
    <n v="1"/>
    <n v="2428000"/>
    <n v="2428000"/>
    <s v="Monthly"/>
    <d v="2022-07-14T00:00:00"/>
    <x v="2"/>
    <x v="1"/>
    <n v="358"/>
    <x v="0"/>
    <x v="1"/>
    <s v="Aline Umutesi"/>
    <s v="aline.umutesi@ktrn.rw"/>
    <s v="0 782 502660 "/>
    <m/>
    <m/>
    <m/>
  </r>
  <r>
    <s v="C001230"/>
    <x v="2"/>
    <s v="DFL: Rulindo - Gicumbi"/>
    <s v="Rulindo"/>
    <x v="1"/>
    <x v="1"/>
    <s v="Standard"/>
    <x v="2"/>
    <x v="2"/>
    <m/>
    <s v="Dark Fiber Lease  "/>
    <n v="24.4"/>
    <n v="1"/>
    <n v="980000"/>
    <n v="980000"/>
    <s v="Monthly"/>
    <d v="2022-07-14T00:00:00"/>
    <x v="2"/>
    <x v="1"/>
    <n v="358"/>
    <x v="0"/>
    <x v="1"/>
    <s v="Aline Umutesi"/>
    <s v="aline.umutesi@ktrn.rw"/>
    <s v="0 782 502660 "/>
    <m/>
    <m/>
    <m/>
  </r>
  <r>
    <s v="C002294"/>
    <x v="3"/>
    <s v="HQ"/>
    <s v="Gasabo"/>
    <x v="0"/>
    <x v="1"/>
    <s v="VIP"/>
    <x v="1"/>
    <x v="0"/>
    <n v="10"/>
    <s v="FIBER VPN 10MBPS"/>
    <m/>
    <n v="1"/>
    <n v="510000"/>
    <n v="510000"/>
    <s v="Monthly"/>
    <d v="2022-08-31T00:00:00"/>
    <x v="3"/>
    <x v="1"/>
    <n v="310"/>
    <x v="0"/>
    <x v="0"/>
    <s v="Geoffrey Karegeya"/>
    <s v="geoffrey.k@ricta.org.rw "/>
    <s v="0788409061"/>
    <m/>
    <m/>
    <m/>
  </r>
  <r>
    <s v="C002294"/>
    <x v="3"/>
    <s v="HQ"/>
    <s v="Gasabo"/>
    <x v="0"/>
    <x v="1"/>
    <s v="VIP"/>
    <x v="1"/>
    <x v="1"/>
    <m/>
    <s v="COLOCATION HALF RACK"/>
    <m/>
    <n v="1"/>
    <n v="918000"/>
    <n v="918000"/>
    <s v="Monthly"/>
    <d v="2022-08-31T00:00:00"/>
    <x v="3"/>
    <x v="1"/>
    <n v="310"/>
    <x v="0"/>
    <x v="0"/>
    <s v="Geoffrey Karegeya"/>
    <s v="geoffrey.k@ricta.org.rw "/>
    <s v="0788409061"/>
    <m/>
    <m/>
    <m/>
  </r>
  <r>
    <s v="C001471"/>
    <x v="4"/>
    <s v="Ministry of Infrastructure (MININFRA) - HQ"/>
    <s v="Gasabo"/>
    <x v="0"/>
    <x v="0"/>
    <s v="Standard"/>
    <x v="1"/>
    <x v="3"/>
    <m/>
    <s v="VoIP PHONES 41-70"/>
    <m/>
    <n v="1"/>
    <n v="189000"/>
    <n v="189000"/>
    <s v="Monthly"/>
    <d v="2022-09-30T00:00:00"/>
    <x v="4"/>
    <x v="1"/>
    <n v="280"/>
    <x v="0"/>
    <x v="2"/>
    <s v="Romalice Ishimwe"/>
    <s v="romalice.ishimwe@mininfra.gov.rw"/>
    <s v="0733-049-160"/>
    <m/>
    <m/>
    <m/>
  </r>
  <r>
    <s v="C003656"/>
    <x v="5"/>
    <s v="Wireless Broadband: RWN HQ"/>
    <s v="Gasabo"/>
    <x v="1"/>
    <x v="2"/>
    <s v="Standard"/>
    <x v="1"/>
    <x v="4"/>
    <n v="3"/>
    <s v="Wireless Broadband Internet 3Mbps"/>
    <m/>
    <n v="1"/>
    <n v="212000"/>
    <n v="212000"/>
    <s v="Monthly"/>
    <d v="2022-12-14T00:00:00"/>
    <x v="0"/>
    <x v="1"/>
    <n v="205"/>
    <x v="0"/>
    <x v="1"/>
    <s v="Ndahiro Andrew"/>
    <s v="andrew@rwandawomenenetwork.org"/>
    <s v="0 787 683 369"/>
    <s v="Customer temporary suspended"/>
    <m/>
    <m/>
  </r>
  <r>
    <s v="C002770"/>
    <x v="6"/>
    <s v="Fiber Internet: Bodifa Link"/>
    <s v="Gasabo"/>
    <x v="1"/>
    <x v="1"/>
    <s v="Standard"/>
    <x v="1"/>
    <x v="5"/>
    <n v="2"/>
    <s v="FIBER INTERNET 2MBPS"/>
    <m/>
    <n v="1"/>
    <n v="228813.55932199999"/>
    <n v="228813.55932199999"/>
    <s v="Monthly"/>
    <d v="2022-12-31T00:00:00"/>
    <x v="0"/>
    <x v="1"/>
    <n v="188"/>
    <x v="0"/>
    <x v="1"/>
    <s v="SHYAKA Roger"/>
    <s v="sroger@tnsp.rw"/>
    <s v="0 783 255 773"/>
    <s v="Customer temporary suspended"/>
    <m/>
    <m/>
  </r>
  <r>
    <s v="A0000174"/>
    <x v="7"/>
    <s v="HQ"/>
    <s v="Gasabo"/>
    <x v="1"/>
    <x v="2"/>
    <s v="Standard"/>
    <x v="0"/>
    <x v="6"/>
    <m/>
    <s v="4G MUP 1GB/DAY"/>
    <m/>
    <n v="1"/>
    <n v="19491.53"/>
    <n v="19491.53"/>
    <s v="Monthly"/>
    <d v="2022-12-31T00:00:00"/>
    <x v="0"/>
    <x v="1"/>
    <n v="188"/>
    <x v="0"/>
    <x v="3"/>
    <s v="Innocent"/>
    <s v="imprimu@gmail.com"/>
    <s v="0788-308-360"/>
    <m/>
    <m/>
    <m/>
  </r>
  <r>
    <s v="C003716"/>
    <x v="8"/>
    <s v="Uwinka Site"/>
    <s v="Rusizi"/>
    <x v="1"/>
    <x v="2"/>
    <s v="Standard"/>
    <x v="0"/>
    <x v="5"/>
    <n v="3"/>
    <s v="Fiber Broadband Internet 3Mbps"/>
    <m/>
    <n v="1"/>
    <n v="180000"/>
    <n v="180000"/>
    <s v="Monthly"/>
    <d v="2022-12-31T00:00:00"/>
    <x v="0"/>
    <x v="1"/>
    <n v="188"/>
    <x v="0"/>
    <x v="0"/>
    <s v="Kenny Babilon"/>
    <s v="protaisn@africanparks.org "/>
    <s v="0781547874"/>
    <m/>
    <m/>
    <m/>
  </r>
  <r>
    <s v="C003716"/>
    <x v="8"/>
    <s v="Gisakura Site"/>
    <s v="Rusizi"/>
    <x v="1"/>
    <x v="2"/>
    <s v="Standard"/>
    <x v="0"/>
    <x v="5"/>
    <n v="3"/>
    <s v="Fiber Broadband Internet 3Mbps"/>
    <m/>
    <n v="1"/>
    <n v="180000"/>
    <n v="180000"/>
    <s v="Monthly"/>
    <d v="2022-12-31T00:00:00"/>
    <x v="0"/>
    <x v="1"/>
    <n v="188"/>
    <x v="0"/>
    <x v="0"/>
    <s v="Kenny Babilon"/>
    <s v="protaisn@africanparks.org "/>
    <s v="0781547874"/>
    <m/>
    <m/>
    <m/>
  </r>
  <r>
    <s v="A0000768"/>
    <x v="9"/>
    <s v="HQ"/>
    <s v="Gatsibo"/>
    <x v="0"/>
    <x v="0"/>
    <s v="VIP"/>
    <x v="0"/>
    <x v="6"/>
    <m/>
    <s v="4G MUP 1GB/DAY"/>
    <m/>
    <n v="1"/>
    <n v="19491.53"/>
    <n v="19491.53"/>
    <s v="Monthly"/>
    <d v="2022-12-31T00:00:00"/>
    <x v="0"/>
    <x v="1"/>
    <n v="188"/>
    <x v="0"/>
    <x v="3"/>
    <m/>
    <s v="rpfgatsibo@gmail.com"/>
    <s v="0736-719-014"/>
    <m/>
    <m/>
    <m/>
  </r>
  <r>
    <s v="C002932"/>
    <x v="10"/>
    <s v="HQ"/>
    <s v="Kicukiro"/>
    <x v="1"/>
    <x v="2"/>
    <s v="Standard"/>
    <x v="0"/>
    <x v="5"/>
    <n v="2"/>
    <s v="FIBER INTERNET 2MBPS"/>
    <m/>
    <n v="1"/>
    <n v="270000"/>
    <n v="270000"/>
    <s v="Monthly"/>
    <d v="2022-12-31T00:00:00"/>
    <x v="0"/>
    <x v="1"/>
    <n v="188"/>
    <x v="0"/>
    <x v="0"/>
    <s v="Elie Nsabindora"/>
    <s v="dkamau@vivaglobal-dutyfree.com "/>
    <s v="0788388880"/>
    <m/>
    <m/>
    <m/>
  </r>
  <r>
    <s v="C001693"/>
    <x v="11"/>
    <s v="National Human Rights Commission"/>
    <s v="Gasabo"/>
    <x v="0"/>
    <x v="0"/>
    <s v="Standard"/>
    <x v="3"/>
    <x v="7"/>
    <m/>
    <s v="MSS SECURE BROWSING"/>
    <m/>
    <n v="1"/>
    <n v="129194.92"/>
    <n v="129194.92"/>
    <s v="Monthly"/>
    <d v="2025-11-29T00:00:00"/>
    <x v="5"/>
    <x v="2"/>
    <n v="-876"/>
    <x v="1"/>
    <x v="2"/>
    <s v="Theogene Ntakirutimana"/>
    <s v="theogene.ntakirutimana@cndp.org.rw"/>
    <s v="0788-486-357"/>
    <m/>
    <m/>
    <m/>
  </r>
  <r>
    <s v="C001440"/>
    <x v="12"/>
    <s v="VSAT: JTF HQ MDP"/>
    <s v="Mozambique"/>
    <x v="0"/>
    <x v="3"/>
    <s v="VIP"/>
    <x v="1"/>
    <x v="8"/>
    <n v="8"/>
    <s v="VSAT Internet 8Mbps"/>
    <m/>
    <n v="1"/>
    <n v="7228624"/>
    <n v="7228624"/>
    <s v="Monthly"/>
    <d v="2023-01-31T00:00:00"/>
    <x v="6"/>
    <x v="3"/>
    <n v="157"/>
    <x v="0"/>
    <x v="1"/>
    <s v="Jean de Dieu MUGAMBWA_x000a_Lt Col_x000a_Ag. H/CEC"/>
    <s v="headcec@minadef.gov.rw    "/>
    <s v="0 78 831 4513"/>
    <m/>
    <m/>
    <m/>
  </r>
  <r>
    <s v="C001440"/>
    <x v="12"/>
    <s v="VSAT: TF BG2 ANCUABE"/>
    <s v="Mozambique"/>
    <x v="0"/>
    <x v="3"/>
    <s v="VIP"/>
    <x v="1"/>
    <x v="8"/>
    <n v="4"/>
    <s v="VSAT Internet 4Mbps"/>
    <m/>
    <n v="1"/>
    <n v="3784112"/>
    <n v="3784112"/>
    <s v="Monthly"/>
    <d v="2023-01-31T00:00:00"/>
    <x v="6"/>
    <x v="3"/>
    <n v="157"/>
    <x v="0"/>
    <x v="1"/>
    <s v="Jean de Dieu MUGAMBWA_x000a_Lt Col_x000a_Ag. H/CEC"/>
    <s v="headcec@minadef.gov.rw    "/>
    <s v="0 78 831 4513"/>
    <m/>
    <m/>
    <m/>
  </r>
  <r>
    <s v="C001440"/>
    <x v="12"/>
    <s v="VSAT: TF GB2 MBAU"/>
    <s v="Mozambique"/>
    <x v="0"/>
    <x v="3"/>
    <s v="VIP"/>
    <x v="1"/>
    <x v="8"/>
    <n v="4"/>
    <s v="VSAT Internet 4Mbps"/>
    <m/>
    <n v="1"/>
    <n v="3784112"/>
    <n v="3784112"/>
    <s v="Monthly"/>
    <d v="2023-01-31T00:00:00"/>
    <x v="6"/>
    <x v="3"/>
    <n v="157"/>
    <x v="0"/>
    <x v="1"/>
    <s v="Jean de Dieu MUGAMBWA_x000a_Lt Col_x000a_Ag. H/CEC"/>
    <s v="headcec@minadef.gov.rw    "/>
    <s v="0 78 831 4513"/>
    <m/>
    <m/>
    <m/>
  </r>
  <r>
    <s v="C001507"/>
    <x v="13"/>
    <s v="Akamai Local Content Provision"/>
    <s v="Gasabo"/>
    <x v="1"/>
    <x v="1"/>
    <s v="Standard"/>
    <x v="1"/>
    <x v="9"/>
    <m/>
    <s v="Local Content Provision: Akamai"/>
    <m/>
    <n v="1"/>
    <m/>
    <n v="0"/>
    <s v="Monthly"/>
    <d v="2023-02-21T00:00:00"/>
    <x v="7"/>
    <x v="3"/>
    <n v="136"/>
    <x v="0"/>
    <x v="1"/>
    <s v="Rene Manzi"/>
    <s v="rene.manzi@mtn.com"/>
    <s v="0 78 8312 623 "/>
    <m/>
    <m/>
    <m/>
  </r>
  <r>
    <s v="C001507"/>
    <x v="13"/>
    <s v="DFL: Gicumbi - Gatuna"/>
    <s v="Gicumbi"/>
    <x v="1"/>
    <x v="1"/>
    <s v="Standard"/>
    <x v="2"/>
    <x v="2"/>
    <m/>
    <s v="Dark Fiber Lease  "/>
    <n v="20.8"/>
    <n v="1"/>
    <n v="1003600"/>
    <n v="1003600"/>
    <s v="Monthly"/>
    <d v="2023-02-21T00:00:00"/>
    <x v="7"/>
    <x v="3"/>
    <n v="136"/>
    <x v="0"/>
    <x v="1"/>
    <s v="Rene Manzi"/>
    <s v="rene.manzi@mtn.com"/>
    <s v="0 78 8312 623 "/>
    <m/>
    <m/>
    <m/>
  </r>
  <r>
    <s v="C001507"/>
    <x v="13"/>
    <s v="DFL: Karongi-Rubavu "/>
    <s v="Karongi"/>
    <x v="1"/>
    <x v="1"/>
    <s v="Standard"/>
    <x v="2"/>
    <x v="2"/>
    <m/>
    <s v="Dark Fiber Lease  "/>
    <n v="104"/>
    <n v="1"/>
    <n v="5018000"/>
    <n v="5018000"/>
    <s v="Monthly"/>
    <d v="2023-02-21T00:00:00"/>
    <x v="7"/>
    <x v="3"/>
    <n v="136"/>
    <x v="0"/>
    <x v="1"/>
    <s v="Rene Manzi"/>
    <s v="rene.manzi@mtn.com"/>
    <s v="0 78 8312 623 "/>
    <m/>
    <m/>
    <m/>
  </r>
  <r>
    <s v="C001507"/>
    <x v="13"/>
    <s v="DFL: Karongi-Rusizi "/>
    <s v="Karongi"/>
    <x v="1"/>
    <x v="1"/>
    <s v="Standard"/>
    <x v="2"/>
    <x v="2"/>
    <m/>
    <s v="Dark Fiber Lease  "/>
    <n v="83"/>
    <n v="1"/>
    <n v="4004750"/>
    <n v="4004750"/>
    <s v="Monthly"/>
    <d v="2023-02-21T00:00:00"/>
    <x v="7"/>
    <x v="3"/>
    <n v="136"/>
    <x v="0"/>
    <x v="1"/>
    <s v="Rene Manzi"/>
    <s v="rene.manzi@mtn.com"/>
    <s v="0 78 8312 623 "/>
    <m/>
    <m/>
    <m/>
  </r>
  <r>
    <s v="C001507"/>
    <x v="13"/>
    <s v="DFL: Kibungo-Rusumo"/>
    <s v="Ngoma"/>
    <x v="1"/>
    <x v="1"/>
    <s v="Standard"/>
    <x v="2"/>
    <x v="2"/>
    <m/>
    <s v="Dark Fiber Lease  "/>
    <n v="50"/>
    <n v="1"/>
    <n v="2412500"/>
    <n v="2412500"/>
    <s v="Monthly"/>
    <d v="2023-02-21T00:00:00"/>
    <x v="7"/>
    <x v="3"/>
    <n v="136"/>
    <x v="0"/>
    <x v="1"/>
    <s v="Rene Manzi"/>
    <s v="rene.manzi@mtn.com"/>
    <s v="0 78 8312 623 "/>
    <m/>
    <m/>
    <m/>
  </r>
  <r>
    <s v="C001337"/>
    <x v="14"/>
    <s v="Gatenga"/>
    <s v="Kicukiro"/>
    <x v="1"/>
    <x v="2"/>
    <s v="Standard"/>
    <x v="1"/>
    <x v="4"/>
    <n v="5"/>
    <s v="Wireless Broadband 5MBPS"/>
    <m/>
    <n v="1"/>
    <n v="207627.12"/>
    <n v="207627.12"/>
    <s v="Monthly"/>
    <d v="2023-03-20T00:00:00"/>
    <x v="8"/>
    <x v="3"/>
    <n v="109"/>
    <x v="0"/>
    <x v="0"/>
    <s v="Igor Murenzi"/>
    <s v="murenzi.igor@mastersteel.co "/>
    <s v="0787919263"/>
    <m/>
    <m/>
    <m/>
  </r>
  <r>
    <s v="C001337"/>
    <x v="14"/>
    <s v="HQ Gahanga"/>
    <s v="Kicukiro"/>
    <x v="1"/>
    <x v="2"/>
    <s v="Standard"/>
    <x v="1"/>
    <x v="5"/>
    <n v="15"/>
    <s v="FIBER INTERNET 15MBPS"/>
    <m/>
    <n v="1"/>
    <n v="1050000"/>
    <n v="1050000"/>
    <s v="Monthly"/>
    <d v="2023-03-20T00:00:00"/>
    <x v="8"/>
    <x v="3"/>
    <n v="109"/>
    <x v="0"/>
    <x v="0"/>
    <s v="Igor Murenzi"/>
    <s v="murenzi.igor@mastersteel.co "/>
    <s v="0787919263"/>
    <m/>
    <m/>
    <m/>
  </r>
  <r>
    <s v="C001129"/>
    <x v="15"/>
    <s v="VTC Nyanza "/>
    <s v="Nyanza"/>
    <x v="0"/>
    <x v="4"/>
    <s v="Standard"/>
    <x v="0"/>
    <x v="0"/>
    <n v="3"/>
    <s v="fiber vpn 3mbps"/>
    <m/>
    <n v="1"/>
    <n v="180000"/>
    <n v="180000"/>
    <s v="Monthly"/>
    <d v="2023-03-30T00:00:00"/>
    <x v="8"/>
    <x v="3"/>
    <n v="99"/>
    <x v="0"/>
    <x v="4"/>
    <s v="Joseph"/>
    <s v="mahejose@yahoo.fr"/>
    <n v="785475550"/>
    <s v="Was suspended"/>
    <m/>
    <s v="They were suspended"/>
  </r>
  <r>
    <s v="C000717"/>
    <x v="16"/>
    <s v="HQ"/>
    <s v="Gasabo"/>
    <x v="0"/>
    <x v="0"/>
    <s v="Standard"/>
    <x v="0"/>
    <x v="6"/>
    <m/>
    <s v="4G MUP 10GB/DAY"/>
    <m/>
    <n v="1"/>
    <n v="110593.22"/>
    <n v="110593.22"/>
    <s v="Monthly"/>
    <d v="2023-03-31T00:00:00"/>
    <x v="8"/>
    <x v="3"/>
    <n v="98"/>
    <x v="0"/>
    <x v="0"/>
    <s v="Jean Paul Mahene"/>
    <s v="jeanpaul.mahene@gasabo.gov.rw "/>
    <s v="0788828279"/>
    <m/>
    <m/>
    <m/>
  </r>
  <r>
    <s v="C000717"/>
    <x v="16"/>
    <s v="HQ"/>
    <s v="Gasabo"/>
    <x v="0"/>
    <x v="0"/>
    <s v="Standard"/>
    <x v="0"/>
    <x v="6"/>
    <m/>
    <s v="4G ONE NETWORK 5MBPS"/>
    <m/>
    <n v="2"/>
    <n v="101694.92"/>
    <n v="203389.84"/>
    <s v="Monthly"/>
    <d v="2023-03-31T00:00:00"/>
    <x v="8"/>
    <x v="3"/>
    <n v="98"/>
    <x v="0"/>
    <x v="0"/>
    <s v="Jean Paul Mahene"/>
    <s v="jeanpaul.mahene@gasabo.gov.rw "/>
    <s v="0788828279"/>
    <m/>
    <m/>
    <m/>
  </r>
  <r>
    <s v="C000717"/>
    <x v="16"/>
    <s v="HQ"/>
    <s v="Gasabo"/>
    <x v="0"/>
    <x v="0"/>
    <s v="Standard"/>
    <x v="0"/>
    <x v="6"/>
    <m/>
    <s v="4G MUP 1GB/DAY"/>
    <m/>
    <n v="5"/>
    <n v="19491.53"/>
    <n v="97457.65"/>
    <s v="Monthly"/>
    <d v="2023-03-31T00:00:00"/>
    <x v="8"/>
    <x v="3"/>
    <n v="98"/>
    <x v="0"/>
    <x v="0"/>
    <s v="Jean Paul Mahene"/>
    <s v="jeanpaul.mahene@gasabo.gov.rw "/>
    <s v="0788828279"/>
    <m/>
    <m/>
    <m/>
  </r>
  <r>
    <s v="C000717"/>
    <x v="16"/>
    <s v="HQ"/>
    <s v="Gasabo"/>
    <x v="0"/>
    <x v="0"/>
    <s v="Standard"/>
    <x v="0"/>
    <x v="6"/>
    <m/>
    <s v="4G MUP 2GB/DAY"/>
    <m/>
    <n v="10"/>
    <n v="28305.08"/>
    <n v="283050.80000000005"/>
    <s v="Monthly"/>
    <d v="2023-03-31T00:00:00"/>
    <x v="8"/>
    <x v="3"/>
    <n v="98"/>
    <x v="0"/>
    <x v="0"/>
    <s v="Jean Paul Mahene"/>
    <s v="jeanpaul.mahene@gasabo.gov.rw "/>
    <s v="0788828279"/>
    <m/>
    <m/>
    <m/>
  </r>
  <r>
    <s v="C002193"/>
    <x v="17"/>
    <s v="Lais"/>
    <s v="Rutsiro"/>
    <x v="0"/>
    <x v="0"/>
    <s v="Standard"/>
    <x v="0"/>
    <x v="0"/>
    <n v="3"/>
    <s v="fiber vpn 3mbps"/>
    <m/>
    <n v="1"/>
    <n v="180000"/>
    <n v="180000"/>
    <s v="Monthly"/>
    <d v="2023-03-31T00:00:00"/>
    <x v="8"/>
    <x v="3"/>
    <n v="98"/>
    <x v="0"/>
    <x v="0"/>
    <s v="Simon Harindintwari"/>
    <s v="ictrutsiro@rutsiro.gov.rw "/>
    <s v="0788738010"/>
    <m/>
    <m/>
    <m/>
  </r>
  <r>
    <s v="C002193"/>
    <x v="17"/>
    <s v="HQ"/>
    <s v="Rutsiro"/>
    <x v="0"/>
    <x v="0"/>
    <s v="Standard"/>
    <x v="0"/>
    <x v="0"/>
    <n v="5"/>
    <s v="FIBER VPN 5MBPS"/>
    <m/>
    <n v="1"/>
    <n v="270000"/>
    <n v="270000"/>
    <s v="Monthly"/>
    <d v="2023-03-31T00:00:00"/>
    <x v="8"/>
    <x v="3"/>
    <n v="98"/>
    <x v="0"/>
    <x v="0"/>
    <s v="Simon Harindintwari"/>
    <s v="ictrutsiro@rutsiro.gov.rw "/>
    <s v="0788738010"/>
    <m/>
    <m/>
    <m/>
  </r>
  <r>
    <s v="C002193"/>
    <x v="17"/>
    <s v="HQ"/>
    <s v="Rutsiro"/>
    <x v="0"/>
    <x v="0"/>
    <s v="Standard"/>
    <x v="0"/>
    <x v="10"/>
    <m/>
    <s v="VIDEO CONFERENCE"/>
    <m/>
    <n v="1"/>
    <n v="258045"/>
    <n v="258045"/>
    <s v="Monthly"/>
    <d v="2023-03-31T00:00:00"/>
    <x v="8"/>
    <x v="3"/>
    <n v="98"/>
    <x v="0"/>
    <x v="0"/>
    <s v="Simon Harindintwari"/>
    <s v="ictrutsiro@rutsiro.gov.rw "/>
    <s v="0788738010"/>
    <m/>
    <m/>
    <m/>
  </r>
  <r>
    <s v="C002193"/>
    <x v="17"/>
    <s v="HQ"/>
    <s v="Rutsiro"/>
    <x v="0"/>
    <x v="0"/>
    <s v="Standard"/>
    <x v="3"/>
    <x v="7"/>
    <m/>
    <s v="MSS GOLD"/>
    <m/>
    <n v="1"/>
    <n v="369325"/>
    <n v="369325"/>
    <s v="Monthly"/>
    <d v="2023-03-31T00:00:00"/>
    <x v="8"/>
    <x v="3"/>
    <n v="98"/>
    <x v="0"/>
    <x v="0"/>
    <s v="Simon Harindintwari"/>
    <s v="ictrutsiro@rutsiro.gov.rw "/>
    <s v="0788738010"/>
    <m/>
    <m/>
    <m/>
  </r>
  <r>
    <s v="C002193"/>
    <x v="17"/>
    <s v="HQ"/>
    <s v="Rutsiro"/>
    <x v="0"/>
    <x v="0"/>
    <s v="Standard"/>
    <x v="0"/>
    <x v="6"/>
    <m/>
    <s v="4G MUP 2GB/DAY"/>
    <m/>
    <n v="4"/>
    <n v="28305.08"/>
    <n v="113220.32"/>
    <s v="Monthly"/>
    <d v="2023-03-31T00:00:00"/>
    <x v="8"/>
    <x v="3"/>
    <n v="98"/>
    <x v="0"/>
    <x v="0"/>
    <s v="Simon Harindintwari"/>
    <s v="ictrutsiro@rutsiro.gov.rw "/>
    <s v="0788738010"/>
    <m/>
    <m/>
    <m/>
  </r>
  <r>
    <s v="C002193"/>
    <x v="17"/>
    <s v="HQ"/>
    <s v="Rutsiro"/>
    <x v="0"/>
    <x v="0"/>
    <s v="Standard"/>
    <x v="0"/>
    <x v="6"/>
    <m/>
    <s v="4G ONE NETWORK 3MBPS"/>
    <m/>
    <n v="21"/>
    <n v="81355.932203389835"/>
    <n v="1708474.5762711866"/>
    <s v="Monthly"/>
    <d v="2023-03-31T00:00:00"/>
    <x v="8"/>
    <x v="3"/>
    <n v="98"/>
    <x v="0"/>
    <x v="0"/>
    <s v="Simon Harindintwari"/>
    <s v="ictrutsiro@rutsiro.gov.rw "/>
    <s v="0788738010"/>
    <m/>
    <m/>
    <m/>
  </r>
  <r>
    <s v="C002193"/>
    <x v="17"/>
    <s v="HQ"/>
    <s v="Rutsiro"/>
    <x v="0"/>
    <x v="0"/>
    <s v="Standard"/>
    <x v="0"/>
    <x v="6"/>
    <m/>
    <s v="4G MUP 1GB/DAY"/>
    <m/>
    <n v="69"/>
    <n v="19491.53"/>
    <n v="1344915.5699999998"/>
    <s v="Monthly"/>
    <d v="2023-03-31T00:00:00"/>
    <x v="8"/>
    <x v="3"/>
    <n v="98"/>
    <x v="0"/>
    <x v="0"/>
    <s v="Simon Harindintwari"/>
    <s v="ictrutsiro@rutsiro.gov.rw "/>
    <s v="0788738010"/>
    <m/>
    <m/>
    <m/>
  </r>
  <r>
    <s v="C001467"/>
    <x v="18"/>
    <s v="Ministry of Environment"/>
    <s v="Nyarugenge"/>
    <x v="0"/>
    <x v="0"/>
    <s v="Standard"/>
    <x v="0"/>
    <x v="0"/>
    <n v="20"/>
    <s v="Fiber VPN 20MBPS"/>
    <m/>
    <n v="1"/>
    <n v="900000"/>
    <n v="900000"/>
    <s v="Monthly"/>
    <d v="2024-04-19T00:00:00"/>
    <x v="9"/>
    <x v="4"/>
    <n v="-287"/>
    <x v="1"/>
    <x v="5"/>
    <s v="Jeanne Mukamana"/>
    <s v="eharerimana@environment.gov.rw"/>
    <n v="788313458"/>
    <m/>
    <m/>
    <m/>
  </r>
  <r>
    <s v="C001467"/>
    <x v="18"/>
    <s v="Ministry of Environment"/>
    <s v="Nyarugenge"/>
    <x v="0"/>
    <x v="0"/>
    <s v="Standard"/>
    <x v="0"/>
    <x v="6"/>
    <m/>
    <s v=" 4G MUP 4GB/DAY "/>
    <m/>
    <n v="1"/>
    <n v="45338.98"/>
    <n v="45338.98"/>
    <s v="Monthly"/>
    <d v="2024-04-19T00:00:00"/>
    <x v="9"/>
    <x v="4"/>
    <n v="-287"/>
    <x v="1"/>
    <x v="5"/>
    <s v="Jeanne Mukamana"/>
    <s v="eharerimana@environment.gov.rw"/>
    <n v="788313458"/>
    <m/>
    <m/>
    <m/>
  </r>
  <r>
    <s v="C001467"/>
    <x v="18"/>
    <s v="Ministry of Environment  "/>
    <s v="Nyarugenge"/>
    <x v="0"/>
    <x v="0"/>
    <s v="Standard"/>
    <x v="0"/>
    <x v="10"/>
    <m/>
    <s v="Video confrence"/>
    <m/>
    <n v="1"/>
    <n v="258044.92"/>
    <n v="258044.92"/>
    <s v="Monthly"/>
    <d v="2024-04-19T00:00:00"/>
    <x v="9"/>
    <x v="4"/>
    <n v="-287"/>
    <x v="1"/>
    <x v="5"/>
    <s v="Jeanne Mukamana"/>
    <s v="eharerimana@environment.gov.rw"/>
    <n v="788313458"/>
    <m/>
    <m/>
    <m/>
  </r>
  <r>
    <s v="C001926"/>
    <x v="19"/>
    <s v="One &amp; Only"/>
    <s v="Nyamasheke"/>
    <x v="1"/>
    <x v="5"/>
    <s v="Standard"/>
    <x v="0"/>
    <x v="5"/>
    <n v="40"/>
    <s v="FIBER INTERNET 40MBPS"/>
    <m/>
    <n v="1"/>
    <n v="2288136"/>
    <n v="2288136"/>
    <s v="Monthly"/>
    <d v="2024-04-22T00:00:00"/>
    <x v="9"/>
    <x v="4"/>
    <n v="-290"/>
    <x v="1"/>
    <x v="2"/>
    <s v="Christopher Rudakubana"/>
    <s v="Christopher.Rudakubana@oneandonlyresorts.com"/>
    <s v="0788-315-281 "/>
    <m/>
    <m/>
    <m/>
  </r>
  <r>
    <s v="C000416"/>
    <x v="20"/>
    <s v="Kimisagara Youth Center"/>
    <s v="Nyarugenge"/>
    <x v="0"/>
    <x v="0"/>
    <s v="VIP"/>
    <x v="0"/>
    <x v="0"/>
    <n v="5"/>
    <s v="FIBER VPN 5MBPS"/>
    <m/>
    <n v="1"/>
    <n v="270000"/>
    <n v="270000"/>
    <s v="Monthly"/>
    <d v="2023-04-30T00:00:00"/>
    <x v="9"/>
    <x v="3"/>
    <n v="68"/>
    <x v="0"/>
    <x v="0"/>
    <s v="Rebecca Umubyeyi"/>
    <s v="rvuningoma@kigalicity.gov.rw "/>
    <s v="0788508370"/>
    <m/>
    <m/>
    <m/>
  </r>
  <r>
    <s v="C000416"/>
    <x v="20"/>
    <s v="HQ"/>
    <s v="Nyarugenge"/>
    <x v="0"/>
    <x v="0"/>
    <s v="VIP"/>
    <x v="0"/>
    <x v="0"/>
    <n v="50"/>
    <s v="FIBER VPN 50MBPS"/>
    <m/>
    <n v="1"/>
    <n v="1800000"/>
    <n v="1800000"/>
    <s v="Monthly"/>
    <d v="2023-04-30T00:00:00"/>
    <x v="9"/>
    <x v="3"/>
    <n v="68"/>
    <x v="0"/>
    <x v="0"/>
    <s v="Rebecca Umubyeyi"/>
    <s v="rvuningoma@kigalicity.gov.rw "/>
    <s v="0788508370"/>
    <m/>
    <m/>
    <m/>
  </r>
  <r>
    <s v="C000416"/>
    <x v="20"/>
    <s v="HQ"/>
    <s v="Nyarugenge"/>
    <x v="0"/>
    <x v="0"/>
    <s v="VIP"/>
    <x v="3"/>
    <x v="7"/>
    <m/>
    <s v="MSS GOLD"/>
    <m/>
    <n v="1"/>
    <n v="369325"/>
    <n v="369325"/>
    <s v="Monthly"/>
    <d v="2023-04-30T00:00:00"/>
    <x v="9"/>
    <x v="3"/>
    <n v="68"/>
    <x v="0"/>
    <x v="0"/>
    <s v="Rebecca Umubyeyi"/>
    <s v="rvuningoma@kigalicity.gov.rw "/>
    <s v="0788508370"/>
    <m/>
    <m/>
    <m/>
  </r>
  <r>
    <s v="C000416"/>
    <x v="20"/>
    <s v="HQ"/>
    <s v="Nyarugenge"/>
    <x v="0"/>
    <x v="0"/>
    <s v="VIP"/>
    <x v="1"/>
    <x v="10"/>
    <m/>
    <s v="VIDEO CONFERENCE"/>
    <m/>
    <n v="1"/>
    <n v="258045"/>
    <n v="258045"/>
    <s v="Monthly"/>
    <d v="2023-04-30T00:00:00"/>
    <x v="9"/>
    <x v="3"/>
    <n v="68"/>
    <x v="0"/>
    <x v="0"/>
    <s v="Rebecca Umubyeyi"/>
    <s v="rvuningoma@kigalicity.gov.rw "/>
    <s v="0788508370"/>
    <m/>
    <m/>
    <m/>
  </r>
  <r>
    <s v="C000416"/>
    <x v="20"/>
    <s v="HQ"/>
    <s v="Nyarugenge"/>
    <x v="0"/>
    <x v="0"/>
    <s v="VIP"/>
    <x v="0"/>
    <x v="6"/>
    <m/>
    <s v="4G GO SMART 1GB/DAY"/>
    <m/>
    <n v="1"/>
    <n v="13983.05"/>
    <n v="13983.05"/>
    <s v="Monthly"/>
    <d v="2023-04-30T00:00:00"/>
    <x v="9"/>
    <x v="3"/>
    <n v="68"/>
    <x v="0"/>
    <x v="0"/>
    <s v="Rebecca Umubyeyi"/>
    <s v="rvuningoma@kigalicity.gov.rw "/>
    <s v="0788508370"/>
    <m/>
    <m/>
    <m/>
  </r>
  <r>
    <s v="C000416"/>
    <x v="20"/>
    <s v="HQ"/>
    <s v="Nyarugenge"/>
    <x v="0"/>
    <x v="0"/>
    <s v="VIP"/>
    <x v="0"/>
    <x v="6"/>
    <m/>
    <s v="4G MUP 2GB/DAY"/>
    <m/>
    <n v="2"/>
    <n v="28305.08"/>
    <n v="56610.16"/>
    <s v="Monthly"/>
    <d v="2023-04-30T00:00:00"/>
    <x v="9"/>
    <x v="3"/>
    <n v="68"/>
    <x v="0"/>
    <x v="0"/>
    <s v="Rebecca Umubyeyi"/>
    <s v="rvuningoma@kigalicity.gov.rw "/>
    <s v="0788508370"/>
    <m/>
    <m/>
    <m/>
  </r>
  <r>
    <s v="C000416"/>
    <x v="20"/>
    <s v="HQ"/>
    <s v="Nyarugenge"/>
    <x v="0"/>
    <x v="0"/>
    <s v="VIP"/>
    <x v="0"/>
    <x v="6"/>
    <m/>
    <s v="4G MUP 1GB/DAY"/>
    <m/>
    <n v="5"/>
    <n v="19491.53"/>
    <n v="97457.65"/>
    <s v="Monthly"/>
    <d v="2023-04-30T00:00:00"/>
    <x v="9"/>
    <x v="3"/>
    <n v="68"/>
    <x v="0"/>
    <x v="0"/>
    <s v="Rebecca Umubyeyi"/>
    <s v="rvuningoma@kigalicity.gov.rw "/>
    <s v="0788508370"/>
    <m/>
    <m/>
    <m/>
  </r>
  <r>
    <s v="C000416"/>
    <x v="20"/>
    <s v="HQ"/>
    <s v="Nyarugenge"/>
    <x v="0"/>
    <x v="0"/>
    <s v="VIP"/>
    <x v="0"/>
    <x v="6"/>
    <m/>
    <s v="4G ONE NETWORK 5MBPS"/>
    <m/>
    <n v="5"/>
    <n v="101694.92"/>
    <n v="508474.6"/>
    <s v="Monthly"/>
    <d v="2023-04-30T00:00:00"/>
    <x v="9"/>
    <x v="3"/>
    <n v="68"/>
    <x v="0"/>
    <x v="0"/>
    <s v="Rebecca Umubyeyi"/>
    <s v="rvuningoma@kigalicity.gov.rw "/>
    <s v="0788508370"/>
    <m/>
    <m/>
    <m/>
  </r>
  <r>
    <s v="C000416"/>
    <x v="20"/>
    <s v="HQ"/>
    <s v="Nyarugenge"/>
    <x v="0"/>
    <x v="0"/>
    <s v="VIP"/>
    <x v="0"/>
    <x v="6"/>
    <m/>
    <s v="4G ONE NETWORK 3MBPS + INSTALLATION"/>
    <m/>
    <n v="9"/>
    <n v="81356"/>
    <n v="732204"/>
    <s v="Monthly"/>
    <d v="2023-04-30T00:00:00"/>
    <x v="9"/>
    <x v="3"/>
    <n v="68"/>
    <x v="0"/>
    <x v="0"/>
    <s v="Rebecca Umubyeyi"/>
    <s v="rvuningoma@kigalicity.gov.rw "/>
    <s v="0788508370"/>
    <m/>
    <m/>
    <m/>
  </r>
  <r>
    <s v="C000416"/>
    <x v="20"/>
    <s v="HQ"/>
    <s v="Nyarugenge"/>
    <x v="0"/>
    <x v="0"/>
    <s v="VIP"/>
    <x v="0"/>
    <x v="6"/>
    <m/>
    <s v=" 4G MUP 4GB/DAY "/>
    <m/>
    <n v="10"/>
    <n v="45338.98"/>
    <n v="453389.80000000005"/>
    <s v="Monthly"/>
    <d v="2023-04-30T00:00:00"/>
    <x v="9"/>
    <x v="3"/>
    <n v="68"/>
    <x v="0"/>
    <x v="0"/>
    <s v="Rebecca Umubyeyi"/>
    <s v="rvuningoma@kigalicity.gov.rw "/>
    <s v="0788508370"/>
    <m/>
    <m/>
    <m/>
  </r>
  <r>
    <s v="C000624"/>
    <x v="21"/>
    <s v="ES KIRAMBO"/>
    <s v="Karongi"/>
    <x v="0"/>
    <x v="4"/>
    <s v="Standard"/>
    <x v="0"/>
    <x v="0"/>
    <n v="1"/>
    <s v="fiber vpn 1mbps"/>
    <m/>
    <n v="1"/>
    <n v="90000"/>
    <n v="90000"/>
    <s v="Monthly"/>
    <d v="2023-04-30T00:00:00"/>
    <x v="9"/>
    <x v="3"/>
    <n v="68"/>
    <x v="0"/>
    <x v="4"/>
    <s v="Victor"/>
    <s v="eskirambo1997@yahoo.fr"/>
    <n v="788413175"/>
    <s v="suspended. Now only uses REB  internet service"/>
    <m/>
    <m/>
  </r>
  <r>
    <s v="C000805"/>
    <x v="22"/>
    <s v="GS HVP GATAGARA"/>
    <s v="Nyanza"/>
    <x v="0"/>
    <x v="4"/>
    <s v="Standard"/>
    <x v="0"/>
    <x v="0"/>
    <n v="3"/>
    <s v="fiber vpn 3mbps"/>
    <m/>
    <n v="1"/>
    <n v="180000"/>
    <n v="180000"/>
    <s v="Monthly"/>
    <d v="2023-04-30T00:00:00"/>
    <x v="9"/>
    <x v="3"/>
    <n v="68"/>
    <x v="0"/>
    <x v="4"/>
    <s v="Simon"/>
    <s v="sibizima@yahoo.fr"/>
    <n v="786991044"/>
    <s v="Disconnected due to none payment"/>
    <s v="They are using only REB Mbps"/>
    <m/>
  </r>
  <r>
    <s v="C001332"/>
    <x v="23"/>
    <s v="MASAKA-MAIN BRANCH"/>
    <s v="Kicukiro"/>
    <x v="0"/>
    <x v="6"/>
    <s v="Standard"/>
    <x v="1"/>
    <x v="0"/>
    <n v="20"/>
    <s v="FIBER VPN 20MBPS"/>
    <m/>
    <n v="1"/>
    <n v="900000"/>
    <n v="900000"/>
    <s v="Monthly"/>
    <d v="2024-04-30T00:00:00"/>
    <x v="9"/>
    <x v="4"/>
    <n v="-298"/>
    <x v="1"/>
    <x v="6"/>
    <s v="GABIRO Jackson"/>
    <s v="masaka.hospital@moh.gov.rw"/>
    <n v="788267576"/>
    <m/>
    <m/>
    <m/>
  </r>
  <r>
    <s v="C001332"/>
    <x v="23"/>
    <s v="MASAKA-MAIN BRANCH"/>
    <s v="Kicukiro"/>
    <x v="0"/>
    <x v="6"/>
    <s v="Standard"/>
    <x v="3"/>
    <x v="7"/>
    <m/>
    <s v="MSS GOLD"/>
    <m/>
    <n v="1"/>
    <n v="369325"/>
    <n v="369325"/>
    <s v="Monthly"/>
    <d v="2024-04-30T00:00:00"/>
    <x v="9"/>
    <x v="4"/>
    <n v="-298"/>
    <x v="1"/>
    <x v="6"/>
    <s v="GABIRO Jackson"/>
    <s v="masaka.hospital@moh.gov.rw"/>
    <n v="788267576"/>
    <m/>
    <m/>
    <m/>
  </r>
  <r>
    <s v="C001748"/>
    <x v="24"/>
    <s v="HQ"/>
    <s v="Gasabo"/>
    <x v="0"/>
    <x v="7"/>
    <s v="Standard"/>
    <x v="1"/>
    <x v="0"/>
    <n v="30"/>
    <s v="FIBER VPN 30MBPS"/>
    <m/>
    <n v="1"/>
    <n v="1260000"/>
    <n v="1260000"/>
    <s v="Monthly"/>
    <d v="2023-04-30T00:00:00"/>
    <x v="9"/>
    <x v="3"/>
    <n v="68"/>
    <x v="0"/>
    <x v="0"/>
    <s v="Serge Rugamba"/>
    <s v="serge.rugamba@ngali.com "/>
    <s v="0783592870"/>
    <m/>
    <m/>
    <m/>
  </r>
  <r>
    <s v="C002437"/>
    <x v="25"/>
    <s v="Rwanda Social Security Board (RSSB)- HQ"/>
    <s v="Nyarugenge"/>
    <x v="0"/>
    <x v="0"/>
    <s v="VIP"/>
    <x v="1"/>
    <x v="1"/>
    <m/>
    <s v="FULL RACK"/>
    <m/>
    <n v="2"/>
    <n v="1575000"/>
    <n v="3150000"/>
    <s v="Monthly"/>
    <d v="2023-04-30T00:00:00"/>
    <x v="9"/>
    <x v="3"/>
    <n v="68"/>
    <x v="0"/>
    <x v="3"/>
    <s v="Odette Kampire"/>
    <s v="odette.kampire@rssb.rw"/>
    <s v="0788-850-079."/>
    <m/>
    <m/>
    <m/>
  </r>
  <r>
    <s v="C003973"/>
    <x v="26"/>
    <s v="HQ"/>
    <s v="Gasabo"/>
    <x v="0"/>
    <x v="7"/>
    <s v="VIP"/>
    <x v="1"/>
    <x v="1"/>
    <m/>
    <s v="32GB, 4vCPU, 3TB"/>
    <m/>
    <n v="1"/>
    <n v="855691"/>
    <n v="855691"/>
    <s v="Monthly"/>
    <d v="2023-04-30T00:00:00"/>
    <x v="9"/>
    <x v="3"/>
    <n v="68"/>
    <x v="0"/>
    <x v="0"/>
    <s v="Assumpta Mugwaneza"/>
    <s v="amugwaneza@space.gov.rw "/>
    <s v="0788449181"/>
    <m/>
    <m/>
    <m/>
  </r>
  <r>
    <s v="C003973"/>
    <x v="26"/>
    <s v="HQ"/>
    <s v="Gasabo"/>
    <x v="0"/>
    <x v="7"/>
    <s v="VIP"/>
    <x v="1"/>
    <x v="1"/>
    <m/>
    <s v="32GB, 8vCPU, 1TB"/>
    <m/>
    <n v="2"/>
    <n v="362581"/>
    <n v="725162"/>
    <s v="Monthly"/>
    <d v="2023-04-30T00:00:00"/>
    <x v="9"/>
    <x v="3"/>
    <n v="68"/>
    <x v="0"/>
    <x v="0"/>
    <s v="Assumpta Mugwaneza"/>
    <s v="amugwaneza@space.gov.rw "/>
    <s v="0788449181"/>
    <m/>
    <m/>
    <m/>
  </r>
  <r>
    <s v="C003973"/>
    <x v="26"/>
    <s v="HQ"/>
    <s v="Gasabo"/>
    <x v="0"/>
    <x v="7"/>
    <s v="VIP"/>
    <x v="1"/>
    <x v="1"/>
    <m/>
    <s v="32GB, 4vCPU, 1TB"/>
    <m/>
    <n v="3"/>
    <n v="287920"/>
    <n v="863760"/>
    <s v="Monthly"/>
    <d v="2023-04-30T00:00:00"/>
    <x v="9"/>
    <x v="3"/>
    <n v="68"/>
    <x v="0"/>
    <x v="0"/>
    <s v="Assumpta Mugwaneza"/>
    <s v="amugwaneza@space.gov.rw "/>
    <s v="0788449181"/>
    <m/>
    <m/>
    <m/>
  </r>
  <r>
    <s v="C002449"/>
    <x v="27"/>
    <s v="HQ"/>
    <s v="Nyarugenge"/>
    <x v="1"/>
    <x v="1"/>
    <s v="VIP"/>
    <x v="0"/>
    <x v="5"/>
    <n v="20"/>
    <s v="FIBER INTERNET 20MBPS"/>
    <m/>
    <n v="1"/>
    <n v="1350000"/>
    <n v="1350000"/>
    <s v="Monthly"/>
    <d v="2023-05-08T00:00:00"/>
    <x v="10"/>
    <x v="3"/>
    <n v="60"/>
    <x v="0"/>
    <x v="0"/>
    <s v="Beth Waithera"/>
    <s v="waitherabeth@gmail.com "/>
    <s v="0783590373"/>
    <m/>
    <m/>
    <m/>
  </r>
  <r>
    <s v="C004239"/>
    <x v="28"/>
    <s v="HQ"/>
    <s v="Nyarugenge"/>
    <x v="0"/>
    <x v="0"/>
    <s v="Standard"/>
    <x v="0"/>
    <x v="0"/>
    <n v="10"/>
    <s v="Fiber internet 10Mbps"/>
    <m/>
    <n v="1"/>
    <n v="510000"/>
    <n v="510000"/>
    <s v="Monthly"/>
    <d v="2024-06-19T00:00:00"/>
    <x v="1"/>
    <x v="4"/>
    <n v="-348"/>
    <x v="1"/>
    <x v="7"/>
    <s v="Mazimpaka Jean de Dieu"/>
    <s v="Jeandedieu.mazimpaka@mininvest.gov.rw"/>
    <n v="785695913"/>
    <m/>
    <m/>
    <m/>
  </r>
  <r>
    <s v="C004239"/>
    <x v="28"/>
    <s v="HQ"/>
    <s v="Nyarugenge"/>
    <x v="0"/>
    <x v="0"/>
    <s v="Standard"/>
    <x v="1"/>
    <x v="3"/>
    <m/>
    <s v="VoIP PHONES 1-20"/>
    <m/>
    <n v="1"/>
    <n v="60000"/>
    <n v="60000"/>
    <s v="Monthly"/>
    <d v="2024-06-19T00:00:00"/>
    <x v="1"/>
    <x v="4"/>
    <n v="-348"/>
    <x v="1"/>
    <x v="7"/>
    <s v="Mazimpaka Jean de Dieu"/>
    <s v="Jeandedieu.mazimpaka@mininvest.gov.rw"/>
    <n v="785695913"/>
    <m/>
    <m/>
    <m/>
  </r>
  <r>
    <s v="C004239"/>
    <x v="28"/>
    <s v="HQ"/>
    <s v="Nyarugenge"/>
    <x v="0"/>
    <x v="0"/>
    <s v="Standard"/>
    <x v="0"/>
    <x v="6"/>
    <m/>
    <s v="4G ONE NETWORK 5MBPS"/>
    <m/>
    <n v="1"/>
    <n v="101694.92"/>
    <n v="101694.92"/>
    <s v="Monthly"/>
    <d v="2024-06-19T00:00:00"/>
    <x v="1"/>
    <x v="4"/>
    <n v="-348"/>
    <x v="1"/>
    <x v="7"/>
    <s v="Mazimpaka Jean de Dieu"/>
    <s v="Jeandedieu.mazimpaka@mininvest.gov.rw"/>
    <n v="785695913"/>
    <m/>
    <m/>
    <m/>
  </r>
  <r>
    <s v="C004239"/>
    <x v="28"/>
    <s v="HQ"/>
    <s v="Nyarugenge"/>
    <x v="0"/>
    <x v="0"/>
    <s v="Standard"/>
    <x v="1"/>
    <x v="7"/>
    <m/>
    <s v="MSS Gold Package"/>
    <m/>
    <n v="1"/>
    <n v="369325"/>
    <n v="369325"/>
    <s v="Monthly"/>
    <d v="2024-06-19T00:00:00"/>
    <x v="1"/>
    <x v="4"/>
    <n v="-348"/>
    <x v="1"/>
    <x v="7"/>
    <s v="Mazimpaka Jean de Dieu"/>
    <s v="Jeandedieu.mazimpaka@mininvest.gov.rw"/>
    <n v="785695913"/>
    <m/>
    <m/>
    <m/>
  </r>
  <r>
    <s v="C004239"/>
    <x v="28"/>
    <s v="HQ"/>
    <s v="Nyarugenge"/>
    <x v="0"/>
    <x v="0"/>
    <s v="Standard"/>
    <x v="0"/>
    <x v="6"/>
    <m/>
    <s v="4G MUP 8GB/DAY"/>
    <m/>
    <n v="1"/>
    <n v="77711.86"/>
    <n v="77711.86"/>
    <s v="Monthly"/>
    <d v="2024-06-19T00:00:00"/>
    <x v="1"/>
    <x v="4"/>
    <n v="-348"/>
    <x v="1"/>
    <x v="7"/>
    <s v="Mazimpaka Jean de Dieu"/>
    <s v="Jeandedieu.mazimpaka@mininvest.gov.rw"/>
    <n v="785695913"/>
    <m/>
    <m/>
    <m/>
  </r>
  <r>
    <s v="C002794"/>
    <x v="29"/>
    <s v="Tumba Rulindo"/>
    <s v="Rulindo"/>
    <x v="0"/>
    <x v="4"/>
    <s v="Standard"/>
    <x v="0"/>
    <x v="0"/>
    <n v="50"/>
    <s v="fiber vpn 50mbps"/>
    <m/>
    <n v="1"/>
    <n v="1800000"/>
    <n v="1800000"/>
    <s v="Monthly"/>
    <d v="2027-05-21T00:00:00"/>
    <x v="10"/>
    <x v="5"/>
    <n v="-1414"/>
    <x v="1"/>
    <x v="4"/>
    <s v="Havumiragira"/>
    <s v="havumiragira@yahoo.fr/ehavumiragira@iprctumba.rp.ac.rw"/>
    <n v="783849527"/>
    <m/>
    <m/>
    <m/>
  </r>
  <r>
    <s v="C002437"/>
    <x v="25"/>
    <s v="RSSB"/>
    <s v="Gasabo"/>
    <x v="0"/>
    <x v="0"/>
    <s v="VIP"/>
    <x v="0"/>
    <x v="6"/>
    <m/>
    <s v="4G ONE NETWORK 3MBPS"/>
    <m/>
    <n v="1"/>
    <n v="81355.932203389835"/>
    <n v="81355.932203389835"/>
    <s v="Monthly"/>
    <d v="2023-05-27T00:00:00"/>
    <x v="10"/>
    <x v="3"/>
    <n v="41"/>
    <x v="0"/>
    <x v="3"/>
    <s v="Odette Kampire"/>
    <s v="odette.kampire@rssb.rw"/>
    <s v="0788-850-079."/>
    <m/>
    <m/>
    <m/>
  </r>
  <r>
    <s v="C000881"/>
    <x v="30"/>
    <s v="HQ"/>
    <s v="Kicukiro"/>
    <x v="1"/>
    <x v="8"/>
    <s v="Standard"/>
    <x v="1"/>
    <x v="5"/>
    <n v="5"/>
    <s v="Fiber Broadband Internet 5Mbps"/>
    <m/>
    <n v="1"/>
    <n v="270000"/>
    <n v="270000"/>
    <s v="Monthly"/>
    <d v="2023-05-28T00:00:00"/>
    <x v="10"/>
    <x v="3"/>
    <n v="40"/>
    <x v="0"/>
    <x v="7"/>
    <s v="Willy Nzitonda"/>
    <s v="willy.nzitonda@horizongroup.rw"/>
    <n v="788639444"/>
    <m/>
    <m/>
    <m/>
  </r>
  <r>
    <s v="C000881"/>
    <x v="30"/>
    <s v="HQ"/>
    <s v="Kicukiro"/>
    <x v="1"/>
    <x v="8"/>
    <s v="Standard"/>
    <x v="0"/>
    <x v="6"/>
    <m/>
    <s v="4G ONE NETWORK 3MBPS PRIV"/>
    <m/>
    <n v="3"/>
    <n v="81355.929999999993"/>
    <n v="244067.78999999998"/>
    <s v="Monthly"/>
    <d v="2023-05-28T00:00:00"/>
    <x v="10"/>
    <x v="3"/>
    <n v="40"/>
    <x v="0"/>
    <x v="7"/>
    <s v="Willy Nzitonda"/>
    <s v="willy.nzitonda@horizongroup.rw"/>
    <n v="788639444"/>
    <m/>
    <m/>
    <m/>
  </r>
  <r>
    <s v="C000885"/>
    <x v="31"/>
    <s v="HQ"/>
    <s v="Musanze"/>
    <x v="0"/>
    <x v="8"/>
    <s v="Standard"/>
    <x v="0"/>
    <x v="5"/>
    <n v="5"/>
    <s v="FIBER VPN 5MBPS PRIV"/>
    <m/>
    <n v="1"/>
    <n v="270000"/>
    <n v="270000"/>
    <s v="Monthly"/>
    <d v="2023-05-28T00:00:00"/>
    <x v="10"/>
    <x v="3"/>
    <n v="40"/>
    <x v="0"/>
    <x v="7"/>
    <s v="Willy Nzitonda"/>
    <s v="willy.nzitonda@horizongroup.rw"/>
    <n v="788639444"/>
    <m/>
    <m/>
    <m/>
  </r>
  <r>
    <s v="C000885"/>
    <x v="31"/>
    <s v="HQ"/>
    <s v="Musanze"/>
    <x v="1"/>
    <x v="8"/>
    <s v="Standard"/>
    <x v="0"/>
    <x v="6"/>
    <m/>
    <s v="4G ONE NETWORK 3MBPS PRIV"/>
    <m/>
    <n v="1"/>
    <n v="81355.929999999993"/>
    <n v="81355.929999999993"/>
    <s v="Monthly"/>
    <d v="2023-05-28T00:00:00"/>
    <x v="10"/>
    <x v="3"/>
    <n v="40"/>
    <x v="0"/>
    <x v="7"/>
    <s v="Willy Nzitonda"/>
    <s v="willy.nzitonda@horizongroup.rw"/>
    <n v="788639444"/>
    <m/>
    <m/>
    <m/>
  </r>
  <r>
    <s v="C002437"/>
    <x v="25"/>
    <s v="Internet link AoS-DR-DC-Bugesera"/>
    <s v="Gasabo"/>
    <x v="0"/>
    <x v="0"/>
    <s v="VIP"/>
    <x v="0"/>
    <x v="0"/>
    <n v="10"/>
    <s v="FIBER VPN 10MBPS"/>
    <m/>
    <n v="1"/>
    <n v="510000"/>
    <n v="510000"/>
    <s v="Monthly"/>
    <d v="2023-05-30T00:00:00"/>
    <x v="10"/>
    <x v="3"/>
    <n v="38"/>
    <x v="0"/>
    <x v="3"/>
    <s v="Odette Kampire"/>
    <s v="odette.kampire@rssb.rw"/>
    <s v="0788-850-079."/>
    <m/>
    <m/>
    <m/>
  </r>
  <r>
    <s v="C002437"/>
    <x v="25"/>
    <s v="VPN Links: -BSCVLP&lt;&gt;RSSB HQ; -RSSB HQ&lt;&gt;AoS DC; -BSC-VLP&lt;&gt;AoS-DC; BSC-VLP&lt;&gt;AoSDR-DC"/>
    <s v="Bugesera"/>
    <x v="0"/>
    <x v="0"/>
    <s v="VIP"/>
    <x v="0"/>
    <x v="0"/>
    <n v="20"/>
    <s v="FIBER VPN 20MBPS"/>
    <m/>
    <n v="4"/>
    <n v="900000"/>
    <n v="3600000"/>
    <s v="Monthly"/>
    <d v="2023-05-30T00:00:00"/>
    <x v="10"/>
    <x v="3"/>
    <n v="38"/>
    <x v="0"/>
    <x v="3"/>
    <s v="Odette Kampire"/>
    <s v="odette.kampire@rssb.rw"/>
    <s v="0788-850-079."/>
    <m/>
    <m/>
    <m/>
  </r>
  <r>
    <s v="C002641"/>
    <x v="32"/>
    <s v="South HQ"/>
    <s v="Nyanza"/>
    <x v="0"/>
    <x v="0"/>
    <s v="VIP"/>
    <x v="0"/>
    <x v="0"/>
    <n v="3"/>
    <s v="FIBER VPN 3MBPS"/>
    <m/>
    <n v="1"/>
    <n v="180000"/>
    <n v="180000"/>
    <s v="Monthly"/>
    <d v="2023-05-30T00:00:00"/>
    <x v="10"/>
    <x v="3"/>
    <n v="38"/>
    <x v="0"/>
    <x v="5"/>
    <s v="Bosco"/>
    <s v="ictofficer@southernprovince.gov.rw"/>
    <n v="783137224"/>
    <m/>
    <m/>
    <m/>
  </r>
  <r>
    <s v="C002641"/>
    <x v="32"/>
    <s v="South HQ"/>
    <s v="Nyanza"/>
    <x v="0"/>
    <x v="0"/>
    <s v="VIP"/>
    <x v="3"/>
    <x v="7"/>
    <m/>
    <s v="MSS SECURE BROWSING"/>
    <m/>
    <n v="1"/>
    <n v="86129.600000000006"/>
    <n v="86129.600000000006"/>
    <s v="Monthly"/>
    <d v="2023-05-30T00:00:00"/>
    <x v="10"/>
    <x v="3"/>
    <n v="38"/>
    <x v="0"/>
    <x v="5"/>
    <s v="Bosco"/>
    <s v="ictofficer@southernprovince.gov.rw"/>
    <n v="783137224"/>
    <m/>
    <m/>
    <m/>
  </r>
  <r>
    <s v="C002641"/>
    <x v="32"/>
    <s v="South HQ"/>
    <s v="Nyanza"/>
    <x v="0"/>
    <x v="0"/>
    <s v="VIP"/>
    <x v="1"/>
    <x v="10"/>
    <m/>
    <s v="VIDEO CONFERENCE"/>
    <m/>
    <n v="1"/>
    <n v="258044.92"/>
    <n v="258044.92"/>
    <s v="Monthly"/>
    <d v="2023-05-30T00:00:00"/>
    <x v="10"/>
    <x v="3"/>
    <n v="38"/>
    <x v="0"/>
    <x v="5"/>
    <s v="Bosco"/>
    <s v="ictofficer@southernprovince.gov.rw"/>
    <n v="783137224"/>
    <m/>
    <m/>
    <m/>
  </r>
  <r>
    <s v="C000161"/>
    <x v="33"/>
    <s v="IP Transport Service"/>
    <s v="Gasabo"/>
    <x v="1"/>
    <x v="1"/>
    <s v="Standard"/>
    <x v="2"/>
    <x v="11"/>
    <m/>
    <s v="IP Transport  "/>
    <m/>
    <n v="1"/>
    <n v="13577073.333333334"/>
    <n v="13577073.333333334"/>
    <s v="Monthly"/>
    <d v="2023-05-31T00:00:00"/>
    <x v="10"/>
    <x v="3"/>
    <n v="37"/>
    <x v="0"/>
    <x v="1"/>
    <s v="Sage Mutoniwabo"/>
    <s v="sage.umutoniwabo@trac.africa"/>
    <s v="0 733 000 285 "/>
    <m/>
    <m/>
    <m/>
  </r>
  <r>
    <s v="C000161"/>
    <x v="33"/>
    <s v="Cloudflare Provision Service"/>
    <s v="Gasabo"/>
    <x v="1"/>
    <x v="1"/>
    <s v="Standard"/>
    <x v="1"/>
    <x v="9"/>
    <m/>
    <s v="Local Content Provision: Cloudflare"/>
    <m/>
    <n v="1"/>
    <n v="220050"/>
    <n v="220050"/>
    <s v="Monthly"/>
    <d v="2023-05-31T00:00:00"/>
    <x v="10"/>
    <x v="3"/>
    <n v="37"/>
    <x v="0"/>
    <x v="1"/>
    <s v="Sage Mutoniwabo"/>
    <s v="sage.umutoniwabo@trac.africa"/>
    <s v="0 733 000 285 "/>
    <m/>
    <m/>
    <m/>
  </r>
  <r>
    <s v="C000161"/>
    <x v="33"/>
    <s v="Colocation Service: VLP"/>
    <s v="Gasabo"/>
    <x v="1"/>
    <x v="1"/>
    <s v="Standard"/>
    <x v="1"/>
    <x v="1"/>
    <m/>
    <s v="Colocation Service: 2U"/>
    <m/>
    <n v="1"/>
    <n v="150000"/>
    <n v="150000"/>
    <s v="Monthly"/>
    <d v="2023-05-31T00:00:00"/>
    <x v="10"/>
    <x v="3"/>
    <n v="37"/>
    <x v="0"/>
    <x v="1"/>
    <s v="Sage Mutoniwabo"/>
    <s v="sage.umutoniwabo@trac.africa"/>
    <s v="0 733 000 285 "/>
    <m/>
    <m/>
    <m/>
  </r>
  <r>
    <s v="C000161"/>
    <x v="33"/>
    <s v="Colocation Service: BSC Server Room"/>
    <s v="Gasabo"/>
    <x v="1"/>
    <x v="1"/>
    <s v="Standard"/>
    <x v="1"/>
    <x v="1"/>
    <m/>
    <s v="Colocation Service: 1U"/>
    <m/>
    <n v="1"/>
    <n v="75000"/>
    <n v="75000"/>
    <s v="Monthly"/>
    <d v="2023-05-31T00:00:00"/>
    <x v="10"/>
    <x v="3"/>
    <n v="37"/>
    <x v="0"/>
    <x v="1"/>
    <s v="Sage Mutoniwabo"/>
    <s v="sage.umutoniwabo@trac.africa"/>
    <s v="0 733 000 285 "/>
    <m/>
    <m/>
    <m/>
  </r>
  <r>
    <s v="C000161"/>
    <x v="33"/>
    <s v="DFL: Kacyiru-Remera"/>
    <s v="Gasabo"/>
    <x v="1"/>
    <x v="1"/>
    <s v="Standard"/>
    <x v="2"/>
    <x v="2"/>
    <m/>
    <s v="Dark Fiber Lease  "/>
    <n v="16"/>
    <n v="1"/>
    <n v="400000"/>
    <n v="400000"/>
    <s v="Monthly"/>
    <d v="2023-05-31T00:00:00"/>
    <x v="10"/>
    <x v="3"/>
    <n v="37"/>
    <x v="0"/>
    <x v="1"/>
    <s v="Sage Mutoniwabo"/>
    <s v="sage.umutoniwabo@trac.africa"/>
    <s v="0 733 000 285 "/>
    <m/>
    <m/>
    <m/>
  </r>
  <r>
    <s v="C000161"/>
    <x v="33"/>
    <s v="DFL: BSC Remera-EUCL Remra"/>
    <s v="Gasabo"/>
    <x v="1"/>
    <x v="1"/>
    <s v="Standard"/>
    <x v="2"/>
    <x v="2"/>
    <m/>
    <s v="Dark Fiber Lease  "/>
    <n v="5"/>
    <n v="1"/>
    <n v="250000"/>
    <n v="250000"/>
    <s v="Monthly"/>
    <d v="2023-05-31T00:00:00"/>
    <x v="10"/>
    <x v="3"/>
    <n v="37"/>
    <x v="0"/>
    <x v="1"/>
    <s v="Sage Mutoniwabo"/>
    <s v="sage.umutoniwabo@trac.africa"/>
    <s v="0 733 000 285 "/>
    <m/>
    <m/>
    <m/>
  </r>
  <r>
    <s v="C000161"/>
    <x v="33"/>
    <s v="Colocation Service: Rusumo"/>
    <s v="Kirehe"/>
    <x v="1"/>
    <x v="1"/>
    <s v="Standard"/>
    <x v="1"/>
    <x v="1"/>
    <m/>
    <s v="Colocation Service: 2U"/>
    <m/>
    <n v="1"/>
    <n v="165037.28813559323"/>
    <n v="165037.28813559323"/>
    <s v="Monthly"/>
    <d v="2023-05-31T00:00:00"/>
    <x v="10"/>
    <x v="3"/>
    <n v="37"/>
    <x v="0"/>
    <x v="1"/>
    <s v="Sage Mutoniwabo"/>
    <s v="sage.umutoniwabo@trac.africa"/>
    <s v="0 733 000 285 "/>
    <m/>
    <m/>
    <m/>
  </r>
  <r>
    <s v="C000161"/>
    <x v="33"/>
    <s v="DFL: Muhanga EUCL-Muhanga Tower"/>
    <s v="Muhanga"/>
    <x v="1"/>
    <x v="1"/>
    <s v="Standard"/>
    <x v="2"/>
    <x v="2"/>
    <m/>
    <s v="Dark Fiber Lease  "/>
    <n v="5"/>
    <n v="1"/>
    <n v="125000"/>
    <n v="125000"/>
    <s v="Monthly"/>
    <d v="2023-05-31T00:00:00"/>
    <x v="10"/>
    <x v="3"/>
    <n v="37"/>
    <x v="0"/>
    <x v="1"/>
    <s v="Sage Mutoniwabo"/>
    <s v="sage.umutoniwabo@trac.africa"/>
    <s v="0 733 000 285 "/>
    <m/>
    <m/>
    <m/>
  </r>
  <r>
    <s v="C000161"/>
    <x v="33"/>
    <s v="Colocation Service: Musanze"/>
    <s v="Musanze"/>
    <x v="1"/>
    <x v="1"/>
    <s v="Standard"/>
    <x v="1"/>
    <x v="1"/>
    <m/>
    <s v="Colocation Service: 1U"/>
    <m/>
    <n v="1"/>
    <n v="82518.644067796617"/>
    <n v="82518.644067796617"/>
    <s v="Monthly"/>
    <d v="2023-05-31T00:00:00"/>
    <x v="10"/>
    <x v="3"/>
    <n v="37"/>
    <x v="0"/>
    <x v="1"/>
    <s v="Sage Mutoniwabo"/>
    <s v="sage.umutoniwabo@trac.africa"/>
    <s v="0 733 000 285 "/>
    <m/>
    <m/>
    <m/>
  </r>
  <r>
    <s v="C002794"/>
    <x v="29"/>
    <s v="Tumba Rulindo"/>
    <s v="Rulindo"/>
    <x v="0"/>
    <x v="4"/>
    <s v="Standard"/>
    <x v="0"/>
    <x v="0"/>
    <n v="5"/>
    <s v="fiber vpn 5mbps"/>
    <m/>
    <n v="1"/>
    <n v="270000"/>
    <n v="270000"/>
    <s v="Monthly"/>
    <d v="2027-05-21T00:00:00"/>
    <x v="10"/>
    <x v="5"/>
    <n v="-1414"/>
    <x v="1"/>
    <x v="4"/>
    <s v="Havumiragira"/>
    <s v="havumiragira@yahoo.fr/ehavumiragira@iprctumba.rp.ac.rw"/>
    <n v="783849527"/>
    <m/>
    <m/>
    <m/>
  </r>
  <r>
    <s v="C001185"/>
    <x v="34"/>
    <s v="Kigali Public Library"/>
    <s v="Gasabo"/>
    <x v="0"/>
    <x v="4"/>
    <s v="Standard"/>
    <x v="1"/>
    <x v="0"/>
    <n v="30"/>
    <s v="fiber vpn 30mbps"/>
    <m/>
    <n v="1"/>
    <n v="1260000"/>
    <n v="1260000"/>
    <s v="Monthly"/>
    <d v="2023-09-30T00:00:00"/>
    <x v="4"/>
    <x v="3"/>
    <n v="-85"/>
    <x v="1"/>
    <x v="4"/>
    <s v="Odon"/>
    <s v="odon@kplonline.org"/>
    <n v="788811221"/>
    <m/>
    <m/>
    <m/>
  </r>
  <r>
    <s v="C000161"/>
    <x v="33"/>
    <s v="DFL: Goma-EUCL Rubavu"/>
    <s v="Rubavu"/>
    <x v="1"/>
    <x v="1"/>
    <s v="Standard"/>
    <x v="2"/>
    <x v="2"/>
    <m/>
    <s v="Dark Fiber Lease  "/>
    <n v="3.7"/>
    <n v="1"/>
    <n v="185000"/>
    <n v="185000"/>
    <s v="Monthly"/>
    <d v="2023-05-31T00:00:00"/>
    <x v="10"/>
    <x v="3"/>
    <n v="37"/>
    <x v="0"/>
    <x v="1"/>
    <s v="Sage Mutoniwabo"/>
    <s v="sage.umutoniwabo@trac.africa"/>
    <s v="0 733 000 285 "/>
    <m/>
    <m/>
    <m/>
  </r>
  <r>
    <s v="C000161"/>
    <x v="33"/>
    <s v="Colocation Service: Kalongi"/>
    <s v="Ruhango"/>
    <x v="1"/>
    <x v="1"/>
    <s v="Standard"/>
    <x v="1"/>
    <x v="1"/>
    <m/>
    <s v="Colocation Service: 1U"/>
    <m/>
    <n v="1"/>
    <n v="82518.644067796617"/>
    <n v="82518.644067796617"/>
    <s v="Monthly"/>
    <d v="2023-05-31T00:00:00"/>
    <x v="10"/>
    <x v="3"/>
    <n v="37"/>
    <x v="0"/>
    <x v="1"/>
    <s v="Sage Mutoniwabo"/>
    <s v="sage.umutoniwabo@trac.africa"/>
    <s v="0 733 000 285 "/>
    <m/>
    <m/>
    <m/>
  </r>
  <r>
    <s v="C000161"/>
    <x v="33"/>
    <s v="Colocation Service: Ruhango"/>
    <s v="Ruhango"/>
    <x v="1"/>
    <x v="1"/>
    <s v="Standard"/>
    <x v="1"/>
    <x v="1"/>
    <m/>
    <s v="Colocation Service: 1U"/>
    <m/>
    <n v="1"/>
    <n v="75000"/>
    <n v="75000"/>
    <s v="Monthly"/>
    <d v="2023-05-31T00:00:00"/>
    <x v="10"/>
    <x v="3"/>
    <n v="37"/>
    <x v="0"/>
    <x v="1"/>
    <s v="Sage Mutoniwabo"/>
    <s v="sage.umutoniwabo@trac.africa"/>
    <s v="0 733 000 285 "/>
    <m/>
    <m/>
    <m/>
  </r>
  <r>
    <s v="C000161"/>
    <x v="33"/>
    <s v="Colocation Service: Rwamagana"/>
    <s v="Rwamagana  "/>
    <x v="1"/>
    <x v="1"/>
    <s v="Standard"/>
    <x v="1"/>
    <x v="1"/>
    <m/>
    <s v="Colocation Service: 2U"/>
    <m/>
    <n v="1"/>
    <n v="150000"/>
    <n v="150000"/>
    <s v="Monthly"/>
    <d v="2023-05-31T00:00:00"/>
    <x v="10"/>
    <x v="3"/>
    <n v="37"/>
    <x v="0"/>
    <x v="1"/>
    <s v="Sage Mutoniwabo"/>
    <s v="sage.umutoniwabo@trac.africa"/>
    <s v="0 733 000 285 "/>
    <m/>
    <m/>
    <m/>
  </r>
  <r>
    <s v="C001692"/>
    <x v="35"/>
    <s v="HQ"/>
    <s v="Gasabo"/>
    <x v="1"/>
    <x v="2"/>
    <s v="Standard"/>
    <x v="1"/>
    <x v="5"/>
    <n v="2"/>
    <s v="FIBER INTERNET 2MBPS"/>
    <m/>
    <n v="1"/>
    <n v="162500"/>
    <n v="162500"/>
    <s v="Monthly"/>
    <d v="2023-05-31T00:00:00"/>
    <x v="10"/>
    <x v="3"/>
    <n v="37"/>
    <x v="0"/>
    <x v="0"/>
    <s v="Bernadette Busingye"/>
    <s v="bkobusingye@rw.nationmedia.com"/>
    <s v="0788354498"/>
    <m/>
    <m/>
    <m/>
  </r>
  <r>
    <s v="C001989"/>
    <x v="36"/>
    <s v="PARLIAMENT"/>
    <s v="Gasabo"/>
    <x v="0"/>
    <x v="0"/>
    <s v="Standard"/>
    <x v="0"/>
    <x v="0"/>
    <n v="65"/>
    <s v="FIBER VPN 65MBPS"/>
    <m/>
    <n v="1"/>
    <n v="2520000"/>
    <n v="2520000"/>
    <s v="Monthly"/>
    <d v="2023-05-31T00:00:00"/>
    <x v="10"/>
    <x v="3"/>
    <n v="37"/>
    <x v="0"/>
    <x v="2"/>
    <s v="Josette Mukarukundo"/>
    <s v="josette.mukarukundo@parliament.gov.rw"/>
    <s v="0788-621-687"/>
    <m/>
    <m/>
    <m/>
  </r>
  <r>
    <s v="C001989"/>
    <x v="36"/>
    <s v="PARLIAMENT"/>
    <s v="Gasabo"/>
    <x v="0"/>
    <x v="0"/>
    <s v="Standard"/>
    <x v="3"/>
    <x v="7"/>
    <m/>
    <s v="MSS GOLD"/>
    <m/>
    <n v="1"/>
    <n v="369325"/>
    <n v="369325"/>
    <s v="Monthly"/>
    <d v="2023-05-31T00:00:00"/>
    <x v="10"/>
    <x v="3"/>
    <n v="37"/>
    <x v="0"/>
    <x v="2"/>
    <s v="Josette Mukarukundo"/>
    <s v="josette.mukarukundo@parliament.gov.rw"/>
    <s v="0788-621-687"/>
    <m/>
    <m/>
    <m/>
  </r>
  <r>
    <s v="C001989"/>
    <x v="36"/>
    <s v="PARLIAMENT/DEPUTIES"/>
    <s v="Gasabo"/>
    <x v="0"/>
    <x v="0"/>
    <s v="Standard"/>
    <x v="0"/>
    <x v="6"/>
    <m/>
    <s v=" 4G MUP 4GB/DAY "/>
    <m/>
    <n v="2"/>
    <n v="45338.98"/>
    <n v="90677.96"/>
    <s v="Monthly"/>
    <d v="2023-05-31T00:00:00"/>
    <x v="10"/>
    <x v="3"/>
    <n v="37"/>
    <x v="0"/>
    <x v="2"/>
    <s v="Josette Mukarukundo"/>
    <s v="josette.mukarukundo@parliament.gov.rw"/>
    <s v="0788-621-687"/>
    <m/>
    <m/>
    <m/>
  </r>
  <r>
    <s v="C001989"/>
    <x v="36"/>
    <s v="PARLIAMENT/DEPUTIES"/>
    <s v="Gasabo"/>
    <x v="0"/>
    <x v="0"/>
    <s v="Standard"/>
    <x v="0"/>
    <x v="6"/>
    <m/>
    <s v=" 4G MUP 2GB/DAY "/>
    <m/>
    <n v="12"/>
    <n v="28305.084745762713"/>
    <n v="339661.01694915257"/>
    <s v="Monthly"/>
    <d v="2023-05-31T00:00:00"/>
    <x v="10"/>
    <x v="3"/>
    <n v="37"/>
    <x v="0"/>
    <x v="2"/>
    <s v="Josette Mukarukundo"/>
    <s v="josette.mukarukundo@parliament.gov.rw"/>
    <s v="0788-621-687"/>
    <m/>
    <m/>
    <m/>
  </r>
  <r>
    <s v="C001989"/>
    <x v="36"/>
    <s v="PARLIAMENT/SENATES"/>
    <s v="Gasabo"/>
    <x v="0"/>
    <x v="0"/>
    <s v="Standard"/>
    <x v="0"/>
    <x v="6"/>
    <m/>
    <s v="4G MUP 2GB/DAY"/>
    <m/>
    <n v="89"/>
    <n v="28305.08"/>
    <n v="2519152.12"/>
    <s v="Monthly"/>
    <d v="2023-05-31T00:00:00"/>
    <x v="10"/>
    <x v="3"/>
    <n v="37"/>
    <x v="0"/>
    <x v="2"/>
    <s v="Josette Mukarukundo"/>
    <s v="josette.mukarukundo@parliament.gov.rw"/>
    <s v="0788-621-687"/>
    <m/>
    <m/>
    <m/>
  </r>
  <r>
    <s v="C002237"/>
    <x v="37"/>
    <s v="Fiber Internet: Technical Block"/>
    <s v="Kicukiro"/>
    <x v="0"/>
    <x v="0"/>
    <s v="Standard"/>
    <x v="0"/>
    <x v="0"/>
    <n v="3"/>
    <s v="Fiber Broadband Internet 3Mbps"/>
    <m/>
    <n v="1"/>
    <n v="180000"/>
    <n v="180000"/>
    <s v="Monthly"/>
    <d v="2023-05-31T00:00:00"/>
    <x v="10"/>
    <x v="3"/>
    <n v="37"/>
    <x v="0"/>
    <x v="1"/>
    <s v="Francis Rugema"/>
    <s v="frugema@rac.co.rw "/>
    <s v="0 788 300 160"/>
    <m/>
    <m/>
    <m/>
  </r>
  <r>
    <s v="C002237"/>
    <x v="37"/>
    <s v="Fiber Internet: Radar Rebero Station"/>
    <s v="Kicukiro"/>
    <x v="0"/>
    <x v="0"/>
    <s v="Standard"/>
    <x v="0"/>
    <x v="0"/>
    <n v="3"/>
    <s v="Fiber Broadband Internet 3Mbps"/>
    <m/>
    <n v="1"/>
    <n v="180000"/>
    <n v="180000"/>
    <s v="Monthly"/>
    <d v="2023-05-31T00:00:00"/>
    <x v="10"/>
    <x v="3"/>
    <n v="37"/>
    <x v="0"/>
    <x v="1"/>
    <s v="Francis Rugema"/>
    <s v="frugema@rac.co.rw "/>
    <s v="0 788 300 160"/>
    <m/>
    <m/>
    <m/>
  </r>
  <r>
    <s v="C002237"/>
    <x v="37"/>
    <s v="Fiber Internet: Rubavu Airdrome"/>
    <s v="Rubavu"/>
    <x v="0"/>
    <x v="0"/>
    <s v="Standard"/>
    <x v="0"/>
    <x v="0"/>
    <n v="3"/>
    <s v="Fiber Broadband Internet 3Mbps"/>
    <m/>
    <n v="1"/>
    <n v="180000"/>
    <n v="180000"/>
    <s v="Monthly"/>
    <d v="2023-05-31T00:00:00"/>
    <x v="10"/>
    <x v="3"/>
    <n v="37"/>
    <x v="0"/>
    <x v="1"/>
    <s v="Francis Rugema"/>
    <s v="frugema@rac.co.rw "/>
    <s v="0 788 300 160"/>
    <m/>
    <m/>
    <m/>
  </r>
  <r>
    <s v="C002237"/>
    <x v="37"/>
    <s v="Fiber Internet: Police Link Kanombe"/>
    <s v="Kicukiro"/>
    <x v="0"/>
    <x v="0"/>
    <s v="Standard"/>
    <x v="0"/>
    <x v="0"/>
    <n v="20"/>
    <s v="Fiber Broadband Internet 20Mbps"/>
    <m/>
    <n v="1"/>
    <n v="900000"/>
    <n v="900000"/>
    <s v="Monthly"/>
    <d v="2023-05-31T00:00:00"/>
    <x v="10"/>
    <x v="3"/>
    <n v="37"/>
    <x v="0"/>
    <x v="1"/>
    <s v="Francis Rugema"/>
    <s v="frugema@rac.co.rw "/>
    <s v="0 788 300 160"/>
    <m/>
    <m/>
    <m/>
  </r>
  <r>
    <s v="C002237"/>
    <x v="37"/>
    <s v="Fiber Internet: KIA South Apron VVIP Lounge"/>
    <s v="Kicukiro"/>
    <x v="0"/>
    <x v="0"/>
    <s v="Standard"/>
    <x v="0"/>
    <x v="0"/>
    <n v="30"/>
    <s v="Fiber Broadband Internet 30Mbps"/>
    <m/>
    <n v="1"/>
    <n v="1260000"/>
    <n v="1260000"/>
    <s v="Monthly"/>
    <d v="2023-05-31T00:00:00"/>
    <x v="10"/>
    <x v="3"/>
    <n v="37"/>
    <x v="0"/>
    <x v="1"/>
    <s v="Francis Rugema"/>
    <s v="frugema@rac.co.rw "/>
    <s v="0 788 300 160"/>
    <m/>
    <m/>
    <m/>
  </r>
  <r>
    <s v="C002237"/>
    <x v="37"/>
    <s v="Fiber Internet: Kamembe Airport"/>
    <s v="Rusizi"/>
    <x v="0"/>
    <x v="0"/>
    <s v="Standard"/>
    <x v="0"/>
    <x v="0"/>
    <n v="30"/>
    <s v="Fiber Broadband Internet 30Mbps"/>
    <m/>
    <n v="1"/>
    <n v="1260000"/>
    <n v="1260000"/>
    <s v="Monthly"/>
    <d v="2023-05-31T00:00:00"/>
    <x v="10"/>
    <x v="3"/>
    <n v="37"/>
    <x v="0"/>
    <x v="1"/>
    <s v="Francis Rugema"/>
    <s v="frugema@rac.co.rw "/>
    <s v="0 788 300 160"/>
    <m/>
    <m/>
    <m/>
  </r>
  <r>
    <s v="C002237"/>
    <x v="37"/>
    <s v="Fiber Internet: RAC HQ"/>
    <s v="Kicukiro"/>
    <x v="0"/>
    <x v="0"/>
    <s v="Standard"/>
    <x v="0"/>
    <x v="0"/>
    <n v="60"/>
    <s v="Fiber Broadband Internet 60Mbps"/>
    <m/>
    <n v="1"/>
    <n v="2160000"/>
    <n v="2160000"/>
    <s v="Monthly"/>
    <d v="2023-05-31T00:00:00"/>
    <x v="10"/>
    <x v="3"/>
    <n v="37"/>
    <x v="0"/>
    <x v="1"/>
    <s v="Francis Rugema"/>
    <s v="frugema@rac.co.rw "/>
    <s v="0 788 300 160"/>
    <m/>
    <m/>
    <m/>
  </r>
  <r>
    <s v="C003549"/>
    <x v="38"/>
    <s v="REB SPIU"/>
    <s v="Gasabo"/>
    <x v="0"/>
    <x v="4"/>
    <s v="Standard"/>
    <x v="0"/>
    <x v="6"/>
    <m/>
    <s v="4G ONE NETWORK 5MBPS"/>
    <m/>
    <n v="2"/>
    <n v="101694.92"/>
    <n v="203389.84"/>
    <s v="Monthly"/>
    <d v="2023-05-31T00:00:00"/>
    <x v="10"/>
    <x v="3"/>
    <n v="37"/>
    <x v="0"/>
    <x v="6"/>
    <s v="Samuel Tuyishime"/>
    <s v="stuyishimire@reb.rw"/>
    <s v="0789705336"/>
    <m/>
    <m/>
    <m/>
  </r>
  <r>
    <s v="C003549"/>
    <x v="38"/>
    <s v="REB SPIU"/>
    <s v="Gasabo"/>
    <x v="0"/>
    <x v="4"/>
    <s v="Standard"/>
    <x v="0"/>
    <x v="6"/>
    <m/>
    <s v="4G MUP 2GB/DAY"/>
    <m/>
    <n v="3"/>
    <n v="28305.08"/>
    <n v="84915.24"/>
    <s v="Monthly"/>
    <d v="2023-05-31T00:00:00"/>
    <x v="10"/>
    <x v="3"/>
    <n v="37"/>
    <x v="0"/>
    <x v="6"/>
    <s v="Samuel Tuyishime"/>
    <s v="stuyishimire@reb.rw"/>
    <s v="0789705336"/>
    <m/>
    <m/>
    <m/>
  </r>
  <r>
    <s v="C003186"/>
    <x v="39"/>
    <s v="Gatsibo"/>
    <s v="Gatsibo"/>
    <x v="0"/>
    <x v="0"/>
    <s v="Standard"/>
    <x v="0"/>
    <x v="0"/>
    <n v="10"/>
    <s v="FIBER INTERNET 10MBPS GOV"/>
    <m/>
    <n v="1"/>
    <n v="510000"/>
    <n v="510000"/>
    <s v="Monthly"/>
    <d v="2024-05-31T00:00:00"/>
    <x v="10"/>
    <x v="4"/>
    <n v="-329"/>
    <x v="1"/>
    <x v="7"/>
    <s v="Justin Munyemana"/>
    <s v="justin.munyemana@rfa.rw"/>
    <n v="788865814"/>
    <m/>
    <m/>
    <m/>
  </r>
  <r>
    <s v="C003186"/>
    <x v="39"/>
    <s v="Huye"/>
    <s v="Huye"/>
    <x v="0"/>
    <x v="0"/>
    <s v="Standard"/>
    <x v="0"/>
    <x v="0"/>
    <n v="10"/>
    <s v="FIBER INTERNET 10MBPS GOV"/>
    <m/>
    <n v="1"/>
    <n v="510000"/>
    <n v="510000"/>
    <s v="Monthly"/>
    <d v="2024-05-31T00:00:00"/>
    <x v="10"/>
    <x v="4"/>
    <n v="-329"/>
    <x v="1"/>
    <x v="7"/>
    <s v="Justin Munyemana"/>
    <s v="justin.munyemana@rfa.rw"/>
    <n v="788865814"/>
    <m/>
    <m/>
    <m/>
  </r>
  <r>
    <s v="C003186"/>
    <x v="39"/>
    <s v="RWANDA FORESTRY AUTHORITY (RFA)"/>
    <s v="Ngororero"/>
    <x v="0"/>
    <x v="0"/>
    <s v="Standard"/>
    <x v="0"/>
    <x v="0"/>
    <n v="30"/>
    <s v="FIBER VPN 30MBPS"/>
    <m/>
    <n v="1"/>
    <n v="1260000"/>
    <n v="1260000"/>
    <s v="Monthly"/>
    <d v="2024-05-31T00:00:00"/>
    <x v="11"/>
    <x v="4"/>
    <n v="-329"/>
    <x v="1"/>
    <x v="7"/>
    <s v="Justin Munyemana"/>
    <s v="justin.munyemana@rfa.rw"/>
    <n v="788865814"/>
    <m/>
    <m/>
    <m/>
  </r>
  <r>
    <s v="C003186"/>
    <x v="39"/>
    <s v="RWANDA FORESTRY AUTHORITY (RFA)"/>
    <s v="Ngororero"/>
    <x v="0"/>
    <x v="0"/>
    <s v="Standard"/>
    <x v="3"/>
    <x v="7"/>
    <m/>
    <s v="MSS GOLD"/>
    <m/>
    <n v="1"/>
    <n v="369325"/>
    <n v="369325"/>
    <s v="Monthly"/>
    <d v="2024-05-31T00:00:00"/>
    <x v="11"/>
    <x v="4"/>
    <n v="-329"/>
    <x v="1"/>
    <x v="7"/>
    <s v="Justin Munyemana"/>
    <s v="justin.munyemana@rfa.rw"/>
    <n v="788865814"/>
    <m/>
    <m/>
    <m/>
  </r>
  <r>
    <s v="C003186"/>
    <x v="39"/>
    <s v="RWANDA FORESTRY AUTHORITY (RFA)"/>
    <s v="Ngororero"/>
    <x v="0"/>
    <x v="0"/>
    <s v="Standard"/>
    <x v="3"/>
    <x v="7"/>
    <m/>
    <s v="Managed Secure Browsing-Huye"/>
    <m/>
    <n v="1"/>
    <n v="86130"/>
    <n v="86130"/>
    <s v="Monthly"/>
    <d v="2024-05-31T00:00:00"/>
    <x v="10"/>
    <x v="4"/>
    <n v="-329"/>
    <x v="1"/>
    <x v="7"/>
    <s v="Justin Munyemana"/>
    <s v="justin.munyemana@rfa.rw"/>
    <n v="788865814"/>
    <m/>
    <m/>
    <m/>
  </r>
  <r>
    <s v="C003186"/>
    <x v="39"/>
    <s v="RWANDA FORESTRY AUTHORITY (RFA)"/>
    <s v="Ngororero"/>
    <x v="0"/>
    <x v="0"/>
    <s v="Standard"/>
    <x v="3"/>
    <x v="7"/>
    <m/>
    <s v="Managed Secure Browsing-Gatsibo"/>
    <m/>
    <n v="1"/>
    <n v="86130"/>
    <n v="86130"/>
    <s v="Monthly"/>
    <d v="2024-05-31T00:00:00"/>
    <x v="10"/>
    <x v="4"/>
    <n v="-329"/>
    <x v="1"/>
    <x v="7"/>
    <s v="Justin Munyemana"/>
    <s v="justin.munyemana@rfa.rw"/>
    <n v="788865814"/>
    <m/>
    <m/>
    <m/>
  </r>
  <r>
    <s v="C003186"/>
    <x v="39"/>
    <s v="RWANDA FORESTRY AUTHORITY (RFA)"/>
    <s v="Ngororero"/>
    <x v="0"/>
    <x v="0"/>
    <s v="Standard"/>
    <x v="0"/>
    <x v="6"/>
    <m/>
    <s v="4G MUP  1GB/DAY GOV"/>
    <m/>
    <n v="9"/>
    <n v="19491.53"/>
    <n v="175423.77"/>
    <s v="Monthly"/>
    <d v="2024-05-31T00:00:00"/>
    <x v="10"/>
    <x v="4"/>
    <n v="-329"/>
    <x v="1"/>
    <x v="7"/>
    <s v="Justin Munyemana"/>
    <s v="justin.munyemana@rfa.rw"/>
    <n v="788865814"/>
    <m/>
    <m/>
    <m/>
  </r>
  <r>
    <s v="C002289"/>
    <x v="40"/>
    <s v="RFL - Kaspesky VPN Link."/>
    <s v="Gasabo"/>
    <x v="0"/>
    <x v="3"/>
    <s v="Standard"/>
    <x v="0"/>
    <x v="0"/>
    <n v="1"/>
    <s v="FIBER VPN1 MBPS"/>
    <m/>
    <n v="1"/>
    <n v="90000"/>
    <n v="90000"/>
    <s v="Monthly"/>
    <d v="2026-05-31T00:00:00"/>
    <x v="10"/>
    <x v="6"/>
    <n v="-1059"/>
    <x v="1"/>
    <x v="2"/>
    <s v="Theobald Bayingana"/>
    <s v="theobard.bayingana@rfl.gov.rw"/>
    <s v="0788-688-466"/>
    <m/>
    <m/>
    <m/>
  </r>
  <r>
    <s v="C000201"/>
    <x v="41"/>
    <s v="KCB Muhanga - BNR VPN"/>
    <s v="Muhanga"/>
    <x v="1"/>
    <x v="9"/>
    <s v="Standard"/>
    <x v="0"/>
    <x v="5"/>
    <n v="1"/>
    <s v="FIBER VPN1 MBPS PRIV"/>
    <m/>
    <n v="1"/>
    <n v="110000"/>
    <n v="110000"/>
    <s v="Monthly"/>
    <d v="2023-06-01T00:00:00"/>
    <x v="1"/>
    <x v="3"/>
    <n v="36"/>
    <x v="0"/>
    <x v="0"/>
    <s v="Rene Mugenza"/>
    <s v="rene.mugenza@bpr.rw "/>
    <s v="0731000136"/>
    <m/>
    <m/>
    <m/>
  </r>
  <r>
    <s v="C000201"/>
    <x v="41"/>
    <s v="R SWITCH VPN"/>
    <s v="Nyarugenge"/>
    <x v="1"/>
    <x v="9"/>
    <s v="Standard"/>
    <x v="0"/>
    <x v="5"/>
    <n v="1"/>
    <s v="FIBER VPN1 MBPS PRIV"/>
    <m/>
    <n v="1"/>
    <n v="151200"/>
    <n v="151200"/>
    <s v="Monthly"/>
    <d v="2023-06-01T00:00:00"/>
    <x v="1"/>
    <x v="3"/>
    <n v="36"/>
    <x v="0"/>
    <x v="0"/>
    <s v="Rene Mugenza"/>
    <s v="Rene.MUGENZA@bpr.rw "/>
    <s v="0731000136"/>
    <m/>
    <m/>
    <m/>
  </r>
  <r>
    <s v="C000201"/>
    <x v="41"/>
    <s v="MINECOFIN VPN"/>
    <s v="Nyarugenge"/>
    <x v="1"/>
    <x v="9"/>
    <s v="Standard"/>
    <x v="0"/>
    <x v="5"/>
    <n v="1"/>
    <s v="FIBER VPN1 MBPS PRIV"/>
    <m/>
    <n v="1"/>
    <n v="151200"/>
    <n v="151200"/>
    <s v="Monthly"/>
    <d v="2023-06-01T00:00:00"/>
    <x v="1"/>
    <x v="3"/>
    <n v="36"/>
    <x v="0"/>
    <x v="0"/>
    <s v="Rene Mugenza"/>
    <s v="Rene.MUGENZA@bpr.rw "/>
    <s v="0731000136"/>
    <m/>
    <m/>
    <m/>
  </r>
  <r>
    <s v="C000201"/>
    <x v="41"/>
    <s v="Ruhango VPN"/>
    <s v="Ruhango"/>
    <x v="1"/>
    <x v="9"/>
    <s v="Standard"/>
    <x v="0"/>
    <x v="5"/>
    <n v="1"/>
    <s v="FIBER VPN1 MBPS PRIV"/>
    <m/>
    <n v="1"/>
    <n v="151200"/>
    <n v="151200"/>
    <s v="Monthly"/>
    <d v="2023-06-01T00:00:00"/>
    <x v="1"/>
    <x v="3"/>
    <n v="36"/>
    <x v="0"/>
    <x v="0"/>
    <s v="Rene Mugenza"/>
    <s v="Rene.MUGENZA@bpr.rw "/>
    <s v="0731000136"/>
    <m/>
    <m/>
    <m/>
  </r>
  <r>
    <s v="C000201"/>
    <x v="41"/>
    <s v="Rusumo VPN"/>
    <s v="Kirehe"/>
    <x v="1"/>
    <x v="9"/>
    <s v="Standard"/>
    <x v="0"/>
    <x v="5"/>
    <n v="2"/>
    <s v="FIBER VPN 2MBPS PRIV"/>
    <m/>
    <n v="1"/>
    <n v="186440.68"/>
    <n v="186440.68"/>
    <s v="Monthly"/>
    <d v="2023-06-01T00:00:00"/>
    <x v="1"/>
    <x v="3"/>
    <n v="36"/>
    <x v="0"/>
    <x v="0"/>
    <s v="Rene Mugenza"/>
    <s v="Rene.MUGENZA@bpr.rw "/>
    <s v="0731000136"/>
    <m/>
    <m/>
    <m/>
  </r>
  <r>
    <s v="C000201"/>
    <x v="41"/>
    <s v="HQ - Wireless Broadband MD"/>
    <s v="Nyarugenge"/>
    <x v="1"/>
    <x v="9"/>
    <s v="Standard"/>
    <x v="0"/>
    <x v="4"/>
    <n v="3"/>
    <s v="Wireless Broadband 3MBPS"/>
    <m/>
    <n v="1"/>
    <n v="251271.19"/>
    <n v="251271.19"/>
    <s v="Monthly"/>
    <d v="2023-06-01T00:00:00"/>
    <x v="1"/>
    <x v="3"/>
    <n v="36"/>
    <x v="0"/>
    <x v="0"/>
    <s v="Rene Mugenza"/>
    <s v="Rene.MUGENZA@bpr.rw "/>
    <s v="0731000136"/>
    <m/>
    <m/>
    <m/>
  </r>
  <r>
    <s v="C000201"/>
    <x v="41"/>
    <s v="BPR Internet - Town"/>
    <s v="Nyarugenge"/>
    <x v="1"/>
    <x v="9"/>
    <s v="Standard"/>
    <x v="0"/>
    <x v="5"/>
    <n v="5"/>
    <s v="FIBER INTERNET 5MBPS"/>
    <m/>
    <n v="1"/>
    <n v="628000"/>
    <n v="628000"/>
    <s v="Monthly"/>
    <d v="2023-06-01T00:00:00"/>
    <x v="1"/>
    <x v="3"/>
    <n v="36"/>
    <x v="0"/>
    <x v="0"/>
    <s v="Rene Mugenza"/>
    <s v="Rene.MUGENZA@bpr.rw "/>
    <s v="0731000136"/>
    <m/>
    <m/>
    <m/>
  </r>
  <r>
    <s v="C000201"/>
    <x v="41"/>
    <s v="Internet MUHIMA HQ"/>
    <s v="Nyarugenge"/>
    <x v="1"/>
    <x v="9"/>
    <s v="Standard"/>
    <x v="0"/>
    <x v="5"/>
    <n v="15"/>
    <s v="FIBER INTERNET 15MBPS"/>
    <m/>
    <n v="1"/>
    <n v="1500000"/>
    <n v="1500000"/>
    <s v="Monthly"/>
    <d v="2023-06-01T00:00:00"/>
    <x v="1"/>
    <x v="3"/>
    <n v="36"/>
    <x v="0"/>
    <x v="0"/>
    <s v="Rene Mugenza"/>
    <s v="Rene.MUGENZA@bpr.rw "/>
    <s v="0731000136"/>
    <m/>
    <m/>
    <m/>
  </r>
  <r>
    <s v="C000201"/>
    <x v="41"/>
    <s v="BPR KCB VPN"/>
    <s v="Nyarugenge"/>
    <x v="1"/>
    <x v="9"/>
    <s v="Standard"/>
    <x v="0"/>
    <x v="5"/>
    <n v="20"/>
    <s v="FIBER VPN 20MBPS PRIV"/>
    <m/>
    <n v="1"/>
    <n v="1050000"/>
    <n v="1050000"/>
    <s v="Monthly"/>
    <d v="2023-06-01T00:00:00"/>
    <x v="1"/>
    <x v="3"/>
    <n v="36"/>
    <x v="0"/>
    <x v="0"/>
    <s v="Rene Mugenza"/>
    <s v="rene.mugenza@bpr.rw "/>
    <s v="0731000136"/>
    <m/>
    <m/>
    <m/>
  </r>
  <r>
    <s v="C000201"/>
    <x v="41"/>
    <s v="KCB Muhanga DR Site"/>
    <s v="Muhanga"/>
    <x v="1"/>
    <x v="9"/>
    <s v="Standard"/>
    <x v="0"/>
    <x v="5"/>
    <n v="40"/>
    <s v="FIBER VPN 40MBPS PRIV"/>
    <m/>
    <n v="1"/>
    <n v="1478571.1864406781"/>
    <n v="1478571.1864406781"/>
    <s v="Monthly"/>
    <d v="2023-06-01T00:00:00"/>
    <x v="1"/>
    <x v="3"/>
    <n v="36"/>
    <x v="0"/>
    <x v="0"/>
    <s v="Rene Mugenza"/>
    <s v="Rene.MUGENZA@bpr.rw "/>
    <s v="0731000136"/>
    <m/>
    <m/>
    <m/>
  </r>
  <r>
    <s v="C000201"/>
    <x v="41"/>
    <s v="BPR HQ - Town - Muhima DC"/>
    <s v="Nyarugenge"/>
    <x v="1"/>
    <x v="9"/>
    <s v="Standard"/>
    <x v="0"/>
    <x v="5"/>
    <n v="50"/>
    <s v="FIBER VPN 50MBPS PRIV"/>
    <m/>
    <n v="1"/>
    <n v="1838250"/>
    <n v="1838250"/>
    <s v="Monthly"/>
    <d v="2023-06-01T00:00:00"/>
    <x v="1"/>
    <x v="3"/>
    <n v="36"/>
    <x v="0"/>
    <x v="0"/>
    <s v="Rene Mugenza"/>
    <s v="Rene.MUGENZA@bpr.rw "/>
    <s v="0731000136"/>
    <m/>
    <m/>
    <m/>
  </r>
  <r>
    <s v="C000201"/>
    <x v="41"/>
    <s v="Dark Fiber Lease: HQ - Ruhango"/>
    <s v="Ruhango"/>
    <x v="1"/>
    <x v="9"/>
    <s v="Standard"/>
    <x v="0"/>
    <x v="2"/>
    <m/>
    <s v="Dark Fiber Lease  "/>
    <n v="84"/>
    <n v="1"/>
    <n v="8341638"/>
    <n v="8341638"/>
    <s v="Monthly"/>
    <d v="2023-06-01T00:00:00"/>
    <x v="1"/>
    <x v="3"/>
    <n v="36"/>
    <x v="0"/>
    <x v="0"/>
    <s v="Rene Mugenza"/>
    <s v="Rene.MUGENZA@bpr.rw "/>
    <s v="0731000136"/>
    <m/>
    <m/>
    <m/>
  </r>
  <r>
    <s v="C000201"/>
    <x v="41"/>
    <s v="HQ"/>
    <s v="Nyarugenge"/>
    <x v="1"/>
    <x v="9"/>
    <s v="Standard"/>
    <x v="0"/>
    <x v="6"/>
    <m/>
    <s v="4G MUP 2GB/DAY PRIV"/>
    <m/>
    <n v="12"/>
    <n v="54237.288135593226"/>
    <n v="650847.45762711868"/>
    <s v="Monthly"/>
    <d v="2023-06-01T00:00:00"/>
    <x v="1"/>
    <x v="3"/>
    <n v="36"/>
    <x v="0"/>
    <x v="0"/>
    <s v="Rene Mugenza"/>
    <s v="Rene.MUGENZA@bpr.rw "/>
    <s v="0731000136"/>
    <m/>
    <m/>
    <m/>
  </r>
  <r>
    <s v="C003773"/>
    <x v="42"/>
    <s v="Ecole Primaire Nkondo1"/>
    <s v="Kayonza"/>
    <x v="1"/>
    <x v="4"/>
    <s v="Standard"/>
    <x v="0"/>
    <x v="6"/>
    <m/>
    <s v="4G ONE NETWORK 5MBPS"/>
    <m/>
    <n v="1"/>
    <n v="101694.92"/>
    <n v="101694.92"/>
    <s v="Monthly"/>
    <d v="2023-06-30T00:00:00"/>
    <x v="1"/>
    <x v="3"/>
    <n v="7"/>
    <x v="0"/>
    <x v="6"/>
    <s v="BUTATI Bertin"/>
    <s v="bbutati@pih.org"/>
    <n v="784186537"/>
    <m/>
    <m/>
    <m/>
  </r>
  <r>
    <s v="C000771"/>
    <x v="43"/>
    <s v="GISENYI-MAIN BRANCH"/>
    <s v="Rubavu"/>
    <x v="0"/>
    <x v="6"/>
    <s v="Standard"/>
    <x v="0"/>
    <x v="6"/>
    <m/>
    <s v="4G MUP 1GB/DAY"/>
    <m/>
    <n v="11"/>
    <n v="19491.53"/>
    <n v="214406.83"/>
    <s v="Monthly"/>
    <d v="2026-09-30T00:00:00"/>
    <x v="4"/>
    <x v="6"/>
    <n v="-1181"/>
    <x v="1"/>
    <x v="6"/>
    <s v="NKURUNZIZA Innocent"/>
    <s v="gisenyi.hospital@moh.gov.rw"/>
    <n v="788823232"/>
    <m/>
    <m/>
    <m/>
  </r>
  <r>
    <s v="C002373"/>
    <x v="44"/>
    <s v="APEKI TUMBA"/>
    <s v="Rulindo"/>
    <x v="0"/>
    <x v="4"/>
    <s v="Standard"/>
    <x v="0"/>
    <x v="0"/>
    <n v="10"/>
    <s v="Fiber Broadband Internet 10MBPS"/>
    <m/>
    <n v="1"/>
    <n v="510000"/>
    <n v="510000"/>
    <s v="Bi-Annually"/>
    <d v="2023-06-12T00:00:00"/>
    <x v="1"/>
    <x v="3"/>
    <n v="25"/>
    <x v="0"/>
    <x v="6"/>
    <s v="DUKUZUMUREMYI JANVIER"/>
    <s v="dukuzumuremyij@gmail.com"/>
    <n v="788825878"/>
    <m/>
    <m/>
    <m/>
  </r>
  <r>
    <s v="C002373"/>
    <x v="45"/>
    <s v="KINIHIRA TVET"/>
    <s v="Rulindo"/>
    <x v="0"/>
    <x v="4"/>
    <s v="Standard"/>
    <x v="0"/>
    <x v="0"/>
    <n v="20"/>
    <s v="Fiber Broadband Internet 20MBPS"/>
    <m/>
    <n v="1"/>
    <n v="900000"/>
    <n v="900000"/>
    <s v="Bi-Annually"/>
    <d v="2023-06-12T00:00:00"/>
    <x v="1"/>
    <x v="3"/>
    <n v="25"/>
    <x v="0"/>
    <x v="6"/>
    <s v="DUKUZUMUREMYI JANVIER"/>
    <s v="dukuzumuremyij@gmail.com"/>
    <n v="788825878"/>
    <m/>
    <m/>
    <m/>
  </r>
  <r>
    <s v="C003773"/>
    <x v="42"/>
    <s v="Nyamirama HC"/>
    <s v="Kayonza"/>
    <x v="1"/>
    <x v="6"/>
    <s v="Standard"/>
    <x v="0"/>
    <x v="6"/>
    <m/>
    <s v="4G ONE NETWORK 5MBPS"/>
    <m/>
    <n v="1"/>
    <n v="101694.92"/>
    <n v="101694.92"/>
    <s v="Monthly"/>
    <d v="2023-06-21T00:00:00"/>
    <x v="1"/>
    <x v="3"/>
    <n v="16"/>
    <x v="0"/>
    <x v="6"/>
    <s v="BUTATI Bertin"/>
    <s v="bbutati@pih.org"/>
    <n v="784186537"/>
    <m/>
    <m/>
    <m/>
  </r>
  <r>
    <s v="C000131"/>
    <x v="46"/>
    <s v="AFOS Gicumbi"/>
    <s v="Gicumbi"/>
    <x v="0"/>
    <x v="3"/>
    <s v="Standard"/>
    <x v="0"/>
    <x v="0"/>
    <n v="1"/>
    <s v="Fiber VPN 1MBPS "/>
    <m/>
    <n v="1"/>
    <n v="90000"/>
    <n v="90000"/>
    <s v="Monthly"/>
    <d v="2023-06-27T00:00:00"/>
    <x v="1"/>
    <x v="3"/>
    <n v="10"/>
    <x v="0"/>
    <x v="5"/>
    <s v="Patrick Munana"/>
    <s v="ict@afos.gov.rw"/>
    <n v="727002390"/>
    <m/>
    <m/>
    <m/>
  </r>
  <r>
    <s v="C000131"/>
    <x v="46"/>
    <s v="AFOS Huye"/>
    <s v="Huye"/>
    <x v="0"/>
    <x v="3"/>
    <s v="Standard"/>
    <x v="0"/>
    <x v="0"/>
    <n v="1"/>
    <s v="Fiber VPN 1MBPS"/>
    <m/>
    <n v="1"/>
    <n v="90000"/>
    <n v="90000"/>
    <s v="Monthly"/>
    <d v="2023-06-27T00:00:00"/>
    <x v="1"/>
    <x v="3"/>
    <n v="10"/>
    <x v="0"/>
    <x v="5"/>
    <s v="Patrick Munana"/>
    <s v="ict@afos.gov.rw"/>
    <n v="727002390"/>
    <m/>
    <m/>
    <m/>
  </r>
  <r>
    <s v="C000131"/>
    <x v="46"/>
    <s v="AFOS Karongi"/>
    <s v="Karongi"/>
    <x v="0"/>
    <x v="3"/>
    <s v="Standard"/>
    <x v="0"/>
    <x v="0"/>
    <n v="1"/>
    <s v="Fiber VPN 1MBPS"/>
    <m/>
    <n v="1"/>
    <n v="90000"/>
    <n v="90000"/>
    <s v="Monthly"/>
    <d v="2023-06-27T00:00:00"/>
    <x v="1"/>
    <x v="3"/>
    <n v="10"/>
    <x v="0"/>
    <x v="5"/>
    <s v="Patrick Munana"/>
    <s v="ict@afos.gov.rw"/>
    <n v="727002390"/>
    <m/>
    <m/>
    <m/>
  </r>
  <r>
    <s v="C000131"/>
    <x v="46"/>
    <s v="AFOS Muhanga"/>
    <s v="Muhanga"/>
    <x v="0"/>
    <x v="3"/>
    <s v="Standard"/>
    <x v="0"/>
    <x v="0"/>
    <n v="1"/>
    <s v="Fiber VPN 1MBPS"/>
    <m/>
    <n v="1"/>
    <n v="90000"/>
    <n v="90000"/>
    <s v="Monthly"/>
    <d v="2023-06-27T00:00:00"/>
    <x v="1"/>
    <x v="3"/>
    <n v="10"/>
    <x v="0"/>
    <x v="5"/>
    <s v="Patrick Munana"/>
    <s v="ict@afos.gov.rw"/>
    <n v="727002390"/>
    <m/>
    <m/>
    <m/>
  </r>
  <r>
    <s v="C000131"/>
    <x v="46"/>
    <s v="AFOS NGOMA"/>
    <s v="Ngoma"/>
    <x v="0"/>
    <x v="3"/>
    <s v="Standard"/>
    <x v="0"/>
    <x v="0"/>
    <n v="1"/>
    <s v="Fiber VPN 1MBPS"/>
    <m/>
    <n v="1"/>
    <n v="90000"/>
    <n v="90000"/>
    <s v="Monthly"/>
    <d v="2023-06-27T00:00:00"/>
    <x v="1"/>
    <x v="3"/>
    <n v="10"/>
    <x v="0"/>
    <x v="5"/>
    <s v="Patrick Munana"/>
    <s v="ict@afos.gov.rw"/>
    <n v="727002390"/>
    <m/>
    <m/>
    <m/>
  </r>
  <r>
    <s v="C000131"/>
    <x v="46"/>
    <s v="AFOS Mukamira"/>
    <s v="Nyabihu"/>
    <x v="0"/>
    <x v="3"/>
    <s v="Standard"/>
    <x v="0"/>
    <x v="0"/>
    <n v="1"/>
    <s v="Fiber VPN 1MBPS"/>
    <m/>
    <n v="1"/>
    <n v="90000"/>
    <n v="90000"/>
    <s v="Monthly"/>
    <d v="2023-06-27T00:00:00"/>
    <x v="1"/>
    <x v="3"/>
    <n v="10"/>
    <x v="0"/>
    <x v="5"/>
    <s v="Patrick Munana"/>
    <s v="ict@afos.gov.rw"/>
    <n v="727002390"/>
    <m/>
    <m/>
    <m/>
  </r>
  <r>
    <s v="C000131"/>
    <x v="46"/>
    <s v="AFOS Nyagatare"/>
    <s v="Nyagatare"/>
    <x v="0"/>
    <x v="3"/>
    <s v="Standard"/>
    <x v="0"/>
    <x v="0"/>
    <n v="1"/>
    <s v="Fiber VPN 1MBPS"/>
    <m/>
    <n v="1"/>
    <n v="90000"/>
    <n v="90000"/>
    <s v="Monthly"/>
    <d v="2023-06-27T00:00:00"/>
    <x v="1"/>
    <x v="3"/>
    <n v="10"/>
    <x v="0"/>
    <x v="5"/>
    <s v="Patrick Munana"/>
    <s v="ict@afos.gov.rw"/>
    <n v="727002390"/>
    <m/>
    <m/>
    <m/>
  </r>
  <r>
    <s v="C000131"/>
    <x v="46"/>
    <s v="AFOS Rubavu"/>
    <s v="Rubavu"/>
    <x v="0"/>
    <x v="3"/>
    <s v="Standard"/>
    <x v="0"/>
    <x v="0"/>
    <n v="1"/>
    <s v="Fiber VPN 1MBPS"/>
    <m/>
    <n v="1"/>
    <n v="90000"/>
    <n v="90000"/>
    <s v="Monthly"/>
    <d v="2023-06-27T00:00:00"/>
    <x v="1"/>
    <x v="3"/>
    <n v="10"/>
    <x v="0"/>
    <x v="5"/>
    <s v="Patrick Munana"/>
    <s v="ict@afos.gov.rw"/>
    <n v="727002390"/>
    <m/>
    <m/>
    <m/>
  </r>
  <r>
    <s v="C000131"/>
    <x v="46"/>
    <s v="AFOS Rusizi"/>
    <s v="Rusizi"/>
    <x v="0"/>
    <x v="3"/>
    <s v="Standard"/>
    <x v="0"/>
    <x v="0"/>
    <n v="1"/>
    <s v="Fiber VPN 1MBPS"/>
    <m/>
    <n v="1"/>
    <n v="90000"/>
    <n v="90000"/>
    <s v="Monthly"/>
    <d v="2023-06-27T00:00:00"/>
    <x v="1"/>
    <x v="3"/>
    <n v="10"/>
    <x v="0"/>
    <x v="5"/>
    <s v="Patrick Munana"/>
    <s v="ict@afos.gov.rw"/>
    <n v="727002390"/>
    <m/>
    <m/>
    <m/>
  </r>
  <r>
    <s v="C000131"/>
    <x v="46"/>
    <s v="AFOS Bugesera"/>
    <s v="Bugesera"/>
    <x v="0"/>
    <x v="3"/>
    <s v="Standard"/>
    <x v="0"/>
    <x v="0"/>
    <n v="3"/>
    <s v="Fiber VPN 3MBPS"/>
    <m/>
    <n v="1"/>
    <n v="180000"/>
    <n v="180000"/>
    <s v="Monthly"/>
    <d v="2023-06-27T00:00:00"/>
    <x v="1"/>
    <x v="3"/>
    <n v="10"/>
    <x v="0"/>
    <x v="5"/>
    <s v="Patrick Munana"/>
    <s v="ict@afos.gov.rw"/>
    <n v="727002390"/>
    <m/>
    <m/>
    <m/>
  </r>
  <r>
    <s v="C000131"/>
    <x v="46"/>
    <s v="AFOS Rwamagana"/>
    <s v="Rwamagana  "/>
    <x v="0"/>
    <x v="3"/>
    <s v="Standard"/>
    <x v="0"/>
    <x v="0"/>
    <n v="3"/>
    <s v="Fiber VPN 3MBPS"/>
    <m/>
    <n v="1"/>
    <n v="180000"/>
    <n v="180000"/>
    <s v="Monthly"/>
    <d v="2023-06-27T00:00:00"/>
    <x v="1"/>
    <x v="3"/>
    <n v="10"/>
    <x v="0"/>
    <x v="5"/>
    <s v="Patrick Munana"/>
    <s v="ict@afos.gov.rw"/>
    <n v="727002390"/>
    <m/>
    <m/>
    <m/>
  </r>
  <r>
    <s v="C000131"/>
    <x v="46"/>
    <s v="AFOS kacyiru"/>
    <s v="Gasabo"/>
    <x v="0"/>
    <x v="3"/>
    <s v="Standard"/>
    <x v="0"/>
    <x v="0"/>
    <n v="5"/>
    <s v="Fiber VPN 5MBPS"/>
    <m/>
    <n v="1"/>
    <n v="270000"/>
    <n v="270000"/>
    <s v="Monthly"/>
    <d v="2023-06-27T00:00:00"/>
    <x v="1"/>
    <x v="3"/>
    <n v="10"/>
    <x v="0"/>
    <x v="5"/>
    <s v="Patrick Munana"/>
    <s v="ict@afos.gov.rw"/>
    <n v="727002390"/>
    <m/>
    <m/>
    <m/>
  </r>
  <r>
    <s v="C000131"/>
    <x v="46"/>
    <s v="AFOS HQ"/>
    <s v="Kicukiro"/>
    <x v="0"/>
    <x v="3"/>
    <s v="Standard"/>
    <x v="0"/>
    <x v="0"/>
    <n v="10"/>
    <s v="Fiber VPN 10MBPS "/>
    <m/>
    <n v="1"/>
    <n v="510000"/>
    <n v="510000"/>
    <s v="Monthly"/>
    <d v="2023-06-27T00:00:00"/>
    <x v="1"/>
    <x v="3"/>
    <n v="10"/>
    <x v="0"/>
    <x v="5"/>
    <s v="Patrick Munana"/>
    <s v="ict@afos.gov.rw"/>
    <n v="727002390"/>
    <m/>
    <m/>
    <m/>
  </r>
  <r>
    <s v="C000131"/>
    <x v="46"/>
    <s v="AFOS Kicukiro"/>
    <s v="Kicukiro"/>
    <x v="0"/>
    <x v="3"/>
    <s v="Standard"/>
    <x v="0"/>
    <x v="6"/>
    <m/>
    <s v="4G ONE NETWORK 5MBPS"/>
    <m/>
    <n v="1"/>
    <n v="101694.92"/>
    <n v="101694.92"/>
    <s v="Monthly"/>
    <d v="2023-06-27T00:00:00"/>
    <x v="1"/>
    <x v="3"/>
    <n v="10"/>
    <x v="0"/>
    <x v="5"/>
    <s v="Patrick Munana"/>
    <s v="ict@afos.gov.rw"/>
    <n v="727002390"/>
    <m/>
    <m/>
    <m/>
  </r>
  <r>
    <s v="C001781"/>
    <x v="47"/>
    <s v="Nelsap Kirehe VPN"/>
    <s v="Nyarugenge"/>
    <x v="1"/>
    <x v="10"/>
    <s v="Standard"/>
    <x v="1"/>
    <x v="5"/>
    <n v="4"/>
    <s v="FIBER VPN 4MBPS PRIV"/>
    <m/>
    <n v="1"/>
    <n v="292500"/>
    <n v="292500"/>
    <s v="Monthly"/>
    <d v="2023-06-28T00:00:00"/>
    <x v="1"/>
    <x v="3"/>
    <n v="9"/>
    <x v="0"/>
    <x v="0"/>
    <s v="Vivien Niyomugenga"/>
    <s v="vniyomugenga@nilebasin.org "/>
    <s v="0788528400"/>
    <m/>
    <m/>
    <m/>
  </r>
  <r>
    <s v="C001781"/>
    <x v="47"/>
    <s v="Nelsap Kirehe Internet"/>
    <s v="Nyarugenge"/>
    <x v="1"/>
    <x v="10"/>
    <s v="Standard"/>
    <x v="1"/>
    <x v="5"/>
    <n v="15"/>
    <s v="FIBER INTERNET 15MBPS"/>
    <m/>
    <n v="1"/>
    <n v="1278000"/>
    <n v="1278000"/>
    <s v="Monthly"/>
    <d v="2023-06-28T00:00:00"/>
    <x v="1"/>
    <x v="3"/>
    <n v="9"/>
    <x v="0"/>
    <x v="0"/>
    <s v="Vivien Niyomugenga"/>
    <s v="vniyomugenga@nilebasin.org "/>
    <s v="0788528400"/>
    <m/>
    <m/>
    <m/>
  </r>
  <r>
    <s v="C001781"/>
    <x v="47"/>
    <s v="HQ"/>
    <s v="Nyarugenge"/>
    <x v="1"/>
    <x v="10"/>
    <s v="Standard"/>
    <x v="1"/>
    <x v="1"/>
    <m/>
    <s v="Cloud 12vCPU. 24GB RAM. 800GB Storage"/>
    <m/>
    <n v="1"/>
    <n v="236000"/>
    <n v="236000"/>
    <s v="Monthly"/>
    <d v="2023-06-28T00:00:00"/>
    <x v="1"/>
    <x v="3"/>
    <n v="9"/>
    <x v="0"/>
    <x v="0"/>
    <s v="Vivien Niyomugenga"/>
    <s v="vniyomugenga@nilebasin.org "/>
    <s v="0788528400"/>
    <m/>
    <m/>
    <m/>
  </r>
  <r>
    <s v="C001914"/>
    <x v="48"/>
    <s v="Lais"/>
    <s v="Nyarugenge"/>
    <x v="0"/>
    <x v="0"/>
    <s v="Standard"/>
    <x v="0"/>
    <x v="0"/>
    <n v="3"/>
    <s v="FIBER VPN 3MBPS"/>
    <m/>
    <n v="1"/>
    <n v="180000"/>
    <n v="180000"/>
    <s v="Monthly"/>
    <d v="2023-06-29T00:00:00"/>
    <x v="1"/>
    <x v="3"/>
    <n v="8"/>
    <x v="0"/>
    <x v="0"/>
    <s v="Prosper Hakizimana"/>
    <s v="prosper.hakizimana@nyarugenge.gov.rw "/>
    <s v="0788760508"/>
    <m/>
    <m/>
    <m/>
  </r>
  <r>
    <s v="C001914"/>
    <x v="48"/>
    <s v="HQ"/>
    <s v="Nyarugenge"/>
    <x v="0"/>
    <x v="0"/>
    <s v="Standard"/>
    <x v="0"/>
    <x v="0"/>
    <n v="15"/>
    <s v="FIBER VPN 15MBPS"/>
    <m/>
    <n v="1"/>
    <n v="720000"/>
    <n v="720000"/>
    <s v="Monthly"/>
    <d v="2023-06-29T00:00:00"/>
    <x v="1"/>
    <x v="3"/>
    <n v="8"/>
    <x v="0"/>
    <x v="0"/>
    <s v="Prosper Hakizimana"/>
    <s v="prosper.hakizimana@nyarugenge.gov.rw "/>
    <s v="0788760508"/>
    <m/>
    <m/>
    <m/>
  </r>
  <r>
    <s v="C001914"/>
    <x v="48"/>
    <s v="HQ"/>
    <s v="Nyarugenge"/>
    <x v="0"/>
    <x v="0"/>
    <s v="Standard"/>
    <x v="1"/>
    <x v="10"/>
    <m/>
    <s v="VIDEO CONFERENCE"/>
    <m/>
    <n v="1"/>
    <n v="258045.76"/>
    <n v="258045.76"/>
    <s v="Monthly"/>
    <d v="2023-06-29T00:00:00"/>
    <x v="1"/>
    <x v="3"/>
    <n v="8"/>
    <x v="0"/>
    <x v="0"/>
    <s v="Prosper Hakizimana"/>
    <s v="prosper.hakizimana@nyarugenge.gov.rw "/>
    <s v="0788760508"/>
    <m/>
    <m/>
    <m/>
  </r>
  <r>
    <s v="C001914"/>
    <x v="48"/>
    <s v="HQ"/>
    <s v="Nyarugenge"/>
    <x v="0"/>
    <x v="0"/>
    <s v="Standard"/>
    <x v="3"/>
    <x v="7"/>
    <m/>
    <s v="MSS GOLD"/>
    <m/>
    <n v="1"/>
    <n v="369325"/>
    <n v="369325"/>
    <s v="Monthly"/>
    <d v="2023-06-29T00:00:00"/>
    <x v="1"/>
    <x v="3"/>
    <n v="8"/>
    <x v="0"/>
    <x v="0"/>
    <s v="Prosper Hakizimana"/>
    <s v="prosper.hakizimana@nyarugenge.gov.rw "/>
    <s v="0788760508"/>
    <m/>
    <m/>
    <m/>
  </r>
  <r>
    <s v="C000328"/>
    <x v="49"/>
    <s v="HQ"/>
    <s v="Gasabo"/>
    <x v="0"/>
    <x v="0"/>
    <s v="Standard"/>
    <x v="1"/>
    <x v="4"/>
    <n v="3"/>
    <s v="Wireless Broadband 3MBPS (1)"/>
    <m/>
    <n v="1"/>
    <n v="194916"/>
    <n v="194916"/>
    <s v="Monthly"/>
    <d v="2023-06-30T00:00:00"/>
    <x v="1"/>
    <x v="3"/>
    <n v="7"/>
    <x v="0"/>
    <x v="0"/>
    <s v="Fabrice Mfizi"/>
    <s v="bumbogo_sector@yahoo.com "/>
    <s v="0782217789"/>
    <m/>
    <m/>
    <m/>
  </r>
  <r>
    <s v="C000328"/>
    <x v="49"/>
    <s v="Cells "/>
    <s v="Gasabo"/>
    <x v="0"/>
    <x v="0"/>
    <s v="Standard"/>
    <x v="0"/>
    <x v="6"/>
    <m/>
    <s v="4G MUP 2GB/DAY"/>
    <m/>
    <n v="5"/>
    <n v="28305.08"/>
    <n v="141525.40000000002"/>
    <s v="Monthly"/>
    <d v="2023-06-30T00:00:00"/>
    <x v="1"/>
    <x v="3"/>
    <n v="7"/>
    <x v="0"/>
    <x v="0"/>
    <s v="Fabrice Mfizi"/>
    <s v="bumbogo_sector@yahoo.com "/>
    <s v="0782217789"/>
    <m/>
    <m/>
    <m/>
  </r>
  <r>
    <s v="C000329"/>
    <x v="50"/>
    <s v="HQ"/>
    <s v="Burera"/>
    <x v="0"/>
    <x v="0"/>
    <s v="Standard"/>
    <x v="0"/>
    <x v="0"/>
    <n v="15"/>
    <s v="FIBER VPN 15MBPS"/>
    <m/>
    <n v="1"/>
    <n v="720000"/>
    <n v="720000"/>
    <s v="Monthly"/>
    <d v="2023-06-30T00:00:00"/>
    <x v="1"/>
    <x v="3"/>
    <n v="7"/>
    <x v="0"/>
    <x v="5"/>
    <s v="FRANK"/>
    <s v="it@burera.gov.rw"/>
    <n v="788486449"/>
    <m/>
    <m/>
    <m/>
  </r>
  <r>
    <s v="C000329"/>
    <x v="50"/>
    <s v="HQ"/>
    <s v="Burera"/>
    <x v="0"/>
    <x v="0"/>
    <s v="Standard"/>
    <x v="1"/>
    <x v="10"/>
    <m/>
    <s v="VIDEO CONFERENCE"/>
    <m/>
    <n v="1"/>
    <n v="258045.76"/>
    <n v="258045.76"/>
    <s v="Monthly"/>
    <d v="2023-06-30T00:00:00"/>
    <x v="1"/>
    <x v="3"/>
    <n v="7"/>
    <x v="0"/>
    <x v="5"/>
    <s v="FRANK"/>
    <s v="it@burera.gov.rw"/>
    <n v="788486449"/>
    <m/>
    <m/>
    <m/>
  </r>
  <r>
    <s v="C000329"/>
    <x v="50"/>
    <s v="HQ"/>
    <s v="Burera"/>
    <x v="0"/>
    <x v="0"/>
    <s v="Standard"/>
    <x v="3"/>
    <x v="7"/>
    <m/>
    <s v="MSS GOLD"/>
    <m/>
    <n v="1"/>
    <n v="369325"/>
    <n v="369325"/>
    <s v="Monthly"/>
    <d v="2023-06-30T00:00:00"/>
    <x v="1"/>
    <x v="3"/>
    <n v="7"/>
    <x v="0"/>
    <x v="5"/>
    <s v="FRANK"/>
    <s v="it@burera.gov.rw"/>
    <n v="788486449"/>
    <m/>
    <m/>
    <m/>
  </r>
  <r>
    <s v="C000329"/>
    <x v="50"/>
    <s v="CELL"/>
    <s v="Burera"/>
    <x v="0"/>
    <x v="0"/>
    <s v="Standard"/>
    <x v="0"/>
    <x v="6"/>
    <m/>
    <s v="4G ONE NETWORK 5MBPS"/>
    <m/>
    <n v="1"/>
    <n v="101694.91525400001"/>
    <n v="101694.91525400001"/>
    <s v="Monthly"/>
    <d v="2023-06-30T00:00:00"/>
    <x v="1"/>
    <x v="3"/>
    <n v="7"/>
    <x v="0"/>
    <x v="5"/>
    <s v="FRANK"/>
    <s v="it@burera.gov.rw"/>
    <n v="788486449"/>
    <m/>
    <m/>
    <m/>
  </r>
  <r>
    <s v="C000329"/>
    <x v="50"/>
    <s v="CELL"/>
    <s v="Burera"/>
    <x v="0"/>
    <x v="0"/>
    <s v="Standard"/>
    <x v="0"/>
    <x v="6"/>
    <m/>
    <s v="4G MUP 1GB/DAY"/>
    <m/>
    <n v="5"/>
    <n v="19491.53"/>
    <n v="97457.65"/>
    <s v="Monthly"/>
    <d v="2023-06-30T00:00:00"/>
    <x v="1"/>
    <x v="3"/>
    <n v="7"/>
    <x v="0"/>
    <x v="5"/>
    <s v="FRANK"/>
    <s v="it@burera.gov.rw"/>
    <n v="788486449"/>
    <m/>
    <m/>
    <m/>
  </r>
  <r>
    <s v="C000329"/>
    <x v="50"/>
    <s v="CELL"/>
    <s v="Burera"/>
    <x v="0"/>
    <x v="0"/>
    <s v="Standard"/>
    <x v="0"/>
    <x v="6"/>
    <m/>
    <s v="4G ONE NETWORK 3MBPS"/>
    <m/>
    <n v="18"/>
    <n v="81355.932203389835"/>
    <n v="1464406.779661017"/>
    <s v="Monthly"/>
    <d v="2023-06-30T00:00:00"/>
    <x v="1"/>
    <x v="3"/>
    <n v="7"/>
    <x v="0"/>
    <x v="5"/>
    <s v="FRANK"/>
    <s v="it@burera.gov.rw"/>
    <n v="788486449"/>
    <m/>
    <m/>
    <m/>
  </r>
  <r>
    <s v="C000329"/>
    <x v="50"/>
    <s v="CELL"/>
    <s v="Burera"/>
    <x v="0"/>
    <x v="0"/>
    <s v="Standard"/>
    <x v="0"/>
    <x v="6"/>
    <m/>
    <s v="4G MUP 1GB/DAY"/>
    <m/>
    <n v="64"/>
    <n v="19491.53"/>
    <n v="1247457.92"/>
    <s v="Monthly"/>
    <d v="2023-06-30T00:00:00"/>
    <x v="1"/>
    <x v="3"/>
    <n v="7"/>
    <x v="0"/>
    <x v="5"/>
    <s v="FRANK"/>
    <s v="it@burera.gov.rw"/>
    <n v="788486449"/>
    <m/>
    <m/>
    <m/>
  </r>
  <r>
    <s v="C000568"/>
    <x v="51"/>
    <s v="ECOLE DES SCIENCE DE GISENYI (ESG)"/>
    <s v="Rubavu"/>
    <x v="0"/>
    <x v="4"/>
    <s v="Standard"/>
    <x v="0"/>
    <x v="0"/>
    <n v="1"/>
    <s v="fiber vpn 1mbps"/>
    <m/>
    <n v="1"/>
    <n v="90000"/>
    <n v="90000"/>
    <s v="Monthly"/>
    <d v="2023-06-30T00:00:00"/>
    <x v="1"/>
    <x v="3"/>
    <n v="7"/>
    <x v="0"/>
    <x v="4"/>
    <s v="Marie Jean"/>
    <s v="ecoledessciencesdegisenyi@gmail.com"/>
    <s v="0783378684/0788332436"/>
    <m/>
    <m/>
    <m/>
  </r>
  <r>
    <s v="C000746"/>
    <x v="52"/>
    <s v="Gender Monitoring Office (GMO)"/>
    <s v="Gasabo"/>
    <x v="0"/>
    <x v="0"/>
    <s v="Standard"/>
    <x v="0"/>
    <x v="0"/>
    <n v="10"/>
    <s v="FIBER VPN 10MBPS"/>
    <m/>
    <n v="1"/>
    <n v="510000"/>
    <n v="510000"/>
    <s v="Monthly"/>
    <d v="2026-06-30T00:00:00"/>
    <x v="1"/>
    <x v="6"/>
    <n v="-1089"/>
    <x v="1"/>
    <x v="2"/>
    <s v="Munyarugerero Viateur"/>
    <s v="munyarugerero.viateur@gmo.gov.rw"/>
    <s v="0788-539-869"/>
    <m/>
    <m/>
    <m/>
  </r>
  <r>
    <s v="C000746"/>
    <x v="52"/>
    <s v="Gender Monitoring Office (GMO)"/>
    <s v="Gasabo"/>
    <x v="0"/>
    <x v="0"/>
    <s v="Standard"/>
    <x v="3"/>
    <x v="7"/>
    <m/>
    <s v="MSS GOLD"/>
    <m/>
    <n v="1"/>
    <n v="369325.42"/>
    <n v="369325.42"/>
    <s v="Monthly"/>
    <d v="2026-06-30T00:00:00"/>
    <x v="1"/>
    <x v="6"/>
    <n v="-1089"/>
    <x v="1"/>
    <x v="2"/>
    <s v="Munyarugerero Viateur"/>
    <s v="munyarugerero.viateur@gmo.gov.rw"/>
    <s v="0788-539-869"/>
    <m/>
    <m/>
    <m/>
  </r>
  <r>
    <s v="C000746"/>
    <x v="52"/>
    <s v="Gender Monitoring Office (GMO)"/>
    <s v="Gasabo"/>
    <x v="0"/>
    <x v="0"/>
    <s v="Standard"/>
    <x v="0"/>
    <x v="6"/>
    <m/>
    <s v="4G MUP 2GB/DAY"/>
    <m/>
    <n v="1"/>
    <n v="28305.08"/>
    <n v="28305.08"/>
    <s v="Monthly"/>
    <d v="2024-07-09T00:00:00"/>
    <x v="2"/>
    <x v="4"/>
    <n v="-368"/>
    <x v="1"/>
    <x v="2"/>
    <s v="Munyarugerero Viateur"/>
    <s v="munyarugerero.viateur@gmo.gov.rw"/>
    <s v="0788-539-869"/>
    <m/>
    <m/>
    <m/>
  </r>
  <r>
    <s v="C000813"/>
    <x v="53"/>
    <s v="GS MUSHAKA"/>
    <s v="Rusizi"/>
    <x v="0"/>
    <x v="4"/>
    <s v="Standard"/>
    <x v="0"/>
    <x v="0"/>
    <n v="3"/>
    <s v="fiber vpn 3mbps"/>
    <m/>
    <n v="1"/>
    <n v="180000"/>
    <n v="180000"/>
    <s v="Monthly"/>
    <d v="2023-06-30T00:00:00"/>
    <x v="1"/>
    <x v="3"/>
    <n v="7"/>
    <x v="0"/>
    <x v="4"/>
    <s v="Emmanuel"/>
    <s v="hakemmy@yahoo.fr;theonzeyimana33@yahoo.com"/>
    <n v="788217212"/>
    <m/>
    <m/>
    <m/>
  </r>
  <r>
    <s v="C001065"/>
    <x v="54"/>
    <s v="KABUTARE-MAIN BRANCH"/>
    <s v="Huye"/>
    <x v="0"/>
    <x v="6"/>
    <s v="Standard"/>
    <x v="0"/>
    <x v="0"/>
    <n v="10"/>
    <s v="FIBER VPN 10MBPS"/>
    <m/>
    <n v="1"/>
    <n v="510000"/>
    <n v="510000"/>
    <s v="Monthly"/>
    <d v="2023-06-30T00:00:00"/>
    <x v="1"/>
    <x v="3"/>
    <n v="7"/>
    <x v="0"/>
    <x v="6"/>
    <s v="NGABOYISONGA Edmond"/>
    <s v="ngabo123edyy@gmail.com;kabutare.hospital@moh.gov.rw"/>
    <s v="0788755896/0788833270"/>
    <m/>
    <m/>
    <m/>
  </r>
  <r>
    <s v="C001167"/>
    <x v="55"/>
    <s v="KIBILIZI-MAIN BRANCH"/>
    <s v="Gisagara"/>
    <x v="0"/>
    <x v="6"/>
    <s v="Standard"/>
    <x v="0"/>
    <x v="0"/>
    <n v="10"/>
    <s v="FIBER VPN 10MBPS"/>
    <m/>
    <n v="1"/>
    <n v="510000"/>
    <n v="510000"/>
    <s v="Monthly"/>
    <d v="2023-06-30T00:00:00"/>
    <x v="1"/>
    <x v="3"/>
    <n v="7"/>
    <x v="0"/>
    <x v="6"/>
    <s v="KWIZERA Simplice"/>
    <s v="simplice@kibilizihospital.gov.rw"/>
    <n v="788876749"/>
    <m/>
    <m/>
    <m/>
  </r>
  <r>
    <s v="C001175"/>
    <x v="56"/>
    <s v="Lais"/>
    <s v="Kicukiro"/>
    <x v="0"/>
    <x v="0"/>
    <s v="Standard"/>
    <x v="0"/>
    <x v="0"/>
    <n v="3"/>
    <s v="FIBER VPN 3MBPS"/>
    <m/>
    <n v="1"/>
    <n v="180000"/>
    <n v="180000"/>
    <s v="Monthly"/>
    <d v="2023-06-30T00:00:00"/>
    <x v="1"/>
    <x v="3"/>
    <n v="7"/>
    <x v="0"/>
    <x v="0"/>
    <s v="Jeanne Niyonsaba"/>
    <s v="jeanne.niyonsaba@kicukiro.gov.rw"/>
    <s v="0788865412"/>
    <m/>
    <m/>
    <m/>
  </r>
  <r>
    <s v="C001175"/>
    <x v="56"/>
    <s v="HQ"/>
    <s v="Kicukiro"/>
    <x v="0"/>
    <x v="0"/>
    <s v="Standard"/>
    <x v="0"/>
    <x v="0"/>
    <n v="15"/>
    <s v="FIBER VPN 15MBPS"/>
    <m/>
    <n v="1"/>
    <n v="720000"/>
    <n v="720000"/>
    <s v="Monthly"/>
    <d v="2023-06-30T00:00:00"/>
    <x v="1"/>
    <x v="3"/>
    <n v="7"/>
    <x v="0"/>
    <x v="0"/>
    <s v="Jeanne Niyonsaba"/>
    <s v="jeanne.niyonsaba@kicukiro.gov.rw"/>
    <s v="0788865412"/>
    <m/>
    <m/>
    <m/>
  </r>
  <r>
    <s v="C001175"/>
    <x v="56"/>
    <s v="HQ"/>
    <s v="Kicukiro"/>
    <x v="0"/>
    <x v="0"/>
    <s v="Standard"/>
    <x v="1"/>
    <x v="10"/>
    <m/>
    <s v="VIDEO CONFERENCE"/>
    <m/>
    <n v="1"/>
    <n v="258044.92"/>
    <n v="258044.92"/>
    <s v="Monthly"/>
    <d v="2023-06-30T00:00:00"/>
    <x v="1"/>
    <x v="3"/>
    <n v="7"/>
    <x v="0"/>
    <x v="0"/>
    <s v="Jeanne Niyonsaba"/>
    <s v="jeanne.niyonsaba@kicukiro.gov.rw"/>
    <s v="0788865412"/>
    <m/>
    <m/>
    <m/>
  </r>
  <r>
    <s v="C001175"/>
    <x v="56"/>
    <s v="HQ"/>
    <s v="Kicukiro"/>
    <x v="0"/>
    <x v="0"/>
    <s v="Standard"/>
    <x v="3"/>
    <x v="7"/>
    <m/>
    <s v="MSS GOLD"/>
    <m/>
    <n v="1"/>
    <n v="369325.42"/>
    <n v="369325.42"/>
    <s v="Monthly"/>
    <d v="2023-06-30T00:00:00"/>
    <x v="1"/>
    <x v="3"/>
    <n v="7"/>
    <x v="0"/>
    <x v="0"/>
    <s v="Jeanne Niyonsaba"/>
    <s v="jeanne.niyonsaba@kicukiro.gov.rw"/>
    <s v="0788865412"/>
    <m/>
    <m/>
    <m/>
  </r>
  <r>
    <s v="C001175"/>
    <x v="56"/>
    <s v="HQ"/>
    <s v="Kicukiro"/>
    <x v="0"/>
    <x v="0"/>
    <s v="Standard"/>
    <x v="0"/>
    <x v="6"/>
    <m/>
    <s v=" 4G MUP 4GB/DAY "/>
    <m/>
    <n v="3"/>
    <n v="45338.98"/>
    <n v="136016.94"/>
    <s v="Monthly"/>
    <d v="2023-06-30T00:00:00"/>
    <x v="1"/>
    <x v="3"/>
    <n v="7"/>
    <x v="0"/>
    <x v="0"/>
    <s v="Jeanne Niyonsaba"/>
    <s v="jeanne.niyonsaba@kicukiro.gov.rw"/>
    <s v="0788865412"/>
    <m/>
    <m/>
    <m/>
  </r>
  <r>
    <s v="C001175"/>
    <x v="56"/>
    <s v="HQ"/>
    <s v="Kicukiro"/>
    <x v="0"/>
    <x v="0"/>
    <s v="Standard"/>
    <x v="0"/>
    <x v="6"/>
    <m/>
    <s v="4G ONE NETWORK 8GB/DAY"/>
    <m/>
    <n v="4"/>
    <n v="77711.86"/>
    <n v="310847.44"/>
    <s v="Monthly"/>
    <d v="2023-06-30T00:00:00"/>
    <x v="1"/>
    <x v="3"/>
    <n v="7"/>
    <x v="0"/>
    <x v="0"/>
    <s v="Jeanne Niyonsaba"/>
    <s v="jeanne.niyonsaba@kicukiro.gov.rw"/>
    <s v="0788865412"/>
    <m/>
    <m/>
    <m/>
  </r>
  <r>
    <s v="C001175"/>
    <x v="56"/>
    <s v="HQ"/>
    <s v="Kicukiro"/>
    <x v="0"/>
    <x v="0"/>
    <s v="Standard"/>
    <x v="0"/>
    <x v="6"/>
    <m/>
    <s v="4G MUP 1GB/DAY"/>
    <m/>
    <n v="6"/>
    <n v="19491.53"/>
    <n v="116949.18"/>
    <s v="Monthly"/>
    <d v="2023-06-30T00:00:00"/>
    <x v="1"/>
    <x v="3"/>
    <n v="7"/>
    <x v="0"/>
    <x v="0"/>
    <s v="Jeanne Niyonsaba"/>
    <s v="jeanne.niyonsaba@kicukiro.gov.rw"/>
    <s v="0788865412"/>
    <m/>
    <m/>
    <m/>
  </r>
  <r>
    <s v="C001175"/>
    <x v="56"/>
    <s v="Cells"/>
    <s v="Kicukiro"/>
    <x v="0"/>
    <x v="0"/>
    <s v="Standard"/>
    <x v="0"/>
    <x v="6"/>
    <m/>
    <s v="4G MUP 2GB/DAY"/>
    <m/>
    <n v="62"/>
    <n v="28305.08"/>
    <n v="1754914.9600000002"/>
    <s v="Monthly"/>
    <d v="2023-06-30T00:00:00"/>
    <x v="1"/>
    <x v="3"/>
    <n v="7"/>
    <x v="0"/>
    <x v="0"/>
    <s v="Jeanne Niyonsaba"/>
    <s v="jeanne.niyonsaba@kicukiro.gov.rw"/>
    <s v="0788865412"/>
    <m/>
    <m/>
    <m/>
  </r>
  <r>
    <s v="C000572"/>
    <x v="57"/>
    <s v="KIGARAMA TVET SCHOOL"/>
    <s v="Ngoma"/>
    <x v="0"/>
    <x v="4"/>
    <s v="Standard"/>
    <x v="0"/>
    <x v="0"/>
    <n v="3"/>
    <s v="FIBER VPN 3MBPS"/>
    <m/>
    <n v="1"/>
    <n v="180000"/>
    <n v="180000"/>
    <s v="Monthly"/>
    <d v="2023-06-30T00:00:00"/>
    <x v="1"/>
    <x v="3"/>
    <n v="7"/>
    <x v="0"/>
    <x v="6"/>
    <s v="MURWANASHYAKA Damas"/>
    <s v="eskigarama@yahoo.fr"/>
    <n v="788416314"/>
    <m/>
    <m/>
    <m/>
  </r>
  <r>
    <s v="C001210"/>
    <x v="58"/>
    <s v="KIZIGURO-MAIN BRANCH"/>
    <s v="Gatsibo"/>
    <x v="0"/>
    <x v="6"/>
    <s v="Standard"/>
    <x v="0"/>
    <x v="0"/>
    <n v="5"/>
    <s v="FIBER VPN 5MBPS"/>
    <m/>
    <n v="1"/>
    <n v="270000"/>
    <n v="270000"/>
    <s v="Monthly"/>
    <d v="2023-06-30T00:00:00"/>
    <x v="1"/>
    <x v="3"/>
    <n v="7"/>
    <x v="0"/>
    <x v="6"/>
    <s v="NSANZINEZA Theodore"/>
    <s v="kiziguro.hospital@moh.gov.rw"/>
    <n v="785658392"/>
    <m/>
    <m/>
    <m/>
  </r>
  <r>
    <s v="C001507"/>
    <x v="13"/>
    <s v="DFL: Nyamagabe-Rukarara"/>
    <s v="Nyamagabe"/>
    <x v="1"/>
    <x v="1"/>
    <s v="Standard"/>
    <x v="2"/>
    <x v="2"/>
    <m/>
    <s v="Dark Fiber Lease  "/>
    <n v="16.86"/>
    <n v="1"/>
    <n v="813495"/>
    <n v="813495"/>
    <s v="Monthly"/>
    <d v="2023-06-30T00:00:00"/>
    <x v="1"/>
    <x v="3"/>
    <n v="7"/>
    <x v="0"/>
    <x v="1"/>
    <s v="Rene Manzi"/>
    <s v="rene.manzi@mtn.com"/>
    <s v="0 78 8312 623 "/>
    <m/>
    <m/>
    <m/>
  </r>
  <r>
    <s v="C001755"/>
    <x v="59"/>
    <s v="NGARAMA-MAIN BRANCH"/>
    <s v="Gatsibo"/>
    <x v="0"/>
    <x v="6"/>
    <s v="Standard"/>
    <x v="0"/>
    <x v="0"/>
    <n v="5"/>
    <s v="FIBER VPN 5MBPS"/>
    <m/>
    <n v="1"/>
    <n v="270000"/>
    <n v="270000"/>
    <s v="Monthly"/>
    <d v="2023-06-30T00:00:00"/>
    <x v="1"/>
    <x v="3"/>
    <n v="7"/>
    <x v="0"/>
    <x v="6"/>
    <s v="NTAWUHIGANIMANA Aimable"/>
    <s v="ngarama.hospital@moh.gov.rw"/>
    <n v="785164119"/>
    <m/>
    <m/>
    <m/>
  </r>
  <r>
    <s v="C001755"/>
    <x v="59"/>
    <s v="NGARAMA-MAIN BRANCH"/>
    <s v="Gatsibo"/>
    <x v="0"/>
    <x v="6"/>
    <s v="Standard"/>
    <x v="3"/>
    <x v="7"/>
    <m/>
    <s v="MSS GOLD"/>
    <m/>
    <n v="1"/>
    <n v="369325"/>
    <n v="369325"/>
    <s v="Monthly"/>
    <d v="2023-06-30T00:00:00"/>
    <x v="1"/>
    <x v="3"/>
    <n v="7"/>
    <x v="0"/>
    <x v="6"/>
    <s v="NTAWUHIGANIMANA Aimable"/>
    <s v="ngarama.hospital@moh.gov.rw"/>
    <n v="785164119"/>
    <m/>
    <m/>
    <m/>
  </r>
  <r>
    <s v="C001694"/>
    <x v="60"/>
    <s v="NATIONAL ID PROJECT (NID) HQ."/>
    <s v="Gasabo"/>
    <x v="0"/>
    <x v="0"/>
    <s v="VIP"/>
    <x v="0"/>
    <x v="0"/>
    <n v="1"/>
    <s v="FIBER VPN1 MBPS"/>
    <m/>
    <n v="1"/>
    <n v="90000"/>
    <n v="90000"/>
    <s v="Monthly"/>
    <d v="2026-02-28T00:00:00"/>
    <x v="7"/>
    <x v="6"/>
    <n v="-967"/>
    <x v="1"/>
    <x v="2"/>
    <s v="Willy Nsabiyumva"/>
    <s v="willy.nsabiyumva@nida.gov.rw"/>
    <s v="0788-448-551"/>
    <m/>
    <m/>
    <m/>
  </r>
  <r>
    <s v="C001694"/>
    <x v="60"/>
    <s v="VPN Link btn NID HQ &amp; AoS (CRSV Servers)"/>
    <s v="Gasabo"/>
    <x v="0"/>
    <x v="0"/>
    <s v="VIP"/>
    <x v="0"/>
    <x v="0"/>
    <n v="2"/>
    <s v="FIBER VPN 2MBPS"/>
    <m/>
    <n v="1"/>
    <n v="150000"/>
    <n v="150000"/>
    <s v="Monthly"/>
    <d v="2026-02-28T00:00:00"/>
    <x v="7"/>
    <x v="6"/>
    <n v="-967"/>
    <x v="1"/>
    <x v="2"/>
    <s v="Willy Nsabiyumva"/>
    <s v="willy.nsabiyumva@nida.gov.rw"/>
    <s v="0788-448-551"/>
    <m/>
    <m/>
    <m/>
  </r>
  <r>
    <s v="C001694"/>
    <x v="60"/>
    <s v="VPN link btn NIDA &amp; AoS (NDC)"/>
    <s v="Gasabo"/>
    <x v="0"/>
    <x v="0"/>
    <s v="VIP"/>
    <x v="0"/>
    <x v="0"/>
    <n v="10"/>
    <s v="FIBER VPN 10MBPS"/>
    <m/>
    <n v="1"/>
    <n v="510000"/>
    <n v="510000"/>
    <s v="Monthly"/>
    <d v="2026-02-28T00:00:00"/>
    <x v="7"/>
    <x v="6"/>
    <n v="-967"/>
    <x v="1"/>
    <x v="2"/>
    <s v="Willy Nsabiyumva"/>
    <s v="willy.nsabiyumva@nida.gov.rw"/>
    <s v="0788-448-551"/>
    <m/>
    <m/>
    <m/>
  </r>
  <r>
    <s v="C001694"/>
    <x v="60"/>
    <s v="NATIONAL ID PROJECT (NID) HQ."/>
    <s v="Gasabo"/>
    <x v="0"/>
    <x v="0"/>
    <s v="VIP"/>
    <x v="0"/>
    <x v="0"/>
    <n v="20"/>
    <s v="FIBER VPN 20MBPS"/>
    <m/>
    <n v="1"/>
    <n v="900000"/>
    <n v="900000"/>
    <s v="Monthly"/>
    <d v="2026-02-28T00:00:00"/>
    <x v="7"/>
    <x v="6"/>
    <n v="-967"/>
    <x v="1"/>
    <x v="2"/>
    <s v="Willy Nsabiyumva"/>
    <s v="willy.nsabiyumva@nida.gov.rw"/>
    <s v="0788-448-551"/>
    <m/>
    <m/>
    <m/>
  </r>
  <r>
    <s v="C001694"/>
    <x v="60"/>
    <s v="NATIONAL IDENTIFICATION AGENCY(NIDA)"/>
    <s v="Gasabo"/>
    <x v="0"/>
    <x v="0"/>
    <s v="VIP"/>
    <x v="0"/>
    <x v="6"/>
    <m/>
    <s v=" 4G MUP 4GB/DAY "/>
    <m/>
    <n v="2"/>
    <n v="45338.98"/>
    <n v="90677.96"/>
    <s v="Monthly"/>
    <d v="2026-02-28T00:00:00"/>
    <x v="7"/>
    <x v="6"/>
    <n v="-967"/>
    <x v="1"/>
    <x v="2"/>
    <s v="Willy Nsabiyumva"/>
    <s v="willy.nsabiyumva@nida.gov.rw"/>
    <s v="0788-448-551"/>
    <m/>
    <m/>
    <m/>
  </r>
  <r>
    <s v="C001695"/>
    <x v="61"/>
    <s v="NISR - Training center."/>
    <s v="Nyarugenge"/>
    <x v="0"/>
    <x v="0"/>
    <s v="Standard"/>
    <x v="0"/>
    <x v="0"/>
    <n v="40"/>
    <s v="FIBER VPN 40MBPS"/>
    <m/>
    <n v="1"/>
    <n v="1530000"/>
    <n v="1530000"/>
    <s v="Monthly"/>
    <d v="2023-06-30T00:00:00"/>
    <x v="1"/>
    <x v="3"/>
    <n v="7"/>
    <x v="0"/>
    <x v="2"/>
    <s v="Jimmy Mukasa"/>
    <s v="jimmy.mukasa@statistics.gov.rw"/>
    <s v="788-761-146"/>
    <m/>
    <m/>
    <m/>
  </r>
  <r>
    <s v="C001695"/>
    <x v="61"/>
    <s v="NISR HQ."/>
    <s v="Nyarugenge"/>
    <x v="0"/>
    <x v="0"/>
    <s v="Standard"/>
    <x v="0"/>
    <x v="0"/>
    <n v="40"/>
    <s v="FIBER VPN 40MBPS"/>
    <m/>
    <n v="1"/>
    <n v="1530000"/>
    <n v="1530000"/>
    <s v="Monthly"/>
    <d v="2023-06-30T00:00:00"/>
    <x v="1"/>
    <x v="3"/>
    <n v="7"/>
    <x v="0"/>
    <x v="2"/>
    <s v="Jimmy Mukasa"/>
    <s v="jimmy.mukasa@statistics.gov.rw"/>
    <s v="788-761-146"/>
    <m/>
    <m/>
    <m/>
  </r>
  <r>
    <s v="C001695"/>
    <x v="61"/>
    <s v="NISR HQ."/>
    <s v="Nyarugenge"/>
    <x v="0"/>
    <x v="0"/>
    <s v="Standard"/>
    <x v="3"/>
    <x v="7"/>
    <m/>
    <s v="MSS GOLD"/>
    <m/>
    <n v="1"/>
    <n v="369325.42"/>
    <n v="369325.42"/>
    <s v="Monthly"/>
    <d v="2023-06-30T00:00:00"/>
    <x v="1"/>
    <x v="3"/>
    <n v="7"/>
    <x v="0"/>
    <x v="2"/>
    <s v="Jimmy Mukasa"/>
    <s v="jimmy.mukasa@statistics.gov.rw"/>
    <s v="788-761-146"/>
    <m/>
    <m/>
    <m/>
  </r>
  <r>
    <s v="C001695"/>
    <x v="61"/>
    <s v="NISR - Training center."/>
    <s v="Nyarugenge"/>
    <x v="0"/>
    <x v="0"/>
    <s v="Standard"/>
    <x v="3"/>
    <x v="7"/>
    <m/>
    <s v="MSS GOLD"/>
    <m/>
    <n v="1"/>
    <n v="369325.42"/>
    <n v="369325.42"/>
    <s v="Monthly"/>
    <d v="2023-06-30T00:00:00"/>
    <x v="1"/>
    <x v="3"/>
    <n v="7"/>
    <x v="0"/>
    <x v="2"/>
    <s v="Jimmy Mukasa"/>
    <s v="jimmy.mukasa@statistics.gov.rw"/>
    <s v="788-761-146"/>
    <m/>
    <m/>
    <m/>
  </r>
  <r>
    <s v="C001828"/>
    <x v="62"/>
    <s v="VC Service"/>
    <s v="Gasabo"/>
    <x v="0"/>
    <x v="11"/>
    <s v="Standard"/>
    <x v="1"/>
    <x v="10"/>
    <m/>
    <s v="Videoconferencing Services: 1 Unit"/>
    <m/>
    <n v="1"/>
    <n v="258045"/>
    <n v="258045"/>
    <s v="Monthly"/>
    <d v="2023-06-30T00:00:00"/>
    <x v="1"/>
    <x v="3"/>
    <n v="7"/>
    <x v="0"/>
    <x v="1"/>
    <s v="Sosthene Nsabimaba"/>
    <s v="sosthene.nsabimana@nppa.gov.rw"/>
    <s v="0 783 332 059"/>
    <m/>
    <m/>
    <m/>
  </r>
  <r>
    <s v="C001828"/>
    <x v="62"/>
    <s v="VOIP Service"/>
    <s v="Gasabo"/>
    <x v="0"/>
    <x v="11"/>
    <s v="Standard"/>
    <x v="1"/>
    <x v="3"/>
    <m/>
    <s v="VoIP PHONES 41-70"/>
    <m/>
    <n v="1"/>
    <n v="189000"/>
    <n v="189000"/>
    <s v="Monthly"/>
    <d v="2023-06-30T00:00:00"/>
    <x v="1"/>
    <x v="3"/>
    <n v="7"/>
    <x v="0"/>
    <x v="1"/>
    <s v="Sosthene Nsabimaba"/>
    <s v="sosthene.nsabimana@nppa.gov.rw"/>
    <s v="0 783 332 059"/>
    <m/>
    <m/>
    <m/>
  </r>
  <r>
    <s v="C001833"/>
    <x v="63"/>
    <s v="NPPA Ngoma 4G Service"/>
    <s v="Kicukiro"/>
    <x v="0"/>
    <x v="11"/>
    <s v="Standard"/>
    <x v="0"/>
    <x v="6"/>
    <m/>
    <s v="4G ONE NETWORK 5MBPS"/>
    <m/>
    <n v="1"/>
    <n v="101694.91525400001"/>
    <n v="101694.91525400001"/>
    <s v="Monthly"/>
    <d v="2023-06-30T00:00:00"/>
    <x v="1"/>
    <x v="3"/>
    <n v="7"/>
    <x v="0"/>
    <x v="1"/>
    <s v="Boniface Niyirora"/>
    <s v="boniface.niyirora@nppa.gov.rw"/>
    <s v="0 783 500 827"/>
    <m/>
    <m/>
    <m/>
  </r>
  <r>
    <s v="C002282"/>
    <x v="64"/>
    <s v="REB SCHOOLS"/>
    <s v="Gasabo"/>
    <x v="0"/>
    <x v="4"/>
    <s v="VIP"/>
    <x v="0"/>
    <x v="0"/>
    <n v="240"/>
    <s v="FIBER VPN 5MBPS"/>
    <m/>
    <n v="48"/>
    <n v="270000"/>
    <n v="12960000"/>
    <s v="Monthly"/>
    <d v="2023-06-30T00:00:00"/>
    <x v="1"/>
    <x v="3"/>
    <n v="7"/>
    <x v="0"/>
    <x v="6"/>
    <s v="Seth Buhigiro"/>
    <s v="sbuhigiro@reb.rw"/>
    <s v="0788743202"/>
    <m/>
    <m/>
    <m/>
  </r>
  <r>
    <s v="C002282"/>
    <x v="64"/>
    <s v="REB SCHOOLS (REB 100K + RISA 45k)"/>
    <s v="Gasabo"/>
    <x v="0"/>
    <x v="4"/>
    <s v="VIP"/>
    <x v="0"/>
    <x v="6"/>
    <m/>
    <s v="4G ONE NETWORK 15MBPS"/>
    <m/>
    <n v="1358"/>
    <n v="122881.3559322034"/>
    <n v="166872881.35593221"/>
    <s v="Monthly"/>
    <d v="2023-06-30T00:00:00"/>
    <x v="1"/>
    <x v="3"/>
    <n v="7"/>
    <x v="0"/>
    <x v="6"/>
    <s v="Seth Buhigiro"/>
    <s v="sbuhigiro@reb.rw"/>
    <s v="0788743202"/>
    <m/>
    <m/>
    <m/>
  </r>
  <r>
    <s v="C002295"/>
    <x v="65"/>
    <s v="Interpol Cyanika"/>
    <s v="Gicumbi"/>
    <x v="0"/>
    <x v="3"/>
    <s v="VIP"/>
    <x v="0"/>
    <x v="0"/>
    <n v="1"/>
    <s v="FIBER VPN1 MBPS"/>
    <m/>
    <n v="1"/>
    <n v="83700"/>
    <n v="83700"/>
    <s v="Monthly"/>
    <d v="2023-06-30T00:00:00"/>
    <x v="1"/>
    <x v="3"/>
    <n v="7"/>
    <x v="0"/>
    <x v="2"/>
    <s v="Modeste Nshimiyimana"/>
    <s v="dict@rib.gov.rw"/>
    <s v="0788310027/0788380425"/>
    <m/>
    <m/>
    <m/>
  </r>
  <r>
    <s v="C002295"/>
    <x v="65"/>
    <s v="Interpoli Gatuna"/>
    <s v="Gicumbi"/>
    <x v="0"/>
    <x v="3"/>
    <s v="VIP"/>
    <x v="0"/>
    <x v="0"/>
    <n v="1"/>
    <s v="FIBER VPN1 MBPS"/>
    <m/>
    <n v="1"/>
    <n v="83700"/>
    <n v="83700"/>
    <s v="Monthly"/>
    <d v="2023-06-30T00:00:00"/>
    <x v="1"/>
    <x v="3"/>
    <n v="7"/>
    <x v="0"/>
    <x v="2"/>
    <s v="Modeste Nshimiyimana"/>
    <s v="dict@rib.gov.rw"/>
    <s v="0788310027/0788380425"/>
    <m/>
    <m/>
    <m/>
  </r>
  <r>
    <s v="C002295"/>
    <x v="65"/>
    <s v="Interpol Kanombe Airport"/>
    <s v="Kicukiro"/>
    <x v="0"/>
    <x v="3"/>
    <s v="VIP"/>
    <x v="0"/>
    <x v="0"/>
    <n v="1"/>
    <s v="FIBER VPN1 MBPS"/>
    <m/>
    <n v="1"/>
    <n v="83700"/>
    <n v="83700"/>
    <s v="Monthly"/>
    <d v="2023-06-30T00:00:00"/>
    <x v="1"/>
    <x v="3"/>
    <n v="7"/>
    <x v="0"/>
    <x v="2"/>
    <s v="Modeste Nshimiyimana"/>
    <s v="dict@rib.gov.rw"/>
    <s v="0788310027/0788380425"/>
    <m/>
    <m/>
    <m/>
  </r>
  <r>
    <s v="C002295"/>
    <x v="65"/>
    <s v="Interpol Akanyaru"/>
    <s v="Kirehe"/>
    <x v="0"/>
    <x v="3"/>
    <s v="VIP"/>
    <x v="0"/>
    <x v="0"/>
    <n v="1"/>
    <s v="FIBER VPN1 MBPS"/>
    <m/>
    <n v="1"/>
    <n v="83700"/>
    <n v="83700"/>
    <s v="Monthly"/>
    <d v="2023-06-30T00:00:00"/>
    <x v="1"/>
    <x v="3"/>
    <n v="7"/>
    <x v="0"/>
    <x v="2"/>
    <s v="Modeste Nshimiyimana"/>
    <s v="dict@rib.gov.rw"/>
    <s v="0788310027/0788380425"/>
    <m/>
    <m/>
    <m/>
  </r>
  <r>
    <s v="C002295"/>
    <x v="65"/>
    <s v="Interpol Rusumo"/>
    <s v="Kirehe"/>
    <x v="0"/>
    <x v="3"/>
    <s v="VIP"/>
    <x v="0"/>
    <x v="0"/>
    <n v="1"/>
    <s v="FIBER VPN1 MBPS"/>
    <m/>
    <n v="1"/>
    <n v="83700"/>
    <n v="83700"/>
    <s v="Monthly"/>
    <d v="2023-06-30T00:00:00"/>
    <x v="1"/>
    <x v="3"/>
    <n v="7"/>
    <x v="0"/>
    <x v="2"/>
    <s v="Modeste Nshimiyimana"/>
    <s v="dict@rib.gov.rw"/>
    <s v="0788310027/0788380425"/>
    <m/>
    <m/>
    <m/>
  </r>
  <r>
    <s v="C002295"/>
    <x v="65"/>
    <s v="Interpol Kagitumba"/>
    <s v="Nyagatare"/>
    <x v="0"/>
    <x v="3"/>
    <s v="VIP"/>
    <x v="0"/>
    <x v="0"/>
    <n v="1"/>
    <s v="FIBER VPN1 MBPS"/>
    <m/>
    <n v="1"/>
    <n v="83700"/>
    <n v="83700"/>
    <s v="Monthly"/>
    <d v="2023-06-30T00:00:00"/>
    <x v="1"/>
    <x v="3"/>
    <n v="7"/>
    <x v="0"/>
    <x v="2"/>
    <s v="Modeste Nshimiyimana"/>
    <s v="dict@rib.gov.rw"/>
    <s v="0788310027/0788380425"/>
    <m/>
    <m/>
    <m/>
  </r>
  <r>
    <s v="C002295"/>
    <x v="65"/>
    <s v="Interpol Nemba"/>
    <s v="Nyamasheke"/>
    <x v="0"/>
    <x v="3"/>
    <s v="VIP"/>
    <x v="0"/>
    <x v="0"/>
    <n v="1"/>
    <s v="FIBER VPN1 MBPS"/>
    <m/>
    <n v="1"/>
    <n v="83700"/>
    <n v="83700"/>
    <s v="Monthly"/>
    <d v="2023-06-30T00:00:00"/>
    <x v="1"/>
    <x v="3"/>
    <n v="7"/>
    <x v="0"/>
    <x v="2"/>
    <s v="Modeste Nshimiyimana"/>
    <s v="dict@rib.gov.rw"/>
    <s v="0788310027/0788380425"/>
    <m/>
    <m/>
    <m/>
  </r>
  <r>
    <s v="C002295"/>
    <x v="65"/>
    <s v="Interpol Ruhwa"/>
    <s v="Nyamasheke"/>
    <x v="0"/>
    <x v="3"/>
    <s v="VIP"/>
    <x v="0"/>
    <x v="0"/>
    <n v="1"/>
    <s v="FIBER VPN1 MBPS"/>
    <m/>
    <n v="1"/>
    <n v="83700"/>
    <n v="83700"/>
    <s v="Monthly"/>
    <d v="2023-06-30T00:00:00"/>
    <x v="1"/>
    <x v="3"/>
    <n v="7"/>
    <x v="0"/>
    <x v="2"/>
    <s v="Modeste Nshimiyimana"/>
    <s v="dict@rib.gov.rw"/>
    <s v="0788310027/0788380425"/>
    <m/>
    <m/>
    <m/>
  </r>
  <r>
    <s v="C002295"/>
    <x v="65"/>
    <s v="Interpol Rubavu Grande Barriere"/>
    <s v="Rubavu"/>
    <x v="0"/>
    <x v="3"/>
    <s v="VIP"/>
    <x v="0"/>
    <x v="0"/>
    <n v="1"/>
    <s v="FIBER VPN1 MBPS"/>
    <m/>
    <n v="1"/>
    <n v="83700"/>
    <n v="83700"/>
    <s v="Monthly"/>
    <d v="2023-06-30T00:00:00"/>
    <x v="1"/>
    <x v="3"/>
    <n v="7"/>
    <x v="0"/>
    <x v="2"/>
    <s v="Modeste Nshimiyimana"/>
    <s v="dict@rib.gov.rw"/>
    <s v="0788310027/0788380425"/>
    <m/>
    <m/>
    <m/>
  </r>
  <r>
    <s v="C002295"/>
    <x v="65"/>
    <s v="Interpol Rubavu Petite Barriere"/>
    <s v="Rubavu"/>
    <x v="0"/>
    <x v="3"/>
    <s v="VIP"/>
    <x v="0"/>
    <x v="0"/>
    <n v="1"/>
    <s v="FIBER VPN1 MBPS"/>
    <m/>
    <n v="1"/>
    <n v="83700"/>
    <n v="83700"/>
    <s v="Monthly"/>
    <d v="2023-06-30T00:00:00"/>
    <x v="1"/>
    <x v="3"/>
    <n v="7"/>
    <x v="0"/>
    <x v="2"/>
    <s v="Modeste Nshimiyimana"/>
    <s v="dict@rib.gov.rw"/>
    <s v="0788310027/0788380425"/>
    <m/>
    <m/>
    <m/>
  </r>
  <r>
    <s v="C002295"/>
    <x v="65"/>
    <s v="Interpol Bugarama"/>
    <s v="Rusizi"/>
    <x v="0"/>
    <x v="3"/>
    <s v="VIP"/>
    <x v="0"/>
    <x v="0"/>
    <n v="1"/>
    <s v="FIBER VPN1 MBPS"/>
    <m/>
    <n v="1"/>
    <n v="83700"/>
    <n v="83700"/>
    <s v="Monthly"/>
    <d v="2023-06-30T00:00:00"/>
    <x v="1"/>
    <x v="3"/>
    <n v="7"/>
    <x v="0"/>
    <x v="2"/>
    <s v="Modeste Nshimiyimana"/>
    <s v="dict@rib.gov.rw"/>
    <s v="0788310027/0788380425"/>
    <m/>
    <m/>
    <m/>
  </r>
  <r>
    <s v="C002295"/>
    <x v="65"/>
    <s v="Interpol Rusizi 1"/>
    <s v="Rusizi"/>
    <x v="0"/>
    <x v="3"/>
    <s v="VIP"/>
    <x v="0"/>
    <x v="0"/>
    <n v="1"/>
    <s v="FIBER VPN1 MBPS"/>
    <m/>
    <n v="1"/>
    <n v="83700"/>
    <n v="83700"/>
    <s v="Monthly"/>
    <d v="2023-06-30T00:00:00"/>
    <x v="1"/>
    <x v="3"/>
    <n v="7"/>
    <x v="0"/>
    <x v="2"/>
    <s v="Modeste Nshimiyimana"/>
    <s v="dict@rib.gov.rw"/>
    <s v="0788310027/0788380425"/>
    <m/>
    <m/>
    <m/>
  </r>
  <r>
    <s v="C002295"/>
    <x v="65"/>
    <s v="Interpol Rusizi 2"/>
    <s v="Rusizi"/>
    <x v="0"/>
    <x v="3"/>
    <s v="VIP"/>
    <x v="0"/>
    <x v="0"/>
    <n v="1"/>
    <s v="FIBER VPN1 MBPS"/>
    <m/>
    <n v="1"/>
    <n v="83700"/>
    <n v="83700"/>
    <s v="Monthly"/>
    <d v="2023-06-30T00:00:00"/>
    <x v="1"/>
    <x v="3"/>
    <n v="7"/>
    <x v="0"/>
    <x v="2"/>
    <s v="Modeste Nshimiyimana"/>
    <s v="dict@rib.gov.rw"/>
    <s v="0788310027/0788380425"/>
    <m/>
    <m/>
    <m/>
  </r>
  <r>
    <s v="C002295"/>
    <x v="65"/>
    <s v="Nyarutarama branch."/>
    <s v="Gasabo"/>
    <x v="0"/>
    <x v="3"/>
    <s v="VIP"/>
    <x v="0"/>
    <x v="0"/>
    <n v="5"/>
    <s v="FIBER VPN 5MBPS"/>
    <m/>
    <n v="1"/>
    <n v="270000"/>
    <n v="270000"/>
    <s v="Monthly"/>
    <d v="2023-06-30T00:00:00"/>
    <x v="1"/>
    <x v="3"/>
    <n v="7"/>
    <x v="0"/>
    <x v="2"/>
    <s v="Modeste Nshimiyimana"/>
    <s v="dict@rib.gov.rw"/>
    <s v="0788310027/0788380425"/>
    <m/>
    <m/>
    <m/>
  </r>
  <r>
    <s v="C002295"/>
    <x v="65"/>
    <s v="Datacenter VPN link."/>
    <s v="Gasabo"/>
    <x v="0"/>
    <x v="3"/>
    <s v="VIP"/>
    <x v="0"/>
    <x v="0"/>
    <n v="10"/>
    <s v="FIBER VPN 10MBPS"/>
    <m/>
    <n v="1"/>
    <n v="510000"/>
    <n v="510000"/>
    <s v="Monthly"/>
    <d v="2023-06-30T00:00:00"/>
    <x v="1"/>
    <x v="3"/>
    <n v="7"/>
    <x v="0"/>
    <x v="2"/>
    <s v="Modeste Nshimiyimana"/>
    <s v="dict@rib.gov.rw"/>
    <s v="0788310027/0788380425"/>
    <m/>
    <m/>
    <m/>
  </r>
  <r>
    <s v="C002295"/>
    <x v="65"/>
    <s v="Kicukiro GBV."/>
    <s v="Kicukiro"/>
    <x v="0"/>
    <x v="3"/>
    <s v="VIP"/>
    <x v="0"/>
    <x v="0"/>
    <n v="10"/>
    <s v="FIBER VPN 10MBPS"/>
    <m/>
    <n v="1"/>
    <n v="510000"/>
    <n v="510000"/>
    <s v="Monthly"/>
    <d v="2023-06-30T00:00:00"/>
    <x v="1"/>
    <x v="3"/>
    <n v="7"/>
    <x v="0"/>
    <x v="2"/>
    <s v="Modeste Nshimiyimana"/>
    <s v="dict@rib.gov.rw"/>
    <s v="0788310027/0788380425"/>
    <m/>
    <m/>
    <m/>
  </r>
  <r>
    <s v="C002295"/>
    <x v="65"/>
    <s v="Gitega Branch."/>
    <s v="Nyarugenge"/>
    <x v="0"/>
    <x v="3"/>
    <s v="VIP"/>
    <x v="0"/>
    <x v="0"/>
    <n v="10"/>
    <s v="FIBER VPN 10MBPS"/>
    <m/>
    <n v="1"/>
    <n v="510000"/>
    <n v="510000"/>
    <s v="Monthly"/>
    <d v="2023-06-30T00:00:00"/>
    <x v="1"/>
    <x v="3"/>
    <n v="7"/>
    <x v="0"/>
    <x v="2"/>
    <s v="Modeste Nshimiyimana"/>
    <s v="dict@rib.gov.rw"/>
    <s v="0788310027/0788380425"/>
    <m/>
    <m/>
    <m/>
  </r>
  <r>
    <s v="C002295"/>
    <x v="65"/>
    <s v="Kiyovu branch."/>
    <s v="Nyarugenge"/>
    <x v="0"/>
    <x v="3"/>
    <s v="VIP"/>
    <x v="0"/>
    <x v="0"/>
    <n v="15"/>
    <s v="FIBER VPN 15MBPS"/>
    <m/>
    <n v="1"/>
    <n v="720000"/>
    <n v="720000"/>
    <s v="Monthly"/>
    <d v="2023-06-30T00:00:00"/>
    <x v="1"/>
    <x v="3"/>
    <n v="7"/>
    <x v="0"/>
    <x v="2"/>
    <s v="Modeste Nshimiyimana"/>
    <s v="dict@rib.gov.rw"/>
    <s v="0788310027/0788380425"/>
    <m/>
    <m/>
    <m/>
  </r>
  <r>
    <s v="C002295"/>
    <x v="65"/>
    <s v="RIB HQ."/>
    <s v="Gasabo"/>
    <x v="0"/>
    <x v="3"/>
    <s v="VIP"/>
    <x v="0"/>
    <x v="0"/>
    <n v="52"/>
    <s v="FIBER VPN 52MBPS"/>
    <m/>
    <n v="1"/>
    <n v="1872000"/>
    <n v="1872000"/>
    <s v="Monthly"/>
    <d v="2023-06-30T00:00:00"/>
    <x v="1"/>
    <x v="3"/>
    <n v="7"/>
    <x v="0"/>
    <x v="2"/>
    <s v="Modeste Nshimiyimana"/>
    <s v="dict@rib.gov.rw"/>
    <s v="0788310027/0788380425"/>
    <m/>
    <m/>
    <m/>
  </r>
  <r>
    <s v="C002317"/>
    <x v="66"/>
    <s v="RMI Karongi"/>
    <s v="Karongi"/>
    <x v="0"/>
    <x v="0"/>
    <s v="Standard"/>
    <x v="0"/>
    <x v="0"/>
    <n v="3"/>
    <s v="FIBER VPN 3MBPS"/>
    <m/>
    <n v="1"/>
    <n v="180000"/>
    <n v="180000"/>
    <s v="Monthly"/>
    <d v="2023-06-30T00:00:00"/>
    <x v="1"/>
    <x v="3"/>
    <n v="7"/>
    <x v="0"/>
    <x v="4"/>
    <s v="Christine"/>
    <s v="christine.uzamukunda@rmi.rw"/>
    <n v="788447575"/>
    <m/>
    <m/>
    <m/>
  </r>
  <r>
    <s v="C002317"/>
    <x v="66"/>
    <s v="RMI Kayonza"/>
    <s v="Kayonza"/>
    <x v="0"/>
    <x v="0"/>
    <s v="Standard"/>
    <x v="0"/>
    <x v="0"/>
    <n v="3"/>
    <s v="FIBER VPN 3MBPS"/>
    <m/>
    <n v="1"/>
    <n v="180000"/>
    <n v="180000"/>
    <s v="Monthly"/>
    <d v="2023-06-30T00:00:00"/>
    <x v="1"/>
    <x v="3"/>
    <n v="7"/>
    <x v="0"/>
    <x v="4"/>
    <s v="Christine"/>
    <s v="christine.uzamukunda@rmi.rw"/>
    <n v="788447574"/>
    <m/>
    <m/>
    <m/>
  </r>
  <r>
    <s v="C002317"/>
    <x v="66"/>
    <s v="RMI Musanze"/>
    <s v="Musanze"/>
    <x v="0"/>
    <x v="0"/>
    <s v="Standard"/>
    <x v="0"/>
    <x v="0"/>
    <n v="3"/>
    <s v="FIBER VPN 3MBPS"/>
    <m/>
    <n v="1"/>
    <n v="180000"/>
    <n v="180000"/>
    <s v="Monthly"/>
    <d v="2023-06-30T00:00:00"/>
    <x v="1"/>
    <x v="3"/>
    <n v="7"/>
    <x v="0"/>
    <x v="4"/>
    <s v="Christine"/>
    <s v="christine.uzamukunda@rmi.rw"/>
    <n v="788447573"/>
    <m/>
    <m/>
    <m/>
  </r>
  <r>
    <s v="C002317"/>
    <x v="66"/>
    <s v="RMI Nyanza"/>
    <s v="Nyanza"/>
    <x v="0"/>
    <x v="0"/>
    <s v="Standard"/>
    <x v="0"/>
    <x v="0"/>
    <n v="3"/>
    <s v="FIBER VPN 3MBPS"/>
    <m/>
    <n v="1"/>
    <n v="180000"/>
    <n v="180000"/>
    <s v="Monthly"/>
    <d v="2023-06-30T00:00:00"/>
    <x v="1"/>
    <x v="3"/>
    <n v="7"/>
    <x v="0"/>
    <x v="4"/>
    <s v="Christine"/>
    <s v="christine.uzamukunda@rmi.rw"/>
    <n v="788447572"/>
    <m/>
    <m/>
    <m/>
  </r>
  <r>
    <s v="C002317"/>
    <x v="66"/>
    <s v="RMI Muhima"/>
    <s v="Nyarugenge"/>
    <x v="0"/>
    <x v="0"/>
    <s v="Standard"/>
    <x v="0"/>
    <x v="0"/>
    <n v="5"/>
    <s v="FIBER VPN 5MBPS"/>
    <m/>
    <n v="1"/>
    <n v="270000"/>
    <n v="270000"/>
    <s v="Monthly"/>
    <d v="2023-06-30T00:00:00"/>
    <x v="1"/>
    <x v="3"/>
    <n v="7"/>
    <x v="0"/>
    <x v="4"/>
    <s v="Christine"/>
    <s v="christine.uzamukunda@rmi.rw"/>
    <n v="788447571"/>
    <m/>
    <m/>
    <m/>
  </r>
  <r>
    <s v="C002317"/>
    <x v="66"/>
    <s v="RMI Muhanga E-Learning"/>
    <s v="Muhanga"/>
    <x v="0"/>
    <x v="0"/>
    <s v="Standard"/>
    <x v="0"/>
    <x v="0"/>
    <n v="15"/>
    <s v="FIBER VPN 15MBPS"/>
    <m/>
    <n v="1"/>
    <n v="720000"/>
    <n v="720000"/>
    <s v="Monthly"/>
    <d v="2023-06-30T00:00:00"/>
    <x v="1"/>
    <x v="3"/>
    <n v="7"/>
    <x v="0"/>
    <x v="4"/>
    <s v="Christine"/>
    <s v="christine.uzamukunda@rmi.rw"/>
    <n v="788447569"/>
    <m/>
    <m/>
    <m/>
  </r>
  <r>
    <s v="C002317"/>
    <x v="66"/>
    <s v="MSS-Gold"/>
    <s v="Nyarugenge"/>
    <x v="0"/>
    <x v="0"/>
    <s v="Standard"/>
    <x v="3"/>
    <x v="7"/>
    <m/>
    <s v="MSS Gold"/>
    <m/>
    <n v="1"/>
    <n v="369325"/>
    <n v="369325"/>
    <s v="Monthly"/>
    <d v="2023-06-30T00:00:00"/>
    <x v="1"/>
    <x v="3"/>
    <n v="7"/>
    <x v="0"/>
    <x v="4"/>
    <s v="Christine"/>
    <s v="christine.uzamukunda@rmi.rw"/>
    <n v="788447570"/>
    <m/>
    <m/>
    <m/>
  </r>
  <r>
    <s v="C002317"/>
    <x v="66"/>
    <s v="RMI-4G"/>
    <s v="Nyarugenge"/>
    <x v="0"/>
    <x v="0"/>
    <s v="Standard"/>
    <x v="0"/>
    <x v="6"/>
    <m/>
    <s v="4G ONE NETWORK 5MBPS"/>
    <m/>
    <n v="4"/>
    <n v="101694.92"/>
    <n v="406779.68"/>
    <s v="Monthly"/>
    <d v="2023-06-30T00:00:00"/>
    <x v="1"/>
    <x v="3"/>
    <n v="7"/>
    <x v="0"/>
    <x v="4"/>
    <s v="Christine"/>
    <s v="christine.uzamukunda@rmi.rw"/>
    <n v="788447576"/>
    <m/>
    <m/>
    <m/>
  </r>
  <r>
    <s v="C002214"/>
    <x v="0"/>
    <s v="HQ"/>
    <s v="Rwamagana  "/>
    <x v="0"/>
    <x v="0"/>
    <s v="Standard"/>
    <x v="0"/>
    <x v="0"/>
    <n v="20"/>
    <s v="FIBER VPN 20MBPS"/>
    <m/>
    <n v="1"/>
    <n v="900000"/>
    <n v="900000"/>
    <s v="Monthly"/>
    <d v="2023-06-30T00:00:00"/>
    <x v="1"/>
    <x v="3"/>
    <n v="7"/>
    <x v="0"/>
    <x v="0"/>
    <s v="Jean Damascene Hagenimana"/>
    <s v="corporate@rwamagana.gov.rw"/>
    <s v="0788822178"/>
    <m/>
    <m/>
    <m/>
  </r>
  <r>
    <s v="C002214"/>
    <x v="0"/>
    <s v="HQ"/>
    <s v="Rwamagana  "/>
    <x v="0"/>
    <x v="0"/>
    <s v="Standard"/>
    <x v="1"/>
    <x v="10"/>
    <m/>
    <s v="VIDEO CONFERENCE"/>
    <m/>
    <n v="1"/>
    <n v="258044.92"/>
    <n v="258044.92"/>
    <s v="Monthly"/>
    <d v="2023-06-30T00:00:00"/>
    <x v="1"/>
    <x v="3"/>
    <n v="7"/>
    <x v="0"/>
    <x v="0"/>
    <s v="Jean Damascene Hagenimana"/>
    <s v="corporate@rwamagana.gov.rw"/>
    <s v="0788822178"/>
    <m/>
    <m/>
    <m/>
  </r>
  <r>
    <s v="C002214"/>
    <x v="0"/>
    <s v="HQ"/>
    <s v="Rwamagana  "/>
    <x v="0"/>
    <x v="0"/>
    <s v="Standard"/>
    <x v="3"/>
    <x v="7"/>
    <m/>
    <s v="MSS GOLD"/>
    <m/>
    <n v="1"/>
    <n v="369325.42"/>
    <n v="369325.42"/>
    <s v="Monthly"/>
    <d v="2023-06-30T00:00:00"/>
    <x v="1"/>
    <x v="3"/>
    <n v="7"/>
    <x v="0"/>
    <x v="0"/>
    <s v="Jean Damascene Hagenimana"/>
    <s v="corporate@rwamagana.gov.rw"/>
    <s v="0788822178"/>
    <m/>
    <m/>
    <m/>
  </r>
  <r>
    <s v="C002214"/>
    <x v="0"/>
    <s v="HQ"/>
    <s v="Rwamagana  "/>
    <x v="0"/>
    <x v="0"/>
    <s v="Standard"/>
    <x v="0"/>
    <x v="6"/>
    <m/>
    <s v="4G ONE NETWORK 3MBPS"/>
    <m/>
    <n v="36"/>
    <n v="81355.932203389835"/>
    <n v="2928813.559322034"/>
    <s v="Monthly"/>
    <d v="2023-06-30T00:00:00"/>
    <x v="1"/>
    <x v="3"/>
    <n v="7"/>
    <x v="0"/>
    <x v="0"/>
    <s v="Jean Damascene Hagenimana"/>
    <s v="corporate@rwamagana.gov.rw"/>
    <s v="0788822178"/>
    <m/>
    <m/>
    <m/>
  </r>
  <r>
    <s v="C002214"/>
    <x v="0"/>
    <s v="HQ"/>
    <s v="Rwamagana  "/>
    <x v="0"/>
    <x v="0"/>
    <s v="Standard"/>
    <x v="0"/>
    <x v="6"/>
    <m/>
    <s v="4G MUP 2GB/DAY"/>
    <m/>
    <n v="1"/>
    <n v="28305"/>
    <n v="28305"/>
    <s v="Monthly"/>
    <d v="2023-06-30T00:00:00"/>
    <x v="1"/>
    <x v="3"/>
    <n v="7"/>
    <x v="0"/>
    <x v="0"/>
    <s v="Jean Damascene Hagenimana"/>
    <s v="corporate@rwamagana.gov.rw"/>
    <s v="0788822178"/>
    <m/>
    <m/>
    <m/>
  </r>
  <r>
    <s v="C002214"/>
    <x v="0"/>
    <s v="HQ"/>
    <s v="Rwamagana  "/>
    <x v="0"/>
    <x v="0"/>
    <s v="Standard"/>
    <x v="0"/>
    <x v="6"/>
    <m/>
    <s v="4G MUP 1GB/DAY"/>
    <m/>
    <n v="72"/>
    <n v="19491.53"/>
    <n v="1403390.16"/>
    <s v="Monthly"/>
    <d v="2023-06-30T00:00:00"/>
    <x v="1"/>
    <x v="3"/>
    <n v="7"/>
    <x v="0"/>
    <x v="0"/>
    <s v="Jean Damascene Hagenimana"/>
    <s v="corporate@rwamagana.gov.rw"/>
    <s v="0788822178"/>
    <m/>
    <m/>
    <m/>
  </r>
  <r>
    <s v="C002546"/>
    <x v="67"/>
    <s v="HQ"/>
    <s v="Rwamagana  "/>
    <x v="1"/>
    <x v="2"/>
    <s v="Standard"/>
    <x v="1"/>
    <x v="5"/>
    <n v="3"/>
    <s v="FIBER INTERNET 3MBPS"/>
    <m/>
    <n v="1"/>
    <n v="346483.05084745761"/>
    <n v="346483.05084745761"/>
    <s v="Monthly"/>
    <d v="2023-06-30T00:00:00"/>
    <x v="1"/>
    <x v="3"/>
    <n v="7"/>
    <x v="0"/>
    <x v="0"/>
    <s v="Twaha Twagirimana"/>
    <s v="Twaha.Twagirimana@scatec.com "/>
    <s v="0788310149"/>
    <m/>
    <m/>
    <m/>
  </r>
  <r>
    <s v="C002792"/>
    <x v="68"/>
    <s v="TTC MURURU"/>
    <s v="Rusizi"/>
    <x v="0"/>
    <x v="4"/>
    <s v="Standard"/>
    <x v="0"/>
    <x v="0"/>
    <n v="3"/>
    <s v="fiber vpn 3mbps"/>
    <m/>
    <n v="1"/>
    <n v="180000"/>
    <n v="180000"/>
    <s v="Monthly"/>
    <d v="2023-06-30T00:00:00"/>
    <x v="1"/>
    <x v="3"/>
    <n v="7"/>
    <x v="0"/>
    <x v="4"/>
    <s v="Fr. Elie"/>
    <s v="mururuttc@gmail.com"/>
    <n v="787473746"/>
    <m/>
    <m/>
    <m/>
  </r>
  <r>
    <s v="C002865"/>
    <x v="69"/>
    <s v="UR HQ"/>
    <s v="Huye"/>
    <x v="0"/>
    <x v="0"/>
    <s v="VIP"/>
    <x v="0"/>
    <x v="0"/>
    <n v="1000"/>
    <s v="FIBER VPN 1000MBPS PRIV"/>
    <m/>
    <n v="1"/>
    <n v="20127118.644067798"/>
    <n v="20127118.644067798"/>
    <s v="Monthly"/>
    <d v="2023-06-30T00:00:00"/>
    <x v="1"/>
    <x v="3"/>
    <n v="7"/>
    <x v="0"/>
    <x v="4"/>
    <s v="Muzungu"/>
    <s v=" mzungukb@yahoo.com;cio@ur.ac.rw;'bmuzungu@ur.ac.rw'"/>
    <n v="788518565"/>
    <m/>
    <m/>
    <m/>
  </r>
  <r>
    <s v="C002865"/>
    <x v="69"/>
    <s v="Huye Campus"/>
    <s v="Huye"/>
    <x v="0"/>
    <x v="0"/>
    <s v="VIP"/>
    <x v="0"/>
    <x v="6"/>
    <m/>
    <s v="4G MUP 1GB/DAY"/>
    <m/>
    <n v="1"/>
    <n v="19491.53"/>
    <n v="19491.53"/>
    <s v="Monthly"/>
    <d v="2023-06-30T00:00:00"/>
    <x v="1"/>
    <x v="3"/>
    <n v="7"/>
    <x v="0"/>
    <x v="4"/>
    <s v="Muzungu"/>
    <s v=" mzungukb@yahoo.com;cio@ur.ac.rw;'bmuzungu@ur.ac.rw'"/>
    <n v="788518573"/>
    <m/>
    <m/>
    <m/>
  </r>
  <r>
    <s v="C002865"/>
    <x v="69"/>
    <s v="Rukara Campus"/>
    <s v="Kayonza"/>
    <x v="0"/>
    <x v="0"/>
    <s v="VIP"/>
    <x v="0"/>
    <x v="6"/>
    <m/>
    <s v="4G MUP 2GB/DAY"/>
    <m/>
    <n v="2"/>
    <n v="28305.084745762713"/>
    <n v="56610.169491525427"/>
    <s v="Monthly"/>
    <d v="2023-06-30T00:00:00"/>
    <x v="1"/>
    <x v="3"/>
    <n v="7"/>
    <x v="0"/>
    <x v="4"/>
    <s v="Muzungu"/>
    <s v=" mzungukb@yahoo.com;cio@ur.ac.rw;'bmuzungu@ur.ac.rw'"/>
    <n v="788518571"/>
    <m/>
    <m/>
    <m/>
  </r>
  <r>
    <s v="C002865"/>
    <x v="69"/>
    <s v="UNIVERSITY OF RWANDA - Remera Campus"/>
    <s v="Gasabo"/>
    <x v="0"/>
    <x v="0"/>
    <s v="VIP"/>
    <x v="0"/>
    <x v="6"/>
    <m/>
    <s v="4G MUP 1GB/DAY"/>
    <m/>
    <n v="3"/>
    <n v="19491.53"/>
    <n v="58474.59"/>
    <s v="Monthly"/>
    <d v="2023-06-30T00:00:00"/>
    <x v="1"/>
    <x v="3"/>
    <n v="7"/>
    <x v="0"/>
    <x v="4"/>
    <s v="Muzungu"/>
    <s v=" mzungukb@yahoo.com;cio@ur.ac.rw;'bmuzungu@ur.ac.rw'"/>
    <n v="788518564"/>
    <m/>
    <m/>
    <m/>
  </r>
  <r>
    <s v="C002865"/>
    <x v="69"/>
    <s v="Rukara Campus"/>
    <s v="Kayonza"/>
    <x v="0"/>
    <x v="0"/>
    <s v="VIP"/>
    <x v="0"/>
    <x v="6"/>
    <m/>
    <s v="4G MUP 1GB/DAY"/>
    <m/>
    <n v="3"/>
    <n v="19491.53"/>
    <n v="58474.59"/>
    <s v="Monthly"/>
    <d v="2023-06-30T00:00:00"/>
    <x v="1"/>
    <x v="3"/>
    <n v="7"/>
    <x v="0"/>
    <x v="4"/>
    <s v="Muzungu"/>
    <s v=" mzungukb@yahoo.com;cio@ur.ac.rw;'bmuzungu@ur.ac.rw'"/>
    <n v="788518570"/>
    <m/>
    <m/>
    <m/>
  </r>
  <r>
    <s v="C002453"/>
    <x v="70"/>
    <s v="HQ"/>
    <s v="Gasabo"/>
    <x v="1"/>
    <x v="2"/>
    <s v="Standard"/>
    <x v="1"/>
    <x v="5"/>
    <n v="20"/>
    <s v="FIBER INTERNET 20MBPS"/>
    <m/>
    <n v="1"/>
    <n v="1065000"/>
    <n v="1065000"/>
    <s v="Monthly"/>
    <d v="2023-06-30T00:00:00"/>
    <x v="1"/>
    <x v="3"/>
    <n v="7"/>
    <x v="0"/>
    <x v="0"/>
    <s v="Ingabire Ritah"/>
    <s v="ritah.ingabire@vw.rw  "/>
    <s v="0784728994"/>
    <m/>
    <m/>
    <m/>
  </r>
  <r>
    <s v="C000577"/>
    <x v="71"/>
    <s v="HQ"/>
    <s v="Nyarugenge"/>
    <x v="1"/>
    <x v="7"/>
    <s v="Standard"/>
    <x v="1"/>
    <x v="5"/>
    <n v="100"/>
    <s v="FIBER INTERNET 100MBPS"/>
    <m/>
    <n v="1"/>
    <n v="3600000"/>
    <n v="3600000"/>
    <s v="Monthly"/>
    <d v="2023-07-13T00:00:00"/>
    <x v="2"/>
    <x v="3"/>
    <n v="-6"/>
    <x v="2"/>
    <x v="7"/>
    <s v="Fabien NDAGIJIMANA"/>
    <s v="fndagijimana@edcl.reg.rw"/>
    <n v="788511688"/>
    <m/>
    <m/>
    <m/>
  </r>
  <r>
    <s v="C000577"/>
    <x v="71"/>
    <s v="HQ"/>
    <s v="Nyarugenge"/>
    <x v="1"/>
    <x v="7"/>
    <s v="Standard"/>
    <x v="3"/>
    <x v="7"/>
    <m/>
    <s v="MSS GOLD"/>
    <m/>
    <n v="1"/>
    <n v="369325.42"/>
    <n v="369325.42"/>
    <s v="Monthly"/>
    <d v="2023-07-13T00:00:00"/>
    <x v="2"/>
    <x v="3"/>
    <n v="-6"/>
    <x v="2"/>
    <x v="7"/>
    <s v="Fabien NDAGIJIMANA"/>
    <s v="fndagijimana@edcl.reg.rw"/>
    <n v="788511688"/>
    <m/>
    <m/>
    <m/>
  </r>
  <r>
    <s v="C000577"/>
    <x v="71"/>
    <s v="HQ"/>
    <s v="Nyarugenge"/>
    <x v="1"/>
    <x v="7"/>
    <s v="Standard"/>
    <x v="0"/>
    <x v="6"/>
    <m/>
    <s v="4G MUP 10GB/DAY 118, 500"/>
    <m/>
    <n v="3"/>
    <n v="100423.73"/>
    <n v="301271.19"/>
    <s v="Monthly"/>
    <d v="2023-07-13T00:00:00"/>
    <x v="2"/>
    <x v="3"/>
    <n v="-6"/>
    <x v="2"/>
    <x v="7"/>
    <s v="Fabien NDAGIJIMANA"/>
    <s v="fndagijimana@edcl.reg.rw"/>
    <n v="788511688"/>
    <m/>
    <m/>
    <m/>
  </r>
  <r>
    <s v="C004054"/>
    <x v="72"/>
    <s v="MSS Gold"/>
    <s v="Gasabo"/>
    <x v="0"/>
    <x v="0"/>
    <s v="Standard"/>
    <x v="1"/>
    <x v="7"/>
    <m/>
    <s v="MSS Gold Package"/>
    <m/>
    <n v="1"/>
    <n v="369325"/>
    <n v="369325"/>
    <s v="Monthly"/>
    <d v="2023-07-14T00:00:00"/>
    <x v="2"/>
    <x v="3"/>
    <n v="-7"/>
    <x v="2"/>
    <x v="1"/>
    <s v="Pacifique Niyonkuru"/>
    <s v="nipacifique@rgb.rw"/>
    <s v="0 788 523 853 "/>
    <m/>
    <m/>
    <m/>
  </r>
  <r>
    <s v="C001067"/>
    <x v="73"/>
    <s v="KACYIRU-MAIN BRANCH"/>
    <s v="Gasabo"/>
    <x v="0"/>
    <x v="6"/>
    <s v="Standard"/>
    <x v="0"/>
    <x v="0"/>
    <n v="5"/>
    <s v="FIBER VPN 5MBPS"/>
    <m/>
    <n v="1"/>
    <n v="270000"/>
    <n v="270000"/>
    <s v="Monthly"/>
    <d v="2023-07-28T00:00:00"/>
    <x v="2"/>
    <x v="3"/>
    <n v="-21"/>
    <x v="2"/>
    <x v="6"/>
    <s v="MUKANKURANGA Janviere"/>
    <s v="kacyiru.hospital@moh.gov.rw"/>
    <n v="788989730"/>
    <m/>
    <m/>
    <m/>
  </r>
  <r>
    <s v="C001067"/>
    <x v="73"/>
    <s v="KACYIRU-MAIN BRANCH"/>
    <s v="Gasabo"/>
    <x v="0"/>
    <x v="6"/>
    <s v="Standard"/>
    <x v="0"/>
    <x v="0"/>
    <n v="10"/>
    <s v="FIBER VPN 10MBPS"/>
    <m/>
    <n v="1"/>
    <n v="510000"/>
    <n v="510000"/>
    <s v="Monthly"/>
    <d v="2023-07-28T00:00:00"/>
    <x v="2"/>
    <x v="3"/>
    <n v="-21"/>
    <x v="2"/>
    <x v="6"/>
    <s v="MUKANKURANGA Janviere"/>
    <s v="kacyiru.hospital@moh.gov.rw"/>
    <n v="788989730"/>
    <m/>
    <m/>
    <m/>
  </r>
  <r>
    <s v="C002282"/>
    <x v="64"/>
    <s v="REB-MAIN BRANCH"/>
    <s v="Gasabo"/>
    <x v="0"/>
    <x v="4"/>
    <s v="VIP"/>
    <x v="0"/>
    <x v="0"/>
    <n v="30"/>
    <s v="FIBER VPN 30MBPS"/>
    <m/>
    <n v="1"/>
    <n v="1260000"/>
    <n v="1260000"/>
    <s v="Monthly"/>
    <d v="2023-07-28T00:00:00"/>
    <x v="2"/>
    <x v="3"/>
    <n v="-21"/>
    <x v="2"/>
    <x v="6"/>
    <s v="NGOGA INNOCENT"/>
    <s v="ingoga@reb.rw"/>
    <s v="0784535986"/>
    <m/>
    <m/>
    <m/>
  </r>
  <r>
    <s v="C002282"/>
    <x v="64"/>
    <s v="REB-MAIN BRANCH"/>
    <s v="Gasabo"/>
    <x v="0"/>
    <x v="4"/>
    <s v="VIP"/>
    <x v="3"/>
    <x v="7"/>
    <m/>
    <s v="MSS GOLD"/>
    <m/>
    <n v="1"/>
    <n v="369325"/>
    <n v="369325"/>
    <s v="Monthly"/>
    <d v="2023-07-28T00:00:00"/>
    <x v="2"/>
    <x v="3"/>
    <n v="-21"/>
    <x v="2"/>
    <x v="6"/>
    <s v="NGOGA INNOCENT"/>
    <s v="ingoga@reb.rw"/>
    <s v="0784535986"/>
    <m/>
    <m/>
    <m/>
  </r>
  <r>
    <s v="C002282"/>
    <x v="64"/>
    <s v="REB-MAIN BRANCH"/>
    <s v="Gasabo"/>
    <x v="0"/>
    <x v="4"/>
    <s v="VIP"/>
    <x v="0"/>
    <x v="2"/>
    <m/>
    <s v="Dark Fiber Lease  "/>
    <n v="3.2"/>
    <n v="1"/>
    <n v="340303"/>
    <n v="340303"/>
    <s v="Monthly"/>
    <d v="2023-07-28T00:00:00"/>
    <x v="2"/>
    <x v="3"/>
    <n v="-21"/>
    <x v="2"/>
    <x v="6"/>
    <s v="NGOGA INNOCENT"/>
    <s v="ingoga@reb.rw"/>
    <s v="0784535986"/>
    <m/>
    <m/>
    <m/>
  </r>
  <r>
    <s v="C002282"/>
    <x v="64"/>
    <s v="REB-MAIN BRANCH"/>
    <s v="Gasabo"/>
    <x v="0"/>
    <x v="4"/>
    <s v="VIP"/>
    <x v="0"/>
    <x v="6"/>
    <m/>
    <s v="4G MUP 2GB/DAY"/>
    <m/>
    <n v="55"/>
    <n v="28305.08"/>
    <n v="1556779.4000000001"/>
    <s v="Monthly"/>
    <d v="2023-07-28T00:00:00"/>
    <x v="2"/>
    <x v="3"/>
    <n v="-21"/>
    <x v="2"/>
    <x v="6"/>
    <s v="NGOGA INNOCENT"/>
    <s v="ingoga@reb.rw"/>
    <s v="0784535986"/>
    <m/>
    <m/>
    <m/>
  </r>
  <r>
    <s v="C002192"/>
    <x v="74"/>
    <s v="RUTONGO-MAIN BRANCH"/>
    <s v="Rulindo"/>
    <x v="0"/>
    <x v="6"/>
    <s v="Standard"/>
    <x v="0"/>
    <x v="6"/>
    <m/>
    <s v="4G ONE NETWORK 5MBPS"/>
    <m/>
    <n v="1"/>
    <n v="101694.92"/>
    <n v="101694.92"/>
    <s v="Monthly"/>
    <d v="2023-07-28T00:00:00"/>
    <x v="2"/>
    <x v="3"/>
    <n v="-21"/>
    <x v="2"/>
    <x v="6"/>
    <s v="UMUHOZA Consolee"/>
    <s v="umuconso@gmail.com"/>
    <n v="788470934"/>
    <m/>
    <m/>
    <m/>
  </r>
  <r>
    <s v="C003174"/>
    <x v="75"/>
    <s v="RWANDA FDA-HQ"/>
    <s v="Gasabo"/>
    <x v="0"/>
    <x v="6"/>
    <s v="Standard"/>
    <x v="1"/>
    <x v="0"/>
    <n v="50"/>
    <s v="FIBER VPN 50 MBPS"/>
    <m/>
    <n v="1"/>
    <n v="1800000"/>
    <n v="1800000"/>
    <s v="Monthly"/>
    <d v="2023-07-28T00:00:00"/>
    <x v="2"/>
    <x v="3"/>
    <n v="-21"/>
    <x v="2"/>
    <x v="6"/>
    <s v="OLIVIER KAYIRANGA"/>
    <s v="info@rwandafda.gov.rw"/>
    <n v="788470200"/>
    <m/>
    <m/>
    <m/>
  </r>
  <r>
    <s v="C003174"/>
    <x v="75"/>
    <s v="RWANDA FDA-HQ"/>
    <s v="Gasabo"/>
    <x v="0"/>
    <x v="6"/>
    <s v="Standard"/>
    <x v="3"/>
    <x v="7"/>
    <m/>
    <s v="MSS GOLD"/>
    <m/>
    <n v="1"/>
    <n v="369325"/>
    <n v="369325"/>
    <s v="Monthly"/>
    <d v="2023-07-28T00:00:00"/>
    <x v="2"/>
    <x v="3"/>
    <n v="-21"/>
    <x v="2"/>
    <x v="6"/>
    <s v="OLIVIER KAYIRANGA"/>
    <s v="info@rwandafda.gov.rw"/>
    <n v="788470200"/>
    <m/>
    <m/>
    <m/>
  </r>
  <r>
    <s v="C003174"/>
    <x v="75"/>
    <s v="RWANDA FDA-HQ"/>
    <s v="Gasabo"/>
    <x v="0"/>
    <x v="6"/>
    <s v="Standard"/>
    <x v="0"/>
    <x v="6"/>
    <m/>
    <s v=" 4G MUP 4GB/DAY "/>
    <m/>
    <n v="9"/>
    <n v="45338.98"/>
    <n v="408050.82"/>
    <s v="Monthly"/>
    <d v="2023-07-28T00:00:00"/>
    <x v="2"/>
    <x v="3"/>
    <n v="-21"/>
    <x v="2"/>
    <x v="6"/>
    <s v="OLIVIER KAYIRANGA"/>
    <s v="info@rwandafda.gov.rw"/>
    <n v="788470200"/>
    <m/>
    <m/>
    <m/>
  </r>
  <r>
    <s v="C000410"/>
    <x v="76"/>
    <s v="CHUB-MAIN BRANCH"/>
    <s v="Huye"/>
    <x v="0"/>
    <x v="6"/>
    <s v="Standard"/>
    <x v="0"/>
    <x v="0"/>
    <n v="50"/>
    <s v="FIBER VPN 50MBPS"/>
    <m/>
    <n v="1"/>
    <n v="1800000"/>
    <n v="1800000"/>
    <s v="Monthly"/>
    <d v="2023-07-30T00:00:00"/>
    <x v="2"/>
    <x v="3"/>
    <n v="-23"/>
    <x v="2"/>
    <x v="6"/>
    <s v="Gatera Jean Damascene"/>
    <s v="info@chub.rw;gada@chub.rw"/>
    <n v="788553158"/>
    <m/>
    <m/>
    <m/>
  </r>
  <r>
    <s v="C002319"/>
    <x v="77"/>
    <s v="BDO EA RWANDA"/>
    <s v="Gasabo"/>
    <x v="1"/>
    <x v="2"/>
    <s v="Standard"/>
    <x v="1"/>
    <x v="5"/>
    <n v="25"/>
    <s v="FIBER INTERNET 25MBPS"/>
    <m/>
    <n v="1"/>
    <n v="1120000"/>
    <n v="1120000"/>
    <s v="Monthly"/>
    <d v="2025-07-31T00:00:00"/>
    <x v="2"/>
    <x v="2"/>
    <n v="-755"/>
    <x v="1"/>
    <x v="2"/>
    <s v="Martin Kagaba"/>
    <s v="martin.kagaba@bdo-ea.com"/>
    <s v="0788-500-918"/>
    <m/>
    <m/>
    <m/>
  </r>
  <r>
    <s v="C000356"/>
    <x v="78"/>
    <s v="CMA 4G Service"/>
    <s v="Nyarugenge"/>
    <x v="0"/>
    <x v="0"/>
    <s v="Standard"/>
    <x v="0"/>
    <x v="6"/>
    <m/>
    <s v="4G MUP 1GB/DAY"/>
    <m/>
    <n v="1"/>
    <n v="19491.525423999999"/>
    <n v="19491.525423999999"/>
    <s v="Monthly"/>
    <d v="2023-07-31T00:00:00"/>
    <x v="2"/>
    <x v="3"/>
    <n v="-24"/>
    <x v="2"/>
    <x v="1"/>
    <s v="Jerome Ndayambaje"/>
    <s v="jerome.ndayambaje@cma.rw"/>
    <s v="0788 674626 "/>
    <m/>
    <m/>
    <m/>
  </r>
  <r>
    <s v="C000356"/>
    <x v="78"/>
    <s v="CMA 4G Service"/>
    <s v="Nyarugenge"/>
    <x v="0"/>
    <x v="0"/>
    <s v="Standard"/>
    <x v="0"/>
    <x v="6"/>
    <m/>
    <s v="4G MUP 2GB/DAY"/>
    <m/>
    <n v="1"/>
    <n v="28305.084746"/>
    <n v="28305.084746"/>
    <s v="Monthly"/>
    <d v="2023-07-31T00:00:00"/>
    <x v="2"/>
    <x v="3"/>
    <n v="-24"/>
    <x v="2"/>
    <x v="1"/>
    <s v="Jerome Ndayambaje"/>
    <s v="jerome.ndayambaje@cma.rw"/>
    <s v="0 788 674626 "/>
    <s v="suspended"/>
    <m/>
    <m/>
  </r>
  <r>
    <s v="C000569"/>
    <x v="79"/>
    <s v="ECOLE DE SCIENCE MUSANZE"/>
    <s v="Musanze"/>
    <x v="0"/>
    <x v="4"/>
    <s v="Standard"/>
    <x v="0"/>
    <x v="5"/>
    <n v="3"/>
    <s v="FIBER VPN 3MBPS"/>
    <m/>
    <n v="1"/>
    <n v="180000"/>
    <n v="180000"/>
    <s v="Monthly"/>
    <d v="2023-07-31T00:00:00"/>
    <x v="2"/>
    <x v="3"/>
    <n v="-24"/>
    <x v="2"/>
    <x v="6"/>
    <s v="Padiri Florent"/>
    <s v="escnotredame@yahoo.com"/>
    <n v="783625869"/>
    <m/>
    <m/>
    <m/>
  </r>
  <r>
    <s v="C000804"/>
    <x v="80"/>
    <s v="GS Gihundwe"/>
    <s v="Rusizi"/>
    <x v="0"/>
    <x v="4"/>
    <s v="Standard"/>
    <x v="0"/>
    <x v="0"/>
    <n v="3"/>
    <s v="fiber vpn 3mbps"/>
    <m/>
    <n v="1"/>
    <n v="180000"/>
    <n v="180000"/>
    <s v="Monthly"/>
    <d v="2023-07-31T00:00:00"/>
    <x v="2"/>
    <x v="3"/>
    <n v="-24"/>
    <x v="2"/>
    <x v="4"/>
    <s v="IT"/>
    <s v="gsgihundweadpr@gmail.com/nshimaalbert@yahoo.fr"/>
    <s v="0788848243/0783354514"/>
    <m/>
    <m/>
    <m/>
  </r>
  <r>
    <s v="L000252"/>
    <x v="81"/>
    <s v="Imanzi Business Institute (IBI)"/>
    <s v="Kicukiro"/>
    <x v="1"/>
    <x v="2"/>
    <s v="Standard"/>
    <x v="1"/>
    <x v="1"/>
    <m/>
    <s v="COLOCATION QUARTER RACK"/>
    <m/>
    <n v="1"/>
    <n v="513000"/>
    <n v="513000"/>
    <s v="Monthly"/>
    <d v="2023-07-31T00:00:00"/>
    <x v="2"/>
    <x v="3"/>
    <n v="-24"/>
    <x v="2"/>
    <x v="2"/>
    <s v="Ever Binamungu"/>
    <s v="everb@ibi.org.rw"/>
    <s v="0788-301-005"/>
    <m/>
    <m/>
    <m/>
  </r>
  <r>
    <s v="C002475"/>
    <x v="82"/>
    <s v="PalmKash Ltd."/>
    <s v="Gasabo"/>
    <x v="1"/>
    <x v="1"/>
    <s v="Standard"/>
    <x v="1"/>
    <x v="1"/>
    <m/>
    <s v="Cloud 2vCPU. 4GB RAM. 200GB Storage"/>
    <m/>
    <n v="1"/>
    <n v="53563"/>
    <n v="53563"/>
    <s v="Monthly"/>
    <d v="2023-07-31T00:00:00"/>
    <x v="2"/>
    <x v="3"/>
    <n v="-24"/>
    <x v="2"/>
    <x v="2"/>
    <s v="Emmanuel Nkurunziza"/>
    <s v="nkurunzemma@palmkash.com"/>
    <s v="0788-351-739 "/>
    <m/>
    <m/>
    <m/>
  </r>
  <r>
    <s v="C002475"/>
    <x v="82"/>
    <s v="PalmKash Ltd."/>
    <s v="Gasabo"/>
    <x v="1"/>
    <x v="1"/>
    <s v="Standard"/>
    <x v="1"/>
    <x v="1"/>
    <m/>
    <s v="Cloud 2vCPU. 4GB RAM. 200GB Storage"/>
    <m/>
    <n v="4"/>
    <n v="53563"/>
    <n v="214252"/>
    <s v="Monthly"/>
    <d v="2023-07-31T00:00:00"/>
    <x v="2"/>
    <x v="3"/>
    <n v="-24"/>
    <x v="2"/>
    <x v="2"/>
    <s v="Emmanuel Nkurunziza"/>
    <s v="nkurunzemma@palmkash.com"/>
    <s v="0788-351-739 "/>
    <m/>
    <m/>
    <m/>
  </r>
  <r>
    <s v="C002475"/>
    <x v="82"/>
    <s v="PalmKash Ltd."/>
    <s v="Gasabo"/>
    <x v="1"/>
    <x v="1"/>
    <s v="Standard"/>
    <x v="1"/>
    <x v="1"/>
    <m/>
    <s v="Cloud 4vCPU. 8GB RAM. 300GB Storage"/>
    <m/>
    <n v="7"/>
    <n v="99710"/>
    <n v="697970"/>
    <s v="Monthly"/>
    <d v="2023-07-31T00:00:00"/>
    <x v="2"/>
    <x v="3"/>
    <n v="-24"/>
    <x v="2"/>
    <x v="2"/>
    <s v="Emmanuel Nkurunziza"/>
    <s v="nkurunzemma@palmkash.com"/>
    <s v="0788-351-739 "/>
    <m/>
    <m/>
    <m/>
  </r>
  <r>
    <s v="C002437"/>
    <x v="25"/>
    <s v="Internet link BSC-VLP"/>
    <s v="Gasabo"/>
    <x v="0"/>
    <x v="0"/>
    <s v="VIP"/>
    <x v="1"/>
    <x v="0"/>
    <n v="10"/>
    <s v="FIBER VPN 10MBPS"/>
    <m/>
    <n v="1"/>
    <n v="510000"/>
    <n v="510000"/>
    <s v="Monthly"/>
    <d v="2023-07-31T00:00:00"/>
    <x v="2"/>
    <x v="3"/>
    <n v="-24"/>
    <x v="2"/>
    <x v="3"/>
    <s v="Odette Kampire"/>
    <s v="odette.kampire@rssb.rw"/>
    <s v="0788-850-079."/>
    <m/>
    <m/>
    <m/>
  </r>
  <r>
    <s v="C002215"/>
    <x v="83"/>
    <s v="RWAMAGANA-MAIN BRANCH"/>
    <s v="Rwamagana  "/>
    <x v="0"/>
    <x v="6"/>
    <s v="Standard"/>
    <x v="0"/>
    <x v="0"/>
    <n v="5"/>
    <s v="FIBER VPN 5MBPS"/>
    <m/>
    <n v="1"/>
    <n v="270000"/>
    <n v="270000"/>
    <s v="Monthly"/>
    <d v="2023-07-31T00:00:00"/>
    <x v="2"/>
    <x v="3"/>
    <n v="-24"/>
    <x v="2"/>
    <x v="6"/>
    <s v="ILITYAYE Aimee"/>
    <s v="rwamagana.hospital@moh.gov.rw"/>
    <n v="788949680"/>
    <m/>
    <m/>
    <m/>
  </r>
  <r>
    <s v="C002215"/>
    <x v="83"/>
    <s v="RWAMAGANA-MAIN BRANCH"/>
    <s v="Rwamagana  "/>
    <x v="0"/>
    <x v="6"/>
    <s v="Standard"/>
    <x v="3"/>
    <x v="7"/>
    <m/>
    <s v="MSS GOLD"/>
    <m/>
    <n v="1"/>
    <n v="369325"/>
    <n v="369325"/>
    <s v="Monthly"/>
    <d v="2023-07-31T00:00:00"/>
    <x v="2"/>
    <x v="3"/>
    <n v="-24"/>
    <x v="2"/>
    <x v="6"/>
    <s v="ILITYAYE Aimee"/>
    <s v="rwamagana.hospital@moh.gov.rw"/>
    <n v="788949680"/>
    <m/>
    <m/>
    <m/>
  </r>
  <r>
    <s v="C002790"/>
    <x v="84"/>
    <s v="TTC GACUBA"/>
    <s v="Rubavu"/>
    <x v="0"/>
    <x v="4"/>
    <s v="Standard"/>
    <x v="0"/>
    <x v="0"/>
    <n v="3"/>
    <s v="fiber vpn 3mbps"/>
    <m/>
    <n v="1"/>
    <n v="180000"/>
    <n v="180000"/>
    <s v="Monthly"/>
    <d v="2023-07-31T00:00:00"/>
    <x v="2"/>
    <x v="3"/>
    <n v="-24"/>
    <x v="2"/>
    <x v="4"/>
    <s v="Bahizi"/>
    <s v="bahigerd@yahoo.fr;enpttcgacuba2@yahoo.fr"/>
    <n v="788526885"/>
    <m/>
    <m/>
    <m/>
  </r>
  <r>
    <s v="C003018"/>
    <x v="85"/>
    <s v="Muhanga"/>
    <s v="Muhanga"/>
    <x v="0"/>
    <x v="7"/>
    <s v="Standard"/>
    <x v="0"/>
    <x v="0"/>
    <n v="7"/>
    <s v="FIBER INTERNET 7MBPS"/>
    <m/>
    <n v="1"/>
    <n v="330000"/>
    <n v="330000"/>
    <s v="Monthly"/>
    <d v="2023-07-31T00:00:00"/>
    <x v="2"/>
    <x v="3"/>
    <n v="-24"/>
    <x v="2"/>
    <x v="0"/>
    <s v="Prosper Ndutiye"/>
    <s v="prosper.ndutiye@flyzipline.com "/>
    <s v="0783709575"/>
    <m/>
    <m/>
    <m/>
  </r>
  <r>
    <s v="C003018"/>
    <x v="85"/>
    <s v="Kigali "/>
    <s v="Gasabo"/>
    <x v="0"/>
    <x v="7"/>
    <s v="Standard"/>
    <x v="0"/>
    <x v="0"/>
    <n v="10"/>
    <s v="FIBER INTERNET 10Mbps"/>
    <m/>
    <n v="1"/>
    <n v="510000"/>
    <n v="510000"/>
    <s v="Monthly"/>
    <d v="2023-07-31T00:00:00"/>
    <x v="2"/>
    <x v="3"/>
    <n v="-24"/>
    <x v="2"/>
    <x v="0"/>
    <s v="Prosper Ndutiye"/>
    <s v="prosper.ndutiye@flyzipline.com "/>
    <s v="0783709575"/>
    <m/>
    <m/>
    <m/>
  </r>
  <r>
    <s v="C003018"/>
    <x v="85"/>
    <s v="Kayonza"/>
    <s v="Kayonza"/>
    <x v="0"/>
    <x v="7"/>
    <s v="Standard"/>
    <x v="0"/>
    <x v="0"/>
    <n v="20"/>
    <s v="FIBER VPN 20MBPS PRIV"/>
    <m/>
    <n v="1"/>
    <n v="900000"/>
    <n v="900000"/>
    <s v="Monthly"/>
    <d v="2023-07-31T00:00:00"/>
    <x v="2"/>
    <x v="3"/>
    <n v="-24"/>
    <x v="2"/>
    <x v="0"/>
    <s v="Prosper Ndutiye"/>
    <s v="prosper.ndutiye@flyzipline.com "/>
    <s v="0783709575"/>
    <m/>
    <m/>
    <m/>
  </r>
  <r>
    <s v="C003018"/>
    <x v="85"/>
    <s v="Muhanga"/>
    <s v="Muhanga"/>
    <x v="0"/>
    <x v="7"/>
    <s v="Standard"/>
    <x v="0"/>
    <x v="0"/>
    <n v="20"/>
    <s v="FIBER VPN 20MBPS PRIV"/>
    <m/>
    <n v="1"/>
    <n v="900000"/>
    <n v="900000"/>
    <s v="Monthly"/>
    <d v="2023-07-31T00:00:00"/>
    <x v="2"/>
    <x v="3"/>
    <n v="-24"/>
    <x v="2"/>
    <x v="0"/>
    <s v="Prosper Ndutiye"/>
    <s v="prosper.ndutiye@flyzipline.com "/>
    <s v="0783709575"/>
    <m/>
    <m/>
    <m/>
  </r>
  <r>
    <s v="C000880"/>
    <x v="86"/>
    <s v="HQ"/>
    <s v="Gasabo"/>
    <x v="1"/>
    <x v="8"/>
    <s v="Standard"/>
    <x v="0"/>
    <x v="6"/>
    <m/>
    <s v="4G ONE NETWORK 5MBPS"/>
    <m/>
    <n v="2"/>
    <n v="101695"/>
    <n v="203390"/>
    <s v="Monthly"/>
    <d v="2023-08-01T00:00:00"/>
    <x v="3"/>
    <x v="3"/>
    <n v="-25"/>
    <x v="2"/>
    <x v="8"/>
    <s v="UZAMUGURA Jean Marie"/>
    <s v="jmanzi@agropyltd.com"/>
    <s v="0788-639-444"/>
    <m/>
    <m/>
    <m/>
  </r>
  <r>
    <s v="C004054"/>
    <x v="72"/>
    <s v="RGB 4G Service"/>
    <s v="Gasabo"/>
    <x v="0"/>
    <x v="7"/>
    <s v="Standard"/>
    <x v="0"/>
    <x v="6"/>
    <m/>
    <s v="4G MUP 1GB/DAY"/>
    <m/>
    <n v="1"/>
    <n v="19491.53"/>
    <n v="19491.53"/>
    <s v="Monthly"/>
    <d v="2023-08-05T00:00:00"/>
    <x v="3"/>
    <x v="3"/>
    <n v="-29"/>
    <x v="2"/>
    <x v="1"/>
    <s v="Pacifique Niyonkuru"/>
    <s v="nipacifique@rgb.rw"/>
    <s v="0 788 523 853 "/>
    <m/>
    <m/>
    <m/>
  </r>
  <r>
    <s v="C000644"/>
    <x v="87"/>
    <s v="HQ"/>
    <s v="Nyarugenge"/>
    <x v="1"/>
    <x v="2"/>
    <s v="Standard"/>
    <x v="0"/>
    <x v="6"/>
    <m/>
    <s v=" 4G MUP 4GB/DAY "/>
    <m/>
    <n v="8"/>
    <n v="45338.98"/>
    <n v="362711.84"/>
    <s v="Monthly"/>
    <d v="2023-08-06T00:00:00"/>
    <x v="3"/>
    <x v="3"/>
    <n v="-30"/>
    <x v="2"/>
    <x v="7"/>
    <s v="Richard Ishimwe"/>
    <s v="rishimwe@eucl.reg.rw"/>
    <n v="788847870"/>
    <m/>
    <m/>
    <m/>
  </r>
  <r>
    <s v="C000644"/>
    <x v="87"/>
    <s v="HQ"/>
    <s v="Nyarugenge"/>
    <x v="1"/>
    <x v="2"/>
    <s v="Standard"/>
    <x v="0"/>
    <x v="6"/>
    <m/>
    <s v="4G MUP 2GB/DAY"/>
    <m/>
    <n v="11"/>
    <n v="28305.08"/>
    <n v="311355.88"/>
    <s v="Monthly"/>
    <d v="2023-08-06T00:00:00"/>
    <x v="3"/>
    <x v="3"/>
    <n v="-30"/>
    <x v="2"/>
    <x v="7"/>
    <s v="Richard Ishimwe"/>
    <s v="rishimwe@eucl.reg.rw"/>
    <n v="788847870"/>
    <m/>
    <m/>
    <m/>
  </r>
  <r>
    <s v="C000972"/>
    <x v="88"/>
    <s v="IPRC EAST"/>
    <s v="Ngoma"/>
    <x v="0"/>
    <x v="4"/>
    <s v="Standard"/>
    <x v="0"/>
    <x v="0"/>
    <n v="10"/>
    <s v="fiber vpn 10mbps"/>
    <m/>
    <n v="1"/>
    <n v="510000"/>
    <n v="510000"/>
    <s v="Monthly"/>
    <d v="2023-08-12T00:00:00"/>
    <x v="3"/>
    <x v="3"/>
    <n v="-36"/>
    <x v="3"/>
    <x v="4"/>
    <s v="Anaclet"/>
    <s v="info@rp.iprcngoma.ac.rw"/>
    <n v="788411508"/>
    <m/>
    <m/>
    <m/>
  </r>
  <r>
    <s v="C002035"/>
    <x v="89"/>
    <s v="POST OFFICE HQ"/>
    <s v="Nyarugenge"/>
    <x v="0"/>
    <x v="0"/>
    <s v="Standard"/>
    <x v="0"/>
    <x v="6"/>
    <m/>
    <s v="4G MUP 1GB/DAY"/>
    <m/>
    <n v="4"/>
    <n v="19491.53"/>
    <n v="77966.12"/>
    <s v="Monthly"/>
    <d v="2023-08-13T00:00:00"/>
    <x v="3"/>
    <x v="3"/>
    <n v="-37"/>
    <x v="3"/>
    <x v="2"/>
    <s v="Uwizewe Jean d'Amour"/>
    <s v="uwizewe@i-posita.rw"/>
    <s v="0788-672-782"/>
    <m/>
    <m/>
    <m/>
  </r>
  <r>
    <s v="C001828"/>
    <x v="62"/>
    <s v="MSS Platinum"/>
    <s v="Gasabo"/>
    <x v="0"/>
    <x v="11"/>
    <s v="Standard"/>
    <x v="1"/>
    <x v="7"/>
    <m/>
    <s v="MSS Platinum Package"/>
    <m/>
    <n v="1"/>
    <n v="1478575"/>
    <n v="1478575"/>
    <s v="Monthly"/>
    <d v="2023-08-24T00:00:00"/>
    <x v="3"/>
    <x v="3"/>
    <n v="-48"/>
    <x v="3"/>
    <x v="1"/>
    <s v="Sosthene Nsabimaba"/>
    <s v="sosthene.nsabimana@nppa.gov.rw"/>
    <s v="0 783 332 059"/>
    <m/>
    <m/>
    <m/>
  </r>
  <r>
    <s v="C000708"/>
    <x v="90"/>
    <s v="GAKENKE  DISTRICT"/>
    <s v="Gakenke"/>
    <x v="0"/>
    <x v="0"/>
    <s v="Standard"/>
    <x v="0"/>
    <x v="6"/>
    <m/>
    <s v=" 4G MUP 4GB/DAY "/>
    <m/>
    <n v="1"/>
    <n v="45338.98"/>
    <n v="45338.98"/>
    <s v="Monthly"/>
    <d v="2023-08-29T00:00:00"/>
    <x v="3"/>
    <x v="3"/>
    <n v="-53"/>
    <x v="3"/>
    <x v="2"/>
    <s v="NSHIMIYIMANA Levis"/>
    <s v="ictgakenke@gakenke.gov.rw"/>
    <s v="0788-807-478"/>
    <m/>
    <m/>
    <m/>
  </r>
  <r>
    <s v="C000325"/>
    <x v="91"/>
    <s v="VPN"/>
    <s v="Bugesera"/>
    <x v="0"/>
    <x v="0"/>
    <s v="Standard"/>
    <x v="0"/>
    <x v="0"/>
    <n v="3"/>
    <s v="FIBER VPN 3MBPS"/>
    <m/>
    <n v="1"/>
    <n v="180000"/>
    <n v="180000"/>
    <s v="Monthly"/>
    <d v="2023-08-30T00:00:00"/>
    <x v="3"/>
    <x v="3"/>
    <n v="-54"/>
    <x v="3"/>
    <x v="5"/>
    <s v="Sixbert Mbonyumuvunyi"/>
    <s v="sixbert.mbonyumuvunyi@bugesera.gov.rw "/>
    <n v="783217769"/>
    <m/>
    <m/>
    <m/>
  </r>
  <r>
    <s v="C000325"/>
    <x v="91"/>
    <s v="Bugesera Cell"/>
    <s v="Bugesera"/>
    <x v="0"/>
    <x v="0"/>
    <s v="Standard"/>
    <x v="0"/>
    <x v="0"/>
    <n v="10"/>
    <s v="FIBER VPN 10MBPS"/>
    <m/>
    <n v="1"/>
    <n v="510000"/>
    <n v="510000"/>
    <s v="Monthly"/>
    <d v="2023-08-30T00:00:00"/>
    <x v="3"/>
    <x v="3"/>
    <n v="-54"/>
    <x v="3"/>
    <x v="5"/>
    <s v="Sixbert Mbonyumuvunyi"/>
    <s v="sixbert.mbonyumuvunyi@bugesera.gov.rw "/>
    <n v="783217769"/>
    <m/>
    <m/>
    <m/>
  </r>
  <r>
    <s v="C000325"/>
    <x v="91"/>
    <s v="Bugesera HQ"/>
    <s v="Bugesera"/>
    <x v="0"/>
    <x v="0"/>
    <s v="Standard"/>
    <x v="1"/>
    <x v="10"/>
    <m/>
    <s v="VIDEO CONFERENCE"/>
    <m/>
    <n v="1"/>
    <n v="258044.92"/>
    <n v="258044.92"/>
    <s v="Monthly"/>
    <d v="2023-08-30T00:00:00"/>
    <x v="3"/>
    <x v="3"/>
    <n v="-54"/>
    <x v="3"/>
    <x v="5"/>
    <s v="Sixbert Mbonyumuvunyi"/>
    <s v="sixbert.mbonyumuvunyi@bugesera.gov.rw "/>
    <n v="783217769"/>
    <m/>
    <m/>
    <m/>
  </r>
  <r>
    <s v="C000325"/>
    <x v="91"/>
    <s v="Bugesera Cell"/>
    <s v="Bugesera"/>
    <x v="0"/>
    <x v="0"/>
    <s v="Standard"/>
    <x v="3"/>
    <x v="7"/>
    <m/>
    <s v="MSS GOLD"/>
    <m/>
    <n v="1"/>
    <n v="369325"/>
    <n v="369325"/>
    <s v="Monthly"/>
    <d v="2023-08-30T00:00:00"/>
    <x v="3"/>
    <x v="3"/>
    <n v="-54"/>
    <x v="3"/>
    <x v="5"/>
    <s v="Sixbert Mbonyumuvunyi"/>
    <s v="sixbert.mbonyumuvunyi@bugesera.gov.rw "/>
    <n v="783217769"/>
    <m/>
    <m/>
    <m/>
  </r>
  <r>
    <s v="C000325"/>
    <x v="91"/>
    <s v="Bugesera Cell"/>
    <s v="Bugesera"/>
    <x v="0"/>
    <x v="0"/>
    <s v="Standard"/>
    <x v="0"/>
    <x v="6"/>
    <m/>
    <s v="4G ONE NETWORK 3MBPS"/>
    <m/>
    <n v="3"/>
    <n v="81355.932203389835"/>
    <n v="244067.79661016952"/>
    <s v="Monthly"/>
    <d v="2023-08-30T00:00:00"/>
    <x v="3"/>
    <x v="3"/>
    <n v="-54"/>
    <x v="3"/>
    <x v="5"/>
    <s v="Sixbert Mbonyumuvunyi"/>
    <s v="sixbert.mbonyumuvunyi@bugesera.gov.rw "/>
    <n v="783217769"/>
    <m/>
    <m/>
    <m/>
  </r>
  <r>
    <s v="C000325"/>
    <x v="91"/>
    <s v="Bugesera Cell"/>
    <s v="Bugesera"/>
    <x v="0"/>
    <x v="0"/>
    <s v="Standard"/>
    <x v="0"/>
    <x v="6"/>
    <m/>
    <s v="4G MUP 2GB/DAY"/>
    <m/>
    <n v="1"/>
    <n v="28305.08"/>
    <n v="28305.08"/>
    <s v="Monthly"/>
    <d v="2023-08-30T00:00:00"/>
    <x v="3"/>
    <x v="3"/>
    <n v="-54"/>
    <x v="3"/>
    <x v="5"/>
    <s v="Sixbert Mbonyumuvunyi"/>
    <s v="sixbert.mbonyumuvunyi@bugesera.gov.rw "/>
    <n v="783217769"/>
    <m/>
    <m/>
    <m/>
  </r>
  <r>
    <s v="C000325"/>
    <x v="91"/>
    <s v="Bugesera Cell"/>
    <s v="Bugesera"/>
    <x v="0"/>
    <x v="0"/>
    <s v="Standard"/>
    <x v="0"/>
    <x v="6"/>
    <m/>
    <s v="4G MUP 1GB/DAY"/>
    <m/>
    <n v="1"/>
    <n v="19491.53"/>
    <n v="19491.53"/>
    <s v="Monthly"/>
    <d v="2023-08-30T00:00:00"/>
    <x v="3"/>
    <x v="3"/>
    <n v="-54"/>
    <x v="3"/>
    <x v="5"/>
    <s v="Sixbert Mbonyumuvunyi"/>
    <s v="sixbert.mbonyumuvunyi@bugesera.gov.rw "/>
    <n v="783217769"/>
    <m/>
    <m/>
    <m/>
  </r>
  <r>
    <s v="C000325"/>
    <x v="91"/>
    <s v="Bugesera Cell"/>
    <s v="Bugesera"/>
    <x v="0"/>
    <x v="0"/>
    <s v="Standard"/>
    <x v="0"/>
    <x v="6"/>
    <m/>
    <s v="4G MUP 1GB/DAY"/>
    <m/>
    <n v="1"/>
    <n v="19491.53"/>
    <n v="19491.53"/>
    <s v="Monthly"/>
    <d v="2023-08-30T00:00:00"/>
    <x v="3"/>
    <x v="3"/>
    <n v="-54"/>
    <x v="3"/>
    <x v="5"/>
    <s v="Sixbert Mbonyumuvunyi"/>
    <s v="sixbert.mbonyumuvunyi@bugesera.gov.rw "/>
    <n v="783217769"/>
    <m/>
    <m/>
    <m/>
  </r>
  <r>
    <s v="C000325"/>
    <x v="91"/>
    <s v="Bugesera Cell"/>
    <s v="Bugesera"/>
    <x v="0"/>
    <x v="0"/>
    <s v="Standard"/>
    <x v="0"/>
    <x v="6"/>
    <m/>
    <s v="4G MUP 1GB/DAY"/>
    <m/>
    <n v="1"/>
    <n v="19491.53"/>
    <n v="19491.53"/>
    <s v="Monthly"/>
    <d v="2023-08-30T00:00:00"/>
    <x v="3"/>
    <x v="3"/>
    <n v="-54"/>
    <x v="3"/>
    <x v="5"/>
    <s v="Sixbert Mbonyumuvunyi"/>
    <s v="sixbert.mbonyumuvunyi@bugesera.gov.rw "/>
    <n v="783217769"/>
    <m/>
    <m/>
    <m/>
  </r>
  <r>
    <s v="C000325"/>
    <x v="91"/>
    <s v="Bugesera Cell"/>
    <s v="Bugesera"/>
    <x v="0"/>
    <x v="0"/>
    <s v="Standard"/>
    <x v="0"/>
    <x v="6"/>
    <m/>
    <s v="4G MUP 1GB/DAY"/>
    <m/>
    <n v="3"/>
    <n v="19491.53"/>
    <n v="58474.59"/>
    <s v="Monthly"/>
    <d v="2023-08-30T00:00:00"/>
    <x v="3"/>
    <x v="3"/>
    <n v="-54"/>
    <x v="3"/>
    <x v="5"/>
    <s v="Sixbert Mbonyumuvunyi"/>
    <s v="sixbert.mbonyumuvunyi@bugesera.gov.rw "/>
    <n v="783217769"/>
    <m/>
    <m/>
    <m/>
  </r>
  <r>
    <s v="C000325"/>
    <x v="91"/>
    <s v="Bugesera Cell"/>
    <s v="Bugesera"/>
    <x v="0"/>
    <x v="0"/>
    <s v="Standard"/>
    <x v="0"/>
    <x v="6"/>
    <m/>
    <s v="4G MUP 1GB/DAY"/>
    <m/>
    <n v="4"/>
    <n v="19491.53"/>
    <n v="77966.12"/>
    <s v="Monthly"/>
    <d v="2023-08-30T00:00:00"/>
    <x v="3"/>
    <x v="3"/>
    <n v="-54"/>
    <x v="3"/>
    <x v="5"/>
    <s v="Sixbert Mbonyumuvunyi"/>
    <s v="sixbert.mbonyumuvunyi@bugesera.gov.rw "/>
    <n v="783217769"/>
    <m/>
    <m/>
    <m/>
  </r>
  <r>
    <s v="C000325"/>
    <x v="91"/>
    <s v="Bugesera Cell"/>
    <s v="Bugesera"/>
    <x v="0"/>
    <x v="0"/>
    <s v="Standard"/>
    <x v="0"/>
    <x v="6"/>
    <m/>
    <s v="4G MUP 1GB/DAY"/>
    <m/>
    <n v="4"/>
    <n v="19491.53"/>
    <n v="77966.12"/>
    <s v="Monthly"/>
    <d v="2023-08-30T00:00:00"/>
    <x v="3"/>
    <x v="3"/>
    <n v="-54"/>
    <x v="3"/>
    <x v="5"/>
    <s v="Sixbert Mbonyumuvunyi"/>
    <s v="sixbert.mbonyumuvunyi@bugesera.gov.rw "/>
    <n v="783217769"/>
    <m/>
    <m/>
    <m/>
  </r>
  <r>
    <s v="C000325"/>
    <x v="91"/>
    <s v="Bugesera Cell"/>
    <s v="Bugesera"/>
    <x v="0"/>
    <x v="0"/>
    <s v="Standard"/>
    <x v="0"/>
    <x v="6"/>
    <m/>
    <s v="4G MUP 1GB/DAY"/>
    <m/>
    <n v="57"/>
    <n v="19491.53"/>
    <n v="1111017.21"/>
    <s v="Monthly"/>
    <d v="2023-08-30T00:00:00"/>
    <x v="3"/>
    <x v="3"/>
    <n v="-54"/>
    <x v="3"/>
    <x v="5"/>
    <s v="Sixbert Mbonyumuvunyi"/>
    <s v="sixbert.mbonyumuvunyi@bugesera.gov.rw "/>
    <n v="783217769"/>
    <m/>
    <m/>
    <m/>
  </r>
  <r>
    <s v="C001908"/>
    <x v="92"/>
    <s v="CELL"/>
    <s v="Nyanza"/>
    <x v="0"/>
    <x v="0"/>
    <s v="Standard"/>
    <x v="0"/>
    <x v="0"/>
    <n v="1"/>
    <s v="FIBER VPN1 MBPS"/>
    <m/>
    <n v="1"/>
    <n v="90000"/>
    <n v="90000"/>
    <s v="Monthly"/>
    <d v="2023-08-30T00:00:00"/>
    <x v="3"/>
    <x v="3"/>
    <n v="-54"/>
    <x v="3"/>
    <x v="5"/>
    <s v="NIYOSHIMYE"/>
    <s v="exec@nyanza.gov.rw"/>
    <n v="788384541"/>
    <m/>
    <m/>
    <m/>
  </r>
  <r>
    <s v="C001908"/>
    <x v="92"/>
    <s v="VPN"/>
    <s v="Nyanza"/>
    <x v="0"/>
    <x v="0"/>
    <s v="Standard"/>
    <x v="0"/>
    <x v="0"/>
    <n v="3"/>
    <s v="FIBER VPN 3MBPS"/>
    <m/>
    <n v="1"/>
    <n v="180000"/>
    <n v="180000"/>
    <s v="Monthly"/>
    <d v="2023-08-30T00:00:00"/>
    <x v="3"/>
    <x v="3"/>
    <n v="-54"/>
    <x v="3"/>
    <x v="5"/>
    <s v="NIYOSHIMYE"/>
    <s v="exec@nyanza.gov.rw"/>
    <n v="788384541"/>
    <m/>
    <m/>
    <m/>
  </r>
  <r>
    <s v="C001908"/>
    <x v="92"/>
    <s v="HQ"/>
    <s v="Nyanza"/>
    <x v="0"/>
    <x v="0"/>
    <s v="Standard"/>
    <x v="0"/>
    <x v="0"/>
    <n v="5"/>
    <s v="FIBER VPN 5MBPS"/>
    <m/>
    <n v="1"/>
    <n v="270000"/>
    <n v="270000"/>
    <s v="Monthly"/>
    <d v="2023-08-30T00:00:00"/>
    <x v="3"/>
    <x v="3"/>
    <n v="-54"/>
    <x v="3"/>
    <x v="5"/>
    <s v="NIYOSHIMYE"/>
    <s v="exec@nyanza.gov.rw"/>
    <n v="788384541"/>
    <m/>
    <m/>
    <m/>
  </r>
  <r>
    <s v="C001908"/>
    <x v="92"/>
    <s v="NYANZA DISTRICT"/>
    <s v="Nyanza"/>
    <x v="0"/>
    <x v="0"/>
    <s v="Standard"/>
    <x v="0"/>
    <x v="0"/>
    <n v="5"/>
    <s v="FIBER VPN 5MBPS"/>
    <m/>
    <n v="1"/>
    <n v="270000"/>
    <n v="270000"/>
    <s v="Monthly"/>
    <d v="2023-08-30T00:00:00"/>
    <x v="3"/>
    <x v="3"/>
    <n v="-54"/>
    <x v="3"/>
    <x v="5"/>
    <s v="NIYOSHIMYE"/>
    <s v="exec@nyanza.gov.rw"/>
    <n v="788384541"/>
    <m/>
    <m/>
    <m/>
  </r>
  <r>
    <s v="C001908"/>
    <x v="92"/>
    <s v="CELL"/>
    <s v="Nyanza"/>
    <x v="0"/>
    <x v="0"/>
    <s v="Standard"/>
    <x v="1"/>
    <x v="10"/>
    <m/>
    <s v="VIDEO CONFERENCE"/>
    <m/>
    <n v="1"/>
    <n v="258044.92"/>
    <n v="258044.92"/>
    <s v="Monthly"/>
    <d v="2023-08-30T00:00:00"/>
    <x v="3"/>
    <x v="3"/>
    <n v="-54"/>
    <x v="3"/>
    <x v="5"/>
    <s v="NIYOSHIMYE"/>
    <s v="exec@nyanza.gov.rw"/>
    <n v="788384541"/>
    <m/>
    <m/>
    <m/>
  </r>
  <r>
    <s v="C001908"/>
    <x v="92"/>
    <s v="CELL"/>
    <s v="Nyanza"/>
    <x v="0"/>
    <x v="0"/>
    <s v="Standard"/>
    <x v="0"/>
    <x v="6"/>
    <m/>
    <s v="4G ONE NETWORK 3MBPS"/>
    <m/>
    <n v="9"/>
    <n v="81355.932203389835"/>
    <n v="732203.3898305085"/>
    <s v="Monthly"/>
    <d v="2023-08-30T00:00:00"/>
    <x v="3"/>
    <x v="3"/>
    <n v="-54"/>
    <x v="3"/>
    <x v="5"/>
    <s v="NIYOSHIMYE"/>
    <s v="exec@nyanza.gov.rw"/>
    <n v="788384541"/>
    <m/>
    <m/>
    <m/>
  </r>
  <r>
    <s v="C001908"/>
    <x v="92"/>
    <s v="CELL"/>
    <s v="Nyanza"/>
    <x v="0"/>
    <x v="0"/>
    <s v="Standard"/>
    <x v="0"/>
    <x v="6"/>
    <m/>
    <s v="4G MUP 1GB/DAY"/>
    <m/>
    <n v="40"/>
    <n v="19491.53"/>
    <n v="779661.2"/>
    <s v="Monthly"/>
    <d v="2023-08-30T00:00:00"/>
    <x v="3"/>
    <x v="3"/>
    <n v="-54"/>
    <x v="3"/>
    <x v="5"/>
    <s v="NIYOSHIMYE"/>
    <s v="exec@nyanza.gov.rw"/>
    <n v="788384541"/>
    <m/>
    <m/>
    <m/>
  </r>
  <r>
    <s v="C001908"/>
    <x v="92"/>
    <s v="CELL"/>
    <s v="Nyanza"/>
    <x v="0"/>
    <x v="0"/>
    <s v="Standard"/>
    <x v="0"/>
    <x v="6"/>
    <m/>
    <s v="4G MUP 2GB/DAY"/>
    <m/>
    <n v="2"/>
    <n v="19491.53"/>
    <n v="38983.06"/>
    <s v="Monthly"/>
    <d v="2023-08-30T00:00:00"/>
    <x v="3"/>
    <x v="3"/>
    <n v="-54"/>
    <x v="3"/>
    <x v="5"/>
    <s v="NIYOSHIMYE"/>
    <s v="exec@nyanza.gov.rw"/>
    <n v="788384541"/>
    <m/>
    <m/>
    <m/>
  </r>
  <r>
    <s v="C002487"/>
    <x v="93"/>
    <s v="RWANDA WATER  RESOURCES BOARD (RWB)"/>
    <s v="Nyarugenge"/>
    <x v="0"/>
    <x v="7"/>
    <s v="Standard"/>
    <x v="0"/>
    <x v="0"/>
    <n v="30"/>
    <s v="FIBER VPN 30MBPS"/>
    <m/>
    <n v="1"/>
    <n v="1260000"/>
    <n v="1260000"/>
    <s v="Monthly"/>
    <d v="2023-08-30T00:00:00"/>
    <x v="3"/>
    <x v="3"/>
    <n v="-54"/>
    <x v="3"/>
    <x v="7"/>
    <s v="Jackline Uwimbabazi"/>
    <s v="jackline.uwimbabazi@rwb.rw"/>
    <n v="788426108"/>
    <m/>
    <m/>
    <m/>
  </r>
  <r>
    <s v="C002487"/>
    <x v="93"/>
    <s v="RWANDA WATER  RESOURCES BOARD (RWB)"/>
    <s v="Nyarugenge"/>
    <x v="0"/>
    <x v="7"/>
    <s v="Standard"/>
    <x v="3"/>
    <x v="7"/>
    <m/>
    <s v="MSS GOLD"/>
    <m/>
    <n v="1"/>
    <n v="369325"/>
    <n v="369325"/>
    <s v="Monthly"/>
    <d v="2023-08-30T00:00:00"/>
    <x v="3"/>
    <x v="3"/>
    <n v="-54"/>
    <x v="3"/>
    <x v="7"/>
    <s v="Jackline Uwimbabazi"/>
    <s v="jackline.uwimbabazi@rwb.rw"/>
    <n v="788426108"/>
    <m/>
    <m/>
    <m/>
  </r>
  <r>
    <s v="C002487"/>
    <x v="93"/>
    <s v="RWANDA WATER  RESOURCES BOARD (RWB)"/>
    <s v="Nyarugenge"/>
    <x v="0"/>
    <x v="7"/>
    <s v="Standard"/>
    <x v="0"/>
    <x v="6"/>
    <m/>
    <s v="4G MUP 4GB/DAY "/>
    <m/>
    <n v="29"/>
    <n v="45338.98"/>
    <n v="1314830.4200000002"/>
    <s v="Monthly"/>
    <d v="2023-08-30T00:00:00"/>
    <x v="3"/>
    <x v="3"/>
    <n v="-54"/>
    <x v="3"/>
    <x v="7"/>
    <s v="Jackline Uwimbabazi"/>
    <s v="jackline.uwimbabazi@rwb.rw"/>
    <n v="788426108"/>
    <m/>
    <m/>
    <m/>
  </r>
  <r>
    <s v="C002487"/>
    <x v="93"/>
    <s v="RWANDA WATER  RESOURCES BOARD (RWB)"/>
    <s v="Nyarugenge"/>
    <x v="0"/>
    <x v="7"/>
    <s v="Standard"/>
    <x v="0"/>
    <x v="6"/>
    <m/>
    <s v="4G MUP 1GB/DAY"/>
    <m/>
    <n v="49"/>
    <n v="19491.53"/>
    <n v="955084.97"/>
    <s v="Monthly"/>
    <d v="2023-08-30T00:00:00"/>
    <x v="3"/>
    <x v="3"/>
    <n v="-54"/>
    <x v="3"/>
    <x v="7"/>
    <s v="Jackline Uwimbabazi"/>
    <s v="jackline.uwimbabazi@rwb.rw"/>
    <n v="788426108"/>
    <m/>
    <m/>
    <m/>
  </r>
  <r>
    <s v="C002487"/>
    <x v="93"/>
    <s v="RWANDA WATER  RESOURCES BOARD (RWB)"/>
    <s v="Nyarugenge"/>
    <x v="0"/>
    <x v="7"/>
    <s v="Standard"/>
    <x v="1"/>
    <x v="10"/>
    <m/>
    <s v="VC"/>
    <m/>
    <n v="1"/>
    <n v="258045"/>
    <n v="258045"/>
    <s v="Monthly"/>
    <d v="2023-08-30T00:00:00"/>
    <x v="3"/>
    <x v="3"/>
    <n v="-54"/>
    <x v="3"/>
    <x v="7"/>
    <s v="Jackline Uwimbabazi"/>
    <s v="jackline.uwimbabazi@rwb.rw"/>
    <n v="788426108"/>
    <m/>
    <m/>
    <m/>
  </r>
  <r>
    <s v="C000356"/>
    <x v="78"/>
    <s v="Fiber Internet: CMA HQ"/>
    <s v="Nyarugenge"/>
    <x v="0"/>
    <x v="0"/>
    <s v="Standard"/>
    <x v="0"/>
    <x v="0"/>
    <n v="10"/>
    <s v="Fiber Broadband Internet 10Mbps"/>
    <m/>
    <n v="1"/>
    <n v="510000"/>
    <n v="510000"/>
    <s v="Monthly"/>
    <d v="2023-08-31T00:00:00"/>
    <x v="3"/>
    <x v="3"/>
    <n v="-55"/>
    <x v="3"/>
    <x v="1"/>
    <s v="Jerome Ndayambaje"/>
    <s v="jerome.ndayambaje@cma.rw"/>
    <s v="0 788 674626 "/>
    <m/>
    <m/>
    <m/>
  </r>
  <r>
    <s v="C000676"/>
    <x v="94"/>
    <s v="HQ"/>
    <s v="Gasabo"/>
    <x v="0"/>
    <x v="7"/>
    <s v="Standard"/>
    <x v="1"/>
    <x v="0"/>
    <n v="30"/>
    <s v="FIBER Internet 30MBPS"/>
    <m/>
    <n v="1"/>
    <n v="1260000"/>
    <n v="1260000"/>
    <s v="Monthly"/>
    <d v="2023-08-31T00:00:00"/>
    <x v="3"/>
    <x v="3"/>
    <n v="-55"/>
    <x v="3"/>
    <x v="7"/>
    <s v="Sylvain KANANI"/>
    <s v="s.kanani@fonerwa.org"/>
    <n v="788807096"/>
    <m/>
    <m/>
    <m/>
  </r>
  <r>
    <s v="C000676"/>
    <x v="94"/>
    <s v="HQ"/>
    <s v="Gasabo"/>
    <x v="0"/>
    <x v="7"/>
    <s v="Standard"/>
    <x v="0"/>
    <x v="6"/>
    <m/>
    <s v="4G MUP 1GB/DAY"/>
    <m/>
    <n v="16"/>
    <n v="19491.53"/>
    <n v="311864.48"/>
    <s v="Monthly"/>
    <d v="2023-08-31T00:00:00"/>
    <x v="3"/>
    <x v="3"/>
    <n v="-55"/>
    <x v="3"/>
    <x v="7"/>
    <s v="Sylvain KANANI"/>
    <s v="s.kanani@fonerwa.org"/>
    <n v="788807096"/>
    <m/>
    <m/>
    <m/>
  </r>
  <r>
    <s v="C000955"/>
    <x v="95"/>
    <s v="INSTITUTE SAINT FAMILLE Nyamasheke"/>
    <s v="Nyamasheke"/>
    <x v="0"/>
    <x v="4"/>
    <s v="Standard"/>
    <x v="0"/>
    <x v="0"/>
    <n v="3"/>
    <s v="fiber vpn 3mbps"/>
    <m/>
    <n v="1"/>
    <n v="180000"/>
    <n v="180000"/>
    <s v="Monthly"/>
    <d v="2023-08-31T00:00:00"/>
    <x v="3"/>
    <x v="3"/>
    <n v="-55"/>
    <x v="3"/>
    <x v="4"/>
    <s v="Lucie"/>
    <s v="rucie.nagiruwishema@gmail.com;isfnyamasheke52@gmail.com"/>
    <s v="0783113373/0783557475"/>
    <m/>
    <m/>
    <m/>
  </r>
  <r>
    <s v="C004037"/>
    <x v="96"/>
    <s v="MINUBUMWE 4G Service"/>
    <s v="Gasabo"/>
    <x v="0"/>
    <x v="0"/>
    <s v="Standard"/>
    <x v="0"/>
    <x v="6"/>
    <m/>
    <s v="4G MUP 2GB/DAY"/>
    <m/>
    <n v="9"/>
    <n v="28305.084746"/>
    <n v="254745.76271400001"/>
    <s v="Monthly"/>
    <d v="2023-08-31T00:00:00"/>
    <x v="3"/>
    <x v="3"/>
    <n v="-55"/>
    <x v="3"/>
    <x v="1"/>
    <s v="Raymond Ntirenganya "/>
    <s v="raymond.ntirenganya@minubumwe.gov.rw"/>
    <s v="0 788 440 641"/>
    <m/>
    <m/>
    <m/>
  </r>
  <r>
    <s v="C004037"/>
    <x v="96"/>
    <s v="MINUBUMWE 4G Service"/>
    <s v="Gasabo"/>
    <x v="0"/>
    <x v="0"/>
    <s v="Standard"/>
    <x v="0"/>
    <x v="6"/>
    <m/>
    <s v="4G LTE 60GB"/>
    <m/>
    <n v="58"/>
    <n v="26271.186440000001"/>
    <n v="1523728.8135200001"/>
    <s v="Monthly"/>
    <d v="2023-08-31T00:00:00"/>
    <x v="3"/>
    <x v="3"/>
    <n v="-55"/>
    <x v="3"/>
    <x v="1"/>
    <s v="Raymond Ntirenganya "/>
    <s v="raymond.ntirenganya@minubumwe.gov.rw"/>
    <s v="0 788 440 641"/>
    <m/>
    <m/>
    <m/>
  </r>
  <r>
    <s v="C003648"/>
    <x v="97"/>
    <s v="MOD-CPS"/>
    <s v="Gasabo"/>
    <x v="0"/>
    <x v="3"/>
    <s v="VIP"/>
    <x v="0"/>
    <x v="0"/>
    <n v="3"/>
    <s v="fiber vpn 3mbps"/>
    <m/>
    <n v="1"/>
    <n v="180000"/>
    <n v="180000"/>
    <s v="Monthly"/>
    <d v="2023-08-31T00:00:00"/>
    <x v="3"/>
    <x v="3"/>
    <n v="-55"/>
    <x v="3"/>
    <x v="4"/>
    <s v="Kayigire/Godefroid NKUNZIMANA"/>
    <s v="augustinkayigire28@gmail.com;nkunzigode@yahoo.com"/>
    <n v="788303512"/>
    <m/>
    <m/>
    <m/>
  </r>
  <r>
    <s v="C002245"/>
    <x v="98"/>
    <s v="HQ"/>
    <s v="Kicukiro"/>
    <x v="0"/>
    <x v="0"/>
    <s v="Standard"/>
    <x v="1"/>
    <x v="4"/>
    <n v="5"/>
    <s v="Fixed Wireless Internet 5mbps"/>
    <m/>
    <n v="1"/>
    <n v="245000"/>
    <n v="245000"/>
    <s v="Monthly"/>
    <d v="2023-08-31T00:00:00"/>
    <x v="3"/>
    <x v="3"/>
    <n v="-55"/>
    <x v="3"/>
    <x v="5"/>
    <s v="Sezikeye Jean Paul "/>
    <s v="itcom@rwandabar.org.rw"/>
    <n v="788411782"/>
    <s v="suspended"/>
    <m/>
    <m/>
  </r>
  <r>
    <s v="C002548"/>
    <x v="99"/>
    <s v="HQ"/>
    <s v="Nyarugenge"/>
    <x v="0"/>
    <x v="0"/>
    <s v="Standard"/>
    <x v="0"/>
    <x v="0"/>
    <n v="3"/>
    <s v="Fiber Broadband Internet 3Mbps"/>
    <m/>
    <n v="1"/>
    <n v="180000"/>
    <n v="180000"/>
    <s v="Monthly"/>
    <d v="2023-08-31T00:00:00"/>
    <x v="3"/>
    <x v="3"/>
    <n v="-55"/>
    <x v="3"/>
    <x v="7"/>
    <s v="Benjamin Rukundo"/>
    <s v="brukundo@sdgcafrica.org"/>
    <n v="788740050"/>
    <m/>
    <m/>
    <m/>
  </r>
  <r>
    <s v="C000708"/>
    <x v="90"/>
    <s v="BUSENGO SECTOR"/>
    <s v="Gakenke"/>
    <x v="0"/>
    <x v="0"/>
    <s v="Standard"/>
    <x v="0"/>
    <x v="6"/>
    <m/>
    <s v="4G ONE NETWORK 3MBPS"/>
    <m/>
    <n v="1"/>
    <n v="81355.932203389835"/>
    <n v="81355.932203389835"/>
    <s v="Monthly"/>
    <d v="2023-09-02T00:00:00"/>
    <x v="4"/>
    <x v="3"/>
    <n v="-57"/>
    <x v="3"/>
    <x v="2"/>
    <s v="NSHIMIYIMANA Levis"/>
    <s v="ictgakenke@gakenke.gov.rw"/>
    <s v="0788-807-478"/>
    <m/>
    <m/>
    <m/>
  </r>
  <r>
    <s v="C000708"/>
    <x v="90"/>
    <s v="GASHENYI SECTOR"/>
    <s v="Gakenke"/>
    <x v="0"/>
    <x v="0"/>
    <s v="Standard"/>
    <x v="0"/>
    <x v="6"/>
    <m/>
    <s v="4G ONE NETWORK 3MBPS"/>
    <m/>
    <n v="1"/>
    <n v="81355.932203389835"/>
    <n v="81355.932203389835"/>
    <s v="Monthly"/>
    <d v="2023-09-02T00:00:00"/>
    <x v="4"/>
    <x v="3"/>
    <n v="-57"/>
    <x v="3"/>
    <x v="2"/>
    <s v="NSHIMIYIMANA Levis"/>
    <s v="ictgakenke@gakenke.gov.rw"/>
    <s v="0788-807-478"/>
    <m/>
    <m/>
    <m/>
  </r>
  <r>
    <s v="C000708"/>
    <x v="90"/>
    <s v="RUSASA SECTOR"/>
    <s v="Gakenke"/>
    <x v="0"/>
    <x v="0"/>
    <s v="Standard"/>
    <x v="0"/>
    <x v="6"/>
    <m/>
    <s v="4G ONE NETWORK 3MBPS"/>
    <m/>
    <n v="1"/>
    <n v="81355.932203389835"/>
    <n v="81355.932203389835"/>
    <s v="Monthly"/>
    <d v="2023-09-02T00:00:00"/>
    <x v="4"/>
    <x v="3"/>
    <n v="-57"/>
    <x v="3"/>
    <x v="2"/>
    <s v="NSHIMIYIMANA Levis"/>
    <s v="ictgakenke@gakenke.gov.rw"/>
    <s v="0788-807-478"/>
    <m/>
    <m/>
    <m/>
  </r>
  <r>
    <s v="C000708"/>
    <x v="90"/>
    <s v="MUZO SECTOR"/>
    <s v="Gakenke"/>
    <x v="0"/>
    <x v="0"/>
    <s v="Standard"/>
    <x v="0"/>
    <x v="6"/>
    <m/>
    <s v="4G ONE NETWORK 3MBPS"/>
    <m/>
    <n v="1"/>
    <n v="81355.932203389835"/>
    <n v="81355.932203389835"/>
    <s v="Monthly"/>
    <d v="2023-09-02T00:00:00"/>
    <x v="4"/>
    <x v="3"/>
    <n v="-57"/>
    <x v="3"/>
    <x v="2"/>
    <s v="NSHIMIYIMANA Levis"/>
    <s v="ictgakenke@gakenke.gov.rw"/>
    <s v="0788-807-478"/>
    <m/>
    <m/>
    <m/>
  </r>
  <r>
    <s v="C000708"/>
    <x v="90"/>
    <s v="YEGO CENTER"/>
    <s v="Gakenke"/>
    <x v="0"/>
    <x v="0"/>
    <s v="Standard"/>
    <x v="0"/>
    <x v="6"/>
    <m/>
    <s v="4G ONE NETWORK 3MBPS"/>
    <m/>
    <n v="1"/>
    <n v="81355.932203389835"/>
    <n v="81355.932203389835"/>
    <s v="Monthly"/>
    <d v="2023-09-02T00:00:00"/>
    <x v="4"/>
    <x v="3"/>
    <n v="-57"/>
    <x v="3"/>
    <x v="2"/>
    <s v="NSHIMIYIMANA Levis"/>
    <s v="ictgakenke@gakenke.gov.rw"/>
    <s v="0788-807-478"/>
    <m/>
    <m/>
    <m/>
  </r>
  <r>
    <s v="C000708"/>
    <x v="90"/>
    <s v="RUSHASHI SECTOR"/>
    <s v="Gakenke"/>
    <x v="0"/>
    <x v="0"/>
    <s v="Standard"/>
    <x v="0"/>
    <x v="6"/>
    <m/>
    <s v="4G ONE NETWORK 3MBPS"/>
    <m/>
    <n v="1"/>
    <n v="81355.932203389835"/>
    <n v="81355.932203389835"/>
    <s v="Monthly"/>
    <d v="2023-09-02T00:00:00"/>
    <x v="4"/>
    <x v="3"/>
    <n v="-57"/>
    <x v="3"/>
    <x v="2"/>
    <s v="NSHIMIYIMANA Levis"/>
    <s v="ictgakenke@gakenke.gov.rw"/>
    <s v="0788-807-478"/>
    <m/>
    <m/>
    <m/>
  </r>
  <r>
    <s v="C000708"/>
    <x v="90"/>
    <s v="MATABA SECTOR"/>
    <s v="Gakenke"/>
    <x v="0"/>
    <x v="0"/>
    <s v="Standard"/>
    <x v="0"/>
    <x v="6"/>
    <m/>
    <s v="4G ONE NETWORK 3MBPS"/>
    <m/>
    <n v="1"/>
    <n v="81355.932203389835"/>
    <n v="81355.932203389835"/>
    <s v="Monthly"/>
    <d v="2023-09-02T00:00:00"/>
    <x v="4"/>
    <x v="3"/>
    <n v="-57"/>
    <x v="3"/>
    <x v="2"/>
    <s v="NSHIMIYIMANA Levis"/>
    <s v="ictgakenke@gakenke.gov.rw"/>
    <s v="0788-807-478"/>
    <m/>
    <m/>
    <m/>
  </r>
  <r>
    <s v="C000708"/>
    <x v="90"/>
    <s v="KIVURUGA SECTOR"/>
    <s v="Gakenke"/>
    <x v="0"/>
    <x v="0"/>
    <s v="Standard"/>
    <x v="0"/>
    <x v="6"/>
    <m/>
    <s v="4G ONE NETWORK 3MBPS"/>
    <m/>
    <n v="1"/>
    <n v="81355.932203389835"/>
    <n v="81355.932203389835"/>
    <s v="Monthly"/>
    <d v="2023-09-02T00:00:00"/>
    <x v="4"/>
    <x v="3"/>
    <n v="-57"/>
    <x v="3"/>
    <x v="2"/>
    <s v="NSHIMIYIMANA Levis"/>
    <s v="ictgakenke@gakenke.gov.rw"/>
    <s v="0788-807-478"/>
    <m/>
    <m/>
    <m/>
  </r>
  <r>
    <s v="C000708"/>
    <x v="90"/>
    <s v="MUHONDO SECTOR"/>
    <s v="Gakenke"/>
    <x v="0"/>
    <x v="0"/>
    <s v="Standard"/>
    <x v="0"/>
    <x v="6"/>
    <m/>
    <s v="4G ONE NETWORK 3MBPS"/>
    <m/>
    <n v="1"/>
    <n v="81355.932203389835"/>
    <n v="81355.932203389835"/>
    <s v="Monthly"/>
    <d v="2023-09-02T00:00:00"/>
    <x v="4"/>
    <x v="3"/>
    <n v="-57"/>
    <x v="3"/>
    <x v="2"/>
    <s v="NSHIMIYIMANA Levis"/>
    <s v="ictgakenke@gakenke.gov.rw"/>
    <s v="0788-807-478"/>
    <m/>
    <m/>
    <m/>
  </r>
  <r>
    <s v="C000708"/>
    <x v="90"/>
    <s v="COKO SECTOR"/>
    <s v="Gakenke"/>
    <x v="0"/>
    <x v="0"/>
    <s v="Standard"/>
    <x v="0"/>
    <x v="6"/>
    <m/>
    <s v="4G ONE NETWORK 3MBPS"/>
    <m/>
    <n v="1"/>
    <n v="81355.932203389835"/>
    <n v="81355.932203389835"/>
    <s v="Monthly"/>
    <d v="2023-09-02T00:00:00"/>
    <x v="4"/>
    <x v="3"/>
    <n v="-57"/>
    <x v="3"/>
    <x v="2"/>
    <s v="NSHIMIYIMANA Levis"/>
    <s v="ictgakenke@gakenke.gov.rw"/>
    <s v="0788-807-478"/>
    <m/>
    <m/>
    <m/>
  </r>
  <r>
    <s v="C000708"/>
    <x v="90"/>
    <s v="JANJA SECTOR"/>
    <s v="Gakenke"/>
    <x v="0"/>
    <x v="0"/>
    <s v="Standard"/>
    <x v="0"/>
    <x v="6"/>
    <m/>
    <s v="4G ONE NETWORK 3MBPS"/>
    <m/>
    <n v="1"/>
    <n v="81355.932203389835"/>
    <n v="81355.932203389835"/>
    <s v="Monthly"/>
    <d v="2023-09-02T00:00:00"/>
    <x v="4"/>
    <x v="3"/>
    <n v="-57"/>
    <x v="3"/>
    <x v="2"/>
    <s v="NSHIMIYIMANA Levis"/>
    <s v="ictgakenke@gakenke.gov.rw"/>
    <s v="0788-807-478"/>
    <m/>
    <m/>
    <m/>
  </r>
  <r>
    <s v="C000708"/>
    <x v="90"/>
    <s v="NEMBA SECTOR"/>
    <s v="Gakenke"/>
    <x v="0"/>
    <x v="0"/>
    <s v="Standard"/>
    <x v="0"/>
    <x v="6"/>
    <m/>
    <s v="4G ONE NETWORK 3MBPS"/>
    <m/>
    <n v="1"/>
    <n v="81355.932203389835"/>
    <n v="81355.932203389835"/>
    <s v="Monthly"/>
    <d v="2023-09-02T00:00:00"/>
    <x v="4"/>
    <x v="3"/>
    <n v="-57"/>
    <x v="3"/>
    <x v="2"/>
    <s v="NSHIMIYIMANA Levis"/>
    <s v="ictgakenke@gakenke.gov.rw"/>
    <s v="0788-807-478"/>
    <m/>
    <m/>
    <m/>
  </r>
  <r>
    <s v="C000708"/>
    <x v="90"/>
    <s v="GAKENKE SECTOR"/>
    <s v="Gakenke"/>
    <x v="0"/>
    <x v="0"/>
    <s v="Standard"/>
    <x v="0"/>
    <x v="6"/>
    <m/>
    <s v="4G ONE NETWORK 3MBPS"/>
    <m/>
    <n v="1"/>
    <n v="81355.932203389835"/>
    <n v="81355.932203389835"/>
    <s v="Monthly"/>
    <d v="2023-09-02T00:00:00"/>
    <x v="4"/>
    <x v="3"/>
    <n v="-57"/>
    <x v="3"/>
    <x v="2"/>
    <s v="NSHIMIYIMANA Levis"/>
    <s v="ictgakenke@gakenke.gov.rw"/>
    <s v="0788-807-478"/>
    <m/>
    <m/>
    <m/>
  </r>
  <r>
    <s v="C000708"/>
    <x v="90"/>
    <s v="CYABINGO SECTOR"/>
    <s v="Gakenke"/>
    <x v="0"/>
    <x v="0"/>
    <s v="Standard"/>
    <x v="0"/>
    <x v="6"/>
    <m/>
    <s v="4G ONE NETWORK 3MBPS"/>
    <m/>
    <n v="1"/>
    <n v="81355.932203389835"/>
    <n v="81355.932203389835"/>
    <s v="Monthly"/>
    <d v="2023-09-02T00:00:00"/>
    <x v="4"/>
    <x v="3"/>
    <n v="-57"/>
    <x v="3"/>
    <x v="2"/>
    <s v="NSHIMIYIMANA Levis"/>
    <s v="ictgakenke@gakenke.gov.rw"/>
    <s v="0788-807-478"/>
    <m/>
    <m/>
    <m/>
  </r>
  <r>
    <s v="C000708"/>
    <x v="90"/>
    <s v="GAKENKE  DISTRICT"/>
    <s v="Gakenke"/>
    <x v="0"/>
    <x v="0"/>
    <s v="Standard"/>
    <x v="0"/>
    <x v="6"/>
    <m/>
    <s v="4G ONE NETWORK 3MBPS"/>
    <m/>
    <n v="1"/>
    <n v="81355.932203389835"/>
    <n v="81355.932203389835"/>
    <s v="Monthly"/>
    <d v="2023-09-02T00:00:00"/>
    <x v="4"/>
    <x v="3"/>
    <n v="-57"/>
    <x v="3"/>
    <x v="2"/>
    <s v="NSHIMIYIMANA Levis"/>
    <s v="ictgakenke@gakenke.gov.rw"/>
    <s v="0788-807-478"/>
    <m/>
    <m/>
    <m/>
  </r>
  <r>
    <s v="C000708"/>
    <x v="90"/>
    <s v="KAMUBUGA SECTOR"/>
    <s v="Gakenke"/>
    <x v="0"/>
    <x v="0"/>
    <s v="Standard"/>
    <x v="0"/>
    <x v="6"/>
    <m/>
    <s v="4G ONE NETWORK 3MBPS"/>
    <m/>
    <n v="1"/>
    <n v="81355.932203389835"/>
    <n v="81355.932203389835"/>
    <s v="Monthly"/>
    <d v="2023-09-02T00:00:00"/>
    <x v="4"/>
    <x v="3"/>
    <n v="-57"/>
    <x v="3"/>
    <x v="2"/>
    <s v="NSHIMIYIMANA Levis"/>
    <s v="ictgakenke@gakenke.gov.rw"/>
    <s v="0788-807-478"/>
    <m/>
    <m/>
    <m/>
  </r>
  <r>
    <s v="C000708"/>
    <x v="90"/>
    <s v="GAKENKE  DISTRICT"/>
    <s v="Gakenke"/>
    <x v="0"/>
    <x v="0"/>
    <s v="Standard"/>
    <x v="0"/>
    <x v="6"/>
    <m/>
    <s v="4G ONE NETWORK 3MBPS"/>
    <m/>
    <n v="1"/>
    <n v="81355.932203389835"/>
    <n v="81355.932203389835"/>
    <s v="Monthly"/>
    <d v="2023-09-02T00:00:00"/>
    <x v="4"/>
    <x v="3"/>
    <n v="-57"/>
    <x v="3"/>
    <x v="2"/>
    <s v="NSHIMIYIMANA Levis"/>
    <s v="ictgakenke@gakenke.gov.rw"/>
    <s v="0788-807-478"/>
    <m/>
    <m/>
    <m/>
  </r>
  <r>
    <s v="C000708"/>
    <x v="90"/>
    <s v="GAKENKE  DISTRICT"/>
    <s v="Gakenke"/>
    <x v="0"/>
    <x v="0"/>
    <s v="Standard"/>
    <x v="0"/>
    <x v="6"/>
    <m/>
    <s v="4G ONE NETWORK 3MBPS"/>
    <m/>
    <n v="1"/>
    <n v="81355.932203389835"/>
    <n v="81355.932203389835"/>
    <s v="Monthly"/>
    <d v="2023-09-02T00:00:00"/>
    <x v="4"/>
    <x v="3"/>
    <n v="-57"/>
    <x v="3"/>
    <x v="2"/>
    <s v="NSHIMIYIMANA Levis"/>
    <s v="ictgakenke@gakenke.gov.rw"/>
    <s v="0788-807-478"/>
    <m/>
    <m/>
    <m/>
  </r>
  <r>
    <s v="C000708"/>
    <x v="90"/>
    <s v="MUGUNGA SECTOR"/>
    <s v="Gakenke"/>
    <x v="0"/>
    <x v="0"/>
    <s v="Standard"/>
    <x v="0"/>
    <x v="6"/>
    <m/>
    <s v="4G ONE NETWORK 3MBPS"/>
    <m/>
    <n v="6"/>
    <n v="81355.932203389835"/>
    <n v="488135.59322033904"/>
    <s v="Monthly"/>
    <d v="2023-09-02T00:00:00"/>
    <x v="4"/>
    <x v="3"/>
    <n v="-57"/>
    <x v="3"/>
    <x v="2"/>
    <s v="NSHIMIYIMANA Levis"/>
    <s v="ictgakenke@gakenke.gov.rw"/>
    <s v="0788-807-478"/>
    <m/>
    <m/>
    <m/>
  </r>
  <r>
    <s v="C000708"/>
    <x v="90"/>
    <s v="GAKENKE  DISTRICT"/>
    <s v="Gakenke"/>
    <x v="0"/>
    <x v="0"/>
    <s v="Standard"/>
    <x v="0"/>
    <x v="6"/>
    <m/>
    <s v="4G MUP 1GB/DAY"/>
    <m/>
    <n v="27"/>
    <n v="19491.53"/>
    <n v="526271.30999999994"/>
    <s v="Monthly"/>
    <d v="2023-09-02T00:00:00"/>
    <x v="4"/>
    <x v="3"/>
    <n v="-57"/>
    <x v="3"/>
    <x v="2"/>
    <s v="NSHIMIYIMANA Levis"/>
    <s v="ictgakenke@gakenke.gov.rw"/>
    <s v="0788-807-478"/>
    <m/>
    <m/>
    <m/>
  </r>
  <r>
    <s v="C000708"/>
    <x v="90"/>
    <s v="GAKENKE  DISTRICT"/>
    <s v="Gakenke"/>
    <x v="0"/>
    <x v="0"/>
    <s v="Standard"/>
    <x v="0"/>
    <x v="6"/>
    <m/>
    <s v="4G MUP 2GB/DAY"/>
    <m/>
    <n v="98"/>
    <n v="28305.08"/>
    <n v="2773897.8400000003"/>
    <s v="Monthly"/>
    <d v="2023-09-02T00:00:00"/>
    <x v="4"/>
    <x v="3"/>
    <n v="-57"/>
    <x v="3"/>
    <x v="2"/>
    <s v="NSHIMIYIMANA Levis"/>
    <s v="ictgakenke@gakenke.gov.rw"/>
    <s v="0788-807-478"/>
    <m/>
    <m/>
    <m/>
  </r>
  <r>
    <s v="C000200"/>
    <x v="100"/>
    <s v="Akamai Local Content Provision"/>
    <s v="Gasabo"/>
    <x v="1"/>
    <x v="12"/>
    <s v="Standard"/>
    <x v="1"/>
    <x v="9"/>
    <m/>
    <s v="Local Content Provision: Akamai"/>
    <m/>
    <n v="1"/>
    <n v="214608"/>
    <n v="214608"/>
    <s v="Monthly"/>
    <d v="2023-09-03T00:00:00"/>
    <x v="4"/>
    <x v="3"/>
    <n v="-58"/>
    <x v="3"/>
    <x v="1"/>
    <s v="Timothee Mugaragu"/>
    <s v="mailto:tmugaragu@bk.rw"/>
    <s v="0 788 888 601"/>
    <m/>
    <m/>
    <m/>
  </r>
  <r>
    <s v="C003172"/>
    <x v="101"/>
    <s v="MINEMA SPIU"/>
    <s v="Nyarugenge"/>
    <x v="0"/>
    <x v="0"/>
    <s v="Standard"/>
    <x v="0"/>
    <x v="6"/>
    <m/>
    <s v="4G MUP 2GB/DAY"/>
    <m/>
    <n v="11"/>
    <n v="28305.08"/>
    <n v="311355.88"/>
    <s v="Monthly"/>
    <d v="2023-09-07T00:00:00"/>
    <x v="4"/>
    <x v="3"/>
    <n v="-62"/>
    <x v="1"/>
    <x v="2"/>
    <s v="Rene Mutabazi"/>
    <s v="rmutabazi@minema.gov.rw"/>
    <s v="0788-450-600"/>
    <m/>
    <m/>
    <m/>
  </r>
  <r>
    <s v="C001471"/>
    <x v="4"/>
    <s v="Ministry of Infrastructure (MININFRA) - HQ"/>
    <s v="Gasabo"/>
    <x v="0"/>
    <x v="0"/>
    <s v="Standard"/>
    <x v="0"/>
    <x v="6"/>
    <m/>
    <s v="4G 50GB BUNDLE"/>
    <m/>
    <n v="3"/>
    <n v="22033.9"/>
    <n v="66101.700000000012"/>
    <s v="Monthly"/>
    <d v="2023-09-07T00:00:00"/>
    <x v="4"/>
    <x v="3"/>
    <n v="-62"/>
    <x v="1"/>
    <x v="2"/>
    <s v="Romalice Ishimwe"/>
    <s v="romalice.ishimwe@mininfra.gov.rw"/>
    <s v="0733-049-160"/>
    <m/>
    <m/>
    <m/>
  </r>
  <r>
    <s v="C000410"/>
    <x v="76"/>
    <s v="CHUB-MAIN BRANCH"/>
    <s v="Huye"/>
    <x v="0"/>
    <x v="6"/>
    <s v="Standard"/>
    <x v="3"/>
    <x v="7"/>
    <m/>
    <s v="MSS GOLD"/>
    <m/>
    <n v="1"/>
    <n v="369325"/>
    <n v="369325"/>
    <s v="Monthly"/>
    <d v="2023-09-08T00:00:00"/>
    <x v="4"/>
    <x v="3"/>
    <n v="-63"/>
    <x v="1"/>
    <x v="6"/>
    <s v="Gatera Jean Damascene"/>
    <s v="info@chub.rw;gada@chub.rw"/>
    <n v="788553158"/>
    <m/>
    <m/>
    <m/>
  </r>
  <r>
    <s v="C000925"/>
    <x v="102"/>
    <s v="MSS Gold: ILPD Nyanza"/>
    <s v="Nyanza"/>
    <x v="0"/>
    <x v="4"/>
    <s v="Standard"/>
    <x v="1"/>
    <x v="7"/>
    <m/>
    <s v="MSS Gold Package"/>
    <m/>
    <n v="1"/>
    <n v="369325"/>
    <n v="369325"/>
    <s v="Monthly"/>
    <d v="2023-09-09T00:00:00"/>
    <x v="4"/>
    <x v="3"/>
    <n v="-64"/>
    <x v="1"/>
    <x v="1"/>
    <s v="Ngango Jean Baptiste"/>
    <s v="ngango@ilpd.ac.rw"/>
    <s v="0 784 216484"/>
    <m/>
    <m/>
    <m/>
  </r>
  <r>
    <s v="C000925"/>
    <x v="102"/>
    <s v="MSS Secure Browsing: ILPD Kigali"/>
    <s v="Nyarugenge"/>
    <x v="0"/>
    <x v="4"/>
    <s v="Standard"/>
    <x v="1"/>
    <x v="7"/>
    <m/>
    <s v="MSS Secure Browsing Package"/>
    <m/>
    <n v="1"/>
    <n v="86130"/>
    <n v="86130"/>
    <s v="Monthly"/>
    <d v="2023-09-09T00:00:00"/>
    <x v="4"/>
    <x v="3"/>
    <n v="-64"/>
    <x v="1"/>
    <x v="1"/>
    <s v="Ngango Jean Baptiste"/>
    <s v="ngango@ilpd.ac.rw"/>
    <s v="0 784 216484"/>
    <m/>
    <m/>
    <m/>
  </r>
  <r>
    <s v="C003707"/>
    <x v="94"/>
    <s v="FONERWA GCF PROJECT"/>
    <s v="Ngororero"/>
    <x v="0"/>
    <x v="7"/>
    <s v="Standard"/>
    <x v="0"/>
    <x v="0"/>
    <n v="5"/>
    <s v="FIBER VPN 5MBPS"/>
    <m/>
    <n v="1"/>
    <n v="270000"/>
    <n v="270000"/>
    <s v="Monthly"/>
    <d v="2023-09-12T00:00:00"/>
    <x v="4"/>
    <x v="3"/>
    <n v="-67"/>
    <x v="1"/>
    <x v="7"/>
    <s v="Sylvain KANANI"/>
    <s v="s.kanani@fonerwa.org"/>
    <n v="788807096"/>
    <m/>
    <m/>
    <m/>
  </r>
  <r>
    <s v="C001068"/>
    <x v="103"/>
    <s v="HQ"/>
    <s v="Gasabo"/>
    <x v="0"/>
    <x v="0"/>
    <s v="Standard"/>
    <x v="0"/>
    <x v="6"/>
    <m/>
    <s v="4G ONE NETWORK 5MBPS"/>
    <m/>
    <n v="1"/>
    <n v="101694.92"/>
    <n v="101694.92"/>
    <s v="Monthly"/>
    <d v="2023-09-15T00:00:00"/>
    <x v="4"/>
    <x v="3"/>
    <n v="-70"/>
    <x v="1"/>
    <x v="0"/>
    <s v="Uwayezu Charlotte"/>
    <s v="uwachan12@gmail.com "/>
    <s v="0783689026"/>
    <m/>
    <m/>
    <m/>
  </r>
  <r>
    <s v="C001068"/>
    <x v="103"/>
    <s v="HQ"/>
    <s v="Gasabo"/>
    <x v="0"/>
    <x v="0"/>
    <s v="Standard"/>
    <x v="0"/>
    <x v="6"/>
    <m/>
    <s v="4G MUP 1GB/DAY"/>
    <m/>
    <n v="2"/>
    <n v="19491.53"/>
    <n v="38983.06"/>
    <s v="Monthly"/>
    <d v="2023-09-15T00:00:00"/>
    <x v="4"/>
    <x v="3"/>
    <n v="-70"/>
    <x v="1"/>
    <x v="0"/>
    <s v="Uwayezu Charlotte"/>
    <s v="uwachan12@gmail.com "/>
    <s v="0783689026"/>
    <m/>
    <m/>
    <m/>
  </r>
  <r>
    <s v="C001068"/>
    <x v="103"/>
    <s v="HQ"/>
    <s v="Gasabo"/>
    <x v="0"/>
    <x v="0"/>
    <s v="Standard"/>
    <x v="0"/>
    <x v="6"/>
    <m/>
    <s v="4G MUP 2GB/DAY"/>
    <m/>
    <n v="5"/>
    <n v="28305.08"/>
    <n v="141525.40000000002"/>
    <s v="Monthly"/>
    <d v="2023-09-15T00:00:00"/>
    <x v="4"/>
    <x v="3"/>
    <n v="-70"/>
    <x v="1"/>
    <x v="0"/>
    <s v="Uwayezu Charlotte"/>
    <s v="uwachan12@gmail.com "/>
    <s v="0783689026"/>
    <m/>
    <m/>
    <m/>
  </r>
  <r>
    <s v="C001470"/>
    <x v="104"/>
    <s v="Smart Africa"/>
    <s v="Nyarugenge"/>
    <x v="0"/>
    <x v="0"/>
    <s v="Standard"/>
    <x v="1"/>
    <x v="0"/>
    <n v="40"/>
    <s v="FIBER VPN 40MBPS"/>
    <m/>
    <n v="1"/>
    <n v="1529661.02"/>
    <n v="1529661.02"/>
    <s v="Monthly"/>
    <d v="2023-09-15T00:00:00"/>
    <x v="4"/>
    <x v="3"/>
    <n v="-70"/>
    <x v="1"/>
    <x v="7"/>
    <s v="Antoine Kundimana"/>
    <s v="akundimana@minict.gov.rw"/>
    <n v="789338380"/>
    <m/>
    <m/>
    <m/>
  </r>
  <r>
    <s v="C001470"/>
    <x v="104"/>
    <s v="HQ"/>
    <s v="Nyarugenge"/>
    <x v="0"/>
    <x v="0"/>
    <s v="Standard"/>
    <x v="0"/>
    <x v="0"/>
    <n v="40"/>
    <s v="FIBER VPN 40MBPS"/>
    <m/>
    <n v="1"/>
    <n v="1529661.02"/>
    <n v="1529661.02"/>
    <s v="Monthly"/>
    <d v="2023-09-15T00:00:00"/>
    <x v="4"/>
    <x v="3"/>
    <n v="-70"/>
    <x v="1"/>
    <x v="7"/>
    <s v="Antoine Kundimana"/>
    <s v="akundimana@minict.gov.rw"/>
    <n v="789338380"/>
    <m/>
    <m/>
    <m/>
  </r>
  <r>
    <s v="C001470"/>
    <x v="104"/>
    <s v="Smart Africa"/>
    <s v="Nyarugenge"/>
    <x v="0"/>
    <x v="0"/>
    <s v="Standard"/>
    <x v="1"/>
    <x v="3"/>
    <m/>
    <s v="VoIP PHONES 1-20"/>
    <m/>
    <n v="1"/>
    <n v="60000"/>
    <n v="60000"/>
    <s v="Monthly"/>
    <d v="2023-09-15T00:00:00"/>
    <x v="4"/>
    <x v="3"/>
    <n v="-70"/>
    <x v="1"/>
    <x v="7"/>
    <s v="Antoine Kundimana"/>
    <s v="akundimana@minict.gov.rw"/>
    <n v="789338380"/>
    <m/>
    <m/>
    <m/>
  </r>
  <r>
    <s v="C001470"/>
    <x v="104"/>
    <s v="HQ"/>
    <s v="Nyarugenge"/>
    <x v="0"/>
    <x v="0"/>
    <s v="Standard"/>
    <x v="3"/>
    <x v="7"/>
    <m/>
    <s v="MSS GOLD"/>
    <m/>
    <n v="1"/>
    <n v="369325"/>
    <n v="369325"/>
    <s v="Monthly"/>
    <d v="2023-09-15T00:00:00"/>
    <x v="4"/>
    <x v="3"/>
    <n v="-70"/>
    <x v="1"/>
    <x v="7"/>
    <s v="Antoine Kundimana"/>
    <s v="akundimana@minict.gov.rw"/>
    <n v="789338380"/>
    <m/>
    <m/>
    <m/>
  </r>
  <r>
    <s v="C001470"/>
    <x v="104"/>
    <s v="HQ"/>
    <s v="Nyarugenge"/>
    <x v="0"/>
    <x v="0"/>
    <s v="Standard"/>
    <x v="0"/>
    <x v="6"/>
    <m/>
    <s v="4G MUP 1GB/DAY"/>
    <m/>
    <n v="1"/>
    <n v="19491.53"/>
    <n v="19491.53"/>
    <s v="Monthly"/>
    <d v="2023-09-15T00:00:00"/>
    <x v="4"/>
    <x v="3"/>
    <n v="-70"/>
    <x v="1"/>
    <x v="7"/>
    <s v="Antoine Kundimana"/>
    <s v="akundimana@minict.gov.rw"/>
    <n v="789338380"/>
    <m/>
    <m/>
    <m/>
  </r>
  <r>
    <s v="C001470"/>
    <x v="104"/>
    <s v="HQ"/>
    <s v="Nyarugenge"/>
    <x v="0"/>
    <x v="0"/>
    <s v="Standard"/>
    <x v="1"/>
    <x v="10"/>
    <m/>
    <s v="VIDEO CONFERENCE"/>
    <m/>
    <n v="2"/>
    <n v="258044.92"/>
    <n v="516089.84"/>
    <s v="Monthly"/>
    <d v="2023-09-15T00:00:00"/>
    <x v="4"/>
    <x v="3"/>
    <n v="-70"/>
    <x v="1"/>
    <x v="7"/>
    <s v="Antoine Kundimana"/>
    <s v="akundimana@minict.gov.rw"/>
    <n v="789338380"/>
    <m/>
    <m/>
    <m/>
  </r>
  <r>
    <s v="C000766"/>
    <x v="105"/>
    <s v="GIHUNDWE-MAIN BRANCH"/>
    <s v="Rusizi"/>
    <x v="0"/>
    <x v="6"/>
    <s v="Standard"/>
    <x v="3"/>
    <x v="7"/>
    <m/>
    <s v="MSS SECURE BROWSING"/>
    <m/>
    <n v="1"/>
    <n v="86310"/>
    <n v="86310"/>
    <s v="Monthly"/>
    <d v="2023-09-19T00:00:00"/>
    <x v="4"/>
    <x v="3"/>
    <n v="-74"/>
    <x v="1"/>
    <x v="6"/>
    <s v="UWAYEZU Diane"/>
    <s v="gihundwe.hospital@moh.gov.rw"/>
    <n v="782434307"/>
    <m/>
    <m/>
    <m/>
  </r>
  <r>
    <s v="C002246"/>
    <x v="106"/>
    <s v="RBC-HQ"/>
    <s v="Gasabo"/>
    <x v="0"/>
    <x v="6"/>
    <s v="VIP"/>
    <x v="3"/>
    <x v="7"/>
    <m/>
    <s v="MSS PLATINUM"/>
    <m/>
    <n v="1"/>
    <n v="1478574.5762711866"/>
    <n v="1478574.5762711866"/>
    <s v="Monthly"/>
    <d v="2023-09-19T00:00:00"/>
    <x v="4"/>
    <x v="3"/>
    <n v="-74"/>
    <x v="1"/>
    <x v="6"/>
    <s v="KAGIRANEZA Samuel"/>
    <s v="samuel.kagiraneza@rbc.gov.rw"/>
    <n v="788512162"/>
    <m/>
    <m/>
    <m/>
  </r>
  <r>
    <s v="C002246"/>
    <x v="106"/>
    <s v="MCCH-FREEZONE"/>
    <s v="Gasabo"/>
    <x v="0"/>
    <x v="6"/>
    <s v="VIP"/>
    <x v="3"/>
    <x v="7"/>
    <m/>
    <s v="MSS SECURE BROWSING"/>
    <m/>
    <n v="1"/>
    <n v="86129.661016949161"/>
    <n v="86129.661016949161"/>
    <s v="Monthly"/>
    <d v="2023-09-19T00:00:00"/>
    <x v="4"/>
    <x v="3"/>
    <n v="-74"/>
    <x v="1"/>
    <x v="6"/>
    <s v="KAGIRANEZA Samuel"/>
    <s v="samuel.kagiraneza@rbc.gov.rw"/>
    <n v="788512162"/>
    <m/>
    <m/>
    <m/>
  </r>
  <r>
    <s v="C002246"/>
    <x v="106"/>
    <s v="RCBT-HUYE"/>
    <s v="Huye"/>
    <x v="0"/>
    <x v="6"/>
    <s v="VIP"/>
    <x v="3"/>
    <x v="7"/>
    <m/>
    <s v="MSS SECURE BROWSING"/>
    <m/>
    <n v="1"/>
    <n v="86129.661016949161"/>
    <n v="86129.661016949161"/>
    <s v="Monthly"/>
    <d v="2023-09-19T00:00:00"/>
    <x v="4"/>
    <x v="3"/>
    <n v="-74"/>
    <x v="1"/>
    <x v="6"/>
    <s v="KAGIRANEZA Samuel"/>
    <s v="samuel.kagiraneza@rbc.gov.rw"/>
    <n v="788512162"/>
    <m/>
    <m/>
    <m/>
  </r>
  <r>
    <s v="C002246"/>
    <x v="106"/>
    <s v="RCBT-KARONGI"/>
    <s v="Karongi"/>
    <x v="0"/>
    <x v="6"/>
    <s v="VIP"/>
    <x v="3"/>
    <x v="7"/>
    <m/>
    <s v="MSS SECURE BROWSING"/>
    <m/>
    <n v="1"/>
    <n v="86129.661016949161"/>
    <n v="86129.661016949161"/>
    <s v="Monthly"/>
    <d v="2023-09-19T00:00:00"/>
    <x v="4"/>
    <x v="3"/>
    <n v="-74"/>
    <x v="1"/>
    <x v="6"/>
    <s v="KAGIRANEZA Samuel"/>
    <s v="samuel.kagiraneza@rbc.gov.rw"/>
    <n v="788512162"/>
    <m/>
    <m/>
    <m/>
  </r>
  <r>
    <s v="C002246"/>
    <x v="106"/>
    <s v="MCCH-MAGERWA"/>
    <s v="Kicukiro"/>
    <x v="0"/>
    <x v="6"/>
    <s v="VIP"/>
    <x v="3"/>
    <x v="7"/>
    <m/>
    <s v="MSS SECURE BROWSING"/>
    <m/>
    <n v="1"/>
    <n v="86129.661016949161"/>
    <n v="86129.661016949161"/>
    <s v="Monthly"/>
    <d v="2023-09-19T00:00:00"/>
    <x v="4"/>
    <x v="3"/>
    <n v="-74"/>
    <x v="1"/>
    <x v="6"/>
    <s v="KAGIRANEZA Samuel"/>
    <s v="samuel.kagiraneza@rbc.gov.rw"/>
    <n v="788512162"/>
    <m/>
    <m/>
    <m/>
  </r>
  <r>
    <s v="C002246"/>
    <x v="106"/>
    <s v="RCBT-MUSANZE"/>
    <s v="Musanze"/>
    <x v="0"/>
    <x v="6"/>
    <s v="VIP"/>
    <x v="3"/>
    <x v="7"/>
    <m/>
    <s v="MSS SECURE BROWSING"/>
    <m/>
    <n v="1"/>
    <n v="86129.661016949161"/>
    <n v="86129.661016949161"/>
    <s v="Monthly"/>
    <d v="2023-09-19T00:00:00"/>
    <x v="4"/>
    <x v="3"/>
    <n v="-74"/>
    <x v="1"/>
    <x v="6"/>
    <s v="KAGIRANEZA Samuel"/>
    <s v="samuel.kagiraneza@rbc.gov.rw"/>
    <n v="788512162"/>
    <m/>
    <m/>
    <m/>
  </r>
  <r>
    <s v="C002246"/>
    <x v="106"/>
    <s v="NRL"/>
    <s v="Nyarugenge"/>
    <x v="0"/>
    <x v="6"/>
    <s v="VIP"/>
    <x v="3"/>
    <x v="7"/>
    <m/>
    <s v="MSS GOLD"/>
    <m/>
    <n v="1"/>
    <n v="369325"/>
    <n v="369325"/>
    <s v="Monthly"/>
    <d v="2023-09-19T00:00:00"/>
    <x v="4"/>
    <x v="3"/>
    <n v="-74"/>
    <x v="1"/>
    <x v="6"/>
    <s v="KAGIRANEZA Samuel"/>
    <s v="samuel.kagiraneza@rbc.gov.rw"/>
    <n v="788512162"/>
    <m/>
    <m/>
    <m/>
  </r>
  <r>
    <s v="C002246"/>
    <x v="106"/>
    <s v="RCBT-RWAMAGANA"/>
    <s v="Rwamagana  "/>
    <x v="0"/>
    <x v="6"/>
    <s v="VIP"/>
    <x v="3"/>
    <x v="7"/>
    <m/>
    <s v="MSS SECURE BROWSING"/>
    <m/>
    <n v="1"/>
    <n v="86129.661016949161"/>
    <n v="86129.661016949161"/>
    <s v="Monthly"/>
    <d v="2023-09-19T00:00:00"/>
    <x v="4"/>
    <x v="3"/>
    <n v="-74"/>
    <x v="1"/>
    <x v="6"/>
    <s v="KAGIRANEZA Samuel"/>
    <s v="samuel.kagiraneza@rbc.gov.rw"/>
    <n v="788512162"/>
    <m/>
    <m/>
    <m/>
  </r>
  <r>
    <s v="C002437"/>
    <x v="25"/>
    <s v="RSSB"/>
    <s v="Gasabo"/>
    <x v="0"/>
    <x v="0"/>
    <s v="VIP"/>
    <x v="0"/>
    <x v="6"/>
    <m/>
    <s v="4G MUP 4GB/DAY"/>
    <m/>
    <n v="1"/>
    <n v="45338.983050847462"/>
    <n v="45338.983050847462"/>
    <s v="Monthly"/>
    <d v="2023-09-20T00:00:00"/>
    <x v="4"/>
    <x v="3"/>
    <n v="-75"/>
    <x v="1"/>
    <x v="3"/>
    <s v="Odette Kampire"/>
    <s v="odette.kampire@rssb.rw"/>
    <s v="0788-850-079."/>
    <m/>
    <m/>
    <m/>
  </r>
  <r>
    <s v="C002437"/>
    <x v="25"/>
    <s v="RSSB"/>
    <s v="Gasabo"/>
    <x v="0"/>
    <x v="0"/>
    <s v="VIP"/>
    <x v="0"/>
    <x v="6"/>
    <m/>
    <s v="4G MUP 3GB/DAY"/>
    <m/>
    <n v="9"/>
    <n v="54237.29"/>
    <n v="488135.61"/>
    <s v="Monthly"/>
    <d v="2023-09-20T00:00:00"/>
    <x v="4"/>
    <x v="3"/>
    <n v="-75"/>
    <x v="1"/>
    <x v="3"/>
    <s v="Odette Kampire"/>
    <s v="odette.kampire@rssb.rw"/>
    <s v="0788-850-079."/>
    <m/>
    <m/>
    <m/>
  </r>
  <r>
    <s v="C002888"/>
    <x v="107"/>
    <s v="Urunana 4G Service"/>
    <s v="Gasabo"/>
    <x v="1"/>
    <x v="2"/>
    <s v="Standard"/>
    <x v="0"/>
    <x v="6"/>
    <m/>
    <s v="4G MUP 4GB/DAY PRIV"/>
    <m/>
    <n v="1"/>
    <n v="89322.033897999994"/>
    <n v="89322.033897999994"/>
    <s v="Monthly"/>
    <d v="2023-09-28T00:00:00"/>
    <x v="4"/>
    <x v="3"/>
    <n v="-83"/>
    <x v="1"/>
    <x v="1"/>
    <s v="George Gahenda"/>
    <s v="gahendak.george@gmail.com"/>
    <s v="0 788 303 349"/>
    <m/>
    <m/>
    <m/>
  </r>
  <r>
    <s v="C000056"/>
    <x v="108"/>
    <s v="HQ"/>
    <s v="Nyarugenge"/>
    <x v="0"/>
    <x v="0"/>
    <s v="Standard"/>
    <x v="0"/>
    <x v="0"/>
    <n v="20"/>
    <s v="FIBER VPN 20MBPS"/>
    <m/>
    <n v="1"/>
    <n v="900000"/>
    <n v="900000"/>
    <s v="Monthly"/>
    <d v="2023-09-30T00:00:00"/>
    <x v="4"/>
    <x v="3"/>
    <n v="-85"/>
    <x v="1"/>
    <x v="7"/>
    <s v="Sedar"/>
    <s v="sedar.sagamba@agaciro.rw"/>
    <n v="788845290"/>
    <m/>
    <m/>
    <m/>
  </r>
  <r>
    <s v="C000056"/>
    <x v="108"/>
    <s v="HQ"/>
    <s v="Nyarugenge"/>
    <x v="0"/>
    <x v="0"/>
    <s v="Standard"/>
    <x v="0"/>
    <x v="6"/>
    <m/>
    <s v="4G MUP 1GB/DAY"/>
    <m/>
    <n v="1"/>
    <n v="19491.53"/>
    <n v="19491.53"/>
    <s v="Monthly"/>
    <d v="2023-09-30T00:00:00"/>
    <x v="4"/>
    <x v="3"/>
    <n v="-85"/>
    <x v="1"/>
    <x v="7"/>
    <s v="Sedar"/>
    <s v="sedar.sagamba@agaciro.rw"/>
    <n v="788845290"/>
    <m/>
    <m/>
    <m/>
  </r>
  <r>
    <s v="C000771"/>
    <x v="43"/>
    <s v="GISENYI-MAIN BRANCH"/>
    <s v="Rubavu"/>
    <x v="0"/>
    <x v="6"/>
    <s v="Standard"/>
    <x v="0"/>
    <x v="0"/>
    <n v="5"/>
    <s v="FIBER VPN 5MBPS"/>
    <m/>
    <n v="1"/>
    <n v="270000"/>
    <n v="270000"/>
    <s v="Monthly"/>
    <d v="2023-09-30T00:00:00"/>
    <x v="4"/>
    <x v="3"/>
    <n v="-85"/>
    <x v="1"/>
    <x v="6"/>
    <s v="NKURUNZIZA Innocent"/>
    <s v="gisenyi.hospital@moh.gov.rw"/>
    <n v="788823232"/>
    <m/>
    <m/>
    <m/>
  </r>
  <r>
    <s v="C002452"/>
    <x v="109"/>
    <s v="LA CROIX DU SUD HOSPITAL"/>
    <s v="Gasabo"/>
    <x v="1"/>
    <x v="6"/>
    <s v="Standard"/>
    <x v="1"/>
    <x v="5"/>
    <n v="10"/>
    <s v="FIBER INTERNET 10MBPS"/>
    <m/>
    <n v="1"/>
    <n v="510000"/>
    <n v="510000"/>
    <s v="Monthly"/>
    <d v="2023-09-30T00:00:00"/>
    <x v="4"/>
    <x v="3"/>
    <n v="-85"/>
    <x v="1"/>
    <x v="2"/>
    <s v="Amizero Willy "/>
    <s v="aamizero@gmail.com"/>
    <s v="0788-564-539"/>
    <m/>
    <m/>
    <m/>
  </r>
  <r>
    <s v="C001471"/>
    <x v="4"/>
    <s v="Ministry of Infrastructure (MININFRA) - HQ"/>
    <s v="Gasabo"/>
    <x v="0"/>
    <x v="0"/>
    <s v="Standard"/>
    <x v="0"/>
    <x v="0"/>
    <n v="50"/>
    <s v="FIBER VPN 50MBPS"/>
    <m/>
    <n v="1"/>
    <n v="1800000"/>
    <n v="1800000"/>
    <s v="Monthly"/>
    <d v="2023-09-30T00:00:00"/>
    <x v="4"/>
    <x v="3"/>
    <n v="-85"/>
    <x v="1"/>
    <x v="2"/>
    <s v="Romalice Ishimwe"/>
    <s v="romalice.ishimwe@mininfra.gov.rw"/>
    <s v="0733-049-160"/>
    <m/>
    <m/>
    <m/>
  </r>
  <r>
    <s v="C001471"/>
    <x v="4"/>
    <s v="Ministry of Infrastructure (MININFRA) - HQ"/>
    <s v="Gasabo"/>
    <x v="0"/>
    <x v="0"/>
    <s v="Standard"/>
    <x v="3"/>
    <x v="7"/>
    <m/>
    <s v="MSS GOLD"/>
    <m/>
    <n v="1"/>
    <n v="369325.42"/>
    <n v="369325.42"/>
    <s v="Monthly"/>
    <d v="2023-09-30T00:00:00"/>
    <x v="4"/>
    <x v="3"/>
    <n v="-85"/>
    <x v="1"/>
    <x v="2"/>
    <s v="Romalice Ishimwe"/>
    <s v="romalice.ishimwe@mininfra.gov.rw"/>
    <s v="0733-049-160"/>
    <m/>
    <m/>
    <m/>
  </r>
  <r>
    <s v="C001769"/>
    <x v="110"/>
    <s v="HQ"/>
    <s v="Ngororero"/>
    <x v="0"/>
    <x v="0"/>
    <s v="Standard"/>
    <x v="0"/>
    <x v="0"/>
    <n v="3"/>
    <s v="FIBER VPN 3MBPS"/>
    <m/>
    <n v="1"/>
    <n v="180000"/>
    <n v="180000"/>
    <s v="Monthly"/>
    <d v="2023-09-30T00:00:00"/>
    <x v="4"/>
    <x v="3"/>
    <n v="-85"/>
    <x v="1"/>
    <x v="5"/>
    <s v="hyacinte"/>
    <s v="nzigiye.hyacinthe@ngororero.gov.rw"/>
    <n v="785164119"/>
    <m/>
    <m/>
    <m/>
  </r>
  <r>
    <s v="C001769"/>
    <x v="110"/>
    <s v="HQ"/>
    <s v="Ngororero"/>
    <x v="0"/>
    <x v="0"/>
    <s v="Standard"/>
    <x v="0"/>
    <x v="0"/>
    <n v="5"/>
    <s v="FIBER VPN 5MBPS"/>
    <m/>
    <n v="1"/>
    <n v="270000"/>
    <n v="270000"/>
    <s v="Monthly"/>
    <d v="2023-09-30T00:00:00"/>
    <x v="4"/>
    <x v="3"/>
    <n v="-85"/>
    <x v="1"/>
    <x v="5"/>
    <s v="hyacinte"/>
    <s v="nzigiye.hyacinthe@ngororero.gov.rw"/>
    <n v="785164119"/>
    <m/>
    <m/>
    <m/>
  </r>
  <r>
    <s v="C001769"/>
    <x v="110"/>
    <s v="HQ"/>
    <s v="Ngororero"/>
    <x v="0"/>
    <x v="0"/>
    <s v="Standard"/>
    <x v="1"/>
    <x v="10"/>
    <m/>
    <s v="VIDEO CONFERENCE"/>
    <m/>
    <n v="1"/>
    <n v="258044.92"/>
    <n v="258044.92"/>
    <s v="Monthly"/>
    <d v="2023-09-30T00:00:00"/>
    <x v="4"/>
    <x v="3"/>
    <n v="-85"/>
    <x v="1"/>
    <x v="5"/>
    <s v="hyacinte"/>
    <s v="nzigiye.hyacinthe@ngororero.gov.rw"/>
    <n v="785164119"/>
    <m/>
    <m/>
    <m/>
  </r>
  <r>
    <s v="C001769"/>
    <x v="110"/>
    <s v="HQ"/>
    <s v="Ngororero"/>
    <x v="0"/>
    <x v="0"/>
    <s v="Standard"/>
    <x v="3"/>
    <x v="7"/>
    <m/>
    <s v="MSS GOLD"/>
    <m/>
    <n v="1"/>
    <n v="369325.42"/>
    <n v="369325.42"/>
    <s v="Monthly"/>
    <d v="2023-09-30T00:00:00"/>
    <x v="4"/>
    <x v="3"/>
    <n v="-85"/>
    <x v="1"/>
    <x v="5"/>
    <s v="hyacinte"/>
    <s v="nzigiye.hyacinthe@ngororero.gov.rw"/>
    <n v="785164119"/>
    <m/>
    <m/>
    <m/>
  </r>
  <r>
    <s v="C001769"/>
    <x v="110"/>
    <s v="CELL"/>
    <s v="Ngororero"/>
    <x v="0"/>
    <x v="0"/>
    <s v="Standard"/>
    <x v="0"/>
    <x v="6"/>
    <m/>
    <s v="4G MUP 1GB/DAY"/>
    <m/>
    <n v="1"/>
    <n v="19491.53"/>
    <n v="19491.53"/>
    <s v="Monthly"/>
    <d v="2023-09-30T00:00:00"/>
    <x v="4"/>
    <x v="3"/>
    <n v="-85"/>
    <x v="1"/>
    <x v="5"/>
    <s v="hyacinte"/>
    <s v="nzigiye.hyacinthe@ngororero.gov.rw"/>
    <n v="785164119"/>
    <m/>
    <m/>
    <m/>
  </r>
  <r>
    <s v="C001769"/>
    <x v="110"/>
    <s v="CELL"/>
    <s v="Ngororero"/>
    <x v="0"/>
    <x v="0"/>
    <s v="Standard"/>
    <x v="0"/>
    <x v="6"/>
    <m/>
    <s v="4G ONE NETWORK 3MBPS"/>
    <m/>
    <n v="13"/>
    <n v="81355.932203389835"/>
    <n v="1057627.1186440678"/>
    <s v="Monthly"/>
    <d v="2023-09-30T00:00:00"/>
    <x v="4"/>
    <x v="3"/>
    <n v="-85"/>
    <x v="1"/>
    <x v="5"/>
    <s v="hyacinte"/>
    <s v="nzigiye.hyacinthe@ngororero.gov.rw"/>
    <n v="785164119"/>
    <m/>
    <m/>
    <m/>
  </r>
  <r>
    <s v="C001769"/>
    <x v="110"/>
    <s v="CELL"/>
    <s v="Ngororero"/>
    <x v="0"/>
    <x v="0"/>
    <s v="Standard"/>
    <x v="0"/>
    <x v="6"/>
    <m/>
    <s v="4G MUP 2GB/DAY"/>
    <m/>
    <n v="15"/>
    <n v="28305.08"/>
    <n v="424576.2"/>
    <s v="Monthly"/>
    <d v="2023-09-30T00:00:00"/>
    <x v="4"/>
    <x v="3"/>
    <n v="-85"/>
    <x v="1"/>
    <x v="5"/>
    <s v="hyacinte"/>
    <s v="nzigiye.hyacinthe@ngororero.gov.rw"/>
    <n v="785164119"/>
    <m/>
    <m/>
    <m/>
  </r>
  <r>
    <s v="C002297"/>
    <x v="111"/>
    <s v="HQ"/>
    <s v="Kicukiro"/>
    <x v="0"/>
    <x v="0"/>
    <s v="Standard"/>
    <x v="0"/>
    <x v="6"/>
    <m/>
    <s v="4G MUP 8GB/DAY"/>
    <m/>
    <n v="1"/>
    <n v="77711.86"/>
    <n v="77711.86"/>
    <s v="Monthly"/>
    <d v="2023-09-30T00:00:00"/>
    <x v="4"/>
    <x v="3"/>
    <n v="-85"/>
    <x v="1"/>
    <x v="0"/>
    <s v="Murebwayire Jeanne D'Arc"/>
    <s v="niboye@kicukiro.gov.rw "/>
    <s v="0785529176"/>
    <m/>
    <m/>
    <m/>
  </r>
  <r>
    <s v="C003779"/>
    <x v="112"/>
    <s v="NPPA Nyagatare 4G Service"/>
    <s v="Nyagatare"/>
    <x v="0"/>
    <x v="11"/>
    <s v="Standard"/>
    <x v="0"/>
    <x v="6"/>
    <m/>
    <s v="4G MUP 2GB/DAY"/>
    <m/>
    <n v="1"/>
    <n v="28305.084745762713"/>
    <n v="28305.084745762713"/>
    <s v="Monthly"/>
    <d v="2023-09-30T00:00:00"/>
    <x v="4"/>
    <x v="3"/>
    <n v="-85"/>
    <x v="1"/>
    <x v="1"/>
    <s v="Gedeon Kwizera"/>
    <s v="gedeon.kwizera@nppa.gov.rw"/>
    <s v="0 788 434 585"/>
    <m/>
    <m/>
    <m/>
  </r>
  <r>
    <s v="C002065"/>
    <x v="113"/>
    <s v="Ralga"/>
    <s v="Gasabo"/>
    <x v="0"/>
    <x v="0"/>
    <s v="Standard"/>
    <x v="0"/>
    <x v="0"/>
    <n v="1"/>
    <s v="Fiber VPN 1MBPS "/>
    <m/>
    <n v="1"/>
    <n v="90000"/>
    <n v="90000"/>
    <s v="Monthly"/>
    <d v="2023-09-30T00:00:00"/>
    <x v="4"/>
    <x v="3"/>
    <n v="-85"/>
    <x v="1"/>
    <x v="5"/>
    <s v="Raissa Mutabazi"/>
    <s v="rmutabazi@ralga.rw"/>
    <n v="788530212"/>
    <m/>
    <m/>
    <m/>
  </r>
  <r>
    <s v="C002065"/>
    <x v="113"/>
    <s v="Ralga"/>
    <s v="Gasabo"/>
    <x v="0"/>
    <x v="0"/>
    <s v="Standard"/>
    <x v="0"/>
    <x v="0"/>
    <n v="10"/>
    <s v="Fiber VPN 3MBPS "/>
    <m/>
    <n v="1"/>
    <n v="510000"/>
    <n v="510000"/>
    <s v="Monthly"/>
    <d v="2023-09-30T00:00:00"/>
    <x v="4"/>
    <x v="3"/>
    <n v="-85"/>
    <x v="1"/>
    <x v="5"/>
    <s v="Raissa Mutabazi"/>
    <s v="rmutabazi@ralga.rw"/>
    <n v="788530212"/>
    <m/>
    <m/>
    <m/>
  </r>
  <r>
    <s v="C002085"/>
    <x v="114"/>
    <s v="RRH-MAIN BRANCH"/>
    <s v="Kamonyi"/>
    <x v="0"/>
    <x v="6"/>
    <s v="Standard"/>
    <x v="0"/>
    <x v="0"/>
    <n v="15"/>
    <s v="FIBER VPN 15MBPS"/>
    <m/>
    <n v="1"/>
    <n v="720000"/>
    <n v="720000"/>
    <s v="Monthly"/>
    <d v="2023-09-30T00:00:00"/>
    <x v="4"/>
    <x v="3"/>
    <n v="-85"/>
    <x v="1"/>
    <x v="6"/>
    <s v="UFITEYESU Samuel"/>
    <s v="rugufs@gmail.com"/>
    <n v="788511312"/>
    <m/>
    <m/>
    <m/>
  </r>
  <r>
    <s v="C002085"/>
    <x v="114"/>
    <s v="RRH-MAIN BRANCH"/>
    <s v="Kamonyi"/>
    <x v="0"/>
    <x v="6"/>
    <s v="Standard"/>
    <x v="3"/>
    <x v="7"/>
    <m/>
    <s v="MSS GOLD"/>
    <m/>
    <n v="1"/>
    <n v="369325"/>
    <n v="369325"/>
    <s v="Monthly"/>
    <d v="2023-09-30T00:00:00"/>
    <x v="4"/>
    <x v="3"/>
    <n v="-85"/>
    <x v="1"/>
    <x v="6"/>
    <s v="UFITEYESU Samuel"/>
    <s v="rugufs@gmail.com"/>
    <n v="788511312"/>
    <m/>
    <m/>
    <m/>
  </r>
  <r>
    <s v="C002478"/>
    <x v="115"/>
    <s v="RSB HQ"/>
    <s v="Kicukiro"/>
    <x v="0"/>
    <x v="0"/>
    <s v="Standard"/>
    <x v="0"/>
    <x v="0"/>
    <n v="15"/>
    <s v="FIBER VPN 15MBPS"/>
    <m/>
    <n v="1"/>
    <n v="720000"/>
    <n v="720000"/>
    <s v="Monthly"/>
    <d v="2023-09-30T00:00:00"/>
    <x v="4"/>
    <x v="3"/>
    <n v="-85"/>
    <x v="1"/>
    <x v="2"/>
    <s v="Gaston Serge Uwayo"/>
    <s v="RSB Digital Office' digital@rsb.gov.rw"/>
    <s v="0788-766-510/0784-844-260"/>
    <m/>
    <m/>
    <m/>
  </r>
  <r>
    <s v="C002478"/>
    <x v="115"/>
    <s v="RSB HQ"/>
    <s v="Kicukiro"/>
    <x v="0"/>
    <x v="0"/>
    <s v="Standard"/>
    <x v="3"/>
    <x v="7"/>
    <m/>
    <s v="MSS GOLD"/>
    <m/>
    <n v="1"/>
    <n v="369325"/>
    <n v="369325"/>
    <s v="Monthly"/>
    <d v="2023-09-30T00:00:00"/>
    <x v="4"/>
    <x v="3"/>
    <n v="-85"/>
    <x v="1"/>
    <x v="2"/>
    <s v="Gaston Serge Uwayo"/>
    <s v="RSB Digital Office' digital@rsb.gov.rw"/>
    <s v="0788-766-510/0784-844-260"/>
    <m/>
    <m/>
    <m/>
  </r>
  <r>
    <s v="C002478"/>
    <x v="115"/>
    <s v="RSB HQ"/>
    <s v="Kicukiro"/>
    <x v="0"/>
    <x v="0"/>
    <s v="Standard"/>
    <x v="0"/>
    <x v="6"/>
    <m/>
    <s v="4G MUP 2GB/DAY"/>
    <m/>
    <n v="4"/>
    <n v="28305.08"/>
    <n v="113220.32"/>
    <s v="Monthly"/>
    <d v="2023-09-30T00:00:00"/>
    <x v="4"/>
    <x v="3"/>
    <n v="-85"/>
    <x v="1"/>
    <x v="2"/>
    <s v="Gaston Serge Uwayo"/>
    <s v="RSB Digital Office' digital@rsb.gov.rw"/>
    <s v="0788-766-510/0784-844-260"/>
    <m/>
    <m/>
    <m/>
  </r>
  <r>
    <s v="C003174"/>
    <x v="75"/>
    <s v="RWANDA FDA-KICUKIRO SITE"/>
    <s v="Gasabo"/>
    <x v="0"/>
    <x v="6"/>
    <s v="Standard"/>
    <x v="1"/>
    <x v="0"/>
    <n v="15"/>
    <s v="FIBER VPN 15MBPS"/>
    <m/>
    <n v="1"/>
    <n v="720000"/>
    <n v="720000"/>
    <s v="Monthly"/>
    <d v="2023-10-03T00:00:00"/>
    <x v="12"/>
    <x v="3"/>
    <n v="-88"/>
    <x v="1"/>
    <x v="6"/>
    <s v="DAVID Rafiki"/>
    <s v="info@rwandafda.gov.rw"/>
    <n v="788564246"/>
    <m/>
    <m/>
    <m/>
  </r>
  <r>
    <s v="C003174"/>
    <x v="75"/>
    <s v="RWANDA FDA-KICUKIRO SITE"/>
    <s v="Gasabo"/>
    <x v="0"/>
    <x v="6"/>
    <s v="Standard"/>
    <x v="3"/>
    <x v="7"/>
    <m/>
    <s v="MSS GOLD"/>
    <m/>
    <n v="1"/>
    <n v="369325"/>
    <n v="369325"/>
    <s v="Monthly"/>
    <d v="2023-10-03T00:00:00"/>
    <x v="12"/>
    <x v="3"/>
    <n v="-88"/>
    <x v="1"/>
    <x v="6"/>
    <s v="OLIVIER KAYIRANGA"/>
    <s v="info@rwandafda.gov.rw"/>
    <n v="788470200"/>
    <m/>
    <m/>
    <m/>
  </r>
  <r>
    <s v="C003801"/>
    <x v="116"/>
    <s v="EP KINDAMA"/>
    <s v="Bugesera"/>
    <x v="1"/>
    <x v="4"/>
    <s v="VIP"/>
    <x v="1"/>
    <x v="4"/>
    <n v="25"/>
    <s v="WIRELESS 25MBPS"/>
    <m/>
    <n v="1"/>
    <n v="296610"/>
    <n v="296610"/>
    <s v="Monthly"/>
    <d v="2023-10-09T00:00:00"/>
    <x v="12"/>
    <x v="3"/>
    <n v="-94"/>
    <x v="1"/>
    <x v="6"/>
    <s v="NTABANA Martin"/>
    <s v="mntabana@unicef.org"/>
    <n v="788484961"/>
    <m/>
    <m/>
    <m/>
  </r>
  <r>
    <s v="C003801"/>
    <x v="116"/>
    <s v="EP GITWE"/>
    <s v="Bugesera"/>
    <x v="1"/>
    <x v="4"/>
    <s v="VIP"/>
    <x v="1"/>
    <x v="4"/>
    <n v="25"/>
    <s v="WIRELESS 25MBPS"/>
    <m/>
    <n v="1"/>
    <n v="296610"/>
    <n v="296610"/>
    <s v="Monthly"/>
    <d v="2023-10-09T00:00:00"/>
    <x v="12"/>
    <x v="3"/>
    <n v="-94"/>
    <x v="1"/>
    <x v="6"/>
    <s v="NTABANA Martin"/>
    <s v="mntabana@unicef.org"/>
    <n v="788484961"/>
    <m/>
    <m/>
    <m/>
  </r>
  <r>
    <s v="C003801"/>
    <x v="116"/>
    <s v="EP HIGH LAND"/>
    <s v="Bugesera"/>
    <x v="1"/>
    <x v="4"/>
    <s v="VIP"/>
    <x v="1"/>
    <x v="4"/>
    <n v="25"/>
    <s v="WIRELESS 25MBPS"/>
    <m/>
    <n v="1"/>
    <n v="296610"/>
    <n v="296610"/>
    <s v="Monthly"/>
    <d v="2023-10-09T00:00:00"/>
    <x v="12"/>
    <x v="3"/>
    <n v="-94"/>
    <x v="1"/>
    <x v="6"/>
    <s v="NTABANA Martin"/>
    <s v="mntabana@unicef.org"/>
    <n v="788484961"/>
    <m/>
    <m/>
    <m/>
  </r>
  <r>
    <s v="C003801"/>
    <x v="116"/>
    <s v="EP CYUGARO"/>
    <s v="Bugesera"/>
    <x v="1"/>
    <x v="4"/>
    <s v="VIP"/>
    <x v="1"/>
    <x v="4"/>
    <n v="25"/>
    <s v="WIRELESS 25MBPS"/>
    <m/>
    <n v="1"/>
    <n v="296610"/>
    <n v="296610"/>
    <s v="Monthly"/>
    <d v="2023-10-09T00:00:00"/>
    <x v="12"/>
    <x v="3"/>
    <n v="-94"/>
    <x v="1"/>
    <x v="6"/>
    <s v="NTABANA Martin"/>
    <s v="mntabana@unicef.org"/>
    <n v="788484961"/>
    <m/>
    <m/>
    <m/>
  </r>
  <r>
    <s v="C003801"/>
    <x v="116"/>
    <s v="EP MURAGO"/>
    <s v="Bugesera"/>
    <x v="1"/>
    <x v="4"/>
    <s v="VIP"/>
    <x v="1"/>
    <x v="4"/>
    <n v="25"/>
    <s v="WIRELESS 25MBPS"/>
    <m/>
    <n v="1"/>
    <n v="296610"/>
    <n v="296610"/>
    <s v="Monthly"/>
    <d v="2023-10-09T00:00:00"/>
    <x v="12"/>
    <x v="3"/>
    <n v="-94"/>
    <x v="1"/>
    <x v="6"/>
    <s v="NTABANA Martin"/>
    <s v="mntabana@unicef.org"/>
    <n v="788484961"/>
    <m/>
    <m/>
    <m/>
  </r>
  <r>
    <s v="C003801"/>
    <x v="116"/>
    <s v="EP MBYO"/>
    <s v="Bugesera"/>
    <x v="1"/>
    <x v="4"/>
    <s v="VIP"/>
    <x v="1"/>
    <x v="4"/>
    <n v="25"/>
    <s v="WIRELESS 25MBPS"/>
    <m/>
    <n v="1"/>
    <n v="296610"/>
    <n v="296610"/>
    <s v="Monthly"/>
    <d v="2023-10-09T00:00:00"/>
    <x v="12"/>
    <x v="3"/>
    <n v="-94"/>
    <x v="1"/>
    <x v="6"/>
    <s v="NTABANA Martin"/>
    <s v="mntabana@unicef.org"/>
    <n v="788484961"/>
    <m/>
    <m/>
    <m/>
  </r>
  <r>
    <s v="C003801"/>
    <x v="116"/>
    <s v="BUKUMBA PRIMARY SCHOOL"/>
    <s v="Bugesera"/>
    <x v="1"/>
    <x v="4"/>
    <s v="VIP"/>
    <x v="1"/>
    <x v="4"/>
    <n v="25"/>
    <s v="WIRELESS 25MBPS"/>
    <m/>
    <n v="1"/>
    <n v="296610"/>
    <n v="296610"/>
    <s v="Monthly"/>
    <d v="2023-10-09T00:00:00"/>
    <x v="12"/>
    <x v="3"/>
    <n v="-94"/>
    <x v="1"/>
    <x v="6"/>
    <s v="NTABANA Martin"/>
    <s v="mntabana@unicef.org"/>
    <n v="788484961"/>
    <m/>
    <m/>
    <m/>
  </r>
  <r>
    <s v="C003801"/>
    <x v="116"/>
    <s v="RUKOYOYO PRIMARY SCHOOL"/>
    <s v="Bugesera"/>
    <x v="1"/>
    <x v="4"/>
    <s v="VIP"/>
    <x v="1"/>
    <x v="4"/>
    <n v="25"/>
    <s v="WIRELESS 25MBPS"/>
    <m/>
    <n v="1"/>
    <n v="296610"/>
    <n v="296610"/>
    <s v="Monthly"/>
    <d v="2023-10-09T00:00:00"/>
    <x v="12"/>
    <x v="3"/>
    <n v="-94"/>
    <x v="1"/>
    <x v="6"/>
    <s v="NTABANA Martin"/>
    <s v="mntabana@unicef.org"/>
    <n v="788484961"/>
    <m/>
    <m/>
    <m/>
  </r>
  <r>
    <s v="C003801"/>
    <x v="116"/>
    <s v="EP SHAMI"/>
    <s v="Bugesera"/>
    <x v="1"/>
    <x v="4"/>
    <s v="VIP"/>
    <x v="1"/>
    <x v="4"/>
    <n v="25"/>
    <s v="WIRELESS 25MBPS"/>
    <m/>
    <n v="1"/>
    <n v="296610"/>
    <n v="296610"/>
    <s v="Monthly"/>
    <d v="2023-10-09T00:00:00"/>
    <x v="12"/>
    <x v="3"/>
    <n v="-94"/>
    <x v="1"/>
    <x v="6"/>
    <s v="NTABANA Martin"/>
    <s v="mntabana@unicef.org"/>
    <n v="788484961"/>
    <m/>
    <m/>
    <m/>
  </r>
  <r>
    <s v="C003801"/>
    <x v="116"/>
    <s v="EP KIGUSA"/>
    <s v="Bugesera"/>
    <x v="1"/>
    <x v="4"/>
    <s v="VIP"/>
    <x v="1"/>
    <x v="4"/>
    <n v="25"/>
    <s v="WIRELESS 25MBPS"/>
    <m/>
    <n v="1"/>
    <n v="296610"/>
    <n v="296610"/>
    <s v="Monthly"/>
    <d v="2023-10-09T00:00:00"/>
    <x v="12"/>
    <x v="3"/>
    <n v="-94"/>
    <x v="1"/>
    <x v="6"/>
    <s v="NTABANA Martin"/>
    <s v="mntabana@unicef.org"/>
    <n v="788484961"/>
    <m/>
    <m/>
    <m/>
  </r>
  <r>
    <s v="C003801"/>
    <x v="116"/>
    <s v="EP NEMBA"/>
    <s v="Bugesera"/>
    <x v="1"/>
    <x v="4"/>
    <s v="VIP"/>
    <x v="1"/>
    <x v="4"/>
    <n v="25"/>
    <s v="WIRELESS 25MBPS"/>
    <m/>
    <n v="1"/>
    <n v="296610"/>
    <n v="296610"/>
    <s v="Monthly"/>
    <d v="2023-10-09T00:00:00"/>
    <x v="12"/>
    <x v="3"/>
    <n v="-94"/>
    <x v="1"/>
    <x v="6"/>
    <s v="NTABANA Martin"/>
    <s v="mntabana@unicef.org"/>
    <n v="788484961"/>
    <m/>
    <m/>
    <m/>
  </r>
  <r>
    <s v="C003801"/>
    <x v="116"/>
    <s v="EP NGERUKA"/>
    <s v="Bugesera"/>
    <x v="1"/>
    <x v="4"/>
    <s v="VIP"/>
    <x v="1"/>
    <x v="4"/>
    <n v="25"/>
    <s v="WIRELESS 25MBPS"/>
    <m/>
    <n v="1"/>
    <n v="296610"/>
    <n v="296610"/>
    <s v="Monthly"/>
    <d v="2023-10-09T00:00:00"/>
    <x v="12"/>
    <x v="3"/>
    <n v="-94"/>
    <x v="1"/>
    <x v="6"/>
    <s v="NTABANA Martin"/>
    <s v="mntabana@unicef.org"/>
    <n v="788484961"/>
    <m/>
    <m/>
    <m/>
  </r>
  <r>
    <s v="C003801"/>
    <x v="116"/>
    <s v="EP LES COLOMBE"/>
    <s v="Bugesera"/>
    <x v="1"/>
    <x v="4"/>
    <s v="VIP"/>
    <x v="1"/>
    <x v="4"/>
    <n v="25"/>
    <s v="WIRELESS 25MBPS"/>
    <m/>
    <n v="1"/>
    <n v="296610"/>
    <n v="296610"/>
    <s v="Monthly"/>
    <d v="2023-10-09T00:00:00"/>
    <x v="12"/>
    <x v="3"/>
    <n v="-94"/>
    <x v="1"/>
    <x v="6"/>
    <s v="NTABANA Martin"/>
    <s v="mntabana@unicef.org"/>
    <n v="788484961"/>
    <m/>
    <m/>
    <m/>
  </r>
  <r>
    <s v="C003801"/>
    <x v="116"/>
    <s v="Little Angels school"/>
    <s v="Bugesera"/>
    <x v="1"/>
    <x v="4"/>
    <s v="VIP"/>
    <x v="1"/>
    <x v="4"/>
    <n v="25"/>
    <s v="WIRELESS 25MBPS"/>
    <m/>
    <n v="1"/>
    <n v="296610"/>
    <n v="296610"/>
    <s v="Monthly"/>
    <d v="2023-10-09T00:00:00"/>
    <x v="12"/>
    <x v="3"/>
    <n v="-94"/>
    <x v="1"/>
    <x v="6"/>
    <s v="NTABANA Martin"/>
    <s v="mntabana@unicef.org"/>
    <n v="788484961"/>
    <m/>
    <m/>
    <m/>
  </r>
  <r>
    <s v="C003801"/>
    <x v="116"/>
    <s v="EP KAYOVU"/>
    <s v="Bugesera"/>
    <x v="1"/>
    <x v="4"/>
    <s v="VIP"/>
    <x v="1"/>
    <x v="4"/>
    <n v="25"/>
    <s v="WIRELESS 25MBPS"/>
    <m/>
    <n v="1"/>
    <n v="296610"/>
    <n v="296610"/>
    <s v="Monthly"/>
    <d v="2023-10-09T00:00:00"/>
    <x v="12"/>
    <x v="3"/>
    <n v="-94"/>
    <x v="1"/>
    <x v="6"/>
    <s v="NTABANA Martin"/>
    <s v="mntabana@unicef.org"/>
    <n v="788484961"/>
    <m/>
    <m/>
    <m/>
  </r>
  <r>
    <s v="C003801"/>
    <x v="116"/>
    <s v="HILL MAX SCHOOL"/>
    <s v="Bugesera"/>
    <x v="1"/>
    <x v="4"/>
    <s v="VIP"/>
    <x v="1"/>
    <x v="4"/>
    <n v="25"/>
    <s v="WIRELESS 25MBPS"/>
    <m/>
    <n v="1"/>
    <n v="296610"/>
    <n v="296610"/>
    <s v="Monthly"/>
    <d v="2023-10-09T00:00:00"/>
    <x v="12"/>
    <x v="3"/>
    <n v="-94"/>
    <x v="1"/>
    <x v="6"/>
    <s v="NTABANA Martin"/>
    <s v="mntabana@unicef.org"/>
    <n v="788484961"/>
    <m/>
    <m/>
    <m/>
  </r>
  <r>
    <s v="C003801"/>
    <x v="116"/>
    <s v="EP MUSOVU"/>
    <s v="Bugesera"/>
    <x v="1"/>
    <x v="4"/>
    <s v="VIP"/>
    <x v="1"/>
    <x v="4"/>
    <n v="25"/>
    <s v="WIRELESS 25MBPS"/>
    <m/>
    <n v="1"/>
    <n v="296610"/>
    <n v="296610"/>
    <s v="Monthly"/>
    <d v="2023-10-09T00:00:00"/>
    <x v="12"/>
    <x v="3"/>
    <n v="-94"/>
    <x v="1"/>
    <x v="6"/>
    <s v="NTABANA Martin"/>
    <s v="mntabana@unicef.org"/>
    <n v="788484961"/>
    <m/>
    <m/>
    <m/>
  </r>
  <r>
    <s v="C003801"/>
    <x v="116"/>
    <s v="EP RWAMANYONI"/>
    <s v="Bugesera"/>
    <x v="1"/>
    <x v="4"/>
    <s v="VIP"/>
    <x v="1"/>
    <x v="4"/>
    <n v="25"/>
    <s v="WIRELESS 25MBPS"/>
    <m/>
    <n v="1"/>
    <n v="296610"/>
    <n v="296610"/>
    <s v="Monthly"/>
    <d v="2023-10-09T00:00:00"/>
    <x v="12"/>
    <x v="3"/>
    <n v="-94"/>
    <x v="1"/>
    <x v="6"/>
    <s v="NTABANA Martin"/>
    <s v="mntabana@unicef.org"/>
    <n v="788484961"/>
    <m/>
    <m/>
    <m/>
  </r>
  <r>
    <s v="C003801"/>
    <x v="116"/>
    <s v="FAITH &amp; HOPE PS"/>
    <s v="Bugesera"/>
    <x v="1"/>
    <x v="4"/>
    <s v="VIP"/>
    <x v="1"/>
    <x v="4"/>
    <n v="25"/>
    <s v="WIRELESS 25MBPS"/>
    <m/>
    <n v="1"/>
    <n v="296610"/>
    <n v="296610"/>
    <s v="Monthly"/>
    <d v="2023-10-09T00:00:00"/>
    <x v="12"/>
    <x v="3"/>
    <n v="-94"/>
    <x v="1"/>
    <x v="6"/>
    <s v="NTABANA Martin"/>
    <s v="mntabana@unicef.org"/>
    <n v="788484961"/>
    <m/>
    <m/>
    <m/>
  </r>
  <r>
    <s v="C003801"/>
    <x v="116"/>
    <s v="GS NYABIHEKE"/>
    <s v="Gatsibo"/>
    <x v="1"/>
    <x v="4"/>
    <s v="VIP"/>
    <x v="1"/>
    <x v="4"/>
    <n v="25"/>
    <s v="WIRELESS 25MBPS"/>
    <m/>
    <n v="1"/>
    <n v="381356"/>
    <n v="381356"/>
    <s v="Monthly"/>
    <d v="2023-10-09T00:00:00"/>
    <x v="12"/>
    <x v="3"/>
    <n v="-94"/>
    <x v="1"/>
    <x v="6"/>
    <s v="NTABANA Martin"/>
    <s v="mntabana@unicef.org"/>
    <n v="788484961"/>
    <m/>
    <m/>
    <m/>
  </r>
  <r>
    <s v="C003801"/>
    <x v="116"/>
    <s v="GS NYABICWAMBA"/>
    <s v="Gatsibo"/>
    <x v="1"/>
    <x v="4"/>
    <s v="VIP"/>
    <x v="1"/>
    <x v="4"/>
    <n v="25"/>
    <s v="WIRELESS 25MBPS"/>
    <m/>
    <n v="1"/>
    <n v="381356"/>
    <n v="381356"/>
    <s v="Monthly"/>
    <d v="2023-10-09T00:00:00"/>
    <x v="12"/>
    <x v="3"/>
    <n v="-94"/>
    <x v="1"/>
    <x v="6"/>
    <s v="NTABANA Martin"/>
    <s v="mntabana@unicef.org"/>
    <n v="788484961"/>
    <m/>
    <m/>
    <m/>
  </r>
  <r>
    <s v="C003801"/>
    <x v="116"/>
    <s v="GS MUGERA"/>
    <s v="Gatsibo"/>
    <x v="1"/>
    <x v="4"/>
    <s v="VIP"/>
    <x v="1"/>
    <x v="4"/>
    <n v="25"/>
    <s v="WIRELESS 25MBPS"/>
    <m/>
    <n v="1"/>
    <n v="381356"/>
    <n v="381356"/>
    <s v="Monthly"/>
    <d v="2023-10-09T00:00:00"/>
    <x v="12"/>
    <x v="3"/>
    <n v="-94"/>
    <x v="1"/>
    <x v="6"/>
    <s v="NTABANA Martin"/>
    <s v="mntabana@unicef.org"/>
    <n v="788484961"/>
    <m/>
    <m/>
    <m/>
  </r>
  <r>
    <s v="C003801"/>
    <x v="116"/>
    <s v="NGARAMA TVET"/>
    <s v="Gatsibo"/>
    <x v="1"/>
    <x v="4"/>
    <s v="VIP"/>
    <x v="1"/>
    <x v="4"/>
    <n v="25"/>
    <s v="WIRELESS 25MBPS"/>
    <m/>
    <n v="1"/>
    <n v="381356"/>
    <n v="381356"/>
    <s v="Monthly"/>
    <d v="2023-10-09T00:00:00"/>
    <x v="12"/>
    <x v="3"/>
    <n v="-94"/>
    <x v="1"/>
    <x v="6"/>
    <s v="NTABANA Martin"/>
    <s v="mntabana@unicef.org"/>
    <n v="788484961"/>
    <m/>
    <m/>
    <m/>
  </r>
  <r>
    <s v="C003801"/>
    <x v="116"/>
    <s v="GATSIBO TVET"/>
    <s v="Gatsibo"/>
    <x v="1"/>
    <x v="4"/>
    <s v="VIP"/>
    <x v="1"/>
    <x v="4"/>
    <n v="25"/>
    <s v="WIRELESS 25MBPS"/>
    <m/>
    <n v="1"/>
    <n v="381356"/>
    <n v="381356"/>
    <s v="Monthly"/>
    <d v="2023-10-09T00:00:00"/>
    <x v="12"/>
    <x v="3"/>
    <n v="-94"/>
    <x v="1"/>
    <x v="6"/>
    <s v="NTABANA Martin"/>
    <s v="mntabana@unicef.org"/>
    <n v="788484961"/>
    <m/>
    <m/>
    <m/>
  </r>
  <r>
    <s v="C003801"/>
    <x v="116"/>
    <s v="GS GATSIBO"/>
    <s v="Gatsibo"/>
    <x v="1"/>
    <x v="4"/>
    <s v="VIP"/>
    <x v="1"/>
    <x v="4"/>
    <n v="25"/>
    <s v="WIRELESS 25MBPS"/>
    <m/>
    <n v="1"/>
    <n v="381356"/>
    <n v="381356"/>
    <s v="Monthly"/>
    <d v="2023-10-09T00:00:00"/>
    <x v="12"/>
    <x v="3"/>
    <n v="-94"/>
    <x v="1"/>
    <x v="6"/>
    <s v="NTABANA Martin"/>
    <s v="mntabana@unicef.org"/>
    <n v="788484961"/>
    <m/>
    <m/>
    <m/>
  </r>
  <r>
    <s v="C003801"/>
    <x v="116"/>
    <s v="EFA NYAGAHANGA"/>
    <s v="Gatsibo"/>
    <x v="1"/>
    <x v="4"/>
    <s v="VIP"/>
    <x v="1"/>
    <x v="4"/>
    <n v="25"/>
    <s v="WIRELESS 25MBPS"/>
    <m/>
    <n v="1"/>
    <n v="381356"/>
    <n v="381356"/>
    <s v="Monthly"/>
    <d v="2023-10-09T00:00:00"/>
    <x v="12"/>
    <x v="3"/>
    <n v="-94"/>
    <x v="1"/>
    <x v="6"/>
    <s v="NTABANA Martin"/>
    <s v="mntabana@unicef.org"/>
    <n v="788484961"/>
    <m/>
    <m/>
    <m/>
  </r>
  <r>
    <s v="C003801"/>
    <x v="116"/>
    <s v="Paysannat LB"/>
    <s v="Kirehe"/>
    <x v="1"/>
    <x v="4"/>
    <s v="VIP"/>
    <x v="1"/>
    <x v="4"/>
    <n v="25"/>
    <s v="WIRELESS 25MBPS"/>
    <m/>
    <n v="1"/>
    <n v="381356"/>
    <n v="381356"/>
    <s v="Monthly"/>
    <d v="2023-10-09T00:00:00"/>
    <x v="12"/>
    <x v="3"/>
    <n v="-94"/>
    <x v="1"/>
    <x v="6"/>
    <s v="NTABANA Martin"/>
    <s v="mntabana@unicef.org"/>
    <n v="788484961"/>
    <m/>
    <m/>
    <m/>
  </r>
  <r>
    <s v="C003801"/>
    <x v="116"/>
    <s v="Paysannat LA"/>
    <s v="Kirehe"/>
    <x v="1"/>
    <x v="4"/>
    <s v="VIP"/>
    <x v="1"/>
    <x v="4"/>
    <n v="25"/>
    <s v="WIRELESS 25MBPS"/>
    <m/>
    <n v="1"/>
    <n v="381356"/>
    <n v="381356"/>
    <s v="Monthly"/>
    <d v="2023-10-09T00:00:00"/>
    <x v="12"/>
    <x v="3"/>
    <n v="-94"/>
    <x v="1"/>
    <x v="6"/>
    <s v="NTABANA Martin"/>
    <s v="mntabana@unicef.org"/>
    <n v="788484961"/>
    <m/>
    <m/>
    <m/>
  </r>
  <r>
    <s v="C003801"/>
    <x v="116"/>
    <s v="Paysannat LC"/>
    <s v="Kirehe"/>
    <x v="1"/>
    <x v="4"/>
    <s v="VIP"/>
    <x v="1"/>
    <x v="4"/>
    <n v="25"/>
    <s v="WIRELESS 25MBPS"/>
    <m/>
    <n v="1"/>
    <n v="381356"/>
    <n v="381356"/>
    <s v="Monthly"/>
    <d v="2023-10-09T00:00:00"/>
    <x v="12"/>
    <x v="3"/>
    <n v="-94"/>
    <x v="1"/>
    <x v="6"/>
    <s v="NTABANA Martin"/>
    <s v="mntabana@unicef.org"/>
    <n v="788484961"/>
    <m/>
    <m/>
    <m/>
  </r>
  <r>
    <s v="C003801"/>
    <x v="116"/>
    <s v="Paysannat LD"/>
    <s v="Kirehe"/>
    <x v="1"/>
    <x v="4"/>
    <s v="VIP"/>
    <x v="1"/>
    <x v="4"/>
    <n v="25"/>
    <s v="WIRELESS 25MBPS"/>
    <m/>
    <n v="1"/>
    <n v="381356"/>
    <n v="381356"/>
    <s v="Monthly"/>
    <d v="2023-10-09T00:00:00"/>
    <x v="12"/>
    <x v="3"/>
    <n v="-94"/>
    <x v="1"/>
    <x v="6"/>
    <s v="NTABANA Martin"/>
    <s v="mntabana@unicef.org"/>
    <n v="788484961"/>
    <m/>
    <m/>
    <m/>
  </r>
  <r>
    <s v="C003801"/>
    <x v="116"/>
    <s v="Paysannat LE"/>
    <s v="Kirehe"/>
    <x v="1"/>
    <x v="4"/>
    <s v="VIP"/>
    <x v="1"/>
    <x v="4"/>
    <n v="25"/>
    <s v="WIRELESS 25MBPS"/>
    <m/>
    <n v="1"/>
    <n v="381356"/>
    <n v="381356"/>
    <s v="Monthly"/>
    <d v="2023-10-09T00:00:00"/>
    <x v="12"/>
    <x v="3"/>
    <n v="-94"/>
    <x v="1"/>
    <x v="6"/>
    <s v="NTABANA Martin"/>
    <s v="mntabana@unicef.org"/>
    <n v="788484961"/>
    <m/>
    <m/>
    <m/>
  </r>
  <r>
    <s v="C003801"/>
    <x v="116"/>
    <s v="GS KANAZI"/>
    <s v="Bugesera"/>
    <x v="1"/>
    <x v="4"/>
    <s v="VIP"/>
    <x v="1"/>
    <x v="4"/>
    <n v="50"/>
    <s v="WIRELESS 50MBPS"/>
    <m/>
    <n v="1"/>
    <n v="512711.8644067797"/>
    <n v="512711.8644067797"/>
    <s v="Monthly"/>
    <d v="2023-10-09T00:00:00"/>
    <x v="12"/>
    <x v="3"/>
    <n v="-94"/>
    <x v="1"/>
    <x v="6"/>
    <s v="NTABANA Martin"/>
    <s v="mntabana@unicef.org"/>
    <n v="788484961"/>
    <m/>
    <m/>
    <m/>
  </r>
  <r>
    <s v="C003801"/>
    <x v="116"/>
    <s v="GS KAYENZI"/>
    <s v="Bugesera"/>
    <x v="1"/>
    <x v="4"/>
    <s v="VIP"/>
    <x v="1"/>
    <x v="4"/>
    <n v="50"/>
    <s v="WIRELESS 50MBPS"/>
    <m/>
    <n v="1"/>
    <n v="512711.8644067797"/>
    <n v="512711.8644067797"/>
    <s v="Monthly"/>
    <d v="2023-10-09T00:00:00"/>
    <x v="12"/>
    <x v="3"/>
    <n v="-94"/>
    <x v="1"/>
    <x v="6"/>
    <s v="NTABANA Martin"/>
    <s v="mntabana@unicef.org"/>
    <n v="788484961"/>
    <m/>
    <m/>
    <m/>
  </r>
  <r>
    <s v="C003801"/>
    <x v="116"/>
    <s v="GS KAGASA NGERUKA "/>
    <s v="Bugesera"/>
    <x v="1"/>
    <x v="4"/>
    <s v="VIP"/>
    <x v="1"/>
    <x v="4"/>
    <n v="50"/>
    <s v="WIRELESS 50MBPS"/>
    <m/>
    <n v="1"/>
    <n v="512711.8644067797"/>
    <n v="512711.8644067797"/>
    <s v="Monthly"/>
    <d v="2023-10-09T00:00:00"/>
    <x v="12"/>
    <x v="3"/>
    <n v="-94"/>
    <x v="1"/>
    <x v="6"/>
    <s v="NTABANA Martin"/>
    <s v="mntabana@unicef.org"/>
    <n v="788484961"/>
    <m/>
    <m/>
    <m/>
  </r>
  <r>
    <s v="C003801"/>
    <x v="116"/>
    <s v="GS KIBENGA"/>
    <s v="Bugesera"/>
    <x v="1"/>
    <x v="4"/>
    <s v="VIP"/>
    <x v="1"/>
    <x v="4"/>
    <n v="50"/>
    <s v="WIRELESS 50MBPS"/>
    <m/>
    <n v="1"/>
    <n v="512711.8644067797"/>
    <n v="512711.8644067797"/>
    <s v="Monthly"/>
    <d v="2023-10-09T00:00:00"/>
    <x v="12"/>
    <x v="3"/>
    <n v="-94"/>
    <x v="1"/>
    <x v="6"/>
    <s v="NTABANA Martin"/>
    <s v="mntabana@unicef.org"/>
    <n v="788484961"/>
    <m/>
    <m/>
    <m/>
  </r>
  <r>
    <s v="C003801"/>
    <x v="116"/>
    <s v="GS MARANYUNDO"/>
    <s v="Bugesera"/>
    <x v="1"/>
    <x v="4"/>
    <s v="VIP"/>
    <x v="1"/>
    <x v="4"/>
    <n v="50"/>
    <s v="WIRELESS 50MBPS"/>
    <m/>
    <n v="1"/>
    <n v="512711.8644067797"/>
    <n v="512711.8644067797"/>
    <s v="Monthly"/>
    <d v="2023-10-09T00:00:00"/>
    <x v="12"/>
    <x v="3"/>
    <n v="-94"/>
    <x v="1"/>
    <x v="6"/>
    <s v="NTABANA Martin"/>
    <s v="mntabana@unicef.org"/>
    <n v="788484961"/>
    <m/>
    <m/>
    <m/>
  </r>
  <r>
    <s v="C003801"/>
    <x v="116"/>
    <s v="GS MUYENZI"/>
    <s v="Bugesera"/>
    <x v="1"/>
    <x v="4"/>
    <s v="VIP"/>
    <x v="1"/>
    <x v="4"/>
    <n v="50"/>
    <s v="WIRELESS 50MBPS"/>
    <m/>
    <n v="1"/>
    <n v="512711.8644067797"/>
    <n v="512711.8644067797"/>
    <s v="Monthly"/>
    <d v="2023-10-09T00:00:00"/>
    <x v="12"/>
    <x v="3"/>
    <n v="-94"/>
    <x v="1"/>
    <x v="6"/>
    <s v="NTABANA Martin"/>
    <s v="mntabana@unicef.org"/>
    <n v="788484961"/>
    <m/>
    <m/>
    <m/>
  </r>
  <r>
    <s v="C003801"/>
    <x v="116"/>
    <s v="GS RANGO"/>
    <s v="Bugesera"/>
    <x v="1"/>
    <x v="4"/>
    <s v="VIP"/>
    <x v="1"/>
    <x v="4"/>
    <n v="50"/>
    <s v="WIRELESS 50MBPS"/>
    <m/>
    <n v="1"/>
    <n v="512711.8644067797"/>
    <n v="512711.8644067797"/>
    <s v="Monthly"/>
    <d v="2023-10-09T00:00:00"/>
    <x v="12"/>
    <x v="3"/>
    <n v="-94"/>
    <x v="1"/>
    <x v="6"/>
    <s v="NTABANA Martin"/>
    <s v="mntabana@unicef.org"/>
    <n v="788484961"/>
    <m/>
    <m/>
    <m/>
  </r>
  <r>
    <s v="C003801"/>
    <x v="116"/>
    <s v="GS MAYANGE B"/>
    <s v="Bugesera"/>
    <x v="1"/>
    <x v="4"/>
    <s v="VIP"/>
    <x v="1"/>
    <x v="4"/>
    <n v="50"/>
    <s v="WIRELESS 50MBPS"/>
    <m/>
    <n v="1"/>
    <n v="512711.8644067797"/>
    <n v="512711.8644067797"/>
    <s v="Monthly"/>
    <d v="2023-10-09T00:00:00"/>
    <x v="12"/>
    <x v="3"/>
    <n v="-94"/>
    <x v="1"/>
    <x v="6"/>
    <s v="NTABANA Martin"/>
    <s v="mntabana@unicef.org"/>
    <n v="788484961"/>
    <m/>
    <m/>
    <m/>
  </r>
  <r>
    <s v="C003801"/>
    <x v="116"/>
    <s v="GS GASHORA"/>
    <s v="Bugesera"/>
    <x v="1"/>
    <x v="4"/>
    <s v="VIP"/>
    <x v="1"/>
    <x v="4"/>
    <n v="50"/>
    <s v="WIRELESS 50MBPS"/>
    <m/>
    <n v="1"/>
    <n v="512711.8644067797"/>
    <n v="512711.8644067797"/>
    <s v="Monthly"/>
    <d v="2023-10-09T00:00:00"/>
    <x v="12"/>
    <x v="3"/>
    <n v="-94"/>
    <x v="1"/>
    <x v="6"/>
    <s v="NTABANA Martin"/>
    <s v="mntabana@unicef.org"/>
    <n v="788484961"/>
    <m/>
    <m/>
    <m/>
  </r>
  <r>
    <s v="C003801"/>
    <x v="116"/>
    <s v="GS RWIMINAZI"/>
    <s v="Bugesera"/>
    <x v="1"/>
    <x v="4"/>
    <s v="VIP"/>
    <x v="1"/>
    <x v="4"/>
    <n v="50"/>
    <s v="WIRELESS 50MBPS"/>
    <m/>
    <n v="1"/>
    <n v="512711.8644067797"/>
    <n v="512711.8644067797"/>
    <s v="Monthly"/>
    <d v="2023-10-09T00:00:00"/>
    <x v="12"/>
    <x v="3"/>
    <n v="-94"/>
    <x v="1"/>
    <x v="6"/>
    <s v="NTABANA Martin"/>
    <s v="mntabana@unicef.org"/>
    <n v="788484961"/>
    <m/>
    <m/>
    <m/>
  </r>
  <r>
    <s v="C003801"/>
    <x v="116"/>
    <s v="G.S TUNDA"/>
    <s v="Bugesera"/>
    <x v="1"/>
    <x v="4"/>
    <s v="VIP"/>
    <x v="1"/>
    <x v="4"/>
    <n v="50"/>
    <s v="WIRELESS 50MBPS"/>
    <m/>
    <n v="1"/>
    <n v="512712"/>
    <n v="512712"/>
    <s v="Monthly"/>
    <d v="2023-10-09T00:00:00"/>
    <x v="12"/>
    <x v="3"/>
    <n v="-94"/>
    <x v="1"/>
    <x v="6"/>
    <s v="NTABANA Martin"/>
    <s v="mntabana@unicef.org"/>
    <n v="788484961"/>
    <m/>
    <m/>
    <m/>
  </r>
  <r>
    <s v="C003801"/>
    <x v="116"/>
    <s v="ES KAMABUYE"/>
    <s v="Bugesera"/>
    <x v="1"/>
    <x v="4"/>
    <s v="VIP"/>
    <x v="1"/>
    <x v="4"/>
    <n v="50"/>
    <s v="WIRELESS 50MBPS"/>
    <m/>
    <n v="1"/>
    <n v="512712"/>
    <n v="512712"/>
    <s v="Monthly"/>
    <d v="2023-10-09T00:00:00"/>
    <x v="12"/>
    <x v="3"/>
    <n v="-94"/>
    <x v="1"/>
    <x v="6"/>
    <s v="NTABANA Martin"/>
    <s v="mntabana@unicef.org"/>
    <n v="788484961"/>
    <m/>
    <m/>
    <m/>
  </r>
  <r>
    <s v="C003801"/>
    <x v="116"/>
    <s v="GS RUSHUBI"/>
    <s v="Bugesera"/>
    <x v="1"/>
    <x v="4"/>
    <s v="VIP"/>
    <x v="1"/>
    <x v="4"/>
    <n v="50"/>
    <s v="WIRELESS 50MBPS"/>
    <m/>
    <n v="1"/>
    <n v="512712"/>
    <n v="512712"/>
    <s v="Monthly"/>
    <d v="2023-10-09T00:00:00"/>
    <x v="12"/>
    <x v="3"/>
    <n v="-94"/>
    <x v="1"/>
    <x v="6"/>
    <s v="NTABANA Martin"/>
    <s v="mntabana@unicef.org"/>
    <n v="788484961"/>
    <m/>
    <m/>
    <m/>
  </r>
  <r>
    <s v="C003801"/>
    <x v="116"/>
    <s v="G.S RULINDO"/>
    <s v="Bugesera"/>
    <x v="1"/>
    <x v="4"/>
    <s v="VIP"/>
    <x v="1"/>
    <x v="4"/>
    <n v="50"/>
    <s v="WIRELESS 50MBPS"/>
    <m/>
    <n v="1"/>
    <n v="512712"/>
    <n v="512712"/>
    <s v="Monthly"/>
    <d v="2023-10-09T00:00:00"/>
    <x v="12"/>
    <x v="3"/>
    <n v="-94"/>
    <x v="1"/>
    <x v="6"/>
    <s v="NTABANA Martin"/>
    <s v="mntabana@unicef.org"/>
    <n v="788484961"/>
    <m/>
    <m/>
    <m/>
  </r>
  <r>
    <s v="C003801"/>
    <x v="116"/>
    <s v="G.S GATANGA"/>
    <s v="Bugesera"/>
    <x v="1"/>
    <x v="4"/>
    <s v="VIP"/>
    <x v="1"/>
    <x v="4"/>
    <n v="50"/>
    <s v="WIRELESS 50MBPS"/>
    <m/>
    <n v="1"/>
    <n v="512712"/>
    <n v="512712"/>
    <s v="Monthly"/>
    <d v="2023-10-09T00:00:00"/>
    <x v="12"/>
    <x v="3"/>
    <n v="-94"/>
    <x v="1"/>
    <x v="6"/>
    <s v="NTABANA Martin"/>
    <s v="mntabana@unicef.org"/>
    <n v="788484961"/>
    <m/>
    <m/>
    <m/>
  </r>
  <r>
    <s v="C003801"/>
    <x v="116"/>
    <s v="GS RUZO"/>
    <s v="Bugesera"/>
    <x v="1"/>
    <x v="4"/>
    <s v="VIP"/>
    <x v="1"/>
    <x v="4"/>
    <n v="50"/>
    <s v="WIRELESS 50MBPS"/>
    <m/>
    <n v="1"/>
    <n v="512712"/>
    <n v="512712"/>
    <s v="Monthly"/>
    <d v="2023-10-09T00:00:00"/>
    <x v="12"/>
    <x v="3"/>
    <n v="-94"/>
    <x v="1"/>
    <x v="6"/>
    <s v="NTABANA Martin"/>
    <s v="mntabana@unicef.org"/>
    <n v="788484961"/>
    <m/>
    <m/>
    <m/>
  </r>
  <r>
    <s v="C003801"/>
    <x v="116"/>
    <s v="GS NYIRARUKOBWA"/>
    <s v="Bugesera"/>
    <x v="1"/>
    <x v="4"/>
    <s v="VIP"/>
    <x v="1"/>
    <x v="4"/>
    <n v="50"/>
    <s v="WIRELESS 50MBPS"/>
    <m/>
    <n v="1"/>
    <n v="512712"/>
    <n v="512712"/>
    <s v="Monthly"/>
    <d v="2023-10-09T00:00:00"/>
    <x v="12"/>
    <x v="3"/>
    <n v="-94"/>
    <x v="1"/>
    <x v="6"/>
    <s v="NTABANA Martin"/>
    <s v="mntabana@unicef.org"/>
    <n v="788484961"/>
    <m/>
    <m/>
    <m/>
  </r>
  <r>
    <s v="C003801"/>
    <x v="116"/>
    <s v="GS CYERU"/>
    <s v="Bugesera"/>
    <x v="1"/>
    <x v="4"/>
    <s v="VIP"/>
    <x v="1"/>
    <x v="4"/>
    <n v="50"/>
    <s v="WIRELESS 50MBPS"/>
    <m/>
    <n v="1"/>
    <n v="512712"/>
    <n v="512712"/>
    <s v="Monthly"/>
    <d v="2023-10-09T00:00:00"/>
    <x v="12"/>
    <x v="3"/>
    <n v="-94"/>
    <x v="1"/>
    <x v="6"/>
    <s v="NTABANA Martin"/>
    <s v="mntabana@unicef.org"/>
    <n v="788484961"/>
    <m/>
    <m/>
    <m/>
  </r>
  <r>
    <s v="C003801"/>
    <x v="116"/>
    <s v="GS MAREBA"/>
    <s v="Bugesera"/>
    <x v="1"/>
    <x v="4"/>
    <s v="VIP"/>
    <x v="1"/>
    <x v="4"/>
    <n v="100"/>
    <s v="WIRELESS 100MBPS"/>
    <m/>
    <n v="1"/>
    <n v="775423.7288135594"/>
    <n v="775423.7288135594"/>
    <s v="Monthly"/>
    <d v="2023-10-09T00:00:00"/>
    <x v="12"/>
    <x v="3"/>
    <n v="-94"/>
    <x v="1"/>
    <x v="6"/>
    <s v="NTABANA Martin"/>
    <s v="mntabana@unicef.org"/>
    <n v="788484961"/>
    <m/>
    <m/>
    <m/>
  </r>
  <r>
    <s v="C003801"/>
    <x v="116"/>
    <s v="GS NYAGIHUNIKA"/>
    <s v="Bugesera"/>
    <x v="1"/>
    <x v="4"/>
    <s v="VIP"/>
    <x v="1"/>
    <x v="4"/>
    <n v="100"/>
    <s v="WIRELESS 100MBPS"/>
    <m/>
    <n v="1"/>
    <n v="775423.7288135594"/>
    <n v="775423.7288135594"/>
    <s v="Monthly"/>
    <d v="2023-10-09T00:00:00"/>
    <x v="12"/>
    <x v="3"/>
    <n v="-94"/>
    <x v="1"/>
    <x v="6"/>
    <s v="NTABANA Martin"/>
    <s v="mntabana@unicef.org"/>
    <n v="788484961"/>
    <m/>
    <m/>
    <m/>
  </r>
  <r>
    <s v="C003801"/>
    <x v="116"/>
    <s v="GS MURAMA"/>
    <s v="Bugesera"/>
    <x v="1"/>
    <x v="4"/>
    <s v="VIP"/>
    <x v="1"/>
    <x v="4"/>
    <n v="100"/>
    <s v="WIRELESS 100MBPS"/>
    <m/>
    <n v="1"/>
    <n v="775423.7288135594"/>
    <n v="775423.7288135594"/>
    <s v="Monthly"/>
    <d v="2023-10-09T00:00:00"/>
    <x v="12"/>
    <x v="3"/>
    <n v="-94"/>
    <x v="1"/>
    <x v="6"/>
    <s v="NTABANA Martin"/>
    <s v="mntabana@unicef.org"/>
    <n v="788484961"/>
    <m/>
    <m/>
    <m/>
  </r>
  <r>
    <s v="C003801"/>
    <x v="116"/>
    <s v="GS NTARAMA"/>
    <s v="Bugesera"/>
    <x v="1"/>
    <x v="4"/>
    <s v="VIP"/>
    <x v="1"/>
    <x v="4"/>
    <n v="100"/>
    <s v="WIRELESS 100MBPS"/>
    <m/>
    <n v="1"/>
    <n v="775423.7288135594"/>
    <n v="775423.7288135594"/>
    <s v="Monthly"/>
    <d v="2023-10-09T00:00:00"/>
    <x v="12"/>
    <x v="3"/>
    <n v="-94"/>
    <x v="1"/>
    <x v="6"/>
    <s v="NTABANA Martin"/>
    <s v="mntabana@unicef.org"/>
    <n v="788484961"/>
    <m/>
    <m/>
    <m/>
  </r>
  <r>
    <s v="C003801"/>
    <x v="116"/>
    <s v="GS NYIRAGISEKE"/>
    <s v="Bugesera"/>
    <x v="1"/>
    <x v="4"/>
    <s v="VIP"/>
    <x v="1"/>
    <x v="4"/>
    <n v="100"/>
    <s v="WIRELESS 100MBPS"/>
    <m/>
    <n v="1"/>
    <n v="775423.7288135594"/>
    <n v="775423.7288135594"/>
    <s v="Monthly"/>
    <d v="2023-10-09T00:00:00"/>
    <x v="12"/>
    <x v="3"/>
    <n v="-94"/>
    <x v="1"/>
    <x v="6"/>
    <s v="NTABANA Martin"/>
    <s v="mntabana@unicef.org"/>
    <n v="788484961"/>
    <m/>
    <m/>
    <m/>
  </r>
  <r>
    <s v="C003801"/>
    <x v="116"/>
    <s v="GS TWIMPALA"/>
    <s v="Bugesera"/>
    <x v="1"/>
    <x v="4"/>
    <s v="VIP"/>
    <x v="1"/>
    <x v="4"/>
    <n v="100"/>
    <s v="WIRELESS 100MBPS"/>
    <m/>
    <n v="1"/>
    <n v="775423.7288135594"/>
    <n v="775423.7288135594"/>
    <s v="Monthly"/>
    <d v="2023-10-09T00:00:00"/>
    <x v="12"/>
    <x v="3"/>
    <n v="-94"/>
    <x v="1"/>
    <x v="6"/>
    <s v="NTABANA Martin"/>
    <s v="mntabana@unicef.org"/>
    <n v="788484961"/>
    <m/>
    <m/>
    <m/>
  </r>
  <r>
    <s v="C003801"/>
    <x v="116"/>
    <s v="GS NYABAGENDWA"/>
    <s v="Bugesera"/>
    <x v="1"/>
    <x v="4"/>
    <s v="VIP"/>
    <x v="1"/>
    <x v="4"/>
    <n v="100"/>
    <s v="WIRELESS 100MBPS"/>
    <m/>
    <n v="1"/>
    <n v="775423.7288135594"/>
    <n v="775423.7288135594"/>
    <s v="Monthly"/>
    <d v="2023-10-09T00:00:00"/>
    <x v="12"/>
    <x v="3"/>
    <n v="-94"/>
    <x v="1"/>
    <x v="6"/>
    <s v="NTABANA Martin"/>
    <s v="mntabana@unicef.org"/>
    <n v="788484961"/>
    <m/>
    <m/>
    <m/>
  </r>
  <r>
    <s v="C003801"/>
    <x v="116"/>
    <s v="NELSON MANDELA TVET SCHOOL"/>
    <s v="Bugesera"/>
    <x v="1"/>
    <x v="4"/>
    <s v="VIP"/>
    <x v="1"/>
    <x v="4"/>
    <n v="100"/>
    <s v="WIRELESS 100MBPS"/>
    <m/>
    <n v="1"/>
    <n v="775423.7288135594"/>
    <n v="775423.7288135594"/>
    <s v="Monthly"/>
    <d v="2023-10-09T00:00:00"/>
    <x v="12"/>
    <x v="3"/>
    <n v="-94"/>
    <x v="1"/>
    <x v="6"/>
    <s v="NTABANA Martin"/>
    <s v="mntabana@unicef.org"/>
    <n v="788484961"/>
    <m/>
    <m/>
    <m/>
  </r>
  <r>
    <s v="C003801"/>
    <x v="116"/>
    <s v="Lycee de la Sante Trinity APED"/>
    <s v="Bugesera"/>
    <x v="1"/>
    <x v="4"/>
    <s v="VIP"/>
    <x v="1"/>
    <x v="4"/>
    <n v="100"/>
    <s v="WIRELESS 100MBPS"/>
    <m/>
    <n v="1"/>
    <n v="775423.7288135594"/>
    <n v="775423.7288135594"/>
    <s v="Monthly"/>
    <d v="2023-10-09T00:00:00"/>
    <x v="12"/>
    <x v="3"/>
    <n v="-94"/>
    <x v="1"/>
    <x v="6"/>
    <s v="NTABANA Martin"/>
    <s v="mntabana@unicef.org"/>
    <n v="788484961"/>
    <m/>
    <m/>
    <m/>
  </r>
  <r>
    <s v="C003801"/>
    <x v="116"/>
    <s v="NYAMATA TTC"/>
    <s v="Bugesera"/>
    <x v="1"/>
    <x v="4"/>
    <s v="VIP"/>
    <x v="1"/>
    <x v="4"/>
    <n v="100"/>
    <s v="WIRELESS 100MBPS"/>
    <m/>
    <n v="1"/>
    <n v="775423.7288135594"/>
    <n v="775423.7288135594"/>
    <s v="Monthly"/>
    <d v="2023-10-09T00:00:00"/>
    <x v="12"/>
    <x v="3"/>
    <n v="-94"/>
    <x v="1"/>
    <x v="6"/>
    <s v="NTABANA Martin"/>
    <s v="mntabana@unicef.org"/>
    <n v="788484961"/>
    <m/>
    <m/>
    <m/>
  </r>
  <r>
    <s v="C003801"/>
    <x v="116"/>
    <s v="APEBU NYAMATA"/>
    <s v="Bugesera"/>
    <x v="1"/>
    <x v="4"/>
    <s v="VIP"/>
    <x v="1"/>
    <x v="4"/>
    <n v="100"/>
    <s v="WIRELESS 100MBPS"/>
    <m/>
    <n v="1"/>
    <n v="775424"/>
    <n v="775424"/>
    <s v="Monthly"/>
    <d v="2023-10-09T00:00:00"/>
    <x v="12"/>
    <x v="3"/>
    <n v="-94"/>
    <x v="1"/>
    <x v="6"/>
    <s v="NTABANA Martin"/>
    <s v="mntabana@unicef.org"/>
    <n v="788484961"/>
    <m/>
    <m/>
    <m/>
  </r>
  <r>
    <s v="C003801"/>
    <x v="116"/>
    <s v="MIRACLE CORNER TVET SCHOOL"/>
    <s v="Bugesera"/>
    <x v="1"/>
    <x v="4"/>
    <s v="VIP"/>
    <x v="1"/>
    <x v="4"/>
    <n v="100"/>
    <s v="WIRELESS 100MBPS"/>
    <m/>
    <n v="1"/>
    <n v="775424"/>
    <n v="775424"/>
    <s v="Monthly"/>
    <d v="2023-10-09T00:00:00"/>
    <x v="12"/>
    <x v="3"/>
    <n v="-94"/>
    <x v="1"/>
    <x v="6"/>
    <s v="NTABANA Martin"/>
    <s v="mntabana@unicef.org"/>
    <n v="788484961"/>
    <m/>
    <m/>
    <m/>
  </r>
  <r>
    <s v="C003801"/>
    <x v="116"/>
    <s v="RUHUHA TVET"/>
    <s v="Bugesera"/>
    <x v="1"/>
    <x v="4"/>
    <s v="VIP"/>
    <x v="1"/>
    <x v="4"/>
    <n v="100"/>
    <s v="WIRELESS 100MBPS"/>
    <m/>
    <n v="1"/>
    <n v="775424"/>
    <n v="775424"/>
    <s v="Monthly"/>
    <d v="2023-10-09T00:00:00"/>
    <x v="12"/>
    <x v="3"/>
    <n v="-94"/>
    <x v="1"/>
    <x v="6"/>
    <s v="NTABANA Martin"/>
    <s v="mntabana@unicef.org"/>
    <n v="788484961"/>
    <m/>
    <m/>
    <m/>
  </r>
  <r>
    <s v="C003801"/>
    <x v="116"/>
    <s v="G.S MUSENYI (TVET)"/>
    <s v="Bugesera"/>
    <x v="1"/>
    <x v="4"/>
    <s v="VIP"/>
    <x v="1"/>
    <x v="4"/>
    <n v="100"/>
    <s v="WIRELESS 100MBPS"/>
    <m/>
    <n v="1"/>
    <n v="775424"/>
    <n v="775424"/>
    <s v="Monthly"/>
    <d v="2023-10-09T00:00:00"/>
    <x v="12"/>
    <x v="3"/>
    <n v="-94"/>
    <x v="1"/>
    <x v="6"/>
    <s v="NTABANA Martin"/>
    <s v="mntabana@unicef.org"/>
    <n v="788484961"/>
    <m/>
    <m/>
    <m/>
  </r>
  <r>
    <s v="C001475"/>
    <x v="117"/>
    <s v="Kimisagara Youth Center"/>
    <s v="Nyarugenge"/>
    <x v="0"/>
    <x v="0"/>
    <s v="Standard"/>
    <x v="0"/>
    <x v="0"/>
    <n v="10"/>
    <s v="FIBER VPN 10MBPS"/>
    <m/>
    <n v="1"/>
    <n v="510000"/>
    <n v="510000"/>
    <s v="Monthly"/>
    <d v="2023-10-11T00:00:00"/>
    <x v="12"/>
    <x v="3"/>
    <n v="-96"/>
    <x v="1"/>
    <x v="7"/>
    <s v="KABERA Marie Goretti"/>
    <s v="gkabera@myculture.gov.rw,dmutunge@myculture.gov.rw"/>
    <n v="788866205"/>
    <m/>
    <m/>
    <m/>
  </r>
  <r>
    <s v="C001475"/>
    <x v="117"/>
    <s v="HQ"/>
    <s v="Nyarugenge"/>
    <x v="0"/>
    <x v="0"/>
    <s v="Standard"/>
    <x v="0"/>
    <x v="0"/>
    <n v="20"/>
    <s v="FIBER VPN 20MBPS"/>
    <m/>
    <n v="1"/>
    <n v="900000"/>
    <n v="900000"/>
    <s v="Monthly"/>
    <d v="2023-10-11T00:00:00"/>
    <x v="12"/>
    <x v="3"/>
    <n v="-96"/>
    <x v="1"/>
    <x v="7"/>
    <s v="KABERA Marie Goretti"/>
    <s v="gkabera@myculture.gov.rw,dmutunge@myculture.gov.rw"/>
    <n v="788866205"/>
    <m/>
    <m/>
    <m/>
  </r>
  <r>
    <s v="C001475"/>
    <x v="117"/>
    <s v="HQ"/>
    <s v="Nyarugenge"/>
    <x v="0"/>
    <x v="0"/>
    <s v="Standard"/>
    <x v="0"/>
    <x v="6"/>
    <m/>
    <s v="4G MUP 8GB/DAY"/>
    <m/>
    <n v="2"/>
    <n v="77711.86"/>
    <n v="155423.72"/>
    <s v="Monthly"/>
    <d v="2023-10-11T00:00:00"/>
    <x v="12"/>
    <x v="3"/>
    <n v="-96"/>
    <x v="1"/>
    <x v="7"/>
    <s v="KABERA Marie Goretti"/>
    <s v="gkabera@myculture.gov.rw,dmutunge@myculture.gov.rw"/>
    <n v="788866205"/>
    <m/>
    <m/>
    <m/>
  </r>
  <r>
    <s v="C001475"/>
    <x v="117"/>
    <s v="HQ"/>
    <s v="Nyarugenge"/>
    <x v="0"/>
    <x v="0"/>
    <s v="Standard"/>
    <x v="3"/>
    <x v="7"/>
    <m/>
    <s v="MSS SECURE BROWSING"/>
    <m/>
    <n v="2"/>
    <n v="86129.66"/>
    <n v="172259.32"/>
    <s v="Monthly"/>
    <d v="2023-10-11T00:00:00"/>
    <x v="12"/>
    <x v="3"/>
    <n v="-96"/>
    <x v="1"/>
    <x v="7"/>
    <s v="KABERA Marie Goretti"/>
    <s v="gkabera@myculture.gov.rw,dmutunge@myculture.gov.rw"/>
    <n v="788866205"/>
    <m/>
    <m/>
    <m/>
  </r>
  <r>
    <s v="C001409"/>
    <x v="118"/>
    <s v="MINAGRI - SPIU IFAD FUNDED PROJECT"/>
    <s v="Gasabo"/>
    <x v="0"/>
    <x v="0"/>
    <s v="Standard"/>
    <x v="1"/>
    <x v="0"/>
    <n v="40"/>
    <s v="FIBER VPN 40MBPS"/>
    <m/>
    <n v="1"/>
    <n v="1530000"/>
    <n v="1530000"/>
    <s v="Monthly"/>
    <d v="2023-10-20T00:00:00"/>
    <x v="12"/>
    <x v="3"/>
    <n v="-105"/>
    <x v="1"/>
    <x v="2"/>
    <s v="Kaberuka Jean de Dieu"/>
    <s v="infospiu@minagri.gov.rw"/>
    <s v="0788-641-820"/>
    <m/>
    <m/>
    <m/>
  </r>
  <r>
    <s v="C002321"/>
    <x v="119"/>
    <s v="VPN Link btn Meteo Rwanda &amp; AoS (Bugesera DR)"/>
    <s v="Bugesera"/>
    <x v="0"/>
    <x v="0"/>
    <s v="Standard"/>
    <x v="0"/>
    <x v="0"/>
    <n v="5"/>
    <s v="FIBER VPN 5MBPS"/>
    <m/>
    <n v="1"/>
    <n v="270000"/>
    <n v="270000"/>
    <s v="Monthly"/>
    <d v="2023-10-23T00:00:00"/>
    <x v="12"/>
    <x v="3"/>
    <n v="-108"/>
    <x v="1"/>
    <x v="2"/>
    <s v="Ernest Bagambiki"/>
    <s v="e.bagambiki@meteorwanda.gov.rw"/>
    <s v="0788-529-706"/>
    <m/>
    <m/>
    <m/>
  </r>
  <r>
    <s v="C002321"/>
    <x v="119"/>
    <s v="Gicumbi Station"/>
    <s v="Gicumbi"/>
    <x v="0"/>
    <x v="0"/>
    <s v="Standard"/>
    <x v="0"/>
    <x v="0"/>
    <n v="5"/>
    <s v="FIBER VPN 5MBPS"/>
    <m/>
    <n v="1"/>
    <n v="270000"/>
    <n v="270000"/>
    <s v="Monthly"/>
    <d v="2023-10-23T00:00:00"/>
    <x v="12"/>
    <x v="3"/>
    <n v="-108"/>
    <x v="1"/>
    <x v="2"/>
    <s v="Ernest Bagambiki"/>
    <s v="e.bagambiki@meteorwanda.gov.rw"/>
    <s v="0788-529-706"/>
    <m/>
    <m/>
    <m/>
  </r>
  <r>
    <s v="C002321"/>
    <x v="119"/>
    <s v="Byimana Station"/>
    <s v="Muhanga"/>
    <x v="0"/>
    <x v="0"/>
    <s v="Standard"/>
    <x v="0"/>
    <x v="0"/>
    <n v="5"/>
    <s v="FIBER VPN 5MBPS"/>
    <m/>
    <n v="1"/>
    <n v="270000"/>
    <n v="270000"/>
    <s v="Monthly"/>
    <d v="2023-10-23T00:00:00"/>
    <x v="12"/>
    <x v="3"/>
    <n v="-108"/>
    <x v="1"/>
    <x v="2"/>
    <s v="Ernest Bagambiki"/>
    <s v="e.bagambiki@meteorwanda.gov.rw"/>
    <s v="0788-529-706"/>
    <m/>
    <m/>
    <m/>
  </r>
  <r>
    <s v="C002321"/>
    <x v="119"/>
    <s v="Kazo Station"/>
    <s v="Musanze"/>
    <x v="0"/>
    <x v="0"/>
    <s v="Standard"/>
    <x v="0"/>
    <x v="0"/>
    <n v="5"/>
    <s v="FIBER VPN 5MBPS"/>
    <m/>
    <n v="1"/>
    <n v="270000"/>
    <n v="270000"/>
    <s v="Monthly"/>
    <d v="2023-10-23T00:00:00"/>
    <x v="12"/>
    <x v="3"/>
    <n v="-108"/>
    <x v="1"/>
    <x v="2"/>
    <s v="Ernest Bagambiki"/>
    <s v="e.bagambiki@meteorwanda.gov.rw"/>
    <s v="0788-529-706"/>
    <m/>
    <m/>
    <m/>
  </r>
  <r>
    <s v="C002321"/>
    <x v="119"/>
    <s v="Nyamagabe Station"/>
    <s v="Nyamagabe"/>
    <x v="0"/>
    <x v="0"/>
    <s v="Standard"/>
    <x v="0"/>
    <x v="0"/>
    <n v="5"/>
    <s v="FIBER VPN 5MBPS"/>
    <m/>
    <n v="1"/>
    <n v="270000"/>
    <n v="270000"/>
    <s v="Monthly"/>
    <d v="2023-10-23T00:00:00"/>
    <x v="12"/>
    <x v="3"/>
    <n v="-108"/>
    <x v="1"/>
    <x v="2"/>
    <s v="Ernest Bagambiki"/>
    <s v="e.bagambiki@meteorwanda.gov.rw"/>
    <s v="0788-529-706"/>
    <m/>
    <m/>
    <m/>
  </r>
  <r>
    <s v="C002321"/>
    <x v="119"/>
    <s v="Kawangire Station"/>
    <s v="Nyamagabe"/>
    <x v="0"/>
    <x v="0"/>
    <s v="Standard"/>
    <x v="0"/>
    <x v="0"/>
    <n v="5"/>
    <s v="FIBER VPN 5MBPS"/>
    <m/>
    <n v="1"/>
    <n v="270000"/>
    <n v="270000"/>
    <s v="Monthly"/>
    <d v="2023-10-23T00:00:00"/>
    <x v="12"/>
    <x v="3"/>
    <n v="-108"/>
    <x v="1"/>
    <x v="2"/>
    <s v="Ernest Bagambiki"/>
    <s v="e.bagambiki@meteorwanda.gov.rw"/>
    <s v="0788-529-706"/>
    <m/>
    <m/>
    <m/>
  </r>
  <r>
    <s v="C002321"/>
    <x v="119"/>
    <s v="Gisenyi Station"/>
    <s v="Rubavu"/>
    <x v="0"/>
    <x v="0"/>
    <s v="Standard"/>
    <x v="0"/>
    <x v="0"/>
    <n v="5"/>
    <s v="FIBER VPN 5MBPS"/>
    <m/>
    <n v="1"/>
    <n v="270000"/>
    <n v="270000"/>
    <s v="Monthly"/>
    <d v="2023-10-23T00:00:00"/>
    <x v="12"/>
    <x v="3"/>
    <n v="-108"/>
    <x v="1"/>
    <x v="2"/>
    <s v="Ernest Bagambiki"/>
    <s v="e.bagambiki@meteorwanda.gov.rw"/>
    <s v="0788-529-706"/>
    <m/>
    <m/>
    <m/>
  </r>
  <r>
    <s v="C002321"/>
    <x v="119"/>
    <s v="Maranyundo Radar Station."/>
    <s v="Bugesera"/>
    <x v="0"/>
    <x v="0"/>
    <s v="Standard"/>
    <x v="0"/>
    <x v="0"/>
    <n v="10"/>
    <s v="FIBER VPN 10MBPS"/>
    <m/>
    <n v="1"/>
    <n v="510000"/>
    <n v="510000"/>
    <s v="Monthly"/>
    <d v="2023-10-23T00:00:00"/>
    <x v="12"/>
    <x v="3"/>
    <n v="-108"/>
    <x v="1"/>
    <x v="2"/>
    <s v="Ernest Bagambiki"/>
    <s v="e.bagambiki@meteorwanda.gov.rw"/>
    <s v="0788-529-706"/>
    <m/>
    <m/>
    <m/>
  </r>
  <r>
    <s v="C002321"/>
    <x v="119"/>
    <s v="Rwanda Meteological Agency - HQ"/>
    <s v="Nyarugenge"/>
    <x v="0"/>
    <x v="0"/>
    <s v="Standard"/>
    <x v="0"/>
    <x v="0"/>
    <n v="20"/>
    <s v="FIBER VPN 20MBPS"/>
    <m/>
    <n v="1"/>
    <n v="900000"/>
    <n v="900000"/>
    <s v="Monthly"/>
    <d v="2023-10-23T00:00:00"/>
    <x v="12"/>
    <x v="3"/>
    <n v="-108"/>
    <x v="1"/>
    <x v="2"/>
    <s v="Ernest Bagambiki"/>
    <s v="e.bagambiki@meteorwanda.gov.rw"/>
    <s v="0788-529-706"/>
    <m/>
    <m/>
    <m/>
  </r>
  <r>
    <s v="C002321"/>
    <x v="119"/>
    <s v="Maranyundo Radar Station."/>
    <s v="Bugesera"/>
    <x v="0"/>
    <x v="0"/>
    <s v="Standard"/>
    <x v="3"/>
    <x v="7"/>
    <m/>
    <s v="MSS GOLD"/>
    <m/>
    <n v="1"/>
    <n v="369325.42"/>
    <n v="369325.42"/>
    <s v="Monthly"/>
    <d v="2023-10-23T00:00:00"/>
    <x v="12"/>
    <x v="3"/>
    <n v="-108"/>
    <x v="1"/>
    <x v="2"/>
    <s v="Ernest Bagambiki"/>
    <s v="e.bagambiki@meteorwanda.gov.rw"/>
    <s v="0788-529-706"/>
    <m/>
    <m/>
    <m/>
  </r>
  <r>
    <s v="C002321"/>
    <x v="119"/>
    <s v="Gicumbi Station"/>
    <s v="Gicumbi"/>
    <x v="0"/>
    <x v="0"/>
    <s v="Standard"/>
    <x v="3"/>
    <x v="7"/>
    <m/>
    <s v="MSS SECURE BROWSING"/>
    <m/>
    <n v="1"/>
    <n v="86130"/>
    <n v="86130"/>
    <s v="Monthly"/>
    <d v="2023-10-23T00:00:00"/>
    <x v="12"/>
    <x v="3"/>
    <n v="-108"/>
    <x v="1"/>
    <x v="2"/>
    <s v="Ernest Bagambiki"/>
    <s v="e.bagambiki@meteorwanda.gov.rw"/>
    <s v="0788-529-706"/>
    <m/>
    <m/>
    <m/>
  </r>
  <r>
    <s v="C002321"/>
    <x v="119"/>
    <s v="Byimana Station"/>
    <s v="Muhanga"/>
    <x v="0"/>
    <x v="0"/>
    <s v="Standard"/>
    <x v="3"/>
    <x v="7"/>
    <m/>
    <s v="MSS SECURE BROWSING"/>
    <m/>
    <n v="1"/>
    <n v="86130"/>
    <n v="86130"/>
    <s v="Monthly"/>
    <d v="2023-10-23T00:00:00"/>
    <x v="12"/>
    <x v="3"/>
    <n v="-108"/>
    <x v="1"/>
    <x v="2"/>
    <s v="Ernest Bagambiki"/>
    <s v="e.bagambiki@meteorwanda.gov.rw"/>
    <s v="0788-529-706"/>
    <m/>
    <m/>
    <m/>
  </r>
  <r>
    <s v="C002321"/>
    <x v="119"/>
    <s v="Kazo Station"/>
    <s v="Musanze"/>
    <x v="0"/>
    <x v="0"/>
    <s v="Standard"/>
    <x v="3"/>
    <x v="7"/>
    <m/>
    <s v="MSS SECURE BROWSING"/>
    <m/>
    <n v="1"/>
    <n v="86129.66"/>
    <n v="86129.66"/>
    <s v="Monthly"/>
    <d v="2023-10-23T00:00:00"/>
    <x v="12"/>
    <x v="3"/>
    <n v="-108"/>
    <x v="1"/>
    <x v="2"/>
    <s v="Ernest Bagambiki"/>
    <s v="e.bagambiki@meteorwanda.gov.rw"/>
    <s v="0788-529-706"/>
    <m/>
    <m/>
    <m/>
  </r>
  <r>
    <s v="C002321"/>
    <x v="119"/>
    <s v="Nyamagabe Station"/>
    <s v="Nyamagabe"/>
    <x v="0"/>
    <x v="0"/>
    <s v="Standard"/>
    <x v="3"/>
    <x v="7"/>
    <m/>
    <s v="MSS SECURE BROWSING"/>
    <m/>
    <n v="1"/>
    <n v="86129.66"/>
    <n v="86129.66"/>
    <s v="Monthly"/>
    <d v="2023-10-23T00:00:00"/>
    <x v="12"/>
    <x v="3"/>
    <n v="-108"/>
    <x v="1"/>
    <x v="2"/>
    <s v="Ernest Bagambiki"/>
    <s v="e.bagambiki@meteorwanda.gov.rw"/>
    <s v="0788-529-706"/>
    <m/>
    <m/>
    <m/>
  </r>
  <r>
    <s v="C002321"/>
    <x v="119"/>
    <s v="Rwanda Meteological Agency - HQ"/>
    <s v="Nyarugenge"/>
    <x v="0"/>
    <x v="0"/>
    <s v="Standard"/>
    <x v="3"/>
    <x v="7"/>
    <m/>
    <s v="MSS GOLD"/>
    <m/>
    <n v="1"/>
    <n v="369325.42"/>
    <n v="369325.42"/>
    <s v="Monthly"/>
    <d v="2023-10-23T00:00:00"/>
    <x v="12"/>
    <x v="3"/>
    <n v="-108"/>
    <x v="1"/>
    <x v="2"/>
    <s v="Ernest Bagambiki"/>
    <s v="e.bagambiki@meteorwanda.gov.rw"/>
    <s v="0788-529-706"/>
    <m/>
    <m/>
    <m/>
  </r>
  <r>
    <s v="C002321"/>
    <x v="119"/>
    <s v="Kawangire Station"/>
    <s v="Nyarugenge"/>
    <x v="0"/>
    <x v="0"/>
    <s v="Standard"/>
    <x v="3"/>
    <x v="7"/>
    <m/>
    <s v="MSS SECURE BROWSING"/>
    <m/>
    <n v="1"/>
    <n v="86130"/>
    <n v="86130"/>
    <s v="Monthly"/>
    <d v="2023-10-23T00:00:00"/>
    <x v="12"/>
    <x v="3"/>
    <n v="-108"/>
    <x v="1"/>
    <x v="2"/>
    <s v="Ernest Bagambiki"/>
    <s v="e.bagambiki@meteorwanda.gov.rw"/>
    <s v="0788-529-706"/>
    <m/>
    <m/>
    <m/>
  </r>
  <r>
    <s v="C002321"/>
    <x v="119"/>
    <s v="Gisenyi Station"/>
    <s v="Rubavu"/>
    <x v="0"/>
    <x v="0"/>
    <s v="Standard"/>
    <x v="3"/>
    <x v="7"/>
    <m/>
    <s v="MSS SECURE BROWSING"/>
    <m/>
    <n v="1"/>
    <n v="86129.66"/>
    <n v="86129.66"/>
    <s v="Monthly"/>
    <d v="2023-10-23T00:00:00"/>
    <x v="12"/>
    <x v="3"/>
    <n v="-108"/>
    <x v="1"/>
    <x v="2"/>
    <s v="Ernest Bagambiki"/>
    <s v="e.bagambiki@meteorwanda.gov.rw"/>
    <s v="0788-529-706"/>
    <m/>
    <m/>
    <m/>
  </r>
  <r>
    <s v="C002321"/>
    <x v="119"/>
    <s v="Rwanda Meteological Agency - HQ"/>
    <s v="Nyarugenge"/>
    <x v="0"/>
    <x v="0"/>
    <s v="Standard"/>
    <x v="0"/>
    <x v="6"/>
    <m/>
    <s v="4G ONE NETWORK 3MBPS"/>
    <m/>
    <n v="2"/>
    <n v="81355.932203389835"/>
    <n v="162711.86440677967"/>
    <s v="Monthly"/>
    <d v="2023-10-23T00:00:00"/>
    <x v="12"/>
    <x v="3"/>
    <n v="-108"/>
    <x v="1"/>
    <x v="2"/>
    <s v="Ernest Bagambiki"/>
    <s v="e.bagambiki@meteorwanda.gov.rw"/>
    <s v="0788-529-706"/>
    <m/>
    <m/>
    <m/>
  </r>
  <r>
    <s v="C002321"/>
    <x v="119"/>
    <s v="Rwanda Meteological Agency - HQ"/>
    <s v="Nyarugenge"/>
    <x v="0"/>
    <x v="0"/>
    <s v="Standard"/>
    <x v="0"/>
    <x v="6"/>
    <m/>
    <s v=" 4G MUP 4GB/DAY "/>
    <m/>
    <n v="6"/>
    <n v="45338.98"/>
    <n v="272033.88"/>
    <s v="Monthly"/>
    <d v="2023-10-23T00:00:00"/>
    <x v="12"/>
    <x v="3"/>
    <n v="-108"/>
    <x v="1"/>
    <x v="2"/>
    <s v="Ernest Bagambiki"/>
    <s v="e.bagambiki@meteorwanda.gov.rw"/>
    <s v="0788-529-706"/>
    <m/>
    <m/>
    <m/>
  </r>
  <r>
    <s v="C002321"/>
    <x v="119"/>
    <s v="Rwanda Meteological Agency - HQ"/>
    <s v="Nyarugenge"/>
    <x v="0"/>
    <x v="0"/>
    <s v="Standard"/>
    <x v="0"/>
    <x v="6"/>
    <m/>
    <s v="4G MUP 2GB/DAY"/>
    <m/>
    <n v="24"/>
    <n v="28305.08"/>
    <n v="679321.92"/>
    <s v="Monthly"/>
    <d v="2023-10-23T00:00:00"/>
    <x v="12"/>
    <x v="3"/>
    <n v="-108"/>
    <x v="1"/>
    <x v="2"/>
    <s v="Ernest Bagambiki"/>
    <s v="e.bagambiki@meteorwanda.gov.rw"/>
    <s v="0788-529-706"/>
    <m/>
    <m/>
    <m/>
  </r>
  <r>
    <s v="C000958"/>
    <x v="120"/>
    <s v="IPRC-Nyamishaba"/>
    <s v="Gicumbi"/>
    <x v="0"/>
    <x v="4"/>
    <s v="Standard"/>
    <x v="0"/>
    <x v="0"/>
    <n v="10"/>
    <s v="fiber vpn 10mbps"/>
    <m/>
    <n v="1"/>
    <n v="510000"/>
    <n v="510000"/>
    <s v="Monthly"/>
    <d v="2023-10-24T00:00:00"/>
    <x v="12"/>
    <x v="3"/>
    <n v="-109"/>
    <x v="1"/>
    <x v="4"/>
    <s v="Ephrem"/>
    <s v="info@iprckarongi.rp.ac.rw/ictdepartment@iprckarongi.rp.ac.rw"/>
    <s v="788440204/0788954380"/>
    <m/>
    <m/>
    <m/>
  </r>
  <r>
    <s v="C002291"/>
    <x v="121"/>
    <s v="RWANDA PUBLIC PROCUREMENT AUTHORITY (RPPA)"/>
    <s v="Nyarugenge"/>
    <x v="0"/>
    <x v="0"/>
    <s v="Standard"/>
    <x v="3"/>
    <x v="7"/>
    <m/>
    <s v="MSS GOLD"/>
    <m/>
    <n v="1"/>
    <n v="369325"/>
    <n v="369325"/>
    <s v="Monthly"/>
    <d v="2023-10-25T00:00:00"/>
    <x v="12"/>
    <x v="3"/>
    <n v="-110"/>
    <x v="1"/>
    <x v="2"/>
    <s v="Felix Mubiligi"/>
    <s v="fmubiligi@rppa.gov.rw"/>
    <s v="0788-846-868"/>
    <m/>
    <m/>
    <m/>
  </r>
  <r>
    <s v="C004037"/>
    <x v="96"/>
    <s v="Fiber Service: Gacaca Project"/>
    <s v="Gasabo"/>
    <x v="0"/>
    <x v="0"/>
    <s v="Standard"/>
    <x v="0"/>
    <x v="0"/>
    <n v="10"/>
    <s v="Fiber Broadband Internet 10Mbps"/>
    <m/>
    <n v="1"/>
    <n v="510000"/>
    <n v="510000"/>
    <s v="Monthly"/>
    <d v="2023-10-30T00:00:00"/>
    <x v="12"/>
    <x v="3"/>
    <n v="-115"/>
    <x v="1"/>
    <x v="1"/>
    <s v="Raymond Ntirenganya "/>
    <s v="raymond.ntirenganya@minubumwe.gov.rw"/>
    <s v="0 788 440 641"/>
    <m/>
    <m/>
    <m/>
  </r>
  <r>
    <s v="C004037"/>
    <x v="96"/>
    <s v="Fiber VPN: Gacaca Project"/>
    <s v="Gasabo"/>
    <x v="0"/>
    <x v="0"/>
    <s v="Standard"/>
    <x v="0"/>
    <x v="0"/>
    <n v="10"/>
    <s v="Fiber VPN 10Mbps"/>
    <m/>
    <n v="1"/>
    <n v="510000"/>
    <n v="510000"/>
    <s v="Monthly"/>
    <d v="2023-10-30T00:00:00"/>
    <x v="12"/>
    <x v="3"/>
    <n v="-115"/>
    <x v="1"/>
    <x v="1"/>
    <s v="Raymond Ntirenganya "/>
    <s v="raymond.ntirenganya@minubumwe.gov.rw"/>
    <s v="0 788 440 641"/>
    <m/>
    <m/>
    <m/>
  </r>
  <r>
    <s v="C004037"/>
    <x v="96"/>
    <s v="Fiber Service: Minubumwe HQ"/>
    <s v="Gasabo"/>
    <x v="0"/>
    <x v="0"/>
    <s v="Standard"/>
    <x v="1"/>
    <x v="0"/>
    <n v="30"/>
    <s v="Fiber Broadband Internet 30Mbps"/>
    <m/>
    <n v="1"/>
    <n v="1260000"/>
    <n v="1260000"/>
    <s v="Monthly"/>
    <d v="2023-10-30T00:00:00"/>
    <x v="12"/>
    <x v="3"/>
    <n v="-115"/>
    <x v="1"/>
    <x v="1"/>
    <s v="Raymond Ntirenganya "/>
    <s v="raymond.ntirenganya@minubumwe.gov.rw"/>
    <s v="0 788 440 641"/>
    <m/>
    <m/>
    <m/>
  </r>
  <r>
    <s v="C004037"/>
    <x v="96"/>
    <s v="MSS Gold  "/>
    <s v="Gasabo"/>
    <x v="0"/>
    <x v="0"/>
    <s v="Standard"/>
    <x v="1"/>
    <x v="7"/>
    <m/>
    <s v="MSS Gold Package"/>
    <m/>
    <n v="1"/>
    <n v="369325"/>
    <n v="369325"/>
    <s v="Monthly"/>
    <d v="2023-10-30T00:00:00"/>
    <x v="12"/>
    <x v="3"/>
    <n v="-115"/>
    <x v="1"/>
    <x v="1"/>
    <s v="Raymond Ntirenganya "/>
    <s v="raymond.ntirenganya@minubumwe.gov.rw"/>
    <s v="0 788 440 641"/>
    <m/>
    <m/>
    <m/>
  </r>
  <r>
    <s v="C002589"/>
    <x v="122"/>
    <s v="SHYIRA-MAIN BRANCH"/>
    <s v="Nyabihu"/>
    <x v="0"/>
    <x v="6"/>
    <s v="Standard"/>
    <x v="1"/>
    <x v="0"/>
    <n v="5"/>
    <s v="FIBER VPN 5MBPS"/>
    <m/>
    <n v="1"/>
    <n v="270000"/>
    <n v="270000"/>
    <s v="Monthly"/>
    <d v="2023-10-30T00:00:00"/>
    <x v="12"/>
    <x v="3"/>
    <n v="-115"/>
    <x v="1"/>
    <x v="6"/>
    <s v="MUKAMAHORO Roselyne"/>
    <s v="mukamahoro07@gmail.com"/>
    <n v="788230183"/>
    <m/>
    <m/>
    <m/>
  </r>
  <r>
    <s v="C002589"/>
    <x v="122"/>
    <s v="SHYIRA-MAIN BRANCH"/>
    <s v="Nyabihu"/>
    <x v="0"/>
    <x v="6"/>
    <s v="Standard"/>
    <x v="3"/>
    <x v="7"/>
    <m/>
    <s v="MSS GOLD"/>
    <m/>
    <n v="1"/>
    <n v="369325"/>
    <n v="369325"/>
    <s v="Monthly"/>
    <d v="2023-10-30T00:00:00"/>
    <x v="12"/>
    <x v="3"/>
    <n v="-115"/>
    <x v="1"/>
    <x v="6"/>
    <s v="MUKAMAHORO Roselyne"/>
    <s v="mukamahoro07@gmail.com"/>
    <n v="788230183"/>
    <m/>
    <m/>
    <m/>
  </r>
  <r>
    <s v="C003169"/>
    <x v="123"/>
    <s v="Africa's Talking"/>
    <s v="Nyarugenge"/>
    <x v="1"/>
    <x v="10"/>
    <s v="Standard"/>
    <x v="1"/>
    <x v="1"/>
    <m/>
    <s v="Cloud 2vCPU. 4GB RAM. 200GB Storage"/>
    <m/>
    <n v="3"/>
    <n v="45500"/>
    <n v="136500"/>
    <s v="Monthly"/>
    <d v="2023-10-31T00:00:00"/>
    <x v="12"/>
    <x v="3"/>
    <n v="-116"/>
    <x v="1"/>
    <x v="2"/>
    <s v="Jack Ngali"/>
    <s v="jack@africastalking.com"/>
    <s v="0786-361-981 "/>
    <m/>
    <m/>
    <m/>
  </r>
  <r>
    <s v="C003169"/>
    <x v="123"/>
    <s v="Africa's Talking"/>
    <s v="Nyarugenge"/>
    <x v="1"/>
    <x v="10"/>
    <s v="Standard"/>
    <x v="1"/>
    <x v="1"/>
    <m/>
    <s v="Cloud 1vCPU. 1GB RAM. 30GB Storage"/>
    <m/>
    <n v="4"/>
    <n v="13500"/>
    <n v="54000"/>
    <s v="Monthly"/>
    <d v="2023-10-31T00:00:00"/>
    <x v="12"/>
    <x v="3"/>
    <n v="-116"/>
    <x v="1"/>
    <x v="2"/>
    <s v="Jack Ngali"/>
    <s v="jack@africastalking.com"/>
    <s v="0786-361-981 "/>
    <m/>
    <m/>
    <m/>
  </r>
  <r>
    <s v="C000443"/>
    <x v="124"/>
    <s v="C L GISENYI-MAIN BRANCH"/>
    <s v="Rubavu"/>
    <x v="0"/>
    <x v="4"/>
    <s v="Standard"/>
    <x v="0"/>
    <x v="5"/>
    <n v="3"/>
    <s v="FIBER VPN 3MBPS"/>
    <m/>
    <n v="1"/>
    <n v="180000"/>
    <n v="180000"/>
    <s v="Monthly"/>
    <d v="2023-10-31T00:00:00"/>
    <x v="12"/>
    <x v="3"/>
    <n v="-116"/>
    <x v="1"/>
    <x v="6"/>
    <s v="NKURUNZIZA Valens"/>
    <s v="inyemerakolej10@gmail.com"/>
    <n v="784855911"/>
    <m/>
    <m/>
    <m/>
  </r>
  <r>
    <s v="C000951"/>
    <x v="125"/>
    <s v="Muhanga"/>
    <s v="Muhanga"/>
    <x v="1"/>
    <x v="4"/>
    <s v="Standard"/>
    <x v="1"/>
    <x v="5"/>
    <n v="25"/>
    <s v="fiber vpn 25 mbps"/>
    <m/>
    <n v="1"/>
    <n v="1100000"/>
    <n v="1100000"/>
    <s v="Monthly"/>
    <d v="2023-10-31T00:00:00"/>
    <x v="12"/>
    <x v="3"/>
    <n v="-116"/>
    <x v="1"/>
    <x v="4"/>
    <s v="Samarwa"/>
    <s v="jmsamarwa@yahoo.fr"/>
    <n v="781971474"/>
    <m/>
    <m/>
    <m/>
  </r>
  <r>
    <s v="C001188"/>
    <x v="126"/>
    <s v="KIGEME-MAIN BRANCH"/>
    <s v="Nyamagabe"/>
    <x v="0"/>
    <x v="6"/>
    <s v="Standard"/>
    <x v="0"/>
    <x v="0"/>
    <n v="5"/>
    <s v="FIBER VPN 5MBPS"/>
    <m/>
    <n v="1"/>
    <n v="270000"/>
    <n v="270000"/>
    <s v="Monthly"/>
    <d v="2023-10-31T00:00:00"/>
    <x v="12"/>
    <x v="3"/>
    <n v="-116"/>
    <x v="1"/>
    <x v="6"/>
    <s v="MUSEMAKWELI Ezekiel"/>
    <s v="musema13@gmail.com"/>
    <n v="784082977"/>
    <m/>
    <m/>
    <m/>
  </r>
  <r>
    <s v="C001188"/>
    <x v="126"/>
    <s v="KIGEME-MAIN BRANCH"/>
    <s v="Nyamagabe"/>
    <x v="0"/>
    <x v="6"/>
    <s v="Standard"/>
    <x v="0"/>
    <x v="0"/>
    <n v="5"/>
    <s v="FIBER VPN 5MBPS"/>
    <m/>
    <n v="1"/>
    <n v="270000"/>
    <n v="270000"/>
    <s v="Monthly"/>
    <d v="2023-10-31T00:00:00"/>
    <x v="12"/>
    <x v="3"/>
    <n v="-116"/>
    <x v="1"/>
    <x v="6"/>
    <s v="MUSEMAKWELI Ezekiel"/>
    <s v="musema13@gmail.com"/>
    <n v="784082977"/>
    <m/>
    <m/>
    <m/>
  </r>
  <r>
    <s v="C001188"/>
    <x v="126"/>
    <s v="KIGEME-MAIN BRANCH"/>
    <s v="Nyamagabe"/>
    <x v="0"/>
    <x v="6"/>
    <s v="Standard"/>
    <x v="3"/>
    <x v="7"/>
    <m/>
    <s v="MSS GOLD"/>
    <m/>
    <n v="1"/>
    <n v="369325"/>
    <n v="369325"/>
    <s v="Monthly"/>
    <d v="2023-10-31T00:00:00"/>
    <x v="12"/>
    <x v="3"/>
    <n v="-116"/>
    <x v="1"/>
    <x v="6"/>
    <s v="MUSEMAKWELI Ezekiel"/>
    <s v="musema13@gmail.com"/>
    <n v="784082977"/>
    <m/>
    <m/>
    <m/>
  </r>
  <r>
    <s v="C003026"/>
    <x v="127"/>
    <s v="Fiber VPN: R-Switch"/>
    <s v="Gasabo"/>
    <x v="1"/>
    <x v="1"/>
    <s v="Standard"/>
    <x v="0"/>
    <x v="5"/>
    <n v="1"/>
    <s v="Fiber VPN 1Mbps"/>
    <m/>
    <n v="1"/>
    <n v="200000"/>
    <n v="200000"/>
    <s v="Monthly"/>
    <d v="2023-10-31T00:00:00"/>
    <x v="12"/>
    <x v="3"/>
    <n v="-116"/>
    <x v="1"/>
    <x v="1"/>
    <s v="Irene Wanderi"/>
    <s v="irene@simbanet.co.ke "/>
    <s v="00 254 20 765 0000"/>
    <m/>
    <m/>
    <m/>
  </r>
  <r>
    <s v="C003026"/>
    <x v="127"/>
    <s v="Fiber VPN: KFW"/>
    <s v="Nyarugenge"/>
    <x v="1"/>
    <x v="1"/>
    <s v="Standard"/>
    <x v="1"/>
    <x v="5"/>
    <n v="2"/>
    <s v="Fiber VPN 2Mbps"/>
    <m/>
    <n v="1"/>
    <n v="400000"/>
    <n v="400000"/>
    <s v="Monthly"/>
    <d v="2023-10-31T00:00:00"/>
    <x v="12"/>
    <x v="3"/>
    <n v="-116"/>
    <x v="1"/>
    <x v="1"/>
    <s v="Irene Wanderi"/>
    <s v="irene@simbanet.co.ke "/>
    <s v="00 254 20 765 0000"/>
    <m/>
    <m/>
    <m/>
  </r>
  <r>
    <s v="C003026"/>
    <x v="127"/>
    <s v="Fiber VPN: Equity Bank Muhanga"/>
    <s v="Muhanga"/>
    <x v="1"/>
    <x v="1"/>
    <s v="Standard"/>
    <x v="0"/>
    <x v="5"/>
    <n v="5"/>
    <s v="Fiber VPN 5Mbps"/>
    <m/>
    <n v="1"/>
    <n v="1250000"/>
    <n v="1250000"/>
    <s v="Monthly"/>
    <d v="2023-10-31T00:00:00"/>
    <x v="12"/>
    <x v="3"/>
    <n v="-116"/>
    <x v="1"/>
    <x v="1"/>
    <s v="Irene Wanderi"/>
    <s v="irene@simbanet.co.ke "/>
    <s v="00 254 20 765 0000"/>
    <m/>
    <m/>
    <m/>
  </r>
  <r>
    <s v="C003026"/>
    <x v="127"/>
    <s v="Fiber VPN: Britam"/>
    <s v="Nyarugenge"/>
    <x v="1"/>
    <x v="1"/>
    <s v="Standard"/>
    <x v="0"/>
    <x v="5"/>
    <n v="10"/>
    <s v="Fiber VPN 10Mbps"/>
    <m/>
    <n v="1"/>
    <n v="770340"/>
    <n v="770340"/>
    <s v="Monthly"/>
    <d v="2023-10-31T00:00:00"/>
    <x v="12"/>
    <x v="3"/>
    <n v="-116"/>
    <x v="1"/>
    <x v="1"/>
    <s v="Irene Wanderi"/>
    <s v="irene@simbanet.co.ke "/>
    <s v="00 254 20 765 0000"/>
    <m/>
    <m/>
    <m/>
  </r>
  <r>
    <s v="C003026"/>
    <x v="127"/>
    <s v="Backhaul: Kigali-Gatuna"/>
    <s v="Gicumbi"/>
    <x v="1"/>
    <x v="1"/>
    <s v="Standard"/>
    <x v="1"/>
    <x v="5"/>
    <n v="15"/>
    <s v="Fiber VPN 15Mbps"/>
    <m/>
    <n v="1"/>
    <n v="1350000"/>
    <n v="1350000"/>
    <s v="Monthly"/>
    <d v="2023-10-31T00:00:00"/>
    <x v="12"/>
    <x v="3"/>
    <n v="-116"/>
    <x v="1"/>
    <x v="1"/>
    <s v="Irene Wanderi"/>
    <s v="irene@simbanet.co.ke "/>
    <s v="00 254 20 765 0000"/>
    <m/>
    <m/>
    <m/>
  </r>
  <r>
    <s v="C003026"/>
    <x v="127"/>
    <s v="Fiber VPN: Equity Bank HQ"/>
    <s v="Nyarugenge"/>
    <x v="1"/>
    <x v="1"/>
    <s v="Standard"/>
    <x v="0"/>
    <x v="5"/>
    <n v="25"/>
    <s v="Fiber VPN 25Mbps"/>
    <m/>
    <n v="1"/>
    <n v="2500000"/>
    <n v="2500000"/>
    <s v="Monthly"/>
    <d v="2023-10-31T00:00:00"/>
    <x v="12"/>
    <x v="3"/>
    <n v="-116"/>
    <x v="1"/>
    <x v="1"/>
    <s v="Irene Wanderi"/>
    <s v="irene@simbanet.co.ke "/>
    <s v="00 254 20 765 0000"/>
    <m/>
    <m/>
    <m/>
  </r>
  <r>
    <s v="C003026"/>
    <x v="127"/>
    <s v="Backhaul: Kigali-Rusumo"/>
    <s v="Kirehe"/>
    <x v="1"/>
    <x v="1"/>
    <s v="Standard"/>
    <x v="1"/>
    <x v="5"/>
    <n v="45"/>
    <s v="Fiber VPN 45Mbps"/>
    <m/>
    <n v="1"/>
    <n v="5310000"/>
    <n v="5310000"/>
    <s v="Monthly"/>
    <d v="2023-10-31T00:00:00"/>
    <x v="12"/>
    <x v="3"/>
    <n v="-116"/>
    <x v="1"/>
    <x v="1"/>
    <s v="Irene Wanderi"/>
    <s v="irene@simbanet.co.ke "/>
    <s v="00 254 20 765 0000"/>
    <m/>
    <m/>
    <m/>
  </r>
  <r>
    <s v="C003026"/>
    <x v="127"/>
    <s v="Maintenance fees"/>
    <s v="Gasabo"/>
    <x v="1"/>
    <x v="1"/>
    <s v="Standard"/>
    <x v="1"/>
    <x v="5"/>
    <m/>
    <s v="Maintenance of Simbanet Sites"/>
    <m/>
    <n v="1"/>
    <n v="200000"/>
    <n v="200000"/>
    <s v="Monthly"/>
    <d v="2023-10-31T00:00:00"/>
    <x v="12"/>
    <x v="3"/>
    <n v="-116"/>
    <x v="1"/>
    <x v="1"/>
    <s v="Irene Wanderi"/>
    <s v="irene@simbanet.co.ke "/>
    <s v="00 254 20 765 0000"/>
    <m/>
    <m/>
    <m/>
  </r>
  <r>
    <s v="C003027"/>
    <x v="128"/>
    <s v="Fiber VPN: Huawei Rwanda"/>
    <s v="Gasabo"/>
    <x v="1"/>
    <x v="1"/>
    <s v="Standard"/>
    <x v="0"/>
    <x v="5"/>
    <n v="8"/>
    <s v="Fiber VPN 8Mbps"/>
    <m/>
    <n v="1"/>
    <n v="1037000"/>
    <n v="1037000"/>
    <s v="Monthly"/>
    <d v="2023-10-31T00:00:00"/>
    <x v="12"/>
    <x v="3"/>
    <n v="-116"/>
    <x v="1"/>
    <x v="1"/>
    <s v="Irene Wanderi"/>
    <s v="irene@simbanet.co.ke "/>
    <s v="00 254 20 765 0000"/>
    <m/>
    <m/>
    <m/>
  </r>
  <r>
    <s v="C003027"/>
    <x v="128"/>
    <s v="Fiber VPN: PWC Rwanda"/>
    <s v="Gasabo"/>
    <x v="1"/>
    <x v="1"/>
    <s v="Standard"/>
    <x v="0"/>
    <x v="5"/>
    <n v="10"/>
    <s v="Fiber VPN 10Mbps"/>
    <m/>
    <n v="1"/>
    <n v="1450000"/>
    <n v="1450000"/>
    <s v="Monthly"/>
    <d v="2023-10-31T00:00:00"/>
    <x v="12"/>
    <x v="3"/>
    <n v="-116"/>
    <x v="1"/>
    <x v="1"/>
    <s v="Irene Wanderi"/>
    <s v="irene@simbanet.co.ke "/>
    <s v="00 254 20 765 0000"/>
    <m/>
    <m/>
    <m/>
  </r>
  <r>
    <s v="C001425"/>
    <x v="129"/>
    <s v="Kimihurura"/>
    <s v="Gasabo"/>
    <x v="0"/>
    <x v="0"/>
    <s v="Standard"/>
    <x v="0"/>
    <x v="0"/>
    <n v="20"/>
    <s v="FIBER INTERNET 20MBPS GOV"/>
    <m/>
    <n v="1"/>
    <n v="900000"/>
    <n v="900000"/>
    <s v="Monthly"/>
    <d v="2023-10-31T00:00:00"/>
    <x v="12"/>
    <x v="3"/>
    <n v="-116"/>
    <x v="1"/>
    <x v="7"/>
    <s v="Jean Claude Sinzikwita"/>
    <s v="digitalization@minicom.gov.rw"/>
    <n v="788882605"/>
    <m/>
    <m/>
    <m/>
  </r>
  <r>
    <s v="C001425"/>
    <x v="129"/>
    <s v="Kimihurura"/>
    <s v="Gasabo"/>
    <x v="0"/>
    <x v="0"/>
    <s v="Standard"/>
    <x v="1"/>
    <x v="3"/>
    <m/>
    <s v="VoIP PHONES 71 - 100"/>
    <m/>
    <n v="1"/>
    <n v="270000"/>
    <n v="270000"/>
    <s v="Monthly"/>
    <d v="2023-10-31T00:00:00"/>
    <x v="12"/>
    <x v="3"/>
    <n v="-116"/>
    <x v="1"/>
    <x v="7"/>
    <s v="Jean Claude Sinzikwita"/>
    <s v="digitalization@minicom.gov.rw"/>
    <n v="788882605"/>
    <m/>
    <m/>
    <m/>
  </r>
  <r>
    <s v="C001425"/>
    <x v="129"/>
    <s v="Kimihurura"/>
    <s v="Gasabo"/>
    <x v="0"/>
    <x v="0"/>
    <s v="Standard"/>
    <x v="3"/>
    <x v="7"/>
    <m/>
    <s v="MSS GOLD"/>
    <m/>
    <n v="1"/>
    <n v="369325"/>
    <n v="369325"/>
    <s v="Monthly"/>
    <d v="2023-10-31T00:00:00"/>
    <x v="12"/>
    <x v="3"/>
    <n v="-116"/>
    <x v="1"/>
    <x v="7"/>
    <s v="Jean Claude Sinzikwita"/>
    <s v="digitalization@minicom.gov.rw"/>
    <n v="788882605"/>
    <m/>
    <m/>
    <m/>
  </r>
  <r>
    <s v="C001425"/>
    <x v="129"/>
    <s v="Kimihurura"/>
    <s v="Gasabo"/>
    <x v="0"/>
    <x v="0"/>
    <s v="Standard"/>
    <x v="0"/>
    <x v="6"/>
    <m/>
    <s v=" 4G MUP 4GB/DAY "/>
    <m/>
    <n v="1"/>
    <n v="45338.98"/>
    <n v="45338.98"/>
    <s v="Monthly"/>
    <d v="2023-10-31T00:00:00"/>
    <x v="12"/>
    <x v="3"/>
    <n v="-116"/>
    <x v="1"/>
    <x v="7"/>
    <s v="Jean Claude Sinzikwita"/>
    <s v="digitalization@minicom.gov.rw"/>
    <n v="788882605"/>
    <m/>
    <m/>
    <m/>
  </r>
  <r>
    <s v="C001425"/>
    <x v="129"/>
    <s v="Kimihurura"/>
    <s v="Gasabo"/>
    <x v="0"/>
    <x v="0"/>
    <s v="Standard"/>
    <x v="0"/>
    <x v="6"/>
    <m/>
    <s v="4G ONE NETWORK 3MBPS"/>
    <m/>
    <n v="3"/>
    <n v="81355.932203389835"/>
    <n v="244067.79661016952"/>
    <s v="Monthly"/>
    <d v="2023-10-31T00:00:00"/>
    <x v="12"/>
    <x v="3"/>
    <n v="-116"/>
    <x v="1"/>
    <x v="7"/>
    <s v="Jean Claude Sinzikwita"/>
    <s v="digitalization@minicom.gov.rw"/>
    <n v="788882605"/>
    <m/>
    <m/>
    <m/>
  </r>
  <r>
    <s v="C001425"/>
    <x v="129"/>
    <s v="Kimihurura"/>
    <s v="Gasabo"/>
    <x v="0"/>
    <x v="0"/>
    <s v="Standard"/>
    <x v="0"/>
    <x v="6"/>
    <m/>
    <s v="4G MUP 2GB/DAY"/>
    <m/>
    <n v="22"/>
    <n v="28305.08"/>
    <n v="622711.76"/>
    <s v="Monthly"/>
    <d v="2023-10-31T00:00:00"/>
    <x v="12"/>
    <x v="3"/>
    <n v="-116"/>
    <x v="1"/>
    <x v="7"/>
    <s v="Jean Claude Sinzikwita"/>
    <s v="digitalization@minicom.gov.rw"/>
    <n v="788882605"/>
    <m/>
    <m/>
    <m/>
  </r>
  <r>
    <s v="C002286"/>
    <x v="130"/>
    <s v="REMA HQ"/>
    <s v="Gasabo"/>
    <x v="0"/>
    <x v="0"/>
    <s v="Standard"/>
    <x v="1"/>
    <x v="10"/>
    <m/>
    <s v="VIDEO CONFERENCE"/>
    <m/>
    <n v="1"/>
    <n v="258045"/>
    <n v="258045"/>
    <s v="Monthly"/>
    <d v="2023-10-31T00:00:00"/>
    <x v="12"/>
    <x v="3"/>
    <n v="-116"/>
    <x v="1"/>
    <x v="2"/>
    <s v="Peter Songa"/>
    <s v="psonga@rema.gov.rw"/>
    <s v="0788-533-127"/>
    <m/>
    <m/>
    <m/>
  </r>
  <r>
    <s v="C000021"/>
    <x v="131"/>
    <s v="HQ"/>
    <s v="Gasabo"/>
    <x v="0"/>
    <x v="6"/>
    <s v="Standard"/>
    <x v="0"/>
    <x v="6"/>
    <m/>
    <s v="4G ONE NETWORK 5MBPS"/>
    <m/>
    <n v="1"/>
    <n v="101694.92"/>
    <n v="101694.92"/>
    <s v="Monthly"/>
    <d v="2023-11-01T00:00:00"/>
    <x v="5"/>
    <x v="3"/>
    <n v="-117"/>
    <x v="1"/>
    <x v="9"/>
    <s v="OLIVIER MUYANGE"/>
    <s v="cmorkide@gmail.com"/>
    <n v="788597077"/>
    <m/>
    <m/>
    <m/>
  </r>
  <r>
    <s v="C002291"/>
    <x v="121"/>
    <s v="RPPA"/>
    <s v="Nyarugenge"/>
    <x v="0"/>
    <x v="0"/>
    <s v="Standard"/>
    <x v="0"/>
    <x v="0"/>
    <n v="25"/>
    <s v="FIBER INTERNET 25MBPS"/>
    <m/>
    <n v="1"/>
    <n v="1080000"/>
    <n v="1080000"/>
    <s v="Monthly"/>
    <d v="2023-11-03T00:00:00"/>
    <x v="5"/>
    <x v="3"/>
    <n v="-119"/>
    <x v="1"/>
    <x v="2"/>
    <s v="Felix Mubiligi"/>
    <s v="fmubiligi@rppa.gov.rw"/>
    <s v="0788-846-868"/>
    <m/>
    <m/>
    <m/>
  </r>
  <r>
    <s v="C002291"/>
    <x v="121"/>
    <s v="RPPA"/>
    <s v="Nyarugenge"/>
    <x v="0"/>
    <x v="0"/>
    <s v="Standard"/>
    <x v="1"/>
    <x v="3"/>
    <m/>
    <s v="VoIP PHONES 41-70"/>
    <m/>
    <n v="1"/>
    <n v="189000"/>
    <n v="189000"/>
    <s v="Monthly"/>
    <d v="2023-11-03T00:00:00"/>
    <x v="5"/>
    <x v="3"/>
    <n v="-119"/>
    <x v="1"/>
    <x v="2"/>
    <s v="Felix Mubiligi"/>
    <s v="fmubiligi@rppa.gov.rw"/>
    <s v="0788-846-868"/>
    <m/>
    <m/>
    <m/>
  </r>
  <r>
    <s v="C004061"/>
    <x v="132"/>
    <s v="Forefront Services Ltd HQ."/>
    <s v="Gasabo"/>
    <x v="1"/>
    <x v="2"/>
    <s v="Standard"/>
    <x v="0"/>
    <x v="6"/>
    <m/>
    <s v="4G ONE NETWORK 5MBPS"/>
    <m/>
    <n v="1"/>
    <n v="101694.92"/>
    <n v="101694.92"/>
    <s v="Monthly"/>
    <d v="2023-11-22T00:00:00"/>
    <x v="5"/>
    <x v="3"/>
    <n v="-138"/>
    <x v="1"/>
    <x v="2"/>
    <s v="Wilson Kazungu"/>
    <s v="wilsonkazungu@forefrontservices.rw"/>
    <s v="0788-502-236"/>
    <m/>
    <m/>
    <m/>
  </r>
  <r>
    <s v="C002437"/>
    <x v="25"/>
    <s v="RSSB"/>
    <s v="Gasabo"/>
    <x v="0"/>
    <x v="0"/>
    <s v="VIP"/>
    <x v="0"/>
    <x v="6"/>
    <m/>
    <s v="4G MUP 1GB/DAY"/>
    <m/>
    <n v="77"/>
    <n v="19491.53"/>
    <n v="1500847.8099999998"/>
    <s v="Monthly"/>
    <d v="2023-11-27T00:00:00"/>
    <x v="5"/>
    <x v="3"/>
    <n v="-143"/>
    <x v="1"/>
    <x v="3"/>
    <s v="Odette Kampire"/>
    <s v="odette.kampire@rssb.rw"/>
    <s v="0788-850-079."/>
    <m/>
    <m/>
    <m/>
  </r>
  <r>
    <s v="C000925"/>
    <x v="102"/>
    <s v="Fiber Internet: ILPD Kigali"/>
    <s v="Nyarugenge"/>
    <x v="0"/>
    <x v="4"/>
    <s v="Standard"/>
    <x v="0"/>
    <x v="0"/>
    <n v="5"/>
    <s v="Fiber Broadband Internet 5Mbps"/>
    <m/>
    <n v="1"/>
    <n v="270000"/>
    <n v="270000"/>
    <s v="Monthly"/>
    <d v="2023-11-30T00:00:00"/>
    <x v="5"/>
    <x v="3"/>
    <n v="-146"/>
    <x v="1"/>
    <x v="1"/>
    <s v="Ngango Jean Baptiste"/>
    <s v="ngango@ilpd.ac.rw"/>
    <s v="0 784 216484"/>
    <m/>
    <m/>
    <m/>
  </r>
  <r>
    <s v="C003148"/>
    <x v="133"/>
    <s v="KABGAYI EYE UNIT"/>
    <s v="Muhanga"/>
    <x v="1"/>
    <x v="6"/>
    <s v="Standard"/>
    <x v="0"/>
    <x v="5"/>
    <n v="5"/>
    <s v="FIBER VPN 5MBPS"/>
    <m/>
    <n v="1"/>
    <n v="270000"/>
    <n v="270000"/>
    <s v="Monthly"/>
    <d v="2023-11-30T00:00:00"/>
    <x v="5"/>
    <x v="3"/>
    <n v="-146"/>
    <x v="1"/>
    <x v="6"/>
    <s v="NIYONZIMA Patrick"/>
    <s v="kabgeye@gmail.com"/>
    <s v="0788828397/0785412108"/>
    <m/>
    <m/>
    <m/>
  </r>
  <r>
    <s v="C003788"/>
    <x v="134"/>
    <s v="ONGOZA FCZ"/>
    <s v="Kicukiro"/>
    <x v="1"/>
    <x v="1"/>
    <s v="Standard"/>
    <x v="1"/>
    <x v="1"/>
    <m/>
    <s v="Cloud 2vCPU. 4GB RAM. 200GB Storage"/>
    <m/>
    <n v="1"/>
    <n v="53563"/>
    <n v="53563"/>
    <s v="Monthly"/>
    <d v="2023-11-30T00:00:00"/>
    <x v="5"/>
    <x v="3"/>
    <n v="-146"/>
    <x v="1"/>
    <x v="2"/>
    <s v="Aimable Rwema"/>
    <s v="arwema@gmail.com"/>
    <s v="0788-304-524"/>
    <m/>
    <m/>
    <m/>
  </r>
  <r>
    <s v="C001469"/>
    <x v="135"/>
    <s v="MOH- MAIN BRANCH"/>
    <s v="Kicukiro"/>
    <x v="0"/>
    <x v="6"/>
    <s v="Standard"/>
    <x v="0"/>
    <x v="0"/>
    <n v="50"/>
    <s v="FIBER VPN 50MBPS"/>
    <m/>
    <n v="1"/>
    <n v="1800000"/>
    <n v="1800000"/>
    <s v="Monthly"/>
    <d v="2023-11-30T00:00:00"/>
    <x v="5"/>
    <x v="3"/>
    <n v="-146"/>
    <x v="1"/>
    <x v="6"/>
    <s v="BYIRINGIRO Jean Baptiste"/>
    <s v="ict@moh.gov.rw,info@moh.gov.rw"/>
    <n v="788352228"/>
    <m/>
    <m/>
    <m/>
  </r>
  <r>
    <s v="C001469"/>
    <x v="135"/>
    <s v="MOH- MAIN BRANCH"/>
    <s v="Kicukiro"/>
    <x v="0"/>
    <x v="6"/>
    <s v="Standard"/>
    <x v="3"/>
    <x v="7"/>
    <m/>
    <s v="MSS GOLD"/>
    <m/>
    <n v="1"/>
    <n v="369325"/>
    <n v="369325"/>
    <s v="Monthly"/>
    <d v="2023-11-30T00:00:00"/>
    <x v="5"/>
    <x v="3"/>
    <n v="-146"/>
    <x v="1"/>
    <x v="6"/>
    <s v="BYIRINGIRO Jean Baptiste"/>
    <s v="ict@moh.gov.rw,info@moh.gov.rw"/>
    <n v="788352228"/>
    <m/>
    <m/>
    <m/>
  </r>
  <r>
    <s v="C001469"/>
    <x v="135"/>
    <s v="MOH- MAIN BRANCH"/>
    <s v="Kicukiro"/>
    <x v="0"/>
    <x v="6"/>
    <s v="Standard"/>
    <x v="1"/>
    <x v="10"/>
    <m/>
    <s v="VC SERVICE"/>
    <m/>
    <n v="3"/>
    <n v="774135"/>
    <n v="2322405"/>
    <s v="Monthly"/>
    <d v="2023-11-30T00:00:00"/>
    <x v="5"/>
    <x v="3"/>
    <n v="-146"/>
    <x v="1"/>
    <x v="6"/>
    <s v="BYIRINGIRO Jean Baptiste"/>
    <s v="ict@moh.gov.rw,info@moh.gov.rw"/>
    <n v="788352228"/>
    <m/>
    <m/>
    <m/>
  </r>
  <r>
    <s v="C001469"/>
    <x v="135"/>
    <s v="MOH- MAIN BRANCH"/>
    <s v="Kicukiro"/>
    <x v="0"/>
    <x v="6"/>
    <s v="Standard"/>
    <x v="0"/>
    <x v="6"/>
    <m/>
    <s v="4G ONE NETWORK 5MBPS"/>
    <m/>
    <n v="13"/>
    <n v="101694.92"/>
    <n v="1322033.96"/>
    <s v="Monthly"/>
    <d v="2023-11-30T00:00:00"/>
    <x v="5"/>
    <x v="3"/>
    <n v="-146"/>
    <x v="1"/>
    <x v="6"/>
    <s v="BYIRINGIRO Jean Baptiste"/>
    <s v="ict@moh.gov.rw,info@moh.gov.rw"/>
    <n v="788352228"/>
    <m/>
    <m/>
    <m/>
  </r>
  <r>
    <s v="C002223"/>
    <x v="136"/>
    <s v="Rwanda Agricultural Board (RAB) - HQ"/>
    <s v="Huye"/>
    <x v="0"/>
    <x v="0"/>
    <s v="Standard"/>
    <x v="0"/>
    <x v="6"/>
    <m/>
    <s v="4G MUP 10GB/DAY"/>
    <m/>
    <n v="2"/>
    <n v="100423.72881355933"/>
    <n v="200847.45762711865"/>
    <s v="Monthly"/>
    <d v="2023-11-30T00:00:00"/>
    <x v="5"/>
    <x v="3"/>
    <n v="-146"/>
    <x v="1"/>
    <x v="2"/>
    <s v="Augustin Ndayambaje"/>
    <s v="augustin.ndayambaje@rab.gov.rw"/>
    <s v="0783-199-105"/>
    <m/>
    <m/>
    <m/>
  </r>
  <r>
    <s v="C002223"/>
    <x v="136"/>
    <s v="Rwanda Agricultural Board (RAB) - HQ"/>
    <s v="Huye"/>
    <x v="0"/>
    <x v="0"/>
    <s v="Standard"/>
    <x v="0"/>
    <x v="6"/>
    <m/>
    <s v="4G MUP 8GB/DAY"/>
    <m/>
    <n v="3"/>
    <n v="77711.86440677967"/>
    <n v="233135.59322033901"/>
    <s v="Monthly"/>
    <d v="2023-11-30T00:00:00"/>
    <x v="5"/>
    <x v="3"/>
    <n v="-146"/>
    <x v="1"/>
    <x v="2"/>
    <s v="Augustin Ndayambaje"/>
    <s v="augustin.ndayambaje@rab.gov.rw"/>
    <s v="0783-199-105"/>
    <m/>
    <m/>
    <m/>
  </r>
  <r>
    <s v="C002223"/>
    <x v="136"/>
    <s v="Rwanda Agricultural Board (RAB) - HQ"/>
    <s v="Huye"/>
    <x v="0"/>
    <x v="0"/>
    <s v="Standard"/>
    <x v="0"/>
    <x v="6"/>
    <m/>
    <s v="4G MUP  1GB/DAY GOV"/>
    <m/>
    <n v="10"/>
    <n v="19491.53"/>
    <n v="194915.3"/>
    <s v="Monthly"/>
    <d v="2023-11-30T00:00:00"/>
    <x v="5"/>
    <x v="3"/>
    <n v="-146"/>
    <x v="1"/>
    <x v="2"/>
    <s v="Augustin Ndayambaje"/>
    <s v="augustin.ndayambaje@rab.gov.rw"/>
    <s v="0783-199-105"/>
    <m/>
    <m/>
    <m/>
  </r>
  <r>
    <s v="C002223"/>
    <x v="136"/>
    <s v="Rwanda Agricultural Board (RAB) - HQ"/>
    <s v="Huye"/>
    <x v="0"/>
    <x v="0"/>
    <s v="Standard"/>
    <x v="0"/>
    <x v="6"/>
    <m/>
    <s v=" 4G MUP 4GB/DAY "/>
    <m/>
    <n v="32"/>
    <n v="45338.98"/>
    <n v="1450847.36"/>
    <s v="Monthly"/>
    <d v="2023-11-30T00:00:00"/>
    <x v="5"/>
    <x v="3"/>
    <n v="-146"/>
    <x v="1"/>
    <x v="2"/>
    <s v="Augustin Ndayambaje"/>
    <s v="augustin.ndayambaje@rab.gov.rw"/>
    <s v="0783-199-105"/>
    <m/>
    <m/>
    <m/>
  </r>
  <r>
    <s v="C002263"/>
    <x v="137"/>
    <s v="Rwanda Cooperative Agency (RCA)"/>
    <s v="Musanze"/>
    <x v="0"/>
    <x v="0"/>
    <s v="Standard"/>
    <x v="0"/>
    <x v="6"/>
    <m/>
    <s v="4G MUP 1GB/DAY"/>
    <m/>
    <n v="20"/>
    <n v="19491.53"/>
    <n v="389830.6"/>
    <s v="Monthly"/>
    <d v="2023-11-30T00:00:00"/>
    <x v="5"/>
    <x v="3"/>
    <n v="-146"/>
    <x v="1"/>
    <x v="5"/>
    <s v="UWIZEYE"/>
    <s v="jfuwizeye@rca.gov.rw"/>
    <n v="788512166"/>
    <m/>
    <m/>
    <m/>
  </r>
  <r>
    <s v="C003167"/>
    <x v="138"/>
    <s v="Rwanda Finance"/>
    <s v="Nyarugenge"/>
    <x v="0"/>
    <x v="12"/>
    <s v="Standard"/>
    <x v="0"/>
    <x v="0"/>
    <n v="10"/>
    <s v="Fiber VPN 10MBPS "/>
    <m/>
    <n v="1"/>
    <n v="510000"/>
    <n v="510000"/>
    <s v="Monthly"/>
    <d v="2023-11-30T00:00:00"/>
    <x v="5"/>
    <x v="3"/>
    <n v="-146"/>
    <x v="1"/>
    <x v="5"/>
    <s v="Brice Rukirande"/>
    <s v="brice.rukirande@rfl.rw"/>
    <n v="788830909"/>
    <m/>
    <m/>
    <m/>
  </r>
  <r>
    <s v="C002788"/>
    <x v="139"/>
    <s v="TTC BYUMBA"/>
    <s v="Gicumbi"/>
    <x v="0"/>
    <x v="4"/>
    <s v="Standard"/>
    <x v="0"/>
    <x v="0"/>
    <n v="5"/>
    <s v="fiber vpn 5mbps"/>
    <m/>
    <n v="1"/>
    <n v="270000"/>
    <n v="270000"/>
    <s v="Monthly"/>
    <d v="2023-11-30T00:00:00"/>
    <x v="5"/>
    <x v="3"/>
    <n v="-146"/>
    <x v="1"/>
    <x v="4"/>
    <s v="Gervais"/>
    <s v="ntezegervais@gmail.com;delasalle@yahoo.fr;"/>
    <n v="788869439"/>
    <m/>
    <m/>
    <m/>
  </r>
  <r>
    <s v="C003120"/>
    <x v="140"/>
    <s v="UPLUS Mutual Partners Ltd."/>
    <s v="Nyarugenge"/>
    <x v="1"/>
    <x v="2"/>
    <s v="Standard"/>
    <x v="1"/>
    <x v="1"/>
    <m/>
    <s v="Cloud 4vCPU. 8GB RAM. 300GB Storage"/>
    <m/>
    <n v="1"/>
    <n v="99710"/>
    <n v="99710"/>
    <s v="Monthly"/>
    <d v="2023-11-30T00:00:00"/>
    <x v="5"/>
    <x v="3"/>
    <n v="-146"/>
    <x v="1"/>
    <x v="2"/>
    <s v="Edward Kirenga"/>
    <s v="edward@uplus.rw"/>
    <s v="0783-099-700"/>
    <m/>
    <m/>
    <m/>
  </r>
  <r>
    <s v="C000971"/>
    <x v="88"/>
    <s v="IPRC NGOMA"/>
    <s v="Ngoma"/>
    <x v="0"/>
    <x v="4"/>
    <s v="Standard"/>
    <x v="0"/>
    <x v="0"/>
    <n v="10"/>
    <s v="fiber vpn 10mbps"/>
    <m/>
    <n v="1"/>
    <n v="510000"/>
    <n v="510000"/>
    <s v="Monthly"/>
    <d v="2023-12-08T00:00:00"/>
    <x v="0"/>
    <x v="3"/>
    <n v="-154"/>
    <x v="1"/>
    <x v="4"/>
    <s v="Anaclet"/>
    <s v="info@rp.iprcngoma.ac.rw;ranaclet2012@gmail.com;bizpeter2020@gmail.com"/>
    <n v="788411507"/>
    <m/>
    <m/>
    <m/>
  </r>
  <r>
    <s v="C003113"/>
    <x v="141"/>
    <s v="HQ"/>
    <s v="Gasabo"/>
    <x v="1"/>
    <x v="4"/>
    <s v="VIP"/>
    <x v="1"/>
    <x v="5"/>
    <n v="100"/>
    <s v="FIBER VPN 100MBPS PRIV"/>
    <m/>
    <n v="1"/>
    <n v="3600000"/>
    <n v="3600000"/>
    <s v="Monthly"/>
    <d v="2023-12-09T00:00:00"/>
    <x v="0"/>
    <x v="3"/>
    <n v="-155"/>
    <x v="1"/>
    <x v="0"/>
    <s v="Chipiwa CZimbwa"/>
    <s v="czimbwa@andrew.cmu.edu "/>
    <s v="0788381032"/>
    <m/>
    <m/>
    <m/>
  </r>
  <r>
    <s v="C001440"/>
    <x v="12"/>
    <s v="VSAT: BOSSEMBELE POB BN HQ"/>
    <s v="Central Africa"/>
    <x v="0"/>
    <x v="3"/>
    <s v="VIP"/>
    <x v="1"/>
    <x v="8"/>
    <n v="6"/>
    <s v="VSAT Internet 6Mbps"/>
    <m/>
    <n v="1"/>
    <n v="5421468"/>
    <n v="5421468"/>
    <s v="Monthly"/>
    <d v="2023-12-14T00:00:00"/>
    <x v="0"/>
    <x v="3"/>
    <n v="-160"/>
    <x v="1"/>
    <x v="1"/>
    <s v="Jean de Dieu MUGAMBWA_x000a_Lt Col_x000a_Ag. H/CEC"/>
    <s v="headcec@minadef.gov.rw    "/>
    <s v="0 78 831 4513"/>
    <m/>
    <m/>
    <m/>
  </r>
  <r>
    <s v="C001440"/>
    <x v="12"/>
    <s v="VSAT: COY BOSSEMPTELE"/>
    <s v="Central Africa"/>
    <x v="0"/>
    <x v="3"/>
    <s v="VIP"/>
    <x v="1"/>
    <x v="8"/>
    <n v="6"/>
    <s v="VSAT Internet 6Mbps"/>
    <m/>
    <n v="1"/>
    <n v="5421468"/>
    <n v="5421468"/>
    <s v="Monthly"/>
    <d v="2023-12-14T00:00:00"/>
    <x v="0"/>
    <x v="3"/>
    <n v="-160"/>
    <x v="1"/>
    <x v="1"/>
    <s v="Jean de Dieu MUGAMBWA_x000a_Lt Col_x000a_Ag. H/CEC"/>
    <s v="headcec@minadef.gov.rw    "/>
    <s v="0 78 831 4513"/>
    <m/>
    <m/>
    <m/>
  </r>
  <r>
    <s v="C001440"/>
    <x v="12"/>
    <s v="VSAT: COY BIROKO POB"/>
    <s v="Central Africa"/>
    <x v="0"/>
    <x v="3"/>
    <s v="VIP"/>
    <x v="1"/>
    <x v="8"/>
    <n v="6"/>
    <s v="VSAT Internet 6Mbps"/>
    <m/>
    <n v="1"/>
    <n v="5421468"/>
    <n v="5421468"/>
    <s v="Monthly"/>
    <d v="2023-12-14T00:00:00"/>
    <x v="0"/>
    <x v="3"/>
    <n v="-160"/>
    <x v="1"/>
    <x v="1"/>
    <s v="Jean de Dieu MUGAMBWA_x000a_Lt Col_x000a_Ag. H/CEC"/>
    <s v="headcec@minadef.gov.rw    "/>
    <s v="0 78 831 4513"/>
    <m/>
    <m/>
    <m/>
  </r>
  <r>
    <s v="C004140"/>
    <x v="142"/>
    <s v="GASABO"/>
    <s v="Gasabo"/>
    <x v="0"/>
    <x v="1"/>
    <s v="Standard"/>
    <x v="0"/>
    <x v="6"/>
    <m/>
    <s v=" 4G MUP 4GB/DAY "/>
    <m/>
    <n v="2"/>
    <n v="45338.98"/>
    <n v="90677.96"/>
    <s v="Monthly"/>
    <d v="2023-12-28T00:00:00"/>
    <x v="0"/>
    <x v="3"/>
    <n v="-174"/>
    <x v="1"/>
    <x v="2"/>
    <s v="James KANAMUGIRE"/>
    <s v="james.kanamugire@raeb.gov.rw"/>
    <n v="787895937"/>
    <m/>
    <m/>
    <m/>
  </r>
  <r>
    <s v="C004141"/>
    <x v="142"/>
    <s v="GASABO"/>
    <s v="Gasabo"/>
    <x v="0"/>
    <x v="1"/>
    <s v="Standard"/>
    <x v="0"/>
    <x v="6"/>
    <m/>
    <s v="4G ONE NETWORK 5MBPS"/>
    <m/>
    <n v="2"/>
    <n v="101694.92"/>
    <n v="203389.84"/>
    <s v="Monthly"/>
    <d v="2023-12-28T00:00:00"/>
    <x v="0"/>
    <x v="3"/>
    <n v="-174"/>
    <x v="1"/>
    <x v="2"/>
    <s v="James KANAMUGIRE"/>
    <s v="james.kanamugire@raeb.gov.rw"/>
    <n v="787895937"/>
    <m/>
    <m/>
    <m/>
  </r>
  <r>
    <s v="C004095"/>
    <x v="143"/>
    <s v="Fiber VPN: VFR-BNR"/>
    <s v="Nyarugenge"/>
    <x v="1"/>
    <x v="2"/>
    <s v="Standard"/>
    <x v="0"/>
    <x v="5"/>
    <n v="2"/>
    <s v="FIBER VPN 2MBPS PRIV"/>
    <m/>
    <n v="1"/>
    <n v="145000"/>
    <n v="145000"/>
    <s v="Monthly"/>
    <d v="2023-12-30T00:00:00"/>
    <x v="0"/>
    <x v="3"/>
    <n v="-176"/>
    <x v="1"/>
    <x v="1"/>
    <s v="Rumongi Charles"/>
    <s v="crumongi@vfcrwanda.rw"/>
    <s v="0 788 894 696"/>
    <m/>
    <m/>
    <m/>
  </r>
  <r>
    <s v="C000400"/>
    <x v="144"/>
    <s v="HQ"/>
    <s v="Gasabo"/>
    <x v="0"/>
    <x v="0"/>
    <s v="Standard"/>
    <x v="0"/>
    <x v="6"/>
    <m/>
    <s v="4G ONE NETWORK 5MBPS"/>
    <m/>
    <n v="1"/>
    <n v="101694.92"/>
    <n v="101694.92"/>
    <s v="Monthly"/>
    <d v="2023-12-31T00:00:00"/>
    <x v="0"/>
    <x v="3"/>
    <n v="-177"/>
    <x v="1"/>
    <x v="5"/>
    <s v="robert"/>
    <s v="robert.habinshuti@cheno.gov.rw"/>
    <n v="788674467"/>
    <m/>
    <m/>
    <m/>
  </r>
  <r>
    <s v="C000400"/>
    <x v="144"/>
    <s v="HQ"/>
    <s v="Gasabo"/>
    <x v="0"/>
    <x v="0"/>
    <s v="Standard"/>
    <x v="0"/>
    <x v="6"/>
    <m/>
    <s v="4G MUP 2GB/DAY"/>
    <m/>
    <n v="1"/>
    <n v="28305.084745762713"/>
    <n v="28305.084745762713"/>
    <s v="Monthly"/>
    <d v="2023-12-31T00:00:00"/>
    <x v="0"/>
    <x v="3"/>
    <n v="-177"/>
    <x v="1"/>
    <x v="5"/>
    <s v="robert"/>
    <s v="robert.habinshuti@cheno.gov.rw"/>
    <n v="788674467"/>
    <m/>
    <m/>
    <m/>
  </r>
  <r>
    <s v="C000400"/>
    <x v="144"/>
    <s v="HQ"/>
    <s v="Gasabo"/>
    <x v="0"/>
    <x v="0"/>
    <s v="Standard"/>
    <x v="0"/>
    <x v="6"/>
    <m/>
    <s v="4G MUP 1GB/DAY"/>
    <m/>
    <n v="6"/>
    <n v="19491.53"/>
    <n v="116949.18"/>
    <s v="Monthly"/>
    <d v="2023-12-31T00:00:00"/>
    <x v="0"/>
    <x v="3"/>
    <n v="-177"/>
    <x v="1"/>
    <x v="5"/>
    <s v="robert"/>
    <s v="robert.habinshuti@cheno.gov.rw"/>
    <n v="788674467"/>
    <m/>
    <m/>
    <m/>
  </r>
  <r>
    <s v="C000401"/>
    <x v="145"/>
    <s v="Fiber VPN Service: Embassy HQ"/>
    <s v="Nyarugenge"/>
    <x v="0"/>
    <x v="13"/>
    <s v="Standard"/>
    <x v="0"/>
    <x v="0"/>
    <n v="20"/>
    <s v="Fiber Broadband Internet 20Mbps"/>
    <m/>
    <n v="1"/>
    <n v="900000"/>
    <n v="900000"/>
    <s v="Monthly"/>
    <d v="2023-12-31T00:00:00"/>
    <x v="0"/>
    <x v="3"/>
    <n v="-177"/>
    <x v="1"/>
    <x v="1"/>
    <s v="Ingabire Alphonse"/>
    <s v="al4nse@gmail.com"/>
    <s v="0 785 864 191 "/>
    <m/>
    <m/>
    <m/>
  </r>
  <r>
    <s v="C000401"/>
    <x v="145"/>
    <s v="China Embassy 4G Service"/>
    <s v="Nyarugenge"/>
    <x v="0"/>
    <x v="13"/>
    <s v="Standard"/>
    <x v="0"/>
    <x v="6"/>
    <m/>
    <s v="4G ONE NETWORK 3MBPS"/>
    <m/>
    <n v="10"/>
    <n v="81355.932203000004"/>
    <n v="813559.32203000004"/>
    <s v="Monthly"/>
    <d v="2023-12-31T00:00:00"/>
    <x v="0"/>
    <x v="3"/>
    <n v="-177"/>
    <x v="1"/>
    <x v="1"/>
    <s v="Ingabire Alphonse"/>
    <s v="al4nse@gmail.com"/>
    <s v="0 785 864 191 "/>
    <m/>
    <m/>
    <m/>
  </r>
  <r>
    <s v="C000446"/>
    <x v="146"/>
    <s v="COLLEGE SAINT ANDRE "/>
    <s v="Nyarugenge"/>
    <x v="0"/>
    <x v="4"/>
    <s v="Standard"/>
    <x v="0"/>
    <x v="0"/>
    <n v="3"/>
    <s v="fiber vpn 3mbps"/>
    <m/>
    <n v="1"/>
    <n v="180000"/>
    <n v="180000"/>
    <s v="Monthly"/>
    <d v="2023-12-31T00:00:00"/>
    <x v="0"/>
    <x v="3"/>
    <n v="-177"/>
    <x v="1"/>
    <x v="4"/>
    <s v="Faustin"/>
    <s v="faustin.niyitegeka@gmail.com/nfaustinus@gmail.com"/>
    <n v="788600976"/>
    <m/>
    <m/>
    <m/>
  </r>
  <r>
    <s v="C000605"/>
    <x v="147"/>
    <s v="ENS africa"/>
    <s v="Gasabo"/>
    <x v="1"/>
    <x v="2"/>
    <s v="Standard"/>
    <x v="1"/>
    <x v="5"/>
    <n v="10"/>
    <s v="FIBER INTERNET 10MBPS"/>
    <m/>
    <n v="1"/>
    <n v="745500"/>
    <n v="745500"/>
    <s v="Monthly"/>
    <d v="2023-12-31T00:00:00"/>
    <x v="0"/>
    <x v="3"/>
    <n v="-177"/>
    <x v="1"/>
    <x v="2"/>
    <s v="Sylvie Senga"/>
    <s v="ssenga@ensafrica.com"/>
    <s v="0788-746-661"/>
    <m/>
    <m/>
    <m/>
  </r>
  <r>
    <s v="C003707"/>
    <x v="94"/>
    <s v="FONERWA GCF PROJECT"/>
    <s v="Ngororero"/>
    <x v="0"/>
    <x v="7"/>
    <s v="Standard"/>
    <x v="0"/>
    <x v="6"/>
    <m/>
    <s v="4G MUP 1GB/DAY"/>
    <m/>
    <n v="6"/>
    <n v="19491.53"/>
    <n v="116949.18"/>
    <s v="Monthly"/>
    <d v="2023-12-31T00:00:00"/>
    <x v="0"/>
    <x v="3"/>
    <n v="-177"/>
    <x v="1"/>
    <x v="7"/>
    <s v="Sylvain KANANI"/>
    <s v="s.kanani@fonerwa.org"/>
    <n v="788807096"/>
    <m/>
    <m/>
    <m/>
  </r>
  <r>
    <s v="A0000734"/>
    <x v="148"/>
    <s v="HQ"/>
    <s v="Ngoma"/>
    <x v="0"/>
    <x v="0"/>
    <s v="VIP"/>
    <x v="0"/>
    <x v="6"/>
    <m/>
    <s v="4G MUP 1GB/DAY"/>
    <m/>
    <n v="1"/>
    <n v="19491.53"/>
    <n v="19491.53"/>
    <s v="Monthly"/>
    <d v="2023-12-31T00:00:00"/>
    <x v="0"/>
    <x v="3"/>
    <n v="-177"/>
    <x v="1"/>
    <x v="3"/>
    <s v="Thomas"/>
    <s v="izamareren@yahoo.com"/>
    <s v="0788-424-094"/>
    <m/>
    <m/>
    <m/>
  </r>
  <r>
    <s v="C001467"/>
    <x v="148"/>
    <s v="Ministry of Environment"/>
    <s v="Nyarugenge"/>
    <x v="0"/>
    <x v="0"/>
    <s v="VIP"/>
    <x v="0"/>
    <x v="6"/>
    <m/>
    <s v="4G MUP 1GB/DAY"/>
    <m/>
    <n v="2"/>
    <n v="19491.53"/>
    <n v="38983.06"/>
    <s v="Monthly"/>
    <d v="2023-12-31T00:00:00"/>
    <x v="0"/>
    <x v="3"/>
    <n v="-177"/>
    <x v="1"/>
    <x v="5"/>
    <s v="Jeanne Mukamana"/>
    <s v="eharerimana@environment.gov.rw"/>
    <n v="788313458"/>
    <m/>
    <m/>
    <m/>
  </r>
  <r>
    <s v="C003125"/>
    <x v="149"/>
    <s v="Residence"/>
    <s v="Gasabo"/>
    <x v="1"/>
    <x v="14"/>
    <s v="Standard"/>
    <x v="0"/>
    <x v="6"/>
    <m/>
    <s v="4G Home Broadband up to 15MBPS"/>
    <m/>
    <n v="1"/>
    <n v="66101.694915254237"/>
    <n v="66101.694915254237"/>
    <s v="Monthly"/>
    <d v="2023-12-31T00:00:00"/>
    <x v="0"/>
    <x v="3"/>
    <n v="-177"/>
    <x v="1"/>
    <x v="7"/>
    <s v="Lucie Tuyishime"/>
    <s v="lucietuyish@gmail.com"/>
    <s v="0786589977"/>
    <m/>
    <m/>
    <m/>
  </r>
  <r>
    <s v="C002298"/>
    <x v="150"/>
    <s v="GSNDP CYANIKA"/>
    <s v="Nyamasheke"/>
    <x v="0"/>
    <x v="4"/>
    <s v="Standard"/>
    <x v="0"/>
    <x v="0"/>
    <n v="3"/>
    <s v="fiber vpn 3mbps"/>
    <m/>
    <n v="1"/>
    <n v="180000"/>
    <n v="180000"/>
    <s v="Monthly"/>
    <d v="2023-12-31T00:00:00"/>
    <x v="0"/>
    <x v="3"/>
    <n v="-177"/>
    <x v="1"/>
    <x v="4"/>
    <s v="Kabayiza"/>
    <s v="gsndpcyanika2010@yahoo.fr"/>
    <s v="0788611099/078"/>
    <m/>
    <m/>
    <m/>
  </r>
  <r>
    <s v="C000971"/>
    <x v="88"/>
    <s v="IPRC EAST"/>
    <s v="Ngoma"/>
    <x v="0"/>
    <x v="4"/>
    <s v="Standard"/>
    <x v="3"/>
    <x v="7"/>
    <m/>
    <s v="MSS-Secure Browsing"/>
    <m/>
    <n v="1"/>
    <n v="203266.8"/>
    <n v="203266.8"/>
    <s v="Monthly"/>
    <d v="2023-12-31T00:00:00"/>
    <x v="0"/>
    <x v="3"/>
    <n v="-177"/>
    <x v="1"/>
    <x v="4"/>
    <s v="Anaclet"/>
    <s v="info@rp.iprcngoma.ac.rw;ranaclet2012@gmail.com;bizpeter2020@gmail.com"/>
    <n v="788411508"/>
    <m/>
    <m/>
    <m/>
  </r>
  <r>
    <s v="C000971"/>
    <x v="88"/>
    <s v="IPRC EAST"/>
    <s v="Ngoma"/>
    <x v="0"/>
    <x v="4"/>
    <s v="Standard"/>
    <x v="0"/>
    <x v="6"/>
    <m/>
    <s v="4G MUP 2GB/DAY"/>
    <m/>
    <n v="2"/>
    <n v="28305.084745762713"/>
    <n v="56610.169491525427"/>
    <s v="Monthly"/>
    <d v="2023-12-31T00:00:00"/>
    <x v="0"/>
    <x v="3"/>
    <n v="-177"/>
    <x v="1"/>
    <x v="4"/>
    <s v="Anaclet"/>
    <s v="info@rp.iprcngoma.ac.rw;ranaclet2012@gmail.com;bizpeter2020@gmail.com"/>
    <n v="788411508"/>
    <m/>
    <m/>
    <m/>
  </r>
  <r>
    <s v="C001389"/>
    <x v="151"/>
    <s v="Fiber Service: Migeprof HQ"/>
    <s v="Gasabo"/>
    <x v="0"/>
    <x v="0"/>
    <s v="Standard"/>
    <x v="0"/>
    <x v="0"/>
    <n v="15"/>
    <s v="Fiber Broadband Internet 15Mbps"/>
    <m/>
    <n v="1"/>
    <n v="720000"/>
    <n v="720000"/>
    <s v="Monthly"/>
    <d v="2023-12-31T00:00:00"/>
    <x v="0"/>
    <x v="3"/>
    <n v="-177"/>
    <x v="1"/>
    <x v="1"/>
    <s v="Claire Uwamahoro"/>
    <s v="cuwamahoro@migeprof.gov.rw"/>
    <s v="0 788 614734 "/>
    <m/>
    <m/>
    <m/>
  </r>
  <r>
    <s v="C001389"/>
    <x v="151"/>
    <s v="4G"/>
    <s v="Gasabo"/>
    <x v="0"/>
    <x v="0"/>
    <s v="Standard"/>
    <x v="0"/>
    <x v="6"/>
    <m/>
    <s v="4G MUP 2GB/DAY"/>
    <m/>
    <n v="1"/>
    <n v="28305.08"/>
    <n v="28305.08"/>
    <s v="Monthly"/>
    <d v="2023-12-31T00:00:00"/>
    <x v="0"/>
    <x v="3"/>
    <n v="-177"/>
    <x v="1"/>
    <x v="1"/>
    <s v="Claire Uwamahoro"/>
    <s v="cuwamahoro@migeprof.gov.rw"/>
    <s v="0 788 614734 "/>
    <m/>
    <m/>
    <m/>
  </r>
  <r>
    <s v="C001389"/>
    <x v="151"/>
    <s v="MSS Gold  "/>
    <s v="Gasabo"/>
    <x v="0"/>
    <x v="0"/>
    <s v="Standard"/>
    <x v="1"/>
    <x v="7"/>
    <m/>
    <s v="MSS Gold Package"/>
    <m/>
    <n v="1"/>
    <n v="369325"/>
    <n v="369325"/>
    <s v="Monthly"/>
    <d v="2023-12-31T00:00:00"/>
    <x v="0"/>
    <x v="3"/>
    <n v="-177"/>
    <x v="1"/>
    <x v="1"/>
    <s v="Claire Uwamahoro"/>
    <s v="cuwamahoro@migeprof.gov.rw"/>
    <s v="0 788 614734 "/>
    <m/>
    <m/>
    <m/>
  </r>
  <r>
    <s v="C001467"/>
    <x v="18"/>
    <s v="Ministry of Environment  SPIU"/>
    <s v="Nyarugenge"/>
    <x v="0"/>
    <x v="0"/>
    <s v="Standard"/>
    <x v="0"/>
    <x v="6"/>
    <m/>
    <s v="4G MUP 2GB/DAY"/>
    <m/>
    <n v="30"/>
    <n v="28305.08"/>
    <n v="849152.4"/>
    <s v="Monthly"/>
    <d v="2023-12-31T00:00:00"/>
    <x v="0"/>
    <x v="3"/>
    <n v="-177"/>
    <x v="1"/>
    <x v="5"/>
    <s v="Jeanne Mukamana"/>
    <s v="eharerimana@environment.gov.rw"/>
    <n v="788313458"/>
    <m/>
    <m/>
    <m/>
  </r>
  <r>
    <s v="C000043"/>
    <x v="152"/>
    <s v="Fiber VPN: AOS - RSSB 1"/>
    <s v="Nyarugenge"/>
    <x v="1"/>
    <x v="1"/>
    <s v="Standard"/>
    <x v="0"/>
    <x v="5"/>
    <n v="10"/>
    <s v="Fiber VPN 10Mbps"/>
    <m/>
    <n v="1"/>
    <n v="510000"/>
    <n v="510000"/>
    <s v="Monthly"/>
    <d v="2023-12-31T00:00:00"/>
    <x v="0"/>
    <x v="3"/>
    <n v="-177"/>
    <x v="1"/>
    <x v="1"/>
    <s v="Brice Kayihura"/>
    <s v="brice.kayihura@aos.rw "/>
    <s v="0788 318892"/>
    <m/>
    <m/>
    <m/>
  </r>
  <r>
    <s v="C000043"/>
    <x v="152"/>
    <s v="Fiber VPN: AOS - RSSB 2"/>
    <s v="Nyarugenge"/>
    <x v="1"/>
    <x v="1"/>
    <s v="Standard"/>
    <x v="0"/>
    <x v="5"/>
    <n v="10"/>
    <s v="Fiber VPN 10Mbps"/>
    <m/>
    <n v="1"/>
    <n v="510000"/>
    <n v="510000"/>
    <s v="Monthly"/>
    <d v="2023-12-31T00:00:00"/>
    <x v="0"/>
    <x v="3"/>
    <n v="-177"/>
    <x v="1"/>
    <x v="1"/>
    <s v="Brice Kayihura"/>
    <s v="brice.kayihura@aos.rw "/>
    <s v="0788 318892"/>
    <m/>
    <m/>
    <m/>
  </r>
  <r>
    <s v="C000043"/>
    <x v="152"/>
    <s v="Fiber VPN: AOS TH - RPPA HQ"/>
    <s v="Gasabo"/>
    <x v="1"/>
    <x v="1"/>
    <s v="Standard"/>
    <x v="0"/>
    <x v="5"/>
    <n v="10"/>
    <s v="Fiber VPN 30Mbps"/>
    <m/>
    <n v="1"/>
    <n v="1260000"/>
    <n v="1260000"/>
    <s v="Monthly"/>
    <d v="2023-12-31T00:00:00"/>
    <x v="0"/>
    <x v="3"/>
    <n v="-177"/>
    <x v="1"/>
    <x v="1"/>
    <s v="Brice Kayihura"/>
    <s v="brice.kayihura@aos.rw "/>
    <s v="0788 318892"/>
    <m/>
    <m/>
    <m/>
  </r>
  <r>
    <s v="C000043"/>
    <x v="152"/>
    <s v="Fiber VPN: AOS TH - AOS DR Site"/>
    <s v="Gasabo"/>
    <x v="1"/>
    <x v="1"/>
    <s v="Standard"/>
    <x v="0"/>
    <x v="5"/>
    <n v="10"/>
    <s v="Fiber VPN 10Mbps"/>
    <m/>
    <n v="1"/>
    <n v="510000"/>
    <n v="510000"/>
    <s v="Monthly"/>
    <d v="2023-12-31T00:00:00"/>
    <x v="0"/>
    <x v="3"/>
    <n v="-177"/>
    <x v="1"/>
    <x v="1"/>
    <s v="Brice Kayihura"/>
    <s v="brice.kayihura@aos.rw "/>
    <s v="0788 318892"/>
    <m/>
    <m/>
    <m/>
  </r>
  <r>
    <s v="C001601"/>
    <x v="153"/>
    <s v="Musanze Polytechnic"/>
    <s v="Musanze"/>
    <x v="0"/>
    <x v="4"/>
    <s v="Standard"/>
    <x v="0"/>
    <x v="6"/>
    <m/>
    <s v="MUP 8GB/Day"/>
    <m/>
    <n v="4"/>
    <n v="310847"/>
    <n v="1243388"/>
    <s v="Monthly"/>
    <d v="2023-12-31T00:00:00"/>
    <x v="0"/>
    <x v="3"/>
    <n v="-177"/>
    <x v="1"/>
    <x v="4"/>
    <s v="Hodari"/>
    <s v="ahodari@iprcmusanze.rp.ac.rw;info@iprcmusanze.rp.ac.rw;"/>
    <n v="788689002"/>
    <m/>
    <m/>
    <m/>
  </r>
  <r>
    <s v="C000043"/>
    <x v="152"/>
    <s v="Fiber VPN: AOS DR Site - RPPA HQ"/>
    <s v="Gasabo"/>
    <x v="1"/>
    <x v="1"/>
    <s v="Standard"/>
    <x v="0"/>
    <x v="5"/>
    <n v="10"/>
    <s v="Fiber VPN 10Mbps"/>
    <m/>
    <n v="1"/>
    <n v="510000"/>
    <n v="510000"/>
    <s v="Monthly"/>
    <d v="2023-12-31T00:00:00"/>
    <x v="0"/>
    <x v="3"/>
    <n v="-177"/>
    <x v="1"/>
    <x v="1"/>
    <s v="Brice Kayihura"/>
    <s v="brice.kayihura@aos.rw "/>
    <s v="0788 318892"/>
    <m/>
    <m/>
    <m/>
  </r>
  <r>
    <s v="C000043"/>
    <x v="152"/>
    <s v="Fiber VPN: AOS - KTRN BBR2"/>
    <s v="Gasabo"/>
    <x v="1"/>
    <x v="1"/>
    <s v="Standard"/>
    <x v="0"/>
    <x v="5"/>
    <n v="50"/>
    <s v="Fiber VPN 50Mbps"/>
    <m/>
    <n v="1"/>
    <n v="1800000"/>
    <n v="1800000"/>
    <s v="Monthly"/>
    <d v="2023-12-31T00:00:00"/>
    <x v="0"/>
    <x v="3"/>
    <n v="-177"/>
    <x v="1"/>
    <x v="1"/>
    <s v="Brice Kayihura"/>
    <s v="brice.kayihura@aos.rw "/>
    <s v="0788 318892"/>
    <m/>
    <m/>
    <m/>
  </r>
  <r>
    <s v="C002746"/>
    <x v="154"/>
    <s v="Fiber Internet: Techplus Link+Akamai local content provision"/>
    <s v="Rusizi"/>
    <x v="1"/>
    <x v="1"/>
    <s v="Standard"/>
    <x v="1"/>
    <x v="5"/>
    <n v="100"/>
    <s v="Fiber Broadband Internet 100Mbps"/>
    <m/>
    <n v="1"/>
    <n v="5414500"/>
    <n v="5414500"/>
    <s v="Monthly"/>
    <d v="2023-12-31T00:00:00"/>
    <x v="0"/>
    <x v="3"/>
    <n v="-177"/>
    <x v="1"/>
    <x v="1"/>
    <s v="Elie Mabano"/>
    <s v="admin@techplusys.com "/>
    <s v="00 243 815414 725"/>
    <m/>
    <m/>
    <m/>
  </r>
  <r>
    <s v="C002589"/>
    <x v="122"/>
    <s v="SHYIRA-MAIN BRANCH"/>
    <s v="Nyabihu"/>
    <x v="0"/>
    <x v="6"/>
    <s v="Standard"/>
    <x v="1"/>
    <x v="0"/>
    <n v="5"/>
    <s v="FIBER VPN 5MBPS"/>
    <m/>
    <n v="1"/>
    <n v="270000"/>
    <n v="270000"/>
    <s v="Monthly"/>
    <d v="2023-12-31T00:00:00"/>
    <x v="0"/>
    <x v="3"/>
    <n v="-177"/>
    <x v="1"/>
    <x v="6"/>
    <s v="MUKAMAHORO Roselyne"/>
    <s v="mukamahoro07@gmail.com"/>
    <n v="788230183"/>
    <m/>
    <m/>
    <m/>
  </r>
  <r>
    <s v="C003095"/>
    <x v="155"/>
    <s v="Fiber Service: Mininter HQ"/>
    <s v="Gasabo"/>
    <x v="0"/>
    <x v="0"/>
    <s v="Standard"/>
    <x v="0"/>
    <x v="0"/>
    <n v="30"/>
    <s v="FIBER INTERNET 50MBPS GOV"/>
    <m/>
    <n v="1"/>
    <n v="1800000"/>
    <n v="1800000"/>
    <s v="Monthly"/>
    <d v="2024-01-16T00:00:00"/>
    <x v="6"/>
    <x v="4"/>
    <n v="-193"/>
    <x v="1"/>
    <x v="1"/>
    <s v="JMV Mbonyumuvunyi"/>
    <s v="jmv.mbonyumuvunyi@mininter.gov.rw"/>
    <s v="0 788 432 462 "/>
    <m/>
    <m/>
    <m/>
  </r>
  <r>
    <s v="C003095"/>
    <x v="155"/>
    <s v="MSS Gold  "/>
    <s v="Gasabo"/>
    <x v="0"/>
    <x v="0"/>
    <s v="Standard"/>
    <x v="1"/>
    <x v="7"/>
    <m/>
    <s v="MSS Gold Package"/>
    <m/>
    <n v="1"/>
    <n v="5414500"/>
    <n v="5414500"/>
    <s v="Monthly"/>
    <d v="2024-01-16T00:00:00"/>
    <x v="6"/>
    <x v="4"/>
    <n v="-193"/>
    <x v="1"/>
    <x v="1"/>
    <s v="JMV Mbonyumuvunyi"/>
    <s v="jmv.mbonyumuvunyi@mininter.gov.rw"/>
    <s v="0 788 432 462 "/>
    <m/>
    <m/>
    <m/>
  </r>
  <r>
    <s v="C003095"/>
    <x v="155"/>
    <s v="VOIP Service"/>
    <s v="Gasabo"/>
    <x v="0"/>
    <x v="0"/>
    <s v="Standard"/>
    <x v="1"/>
    <x v="3"/>
    <m/>
    <s v="VoIP PHONES 40"/>
    <m/>
    <n v="1"/>
    <n v="78000"/>
    <n v="78000"/>
    <s v="Monthly"/>
    <d v="2024-01-16T00:00:00"/>
    <x v="6"/>
    <x v="4"/>
    <n v="-193"/>
    <x v="1"/>
    <x v="1"/>
    <s v="JMV Mbonyumuvunyi"/>
    <s v="jmv.mbonyumuvunyi@mininter.gov.rw"/>
    <s v="0 788 432 462 "/>
    <m/>
    <m/>
    <m/>
  </r>
  <r>
    <s v="C004318"/>
    <x v="156"/>
    <s v="Kivu Choice"/>
    <s v="Gisagara"/>
    <x v="1"/>
    <x v="14"/>
    <s v="Standard"/>
    <x v="0"/>
    <x v="5"/>
    <n v="4"/>
    <s v="FIBER INTERNET 4MBPS"/>
    <m/>
    <n v="1"/>
    <n v="397000"/>
    <n v="397000"/>
    <s v="Monthly"/>
    <d v="2024-01-17T00:00:00"/>
    <x v="6"/>
    <x v="4"/>
    <n v="-194"/>
    <x v="1"/>
    <x v="2"/>
    <s v="David Hategekimana."/>
    <s v="David Hategekimana &lt;davidh@kivuchoice.com&gt;"/>
    <s v="0791-431-544"/>
    <m/>
    <m/>
    <m/>
  </r>
  <r>
    <s v="C004092"/>
    <x v="157"/>
    <s v="Cloud Computing: SEEGH "/>
    <s v="Kicukiro"/>
    <x v="1"/>
    <x v="2"/>
    <s v="Standard"/>
    <x v="1"/>
    <x v="1"/>
    <m/>
    <s v="Cloud Computing: Package 2"/>
    <m/>
    <n v="1"/>
    <n v="14451"/>
    <n v="14451"/>
    <s v="Monthly"/>
    <d v="2024-01-17T00:00:00"/>
    <x v="6"/>
    <x v="4"/>
    <n v="-194"/>
    <x v="1"/>
    <x v="1"/>
    <s v="Muhawenimana Sylvain"/>
    <s v="esy3@gmail.com"/>
    <s v="0 788 473 847"/>
    <m/>
    <m/>
    <m/>
  </r>
  <r>
    <s v="C003095"/>
    <x v="155"/>
    <s v="MININTER 4G Service"/>
    <s v="Gasabo"/>
    <x v="0"/>
    <x v="0"/>
    <s v="Standard"/>
    <x v="0"/>
    <x v="6"/>
    <m/>
    <s v="4G MUP 2GB/DAY"/>
    <m/>
    <n v="29"/>
    <n v="28305.084746"/>
    <n v="820847.45763399999"/>
    <s v="Monthly"/>
    <d v="2024-01-18T00:00:00"/>
    <x v="6"/>
    <x v="4"/>
    <n v="-195"/>
    <x v="1"/>
    <x v="1"/>
    <s v="JMV Mbonyumuvunyi"/>
    <s v="jmv.mbonyumuvunyi@mininter.gov.rw"/>
    <s v="0 788 432 462 "/>
    <m/>
    <m/>
    <m/>
  </r>
  <r>
    <s v="C001439"/>
    <x v="12"/>
    <s v="MOD Kimihurura"/>
    <s v="Gasabo"/>
    <x v="0"/>
    <x v="3"/>
    <s v="VIP"/>
    <x v="0"/>
    <x v="6"/>
    <m/>
    <s v="BSC VIP-Visitors 200GB Basic Unlimited(POST)"/>
    <m/>
    <n v="1"/>
    <n v="531660"/>
    <n v="531660"/>
    <s v="Monthly"/>
    <d v="2024-01-21T00:00:00"/>
    <x v="6"/>
    <x v="4"/>
    <n v="-198"/>
    <x v="1"/>
    <x v="4"/>
    <s v="Neza"/>
    <s v="dirinfosyscec@minadef.gov.rw"/>
    <n v="788315241"/>
    <m/>
    <m/>
    <m/>
  </r>
  <r>
    <s v="C001439"/>
    <x v="12"/>
    <s v="MOD Kimihurura"/>
    <s v="Gasabo"/>
    <x v="0"/>
    <x v="3"/>
    <s v="VIP"/>
    <x v="0"/>
    <x v="6"/>
    <m/>
    <s v="4G ONE NETWORK 1GB/DAY GOV"/>
    <m/>
    <n v="1"/>
    <n v="19492"/>
    <n v="19492"/>
    <s v="Monthly"/>
    <d v="2024-01-21T00:00:00"/>
    <x v="6"/>
    <x v="4"/>
    <n v="-198"/>
    <x v="1"/>
    <x v="4"/>
    <s v="Neza"/>
    <s v="dirinfosyscec@minadef.gov.rw"/>
    <n v="788315241"/>
    <m/>
    <m/>
    <m/>
  </r>
  <r>
    <s v="C001439"/>
    <x v="12"/>
    <s v="MOD Kimihurura"/>
    <s v="Gasabo"/>
    <x v="0"/>
    <x v="3"/>
    <s v="VIP"/>
    <x v="0"/>
    <x v="6"/>
    <m/>
    <s v="4G ONE NETWORK 2GB/DAY GOV"/>
    <m/>
    <n v="2"/>
    <n v="28305"/>
    <n v="56610"/>
    <s v="Monthly"/>
    <d v="2024-01-21T00:00:00"/>
    <x v="6"/>
    <x v="4"/>
    <n v="-198"/>
    <x v="1"/>
    <x v="4"/>
    <s v="Neza"/>
    <s v="dirinfosyscec@minadef.gov.rw"/>
    <n v="788315241"/>
    <m/>
    <m/>
    <m/>
  </r>
  <r>
    <s v="C001439"/>
    <x v="12"/>
    <s v="MOD Kimihurura"/>
    <s v="Gasabo"/>
    <x v="0"/>
    <x v="3"/>
    <s v="VIP"/>
    <x v="0"/>
    <x v="6"/>
    <m/>
    <s v="4G ONE NETWORK 3MBPS"/>
    <m/>
    <n v="3"/>
    <n v="81355.929999999993"/>
    <n v="244067.78999999998"/>
    <s v="Monthly"/>
    <d v="2024-01-21T00:00:00"/>
    <x v="6"/>
    <x v="4"/>
    <n v="-198"/>
    <x v="1"/>
    <x v="4"/>
    <s v="Neza"/>
    <s v="dirinfosyscec@minadef.gov.rw"/>
    <n v="788315241"/>
    <m/>
    <m/>
    <m/>
  </r>
  <r>
    <s v="C001439"/>
    <x v="12"/>
    <s v="MOD Kimihurura"/>
    <s v="Gasabo"/>
    <x v="0"/>
    <x v="3"/>
    <s v="VIP"/>
    <x v="0"/>
    <x v="6"/>
    <m/>
    <s v="4G MUP 10GB/DAY"/>
    <m/>
    <n v="5"/>
    <n v="107727"/>
    <n v="538635"/>
    <s v="Monthly"/>
    <d v="2024-01-21T00:00:00"/>
    <x v="6"/>
    <x v="4"/>
    <n v="-198"/>
    <x v="1"/>
    <x v="4"/>
    <s v="Neza"/>
    <s v="dirinfosyscec@minadef.gov.rw"/>
    <n v="788315241"/>
    <m/>
    <m/>
    <m/>
  </r>
  <r>
    <s v="C001439"/>
    <x v="12"/>
    <s v="MOD Kimihurura"/>
    <s v="Gasabo"/>
    <x v="0"/>
    <x v="3"/>
    <s v="VIP"/>
    <x v="0"/>
    <x v="6"/>
    <m/>
    <s v="4G ONE NETWORK 8GB/DAY GOV"/>
    <m/>
    <n v="51"/>
    <n v="77712"/>
    <n v="3963312"/>
    <s v="Monthly"/>
    <d v="2024-01-21T00:00:00"/>
    <x v="6"/>
    <x v="4"/>
    <n v="-198"/>
    <x v="1"/>
    <x v="4"/>
    <s v="Neza"/>
    <s v="dirinfosyscec@minadef.gov.rw"/>
    <n v="788315241"/>
    <m/>
    <m/>
    <m/>
  </r>
  <r>
    <s v="C001439"/>
    <x v="12"/>
    <s v="MOD Kimihurura"/>
    <s v="Gasabo"/>
    <x v="0"/>
    <x v="3"/>
    <s v="VIP"/>
    <x v="0"/>
    <x v="6"/>
    <m/>
    <s v="4G ONE NETWORK 5MBPS"/>
    <m/>
    <n v="68"/>
    <n v="101695"/>
    <n v="6915260"/>
    <s v="Monthly"/>
    <d v="2024-01-21T00:00:00"/>
    <x v="6"/>
    <x v="4"/>
    <n v="-198"/>
    <x v="1"/>
    <x v="4"/>
    <s v="Neza"/>
    <s v="dirinfosyscec@minadef.gov.rw"/>
    <n v="788315241"/>
    <m/>
    <m/>
    <m/>
  </r>
  <r>
    <s v="C001439"/>
    <x v="12"/>
    <s v="MOD Kimihurura"/>
    <s v="Gasabo"/>
    <x v="0"/>
    <x v="3"/>
    <s v="VIP"/>
    <x v="0"/>
    <x v="6"/>
    <m/>
    <s v="4G ONE NETWORK 4GB/DAY GOV"/>
    <m/>
    <n v="176"/>
    <n v="45339"/>
    <n v="7979664"/>
    <s v="Monthly"/>
    <d v="2024-01-21T00:00:00"/>
    <x v="6"/>
    <x v="4"/>
    <n v="-198"/>
    <x v="1"/>
    <x v="4"/>
    <s v="Neza"/>
    <s v="dirinfosyscec@minadef.gov.rw"/>
    <n v="788315241"/>
    <m/>
    <m/>
    <m/>
  </r>
  <r>
    <s v="C003180"/>
    <x v="1"/>
    <s v="HQ"/>
    <s v="Gasabo"/>
    <x v="1"/>
    <x v="1"/>
    <s v="Standard"/>
    <x v="1"/>
    <x v="1"/>
    <m/>
    <s v="FULL RACK"/>
    <m/>
    <n v="1"/>
    <n v="2100000"/>
    <n v="2100000"/>
    <s v="Monthly"/>
    <d v="2024-01-23T00:00:00"/>
    <x v="6"/>
    <x v="4"/>
    <n v="-200"/>
    <x v="1"/>
    <x v="0"/>
    <s v="Patrick Manzi"/>
    <s v="patrick.manzi@gva.africa "/>
    <s v="0788422925"/>
    <m/>
    <m/>
    <m/>
  </r>
  <r>
    <s v="C000366"/>
    <x v="158"/>
    <s v="Fiber Internet: Save Campus"/>
    <s v="Huye"/>
    <x v="0"/>
    <x v="4"/>
    <s v="Standard"/>
    <x v="0"/>
    <x v="0"/>
    <n v="10"/>
    <s v="Fiber Broadband Internet 10Mbps"/>
    <m/>
    <n v="1"/>
    <n v="720000"/>
    <n v="720000"/>
    <s v="Monthly"/>
    <d v="2024-01-24T00:00:00"/>
    <x v="6"/>
    <x v="4"/>
    <n v="-201"/>
    <x v="1"/>
    <x v="1"/>
    <s v="Straton Karekezi"/>
    <s v="kstraton1964@gmail.com"/>
    <s v="0 788 307 098 "/>
    <m/>
    <m/>
    <m/>
  </r>
  <r>
    <s v="C000366"/>
    <x v="158"/>
    <s v="Fiber Internet: Taba Campus"/>
    <s v="Huye"/>
    <x v="0"/>
    <x v="4"/>
    <s v="Standard"/>
    <x v="0"/>
    <x v="0"/>
    <n v="15"/>
    <s v="Fiber Broadband Internet 15Mbps"/>
    <m/>
    <n v="1"/>
    <n v="1080000"/>
    <n v="1080000"/>
    <s v="Monthly"/>
    <d v="2024-01-24T00:00:00"/>
    <x v="6"/>
    <x v="4"/>
    <n v="-201"/>
    <x v="1"/>
    <x v="1"/>
    <s v="Straton Karekezi"/>
    <s v="kstraton1964@gmail.com"/>
    <s v="0 788 307 098 "/>
    <m/>
    <m/>
    <m/>
  </r>
  <r>
    <s v="C000201"/>
    <x v="159"/>
    <s v="Exedus"/>
    <s v="Gasabo"/>
    <x v="1"/>
    <x v="9"/>
    <s v="Standard"/>
    <x v="0"/>
    <x v="5"/>
    <n v="1"/>
    <s v="FIBER VPN 1MBPSs"/>
    <m/>
    <n v="1"/>
    <n v="97457.63"/>
    <n v="97457.63"/>
    <s v="Monthly"/>
    <d v="2024-01-30T00:00:00"/>
    <x v="6"/>
    <x v="4"/>
    <n v="-207"/>
    <x v="1"/>
    <x v="0"/>
    <s v="Faustin Rushema "/>
    <s v="faustin.rushema@accessbankplc.com "/>
    <s v="0788619318"/>
    <m/>
    <m/>
    <m/>
  </r>
  <r>
    <s v="C000016"/>
    <x v="159"/>
    <s v="HQ"/>
    <s v="Nyarugenge"/>
    <x v="1"/>
    <x v="9"/>
    <s v="Standard"/>
    <x v="0"/>
    <x v="5"/>
    <n v="30"/>
    <s v="FIBER INTERNET 30MBPS"/>
    <m/>
    <n v="1"/>
    <n v="1247500"/>
    <n v="1247500"/>
    <s v="Monthly"/>
    <d v="2024-01-30T00:00:00"/>
    <x v="6"/>
    <x v="4"/>
    <n v="-207"/>
    <x v="1"/>
    <x v="0"/>
    <s v="Faustin Rushema "/>
    <s v="faustin.rushema@accessbankplc.com "/>
    <s v="0788619318"/>
    <m/>
    <m/>
    <m/>
  </r>
  <r>
    <s v="C000016"/>
    <x v="159"/>
    <s v="HQ"/>
    <s v="Nyarugenge"/>
    <x v="1"/>
    <x v="9"/>
    <s v="Standard"/>
    <x v="0"/>
    <x v="6"/>
    <m/>
    <s v="4G MUP 1GB/DAY PRIV"/>
    <m/>
    <n v="1"/>
    <n v="20338.98"/>
    <n v="20338.98"/>
    <s v="Monthly"/>
    <d v="2024-01-30T00:00:00"/>
    <x v="6"/>
    <x v="4"/>
    <n v="-207"/>
    <x v="1"/>
    <x v="0"/>
    <s v="Faustin Rushema "/>
    <s v="faustin.rushema@accessbankplc.com "/>
    <s v="0788619318"/>
    <m/>
    <m/>
    <m/>
  </r>
  <r>
    <s v="C002261"/>
    <x v="160"/>
    <s v="Fiber Internet: RCAA HQ"/>
    <s v="Kicukiro"/>
    <x v="0"/>
    <x v="0"/>
    <s v="Standard"/>
    <x v="0"/>
    <x v="0"/>
    <n v="25"/>
    <s v="Fiber Broadband Internet 25Mbps"/>
    <m/>
    <n v="1"/>
    <n v="1080000"/>
    <n v="1080000"/>
    <s v="Monthly"/>
    <d v="2024-01-31T00:00:00"/>
    <x v="6"/>
    <x v="4"/>
    <n v="-208"/>
    <x v="1"/>
    <x v="1"/>
    <s v="Marshall Gasana"/>
    <s v="mgasana@caa.gov.rw"/>
    <s v="0 788 302 298"/>
    <m/>
    <m/>
    <m/>
  </r>
  <r>
    <s v="C002261"/>
    <x v="160"/>
    <s v="Fiber Internet: Wireless LAN"/>
    <s v="Kicukiro"/>
    <x v="0"/>
    <x v="0"/>
    <s v="Standard"/>
    <x v="0"/>
    <x v="0"/>
    <n v="30"/>
    <s v="Fiber Broadband Internet 30Mbps"/>
    <m/>
    <n v="1"/>
    <n v="1260000"/>
    <n v="1260000"/>
    <s v="Monthly"/>
    <d v="2024-01-31T00:00:00"/>
    <x v="6"/>
    <x v="4"/>
    <n v="-208"/>
    <x v="1"/>
    <x v="1"/>
    <s v="Marshall Gasana"/>
    <s v="mgasana@caa.gov.rw"/>
    <s v="0 788 302 298"/>
    <m/>
    <m/>
    <m/>
  </r>
  <r>
    <s v="C002261"/>
    <x v="160"/>
    <s v="MSS Gold"/>
    <s v="Kicukiro"/>
    <x v="0"/>
    <x v="0"/>
    <s v="Standard"/>
    <x v="1"/>
    <x v="7"/>
    <m/>
    <s v="MSS Gold Package"/>
    <m/>
    <n v="1"/>
    <n v="369325.42372881359"/>
    <n v="369325.42372881359"/>
    <s v="Monthly"/>
    <d v="2024-01-31T00:00:00"/>
    <x v="6"/>
    <x v="4"/>
    <n v="-208"/>
    <x v="1"/>
    <x v="1"/>
    <s v="Marshall Gasana"/>
    <s v="mgasana@caa.gov.rw"/>
    <s v="0 788 302 298"/>
    <m/>
    <m/>
    <m/>
  </r>
  <r>
    <s v="C000060"/>
    <x v="161"/>
    <s v="AHAZAZA INDEPENDENT SCHOOL"/>
    <s v="Muhanga"/>
    <x v="0"/>
    <x v="4"/>
    <s v="Standard"/>
    <x v="0"/>
    <x v="0"/>
    <n v="5"/>
    <s v="fiber vpn 5mbps"/>
    <m/>
    <n v="1"/>
    <n v="270000"/>
    <n v="270000"/>
    <s v="Monthly"/>
    <d v="2024-01-31T00:00:00"/>
    <x v="6"/>
    <x v="4"/>
    <n v="-208"/>
    <x v="1"/>
    <x v="4"/>
    <s v="AHAZAZA"/>
    <s v="ahazaza@hotmail.com;flavimuhire@gmail.com"/>
    <n v="788302084"/>
    <m/>
    <m/>
    <m/>
  </r>
  <r>
    <s v="C000735"/>
    <x v="162"/>
    <s v="HQ"/>
    <s v="Kicukiro"/>
    <x v="0"/>
    <x v="0"/>
    <s v="Standard"/>
    <x v="0"/>
    <x v="6"/>
    <m/>
    <s v="4G ONE NETWORK 5MBPS"/>
    <m/>
    <n v="1"/>
    <n v="101694.92"/>
    <n v="101694.92"/>
    <s v="Monthly"/>
    <d v="2024-01-31T00:00:00"/>
    <x v="6"/>
    <x v="4"/>
    <n v="-208"/>
    <x v="1"/>
    <x v="0"/>
    <s v="Eric Karengera"/>
    <s v="secteurgatenga@gmail.com"/>
    <s v="0788502133"/>
    <m/>
    <m/>
    <m/>
  </r>
  <r>
    <s v="C004060"/>
    <x v="163"/>
    <s v="JICA PRISM PROJECT"/>
    <s v="Gasabo"/>
    <x v="1"/>
    <x v="4"/>
    <s v="Standard"/>
    <x v="0"/>
    <x v="6"/>
    <m/>
    <s v="ONE NETWORK 15MBPS"/>
    <m/>
    <n v="24"/>
    <n v="142372.88135593222"/>
    <n v="3416949.1525423732"/>
    <s v="Monthly"/>
    <d v="2024-01-31T00:00:00"/>
    <x v="6"/>
    <x v="4"/>
    <n v="-208"/>
    <x v="1"/>
    <x v="6"/>
    <s v="HABIYAREMYE HASHITUKY"/>
    <s v="hashituky@gmail.com"/>
    <s v="0784373270"/>
    <m/>
    <m/>
    <m/>
  </r>
  <r>
    <s v="C004060"/>
    <x v="164"/>
    <s v="JICA PRISM PROJECT"/>
    <s v="Gasabo"/>
    <x v="1"/>
    <x v="4"/>
    <s v="Standard"/>
    <x v="0"/>
    <x v="6"/>
    <m/>
    <s v="ONE NETWORK 5MBPS"/>
    <m/>
    <n v="1"/>
    <n v="84745.762711864416"/>
    <n v="84745.762711864416"/>
    <s v="Monthly"/>
    <d v="2024-01-31T00:00:00"/>
    <x v="6"/>
    <x v="4"/>
    <n v="-208"/>
    <x v="1"/>
    <x v="6"/>
    <s v="HABIYAREMYE HASHITUKY"/>
    <s v="hashituky@gmail.com"/>
    <s v="0784373270"/>
    <m/>
    <m/>
    <m/>
  </r>
  <r>
    <s v="C000969"/>
    <x v="165"/>
    <s v="KITABI 2ND LINK"/>
    <s v="Rusizi"/>
    <x v="0"/>
    <x v="4"/>
    <s v="Standard"/>
    <x v="0"/>
    <x v="0"/>
    <n v="5"/>
    <s v="fiber vpn 5mbps"/>
    <m/>
    <n v="1"/>
    <n v="270000"/>
    <n v="270000"/>
    <s v="Monthly"/>
    <d v="2024-01-31T00:00:00"/>
    <x v="6"/>
    <x v="4"/>
    <n v="-208"/>
    <x v="1"/>
    <x v="4"/>
    <s v="Ruzindana"/>
    <s v="jkht08@yahoo.fr;eruzindana@iprckitabi.ac.rw;haezechiel@gmail.com"/>
    <s v="0783443170/0789669111"/>
    <m/>
    <m/>
    <m/>
  </r>
  <r>
    <s v="C000969"/>
    <x v="166"/>
    <s v="Kitabi college"/>
    <s v="Nyamagabe"/>
    <x v="0"/>
    <x v="4"/>
    <s v="Standard"/>
    <x v="0"/>
    <x v="0"/>
    <n v="10"/>
    <s v="FIBER VPN 10MBPS"/>
    <m/>
    <n v="1"/>
    <n v="510000"/>
    <n v="510000"/>
    <s v="Monthly"/>
    <d v="2024-01-31T00:00:00"/>
    <x v="6"/>
    <x v="4"/>
    <n v="-208"/>
    <x v="1"/>
    <x v="4"/>
    <s v="Ruzindana"/>
    <s v="jkht08@yahoo.fr;eruzindana@iprckitabi.ac.rw;haezechiel@gmail.com"/>
    <s v="0783443170/0789669111"/>
    <m/>
    <m/>
    <m/>
  </r>
  <r>
    <s v="C000969"/>
    <x v="166"/>
    <s v="Kitabi college"/>
    <s v="Nyamagabe"/>
    <x v="0"/>
    <x v="4"/>
    <s v="Standard"/>
    <x v="0"/>
    <x v="6"/>
    <m/>
    <s v="4G 1GB/DAY"/>
    <m/>
    <n v="5"/>
    <n v="19491.525000000001"/>
    <n v="97457.625"/>
    <s v="Monthly"/>
    <d v="2024-01-31T00:00:00"/>
    <x v="6"/>
    <x v="4"/>
    <n v="-208"/>
    <x v="1"/>
    <x v="4"/>
    <s v="Ruzindana"/>
    <s v="jkht08@yahoo.fr;eruzindana@iprckitabi.ac.rw;haezechiel@gmail.com"/>
    <s v="0783443170/0789669111"/>
    <m/>
    <m/>
    <m/>
  </r>
  <r>
    <s v="C000969"/>
    <x v="167"/>
    <s v="Kitabi college"/>
    <s v="Nyamagabe"/>
    <x v="0"/>
    <x v="4"/>
    <s v="Standard"/>
    <x v="0"/>
    <x v="0"/>
    <n v="10"/>
    <s v="Fiber vpn 10mbps"/>
    <m/>
    <n v="1"/>
    <n v="510000"/>
    <n v="510000"/>
    <s v="Monthly"/>
    <d v="2024-01-31T00:00:00"/>
    <x v="6"/>
    <x v="4"/>
    <n v="-208"/>
    <x v="1"/>
    <x v="4"/>
    <s v="Ruzindana"/>
    <s v="jkht08@yahoo.fr;eruzindana@iprckitabi.ac.rw;haezechiel@gmail.com"/>
    <s v="0783443170/0789669111"/>
    <m/>
    <m/>
    <m/>
  </r>
  <r>
    <s v="C000969"/>
    <x v="168"/>
    <s v="Kitabi college"/>
    <s v="Nyamagabe"/>
    <x v="0"/>
    <x v="4"/>
    <s v="Standard"/>
    <x v="0"/>
    <x v="0"/>
    <n v="5"/>
    <s v="FIBER VPN 5MBPS"/>
    <m/>
    <n v="1"/>
    <n v="270000"/>
    <n v="270000"/>
    <s v="Monthly"/>
    <d v="2024-01-31T00:00:00"/>
    <x v="6"/>
    <x v="4"/>
    <n v="-208"/>
    <x v="1"/>
    <x v="4"/>
    <s v="Ruzindana"/>
    <s v="jkht08@yahoo.fr;eruzindana@iprckitabi.ac.rw;haezechiel@gmail.com"/>
    <s v="0783443170/0789669111"/>
    <m/>
    <m/>
    <m/>
  </r>
  <r>
    <s v="C001415"/>
    <x v="169"/>
    <s v="Fiber Service: Minaloc HQ"/>
    <s v="Gasabo"/>
    <x v="0"/>
    <x v="0"/>
    <s v="Standard"/>
    <x v="0"/>
    <x v="0"/>
    <n v="20"/>
    <s v="Fiber Broadband Internet 20Mbps"/>
    <m/>
    <n v="1"/>
    <n v="900000"/>
    <n v="900000"/>
    <s v="Monthly"/>
    <d v="2024-01-31T00:00:00"/>
    <x v="6"/>
    <x v="4"/>
    <n v="-208"/>
    <x v="1"/>
    <x v="1"/>
    <s v="Claude Mugabo"/>
    <s v="claude.mugabo@minaloc.gov.rw"/>
    <s v="0 788 429 853 "/>
    <m/>
    <m/>
    <m/>
  </r>
  <r>
    <s v="C001415"/>
    <x v="169"/>
    <s v="MSS Gold  "/>
    <s v="Gasabo"/>
    <x v="0"/>
    <x v="0"/>
    <s v="Standard"/>
    <x v="1"/>
    <x v="7"/>
    <m/>
    <s v="MSS Gold Package"/>
    <m/>
    <n v="1"/>
    <n v="369325"/>
    <n v="369325"/>
    <s v="Monthly"/>
    <d v="2024-01-31T00:00:00"/>
    <x v="6"/>
    <x v="4"/>
    <n v="-208"/>
    <x v="1"/>
    <x v="1"/>
    <s v="Claude Mugabo"/>
    <s v="claude.mugabo@minaloc.gov.rw"/>
    <s v="0 788 429 853 "/>
    <m/>
    <m/>
    <m/>
  </r>
  <r>
    <s v="C001415"/>
    <x v="169"/>
    <s v="VC Service"/>
    <s v="Gasabo"/>
    <x v="0"/>
    <x v="0"/>
    <s v="Standard"/>
    <x v="1"/>
    <x v="10"/>
    <m/>
    <s v="Videoconferencing Services: 1 Unit"/>
    <m/>
    <n v="1"/>
    <n v="258044.9152542373"/>
    <n v="258044.9152542373"/>
    <s v="Monthly"/>
    <d v="2024-01-31T00:00:00"/>
    <x v="6"/>
    <x v="4"/>
    <n v="-208"/>
    <x v="1"/>
    <x v="1"/>
    <s v="Claude Mugabo"/>
    <s v="claude.mugabo@minaloc.gov.rw"/>
    <s v="0 788 429 853 "/>
    <m/>
    <m/>
    <m/>
  </r>
  <r>
    <s v="C001891"/>
    <x v="170"/>
    <s v="HQ"/>
    <s v="Nyagatare"/>
    <x v="0"/>
    <x v="0"/>
    <s v="Standard"/>
    <x v="0"/>
    <x v="0"/>
    <n v="3"/>
    <s v="FIBER VPN 3MBPS"/>
    <m/>
    <n v="1"/>
    <n v="180000"/>
    <n v="180000"/>
    <s v="Monthly"/>
    <d v="2024-01-31T00:00:00"/>
    <x v="6"/>
    <x v="4"/>
    <n v="-208"/>
    <x v="1"/>
    <x v="5"/>
    <s v="Steven MUGISHA"/>
    <s v="ict@nyagatare.gov.rw"/>
    <n v="735298667"/>
    <m/>
    <m/>
    <m/>
  </r>
  <r>
    <s v="C001891"/>
    <x v="170"/>
    <s v="HQ"/>
    <s v="Nyagatare"/>
    <x v="0"/>
    <x v="0"/>
    <s v="Standard"/>
    <x v="0"/>
    <x v="0"/>
    <n v="3"/>
    <s v="FIBER VPN 3MBPS"/>
    <m/>
    <n v="1"/>
    <n v="180000"/>
    <n v="180000"/>
    <s v="Monthly"/>
    <d v="2024-01-31T00:00:00"/>
    <x v="6"/>
    <x v="4"/>
    <n v="-208"/>
    <x v="1"/>
    <x v="5"/>
    <s v="Steven MUGISHA"/>
    <s v="ict@nyagatare.gov.rw"/>
    <n v="735298667"/>
    <m/>
    <m/>
    <m/>
  </r>
  <r>
    <s v="C001891"/>
    <x v="170"/>
    <s v="HQ"/>
    <s v="Nyagatare"/>
    <x v="0"/>
    <x v="0"/>
    <s v="Standard"/>
    <x v="0"/>
    <x v="0"/>
    <n v="5"/>
    <s v="FIBER VPN 5MBPS"/>
    <m/>
    <n v="1"/>
    <n v="270000"/>
    <n v="270000"/>
    <s v="Monthly"/>
    <d v="2024-01-31T00:00:00"/>
    <x v="6"/>
    <x v="4"/>
    <n v="-208"/>
    <x v="1"/>
    <x v="5"/>
    <s v="Steven MUGISHA"/>
    <s v="ict@nyagatare.gov.rw"/>
    <n v="735298667"/>
    <m/>
    <m/>
    <m/>
  </r>
  <r>
    <s v="C001891"/>
    <x v="170"/>
    <s v="HQ"/>
    <s v="Nyagatare"/>
    <x v="0"/>
    <x v="0"/>
    <s v="Standard"/>
    <x v="0"/>
    <x v="0"/>
    <n v="5"/>
    <s v="FIBER VPN 5MBPS"/>
    <m/>
    <n v="1"/>
    <n v="270000"/>
    <n v="270000"/>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HQ"/>
    <s v="Nyagatare"/>
    <x v="0"/>
    <x v="0"/>
    <s v="Standard"/>
    <x v="1"/>
    <x v="10"/>
    <m/>
    <s v="VIDEO CONFERENCE"/>
    <m/>
    <n v="1"/>
    <n v="258044.92"/>
    <n v="258044.92"/>
    <s v="Monthly"/>
    <d v="2024-01-31T00:00:00"/>
    <x v="6"/>
    <x v="4"/>
    <n v="-208"/>
    <x v="1"/>
    <x v="5"/>
    <s v="Steven MUGISHA"/>
    <s v="ict@nyagatare.gov.rw"/>
    <n v="735298667"/>
    <m/>
    <m/>
    <m/>
  </r>
  <r>
    <s v="C001891"/>
    <x v="170"/>
    <s v="HQ"/>
    <s v="Nyagatare"/>
    <x v="0"/>
    <x v="0"/>
    <s v="Standard"/>
    <x v="3"/>
    <x v="7"/>
    <m/>
    <s v="MSS GOLD"/>
    <m/>
    <n v="1"/>
    <n v="369325.42"/>
    <n v="369325.42"/>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CELL"/>
    <s v="Nyagatare"/>
    <x v="0"/>
    <x v="0"/>
    <s v="Standard"/>
    <x v="0"/>
    <x v="6"/>
    <m/>
    <s v="4G ONE NETWORK 3MBPS"/>
    <m/>
    <n v="1"/>
    <n v="81355.932203389835"/>
    <n v="81355.932203389835"/>
    <s v="Monthly"/>
    <d v="2024-01-31T00:00:00"/>
    <x v="6"/>
    <x v="4"/>
    <n v="-208"/>
    <x v="1"/>
    <x v="5"/>
    <s v="Steven MUGISHA"/>
    <s v="ict@nyagatare.gov.rw"/>
    <n v="735298667"/>
    <m/>
    <m/>
    <m/>
  </r>
  <r>
    <s v="C001891"/>
    <x v="170"/>
    <s v="CELL"/>
    <s v="Nyagatare"/>
    <x v="0"/>
    <x v="0"/>
    <s v="Standard"/>
    <x v="0"/>
    <x v="6"/>
    <m/>
    <s v="4G ONE NETWORK 5MBPS"/>
    <m/>
    <n v="2"/>
    <n v="101694.92"/>
    <n v="203389.84"/>
    <s v="Monthly"/>
    <d v="2024-01-31T00:00:00"/>
    <x v="6"/>
    <x v="4"/>
    <n v="-208"/>
    <x v="1"/>
    <x v="5"/>
    <s v="Steven MUGISHA"/>
    <s v="ict@nyagatare.gov.rw"/>
    <n v="735298667"/>
    <m/>
    <m/>
    <m/>
  </r>
  <r>
    <s v="C001891"/>
    <x v="170"/>
    <s v="CELL"/>
    <s v="Nyagatare"/>
    <x v="0"/>
    <x v="0"/>
    <s v="Standard"/>
    <x v="0"/>
    <x v="6"/>
    <m/>
    <s v=" 4G MUP 4GB/DAY "/>
    <m/>
    <n v="3"/>
    <n v="45338.98"/>
    <n v="136016.94"/>
    <s v="Monthly"/>
    <d v="2024-01-31T00:00:00"/>
    <x v="6"/>
    <x v="4"/>
    <n v="-208"/>
    <x v="1"/>
    <x v="5"/>
    <s v="Steven MUGISHA"/>
    <s v="ict@nyagatare.gov.rw"/>
    <n v="735298667"/>
    <m/>
    <m/>
    <m/>
  </r>
  <r>
    <s v="C001891"/>
    <x v="170"/>
    <s v="CELL"/>
    <s v="Nyagatare"/>
    <x v="0"/>
    <x v="0"/>
    <s v="Standard"/>
    <x v="0"/>
    <x v="6"/>
    <m/>
    <s v="4G MUP 3GB/DAY"/>
    <m/>
    <n v="11"/>
    <n v="54237.29"/>
    <n v="596610.19000000006"/>
    <s v="Monthly"/>
    <d v="2024-01-31T00:00:00"/>
    <x v="6"/>
    <x v="4"/>
    <n v="-208"/>
    <x v="1"/>
    <x v="5"/>
    <s v="Steven MUGISHA"/>
    <s v="ict@nyagatare.gov.rw"/>
    <n v="735298667"/>
    <m/>
    <m/>
    <m/>
  </r>
  <r>
    <s v="C001891"/>
    <x v="170"/>
    <s v="CELL"/>
    <s v="Nyagatare"/>
    <x v="0"/>
    <x v="0"/>
    <s v="Standard"/>
    <x v="0"/>
    <x v="6"/>
    <m/>
    <s v="4G MUP 1GB/DAY"/>
    <m/>
    <n v="19"/>
    <n v="19491.53"/>
    <n v="370339.06999999995"/>
    <s v="Monthly"/>
    <d v="2024-01-31T00:00:00"/>
    <x v="6"/>
    <x v="4"/>
    <n v="-208"/>
    <x v="1"/>
    <x v="5"/>
    <s v="Steven MUGISHA"/>
    <s v="ict@nyagatare.gov.rw"/>
    <n v="735298667"/>
    <m/>
    <m/>
    <m/>
  </r>
  <r>
    <s v="C001891"/>
    <x v="170"/>
    <s v="CELL"/>
    <s v="Nyagatare"/>
    <x v="0"/>
    <x v="0"/>
    <s v="Standard"/>
    <x v="0"/>
    <x v="6"/>
    <m/>
    <s v="4G MUP 2GB/DAY"/>
    <m/>
    <n v="72"/>
    <n v="28305.08"/>
    <n v="2037965.7600000002"/>
    <s v="Monthly"/>
    <d v="2024-01-31T00:00:00"/>
    <x v="6"/>
    <x v="4"/>
    <n v="-208"/>
    <x v="1"/>
    <x v="5"/>
    <s v="Steven MUGISHA"/>
    <s v="ict@nyagatare.gov.rw"/>
    <n v="735298667"/>
    <m/>
    <m/>
    <m/>
  </r>
  <r>
    <s v="C002284"/>
    <x v="171"/>
    <s v="HQ"/>
    <s v="Nyarugenge"/>
    <x v="0"/>
    <x v="0"/>
    <s v="Standard"/>
    <x v="1"/>
    <x v="0"/>
    <n v="10"/>
    <s v="Fiber Internet 10Mbps"/>
    <m/>
    <n v="1"/>
    <n v="510000"/>
    <n v="510000"/>
    <s v="Monthly"/>
    <d v="2024-01-31T00:00:00"/>
    <x v="6"/>
    <x v="4"/>
    <n v="-208"/>
    <x v="1"/>
    <x v="7"/>
    <s v="Angelique Birungi"/>
    <s v="hgakwaya@reaf.gov.rw,abirungi@reaf.gov.rw"/>
    <n v="788690667"/>
    <m/>
    <m/>
    <m/>
  </r>
  <r>
    <s v="C002284"/>
    <x v="171"/>
    <s v="HQ"/>
    <s v="Nyarugenge"/>
    <x v="0"/>
    <x v="0"/>
    <s v="Standard"/>
    <x v="3"/>
    <x v="7"/>
    <m/>
    <s v="MSS SECURE BROWSING"/>
    <m/>
    <n v="1"/>
    <n v="86130"/>
    <n v="86130"/>
    <s v="Monthly"/>
    <d v="2024-01-31T00:00:00"/>
    <x v="6"/>
    <x v="4"/>
    <n v="-208"/>
    <x v="1"/>
    <x v="7"/>
    <s v="Angelique Birungi"/>
    <s v="hgakwaya@reaf.gov.rw,abirungi@reaf.gov.rw"/>
    <n v="788690667"/>
    <m/>
    <m/>
    <m/>
  </r>
  <r>
    <s v="C002284"/>
    <x v="171"/>
    <s v="HQ"/>
    <s v="Nyarugenge"/>
    <x v="0"/>
    <x v="0"/>
    <s v="Standard"/>
    <x v="0"/>
    <x v="6"/>
    <m/>
    <s v="4G MUP 2GB/DAY"/>
    <m/>
    <n v="7"/>
    <n v="28305.08"/>
    <n v="198135.56"/>
    <s v="Monthly"/>
    <d v="2024-01-31T00:00:00"/>
    <x v="6"/>
    <x v="4"/>
    <n v="-208"/>
    <x v="1"/>
    <x v="7"/>
    <s v="Angelique Birungi"/>
    <s v="hgakwaya@reaf.gov.rw,abirungi@reaf.gov.rw"/>
    <n v="788690667"/>
    <m/>
    <m/>
    <m/>
  </r>
  <r>
    <s v="C000131"/>
    <x v="46"/>
    <s v="HQ VPN CSS"/>
    <s v="Gasabo"/>
    <x v="0"/>
    <x v="3"/>
    <s v="Standard"/>
    <x v="0"/>
    <x v="0"/>
    <n v="10"/>
    <s v="Fiber VPN 5MBPS"/>
    <m/>
    <n v="2"/>
    <n v="270000"/>
    <n v="540000"/>
    <s v="Monthly"/>
    <d v="2024-02-01T00:00:00"/>
    <x v="7"/>
    <x v="4"/>
    <n v="-209"/>
    <x v="1"/>
    <x v="5"/>
    <s v="patrick munanana"/>
    <s v="ict@afos.gov.rw"/>
    <n v="788203416"/>
    <m/>
    <m/>
    <m/>
  </r>
  <r>
    <s v="C002454"/>
    <x v="172"/>
    <s v="GSOB Huye"/>
    <s v="Huye"/>
    <x v="0"/>
    <x v="4"/>
    <s v="Standard"/>
    <x v="0"/>
    <x v="0"/>
    <n v="3"/>
    <s v="FIBER VPN 3MBPS"/>
    <m/>
    <n v="1"/>
    <n v="180000"/>
    <n v="180000"/>
    <s v="Monthly"/>
    <d v="2024-02-03T00:00:00"/>
    <x v="7"/>
    <x v="4"/>
    <n v="-211"/>
    <x v="1"/>
    <x v="4"/>
    <s v="Florent"/>
    <s v="florent.hope@yahoo.com"/>
    <n v="788824735"/>
    <m/>
    <m/>
    <m/>
  </r>
  <r>
    <s v="C001900"/>
    <x v="173"/>
    <s v="HQ"/>
    <s v="Nyamagabe"/>
    <x v="0"/>
    <x v="0"/>
    <s v="Standard"/>
    <x v="0"/>
    <x v="0"/>
    <n v="3"/>
    <s v="FIBER VPN 3MBPS"/>
    <m/>
    <n v="1"/>
    <n v="180000"/>
    <n v="180000"/>
    <s v="Monthly"/>
    <d v="2024-02-03T00:00:00"/>
    <x v="7"/>
    <x v="4"/>
    <n v="-211"/>
    <x v="1"/>
    <x v="5"/>
    <s v="Eric Thormas"/>
    <s v="network@nyamagabe.gov.rw"/>
    <n v="787912221"/>
    <m/>
    <m/>
    <m/>
  </r>
  <r>
    <s v="C001900"/>
    <x v="173"/>
    <s v="HQ"/>
    <s v="Nyamagabe"/>
    <x v="0"/>
    <x v="0"/>
    <s v="Standard"/>
    <x v="0"/>
    <x v="0"/>
    <n v="15"/>
    <s v="FIBER VPN 15MBPS"/>
    <m/>
    <n v="1"/>
    <n v="720000"/>
    <n v="720000"/>
    <s v="Monthly"/>
    <d v="2024-02-03T00:00:00"/>
    <x v="7"/>
    <x v="4"/>
    <n v="-211"/>
    <x v="1"/>
    <x v="5"/>
    <s v="Eric Thormas"/>
    <s v="network@nyamagabe.gov.rw"/>
    <n v="787912221"/>
    <m/>
    <m/>
    <m/>
  </r>
  <r>
    <s v="C001900"/>
    <x v="173"/>
    <s v="HQ"/>
    <s v="Nyamagabe"/>
    <x v="0"/>
    <x v="0"/>
    <s v="Standard"/>
    <x v="1"/>
    <x v="10"/>
    <m/>
    <s v="VIDEO CONFERENCE"/>
    <m/>
    <n v="1"/>
    <n v="258044.92"/>
    <n v="258044.92"/>
    <s v="Monthly"/>
    <d v="2024-02-03T00:00:00"/>
    <x v="7"/>
    <x v="4"/>
    <n v="-211"/>
    <x v="1"/>
    <x v="5"/>
    <s v="Eric Thormas"/>
    <s v="network@nyamagabe.gov.rw"/>
    <n v="787912221"/>
    <m/>
    <m/>
    <m/>
  </r>
  <r>
    <s v="C001900"/>
    <x v="173"/>
    <s v="CELL"/>
    <s v="Nyamagabe"/>
    <x v="0"/>
    <x v="0"/>
    <s v="Standard"/>
    <x v="0"/>
    <x v="6"/>
    <m/>
    <s v=" 4G MUP 4GB/DAY "/>
    <m/>
    <n v="12"/>
    <n v="45338.98"/>
    <n v="544067.76"/>
    <s v="Monthly"/>
    <d v="2024-02-03T00:00:00"/>
    <x v="7"/>
    <x v="4"/>
    <n v="-211"/>
    <x v="1"/>
    <x v="5"/>
    <s v="Eric Thormas"/>
    <s v="network@nyamagabe.gov.rw"/>
    <n v="787912221"/>
    <m/>
    <m/>
    <m/>
  </r>
  <r>
    <s v="C001900"/>
    <x v="173"/>
    <s v="HQ"/>
    <s v="Nyamagabe"/>
    <x v="0"/>
    <x v="0"/>
    <s v="Standard"/>
    <x v="0"/>
    <x v="6"/>
    <m/>
    <s v="4G ONE NETWORK 3MBPS"/>
    <m/>
    <n v="19"/>
    <n v="81355.932203389835"/>
    <n v="1545762.7118644069"/>
    <s v="Monthly"/>
    <d v="2024-02-03T00:00:00"/>
    <x v="7"/>
    <x v="4"/>
    <n v="-211"/>
    <x v="1"/>
    <x v="5"/>
    <s v="Eric Thormas"/>
    <s v="network@nyamagabe.gov.rw"/>
    <n v="787912221"/>
    <m/>
    <m/>
    <m/>
  </r>
  <r>
    <s v="C001900"/>
    <x v="173"/>
    <s v="CELL"/>
    <s v="Nyamagabe"/>
    <x v="0"/>
    <x v="0"/>
    <s v="Standard"/>
    <x v="0"/>
    <x v="6"/>
    <m/>
    <s v="4G MUP  1GB/DAY GOV"/>
    <m/>
    <n v="20"/>
    <n v="19491.53"/>
    <n v="389830.6"/>
    <s v="Monthly"/>
    <d v="2024-02-03T00:00:00"/>
    <x v="7"/>
    <x v="4"/>
    <n v="-211"/>
    <x v="1"/>
    <x v="5"/>
    <s v="Eric Thormas"/>
    <s v="network@nyamagabe.gov.rw"/>
    <n v="787912221"/>
    <m/>
    <m/>
    <m/>
  </r>
  <r>
    <s v="C001900"/>
    <x v="173"/>
    <s v="CELL"/>
    <s v="Nyamagabe"/>
    <x v="0"/>
    <x v="0"/>
    <s v="Standard"/>
    <x v="0"/>
    <x v="6"/>
    <m/>
    <s v="4G MUP 2GB/DAY"/>
    <m/>
    <n v="45"/>
    <n v="28305.08"/>
    <n v="1273728.6000000001"/>
    <s v="Monthly"/>
    <d v="2024-02-03T00:00:00"/>
    <x v="7"/>
    <x v="4"/>
    <n v="-211"/>
    <x v="1"/>
    <x v="5"/>
    <s v="Eric Thormas"/>
    <s v="network@nyamagabe.gov.rw"/>
    <n v="787912221"/>
    <m/>
    <m/>
    <m/>
  </r>
  <r>
    <s v="C001900"/>
    <x v="173"/>
    <s v="CELL"/>
    <s v="Nyamagabe"/>
    <x v="0"/>
    <x v="0"/>
    <s v="Standard"/>
    <x v="0"/>
    <x v="6"/>
    <m/>
    <s v="4G MUP 2GB/DAY"/>
    <m/>
    <n v="49"/>
    <n v="28305.08"/>
    <n v="1386948.9200000002"/>
    <s v="Monthly"/>
    <d v="2024-02-03T00:00:00"/>
    <x v="7"/>
    <x v="4"/>
    <n v="-211"/>
    <x v="1"/>
    <x v="5"/>
    <s v="Eric Thormas"/>
    <s v="network@nyamagabe.gov.rw"/>
    <n v="787912221"/>
    <m/>
    <m/>
    <m/>
  </r>
  <r>
    <s v="C002262"/>
    <x v="174"/>
    <s v="HQ"/>
    <s v="Gasabo"/>
    <x v="0"/>
    <x v="0"/>
    <s v="Standard"/>
    <x v="0"/>
    <x v="6"/>
    <m/>
    <s v="4G ONE NETWORK 3MBPS"/>
    <m/>
    <n v="1"/>
    <n v="81355.932203000004"/>
    <n v="81355.932203000004"/>
    <s v="Monthly"/>
    <d v="2024-02-08T00:00:00"/>
    <x v="7"/>
    <x v="4"/>
    <n v="-216"/>
    <x v="1"/>
    <x v="1"/>
    <s v="Intwari Gedeon"/>
    <s v="gedeon.intwari@rcb.rw"/>
    <s v="0 786 275 984"/>
    <m/>
    <m/>
    <m/>
  </r>
  <r>
    <s v="C002262"/>
    <x v="174"/>
    <s v="HQ"/>
    <s v="Gasabo"/>
    <x v="0"/>
    <x v="0"/>
    <s v="Standard"/>
    <x v="0"/>
    <x v="6"/>
    <m/>
    <s v="4G ONE NETWORK 5MBPS"/>
    <m/>
    <n v="3"/>
    <n v="101694.91525400001"/>
    <n v="305084.74576200004"/>
    <s v="Monthly"/>
    <d v="2024-02-08T00:00:00"/>
    <x v="7"/>
    <x v="4"/>
    <n v="-216"/>
    <x v="1"/>
    <x v="1"/>
    <s v="Intwari Gedeon"/>
    <s v="gedeon.intwari@rcb.rw"/>
    <s v="0 786 275 984"/>
    <m/>
    <m/>
    <m/>
  </r>
  <r>
    <s v="C002262"/>
    <x v="174"/>
    <s v="RCB 4G Service"/>
    <s v="Gasabo"/>
    <x v="0"/>
    <x v="0"/>
    <s v="Standard"/>
    <x v="0"/>
    <x v="6"/>
    <m/>
    <s v="4G MUP 2GB/DAY"/>
    <m/>
    <n v="6"/>
    <n v="28305.08"/>
    <n v="169830.48"/>
    <s v="Monthly"/>
    <d v="2024-02-08T00:00:00"/>
    <x v="7"/>
    <x v="4"/>
    <n v="-216"/>
    <x v="1"/>
    <x v="1"/>
    <s v="Intwari Gedeon"/>
    <s v="gedeon.intwari@rcb.rw"/>
    <s v="0 786 275 984"/>
    <m/>
    <m/>
    <m/>
  </r>
  <r>
    <s v="C000198"/>
    <x v="175"/>
    <s v="DFL: Gatuna - Kigali"/>
    <s v="Gicumbi"/>
    <x v="1"/>
    <x v="1"/>
    <s v="Standard"/>
    <x v="2"/>
    <x v="2"/>
    <m/>
    <s v="Dark Fiber Lease  "/>
    <n v="89"/>
    <n v="1"/>
    <n v="2225000"/>
    <n v="2225000"/>
    <s v="Monthly"/>
    <d v="2024-02-13T00:00:00"/>
    <x v="7"/>
    <x v="4"/>
    <n v="-221"/>
    <x v="1"/>
    <x v="1"/>
    <s v="Winston Nyabera  "/>
    <s v="winston@bcs-ea.com"/>
    <s v="0 788 448 554"/>
    <m/>
    <m/>
    <m/>
  </r>
  <r>
    <s v="C000198"/>
    <x v="175"/>
    <s v="DFL: Kagitumba - Kigali"/>
    <s v="Nyagatare"/>
    <x v="1"/>
    <x v="1"/>
    <s v="Standard"/>
    <x v="2"/>
    <x v="2"/>
    <m/>
    <s v="Dark Fiber Lease  "/>
    <n v="134"/>
    <n v="1"/>
    <n v="3350000"/>
    <n v="3350000"/>
    <s v="Monthly"/>
    <d v="2024-02-13T00:00:00"/>
    <x v="7"/>
    <x v="4"/>
    <n v="-221"/>
    <x v="1"/>
    <x v="1"/>
    <s v="Winston Nyabera  "/>
    <s v="winston@bcs-ea.com"/>
    <s v="0 788 448 554"/>
    <m/>
    <m/>
    <m/>
  </r>
  <r>
    <s v="C000198"/>
    <x v="175"/>
    <s v="DFL: Kigali - Gisenyi"/>
    <s v="Rubavu"/>
    <x v="1"/>
    <x v="1"/>
    <s v="Standard"/>
    <x v="2"/>
    <x v="2"/>
    <m/>
    <s v="Dark Fiber Lease  "/>
    <n v="161"/>
    <n v="1"/>
    <n v="4025000"/>
    <n v="4025000"/>
    <s v="Monthly"/>
    <d v="2024-02-13T00:00:00"/>
    <x v="7"/>
    <x v="4"/>
    <n v="-221"/>
    <x v="1"/>
    <x v="1"/>
    <s v="Winston Nyabera  "/>
    <s v="winston@bcs-ea.com"/>
    <s v="0 788 448 554"/>
    <m/>
    <m/>
    <m/>
  </r>
  <r>
    <s v="C000524"/>
    <x v="176"/>
    <s v="Duhamic Adri"/>
    <s v="Kicukiro"/>
    <x v="1"/>
    <x v="2"/>
    <s v="Standard"/>
    <x v="0"/>
    <x v="6"/>
    <m/>
    <s v="4G MUP 8GB/DAY"/>
    <m/>
    <n v="1"/>
    <n v="77711.86"/>
    <n v="77711.86"/>
    <s v="Monthly"/>
    <d v="2024-02-14T00:00:00"/>
    <x v="7"/>
    <x v="4"/>
    <n v="-222"/>
    <x v="1"/>
    <x v="2"/>
    <s v="Munezero Diane"/>
    <s v="munezero.diane@duhamic.org.rw"/>
    <s v="0783-199-400"/>
    <m/>
    <m/>
    <m/>
  </r>
  <r>
    <s v="C000524"/>
    <x v="176"/>
    <s v="Duhamic Adri"/>
    <s v="Kicukiro"/>
    <x v="1"/>
    <x v="2"/>
    <s v="Standard"/>
    <x v="0"/>
    <x v="6"/>
    <m/>
    <s v="4G MUP 3GB/DAY"/>
    <m/>
    <n v="1"/>
    <n v="54237.29"/>
    <n v="54237.29"/>
    <s v="Monthly"/>
    <d v="2024-02-14T00:00:00"/>
    <x v="7"/>
    <x v="4"/>
    <n v="-222"/>
    <x v="1"/>
    <x v="2"/>
    <s v="Munezero Diane"/>
    <s v="munezero.diane@duhamic.org.rw"/>
    <s v="0783-199-400"/>
    <m/>
    <m/>
    <m/>
  </r>
  <r>
    <s v="C000928"/>
    <x v="177"/>
    <s v="Bisate Lodge"/>
    <s v="Rubavu"/>
    <x v="1"/>
    <x v="5"/>
    <s v="Standard"/>
    <x v="0"/>
    <x v="5"/>
    <n v="10"/>
    <s v="FIBER VPN 10MBPS"/>
    <m/>
    <n v="1"/>
    <n v="510000"/>
    <n v="510000"/>
    <s v="Monthly"/>
    <d v="2024-02-14T00:00:00"/>
    <x v="7"/>
    <x v="4"/>
    <n v="-222"/>
    <x v="1"/>
    <x v="2"/>
    <s v="Rob Baas"/>
    <s v="Robb@wilderness-safaris.com"/>
    <s v="0781-447-925 "/>
    <m/>
    <m/>
    <m/>
  </r>
  <r>
    <s v="C002262"/>
    <x v="174"/>
    <s v="RCB 4G Service"/>
    <s v="Gasabo"/>
    <x v="0"/>
    <x v="0"/>
    <s v="Standard"/>
    <x v="0"/>
    <x v="6"/>
    <m/>
    <s v=" 4G MUP 4GB/DAY "/>
    <m/>
    <n v="4"/>
    <n v="45338.98"/>
    <n v="181355.92"/>
    <s v="Monthly"/>
    <d v="2024-02-21T00:00:00"/>
    <x v="7"/>
    <x v="4"/>
    <n v="-229"/>
    <x v="1"/>
    <x v="1"/>
    <s v="Intwari Gedeon"/>
    <s v="gedeon.intwari@rcb.rw"/>
    <s v="0 786 275 984"/>
    <m/>
    <m/>
    <m/>
  </r>
  <r>
    <s v="C002675"/>
    <x v="178"/>
    <s v="MSS Platinum"/>
    <s v="Gasabo"/>
    <x v="0"/>
    <x v="11"/>
    <s v="Standard"/>
    <x v="1"/>
    <x v="7"/>
    <m/>
    <s v="MSS Platinum Package"/>
    <m/>
    <n v="1"/>
    <n v="1478574.5762711866"/>
    <n v="1478574.5762711866"/>
    <s v="Monthly"/>
    <d v="2024-02-22T00:00:00"/>
    <x v="7"/>
    <x v="4"/>
    <n v="-230"/>
    <x v="1"/>
    <x v="1"/>
    <s v="Fred Gashemeza"/>
    <s v="fred.gashemeza@judiciary.gov.rw"/>
    <s v="0 788 305665"/>
    <m/>
    <m/>
    <m/>
  </r>
  <r>
    <s v="C002675"/>
    <x v="178"/>
    <s v="VOIP Service"/>
    <s v="Gasabo"/>
    <x v="0"/>
    <x v="11"/>
    <s v="Standard"/>
    <x v="1"/>
    <x v="3"/>
    <m/>
    <s v="VoIP PHONES 70"/>
    <m/>
    <n v="1"/>
    <n v="160169.49152542374"/>
    <n v="160169.49152542374"/>
    <s v="Monthly"/>
    <d v="2024-02-22T00:00:00"/>
    <x v="7"/>
    <x v="4"/>
    <n v="-230"/>
    <x v="1"/>
    <x v="1"/>
    <s v="Fred Gashemeza"/>
    <s v="fred.gashemeza@judiciary.gov.rw"/>
    <s v="0 788 305665"/>
    <m/>
    <m/>
    <m/>
  </r>
  <r>
    <s v="C000234"/>
    <x v="179"/>
    <s v="Bugesera Telecenter"/>
    <s v="Bugesera"/>
    <x v="0"/>
    <x v="0"/>
    <s v="Standard"/>
    <x v="0"/>
    <x v="0"/>
    <n v="1"/>
    <s v="FIBER VPN 1MBPS "/>
    <m/>
    <n v="1"/>
    <n v="90000"/>
    <n v="90000"/>
    <s v="Monthly"/>
    <d v="2024-02-28T00:00:00"/>
    <x v="7"/>
    <x v="4"/>
    <n v="-236"/>
    <x v="1"/>
    <x v="5"/>
    <s v="Olivier Bivegete"/>
    <s v="o.hategeka@bdf.rw"/>
    <n v="788459057"/>
    <m/>
    <m/>
    <m/>
  </r>
  <r>
    <s v="C000234"/>
    <x v="179"/>
    <s v="Burera Telecenter"/>
    <s v="Burera"/>
    <x v="0"/>
    <x v="0"/>
    <s v="Standard"/>
    <x v="0"/>
    <x v="0"/>
    <n v="1"/>
    <s v="FIBER VPN 1MBPS "/>
    <m/>
    <n v="1"/>
    <n v="90000"/>
    <n v="90000"/>
    <s v="Monthly"/>
    <d v="2024-02-28T00:00:00"/>
    <x v="7"/>
    <x v="4"/>
    <n v="-236"/>
    <x v="1"/>
    <x v="5"/>
    <s v="Olivier Bivegete"/>
    <s v="o.hategeka@bdf.rw"/>
    <n v="788459057"/>
    <m/>
    <m/>
    <m/>
  </r>
  <r>
    <s v="C000234"/>
    <x v="179"/>
    <s v="Batsinda Telecenter"/>
    <s v="Gasabo"/>
    <x v="0"/>
    <x v="0"/>
    <s v="Standard"/>
    <x v="0"/>
    <x v="0"/>
    <n v="1"/>
    <s v="FIBER VPN 1MBPS "/>
    <m/>
    <n v="1"/>
    <n v="90000"/>
    <n v="90000"/>
    <s v="Monthly"/>
    <d v="2024-02-28T00:00:00"/>
    <x v="7"/>
    <x v="4"/>
    <n v="-236"/>
    <x v="1"/>
    <x v="5"/>
    <s v="Olivier Bivegete"/>
    <s v="o.hategeka@bdf.rw"/>
    <n v="788459057"/>
    <m/>
    <m/>
    <m/>
  </r>
  <r>
    <s v="C000234"/>
    <x v="179"/>
    <s v="Gatsibo Telecenter"/>
    <s v="Gatsibo"/>
    <x v="0"/>
    <x v="0"/>
    <s v="Standard"/>
    <x v="0"/>
    <x v="0"/>
    <n v="1"/>
    <s v="FIBER VPN 1MBPS "/>
    <m/>
    <n v="1"/>
    <n v="90000"/>
    <n v="90000"/>
    <s v="Monthly"/>
    <d v="2024-02-28T00:00:00"/>
    <x v="7"/>
    <x v="4"/>
    <n v="-236"/>
    <x v="1"/>
    <x v="5"/>
    <s v="Olivier Bivegete"/>
    <s v="o.hategeka@bdf.rw"/>
    <n v="788459057"/>
    <m/>
    <m/>
    <m/>
  </r>
  <r>
    <s v="C000234"/>
    <x v="179"/>
    <s v="Gicumbi Telecenter"/>
    <s v="Gicumbi"/>
    <x v="0"/>
    <x v="0"/>
    <s v="Standard"/>
    <x v="0"/>
    <x v="0"/>
    <n v="1"/>
    <s v="FIBER VPN 1MBPS "/>
    <m/>
    <n v="1"/>
    <n v="90000"/>
    <n v="90000"/>
    <s v="Monthly"/>
    <d v="2024-02-28T00:00:00"/>
    <x v="7"/>
    <x v="4"/>
    <n v="-236"/>
    <x v="1"/>
    <x v="5"/>
    <s v="Olivier Bivegete"/>
    <s v="o.hategeka@bdf.rw"/>
    <n v="788459057"/>
    <m/>
    <m/>
    <m/>
  </r>
  <r>
    <s v="C000234"/>
    <x v="179"/>
    <s v="Gisagara Telecener"/>
    <s v="Gisagara"/>
    <x v="0"/>
    <x v="0"/>
    <s v="Standard"/>
    <x v="0"/>
    <x v="0"/>
    <n v="1"/>
    <s v="FIBER VPN 1MBPS "/>
    <m/>
    <n v="1"/>
    <n v="90000"/>
    <n v="90000"/>
    <s v="Monthly"/>
    <d v="2024-02-28T00:00:00"/>
    <x v="7"/>
    <x v="4"/>
    <n v="-236"/>
    <x v="1"/>
    <x v="5"/>
    <s v="Olivier Bivegete"/>
    <s v="o.hategeka@bdf.rw"/>
    <n v="788459057"/>
    <m/>
    <m/>
    <m/>
  </r>
  <r>
    <s v="C000234"/>
    <x v="179"/>
    <s v="Huye Telecenter"/>
    <s v="Huye"/>
    <x v="0"/>
    <x v="0"/>
    <s v="Standard"/>
    <x v="0"/>
    <x v="0"/>
    <n v="1"/>
    <s v="FIBER VPN 1MBPS "/>
    <m/>
    <n v="1"/>
    <n v="90000"/>
    <n v="90000"/>
    <s v="Monthly"/>
    <d v="2024-02-28T00:00:00"/>
    <x v="7"/>
    <x v="4"/>
    <n v="-236"/>
    <x v="1"/>
    <x v="5"/>
    <s v="Olivier Bivegete"/>
    <s v="o.hategeka@bdf.rw"/>
    <n v="788459057"/>
    <m/>
    <m/>
    <m/>
  </r>
  <r>
    <s v="C000234"/>
    <x v="179"/>
    <s v="Karongi Telecenter"/>
    <s v="Karongi"/>
    <x v="0"/>
    <x v="0"/>
    <s v="Standard"/>
    <x v="0"/>
    <x v="0"/>
    <n v="1"/>
    <s v="FIBER VPN 1MBPS "/>
    <m/>
    <n v="1"/>
    <n v="90000"/>
    <n v="90000"/>
    <s v="Monthly"/>
    <d v="2024-02-28T00:00:00"/>
    <x v="7"/>
    <x v="4"/>
    <n v="-236"/>
    <x v="1"/>
    <x v="5"/>
    <s v="Olivier Bivegete"/>
    <s v="o.hategeka@bdf.rw"/>
    <n v="788459057"/>
    <m/>
    <m/>
    <m/>
  </r>
  <r>
    <s v="C000234"/>
    <x v="179"/>
    <s v="Kayonza Telecenter"/>
    <s v="Kayonza"/>
    <x v="0"/>
    <x v="0"/>
    <s v="Standard"/>
    <x v="0"/>
    <x v="0"/>
    <n v="1"/>
    <s v="FIBER VPN 1MBPS "/>
    <m/>
    <n v="1"/>
    <n v="90000"/>
    <n v="90000"/>
    <s v="Monthly"/>
    <d v="2024-02-28T00:00:00"/>
    <x v="7"/>
    <x v="4"/>
    <n v="-236"/>
    <x v="1"/>
    <x v="5"/>
    <s v="Olivier Bivegete"/>
    <s v="o.hategeka@bdf.rw"/>
    <n v="788459057"/>
    <m/>
    <m/>
    <m/>
  </r>
  <r>
    <s v="C000234"/>
    <x v="179"/>
    <s v="Gatenga Telecenter"/>
    <s v="Kicukiro"/>
    <x v="0"/>
    <x v="0"/>
    <s v="Standard"/>
    <x v="0"/>
    <x v="0"/>
    <n v="1"/>
    <s v="FIBER VPN 1MBPS "/>
    <m/>
    <n v="1"/>
    <n v="90000"/>
    <n v="90000"/>
    <s v="Monthly"/>
    <d v="2024-02-28T00:00:00"/>
    <x v="7"/>
    <x v="4"/>
    <n v="-236"/>
    <x v="1"/>
    <x v="5"/>
    <s v="Olivier Bivegete"/>
    <s v="o.hategeka@bdf.rw"/>
    <n v="788459057"/>
    <m/>
    <m/>
    <m/>
  </r>
  <r>
    <s v="C000234"/>
    <x v="179"/>
    <s v="Kirehe Telecenter"/>
    <s v="Kirehe"/>
    <x v="0"/>
    <x v="0"/>
    <s v="Standard"/>
    <x v="0"/>
    <x v="0"/>
    <n v="1"/>
    <s v="FIBER VPN 1MBPS "/>
    <m/>
    <n v="1"/>
    <n v="90000"/>
    <n v="90000"/>
    <s v="Monthly"/>
    <d v="2024-02-28T00:00:00"/>
    <x v="7"/>
    <x v="4"/>
    <n v="-236"/>
    <x v="1"/>
    <x v="5"/>
    <s v="Olivier Bivegete"/>
    <s v="o.hategeka@bdf.rw"/>
    <n v="788459057"/>
    <m/>
    <m/>
    <m/>
  </r>
  <r>
    <s v="C000234"/>
    <x v="179"/>
    <s v="Muhanga Telecenter"/>
    <s v="Muhanga"/>
    <x v="0"/>
    <x v="0"/>
    <s v="Standard"/>
    <x v="0"/>
    <x v="0"/>
    <n v="1"/>
    <s v="FIBER VPN 1MBPS "/>
    <m/>
    <n v="1"/>
    <n v="90000"/>
    <n v="90000"/>
    <s v="Monthly"/>
    <d v="2024-02-28T00:00:00"/>
    <x v="7"/>
    <x v="4"/>
    <n v="-236"/>
    <x v="1"/>
    <x v="5"/>
    <s v="Olivier Bivegete"/>
    <s v="o.hategeka@bdf.rw"/>
    <n v="788459057"/>
    <m/>
    <m/>
    <m/>
  </r>
  <r>
    <s v="C000234"/>
    <x v="179"/>
    <s v="Ngoma Telecenter"/>
    <s v="Ngoma"/>
    <x v="0"/>
    <x v="0"/>
    <s v="Standard"/>
    <x v="0"/>
    <x v="0"/>
    <n v="1"/>
    <s v="FIBER VPN 1MBPS "/>
    <m/>
    <n v="1"/>
    <n v="90000"/>
    <n v="90000"/>
    <s v="Monthly"/>
    <d v="2024-02-28T00:00:00"/>
    <x v="7"/>
    <x v="4"/>
    <n v="-236"/>
    <x v="1"/>
    <x v="5"/>
    <s v="Olivier Bivegete"/>
    <s v="o.hategeka@bdf.rw"/>
    <n v="788459057"/>
    <m/>
    <m/>
    <m/>
  </r>
  <r>
    <s v="C000234"/>
    <x v="179"/>
    <s v="Ngororero Telecenter"/>
    <s v="Ngororero"/>
    <x v="0"/>
    <x v="0"/>
    <s v="Standard"/>
    <x v="0"/>
    <x v="0"/>
    <n v="1"/>
    <s v="FIBER VPN 1MBPS "/>
    <m/>
    <n v="1"/>
    <n v="90000"/>
    <n v="90000"/>
    <s v="Monthly"/>
    <d v="2024-02-28T00:00:00"/>
    <x v="7"/>
    <x v="4"/>
    <n v="-236"/>
    <x v="1"/>
    <x v="5"/>
    <s v="Olivier Bivegete"/>
    <s v="o.hategeka@bdf.rw"/>
    <n v="788459057"/>
    <m/>
    <m/>
    <m/>
  </r>
  <r>
    <s v="C000234"/>
    <x v="179"/>
    <s v="Nyabihu Telecenter"/>
    <s v="Nyabihu"/>
    <x v="0"/>
    <x v="0"/>
    <s v="Standard"/>
    <x v="0"/>
    <x v="0"/>
    <n v="1"/>
    <s v="FIBER VPN 1MBPS "/>
    <m/>
    <n v="1"/>
    <n v="90000"/>
    <n v="90000"/>
    <s v="Monthly"/>
    <d v="2024-02-28T00:00:00"/>
    <x v="7"/>
    <x v="4"/>
    <n v="-236"/>
    <x v="1"/>
    <x v="5"/>
    <s v="Olivier Bivegete"/>
    <s v="o.hategeka@bdf.rw"/>
    <n v="788459057"/>
    <m/>
    <m/>
    <m/>
  </r>
  <r>
    <s v="C000234"/>
    <x v="179"/>
    <s v="Nyagatare Telecenter"/>
    <s v="Nyagatare"/>
    <x v="0"/>
    <x v="0"/>
    <s v="Standard"/>
    <x v="0"/>
    <x v="0"/>
    <n v="1"/>
    <s v="FIBER VPN 1MBPS "/>
    <m/>
    <n v="1"/>
    <n v="90000"/>
    <n v="90000"/>
    <s v="Monthly"/>
    <d v="2024-02-28T00:00:00"/>
    <x v="7"/>
    <x v="4"/>
    <n v="-236"/>
    <x v="1"/>
    <x v="5"/>
    <s v="Olivier Bivegete"/>
    <s v="o.hategeka@bdf.rw"/>
    <n v="788459057"/>
    <m/>
    <m/>
    <m/>
  </r>
  <r>
    <s v="C000234"/>
    <x v="179"/>
    <s v="Nyamasheke Telecenter"/>
    <s v="Nyamasheke"/>
    <x v="0"/>
    <x v="0"/>
    <s v="Standard"/>
    <x v="0"/>
    <x v="0"/>
    <n v="1"/>
    <s v="FIBER VPN 1MBPS "/>
    <m/>
    <n v="1"/>
    <n v="90000"/>
    <n v="90000"/>
    <s v="Monthly"/>
    <d v="2024-02-28T00:00:00"/>
    <x v="7"/>
    <x v="4"/>
    <n v="-236"/>
    <x v="1"/>
    <x v="5"/>
    <s v="Olivier Bivegete"/>
    <s v="o.hategeka@bdf.rw"/>
    <n v="788459057"/>
    <m/>
    <m/>
    <m/>
  </r>
  <r>
    <s v="C000234"/>
    <x v="179"/>
    <s v="Nyanza Telecenter"/>
    <s v="Nyanza"/>
    <x v="0"/>
    <x v="0"/>
    <s v="Standard"/>
    <x v="0"/>
    <x v="0"/>
    <n v="1"/>
    <s v="FIBER VPN 1MBPS "/>
    <m/>
    <n v="1"/>
    <n v="90000"/>
    <n v="90000"/>
    <s v="Monthly"/>
    <d v="2024-02-28T00:00:00"/>
    <x v="7"/>
    <x v="4"/>
    <n v="-236"/>
    <x v="1"/>
    <x v="5"/>
    <s v="Olivier Bivegete"/>
    <s v="o.hategeka@bdf.rw"/>
    <n v="788459057"/>
    <m/>
    <m/>
    <m/>
  </r>
  <r>
    <s v="C000225"/>
    <x v="179"/>
    <s v="BDF HQ"/>
    <s v="Nyarugenge"/>
    <x v="0"/>
    <x v="0"/>
    <s v="Standard"/>
    <x v="0"/>
    <x v="0"/>
    <n v="1"/>
    <s v="Fiber VPN 1MBPS"/>
    <m/>
    <n v="1"/>
    <n v="90000"/>
    <n v="90000"/>
    <s v="Monthly"/>
    <d v="2024-02-28T00:00:00"/>
    <x v="7"/>
    <x v="4"/>
    <n v="-236"/>
    <x v="1"/>
    <x v="5"/>
    <s v="Olivier Bivegete"/>
    <s v="o.hategeka@bdf.rw"/>
    <n v="788459057"/>
    <m/>
    <m/>
    <m/>
  </r>
  <r>
    <s v="C000234"/>
    <x v="179"/>
    <s v="Nyaruguru Telecenter"/>
    <s v="Nyaruguru"/>
    <x v="0"/>
    <x v="0"/>
    <s v="Standard"/>
    <x v="0"/>
    <x v="0"/>
    <n v="1"/>
    <s v="FIBER VPN 1MBPS "/>
    <m/>
    <n v="1"/>
    <n v="90000"/>
    <n v="90000"/>
    <s v="Monthly"/>
    <d v="2024-02-28T00:00:00"/>
    <x v="7"/>
    <x v="4"/>
    <n v="-236"/>
    <x v="1"/>
    <x v="5"/>
    <s v="Olivier Bivegete"/>
    <s v="o.hategeka@bdf.rw"/>
    <n v="788459057"/>
    <m/>
    <m/>
    <m/>
  </r>
  <r>
    <s v="C000234"/>
    <x v="179"/>
    <s v="Ruhango Telecenter"/>
    <s v="Ruhango"/>
    <x v="0"/>
    <x v="0"/>
    <s v="Standard"/>
    <x v="0"/>
    <x v="0"/>
    <n v="1"/>
    <s v="Fiber VPN 1MBPS"/>
    <m/>
    <n v="1"/>
    <n v="90000"/>
    <n v="90000"/>
    <s v="Monthly"/>
    <d v="2024-02-28T00:00:00"/>
    <x v="7"/>
    <x v="4"/>
    <n v="-236"/>
    <x v="1"/>
    <x v="5"/>
    <s v="Olivier Bivegete"/>
    <s v="o.hategeka@bdf.rw"/>
    <n v="788459057"/>
    <m/>
    <m/>
    <m/>
  </r>
  <r>
    <s v="C000234"/>
    <x v="179"/>
    <s v="Rutsiro Telecenter"/>
    <s v="Rutsiro"/>
    <x v="0"/>
    <x v="0"/>
    <s v="Standard"/>
    <x v="0"/>
    <x v="0"/>
    <n v="1"/>
    <s v="FIBER VPN 1MBPS "/>
    <m/>
    <n v="1"/>
    <n v="90000"/>
    <n v="90000"/>
    <s v="Monthly"/>
    <d v="2024-02-28T00:00:00"/>
    <x v="7"/>
    <x v="4"/>
    <n v="-236"/>
    <x v="1"/>
    <x v="5"/>
    <s v="Olivier Bivegete"/>
    <s v="o.hategeka@bdf.rw"/>
    <n v="788459057"/>
    <m/>
    <m/>
    <m/>
  </r>
  <r>
    <s v="C000234"/>
    <x v="179"/>
    <s v="Rwamagana Telecenter"/>
    <s v="Rwamagana  "/>
    <x v="0"/>
    <x v="0"/>
    <s v="Standard"/>
    <x v="0"/>
    <x v="0"/>
    <n v="1"/>
    <s v="FIBER VPN 1MBPS "/>
    <m/>
    <n v="1"/>
    <n v="90000"/>
    <n v="90000"/>
    <s v="Monthly"/>
    <d v="2024-02-28T00:00:00"/>
    <x v="7"/>
    <x v="4"/>
    <n v="-236"/>
    <x v="1"/>
    <x v="5"/>
    <s v="Olivier Bivegete"/>
    <s v="o.hategeka@bdf.rw"/>
    <n v="788459057"/>
    <m/>
    <m/>
    <m/>
  </r>
  <r>
    <s v="C000234"/>
    <x v="179"/>
    <s v="Musanze Telecenter"/>
    <s v="Musanze"/>
    <x v="0"/>
    <x v="0"/>
    <s v="Standard"/>
    <x v="0"/>
    <x v="0"/>
    <n v="3"/>
    <s v="FIBER VPN 3MBPS "/>
    <m/>
    <n v="1"/>
    <n v="180000"/>
    <n v="180000"/>
    <s v="Monthly"/>
    <d v="2024-02-28T00:00:00"/>
    <x v="7"/>
    <x v="4"/>
    <n v="-236"/>
    <x v="1"/>
    <x v="5"/>
    <s v="Olivier Bivegete"/>
    <s v="o.hategeka@bdf.rw"/>
    <n v="788459057"/>
    <m/>
    <m/>
    <m/>
  </r>
  <r>
    <s v="C000234"/>
    <x v="179"/>
    <s v="Rusizi Telecenter"/>
    <s v="Rusizi"/>
    <x v="0"/>
    <x v="0"/>
    <s v="Standard"/>
    <x v="0"/>
    <x v="0"/>
    <n v="3"/>
    <s v="FIBER VPN 1MBPS "/>
    <m/>
    <n v="1"/>
    <n v="180000"/>
    <n v="180000"/>
    <s v="Monthly"/>
    <d v="2024-02-28T00:00:00"/>
    <x v="7"/>
    <x v="4"/>
    <n v="-236"/>
    <x v="1"/>
    <x v="5"/>
    <s v="Olivier Bivegete"/>
    <s v="o.hategeka@bdf.rw"/>
    <n v="788459057"/>
    <m/>
    <m/>
    <m/>
  </r>
  <r>
    <s v="C000225"/>
    <x v="179"/>
    <s v="BDF HQ"/>
    <s v="Nyarugenge"/>
    <x v="0"/>
    <x v="0"/>
    <s v="Standard"/>
    <x v="0"/>
    <x v="0"/>
    <n v="10"/>
    <s v="Fiber VPN 10MBPS "/>
    <m/>
    <n v="1"/>
    <n v="510000"/>
    <n v="510000"/>
    <s v="Monthly"/>
    <d v="2024-02-28T00:00:00"/>
    <x v="7"/>
    <x v="4"/>
    <n v="-236"/>
    <x v="1"/>
    <x v="5"/>
    <s v="Olivier Bivegete"/>
    <s v="o.hategeka@bdf.rw"/>
    <n v="788459057"/>
    <m/>
    <m/>
    <m/>
  </r>
  <r>
    <s v="C000225"/>
    <x v="179"/>
    <s v="Gakenke Telecenter"/>
    <s v="Gakenke"/>
    <x v="0"/>
    <x v="0"/>
    <s v="Standard"/>
    <x v="0"/>
    <x v="6"/>
    <m/>
    <s v="4G ONE NETWORK 3MBPS"/>
    <m/>
    <n v="1"/>
    <n v="81355.932203389835"/>
    <n v="81355.932203389835"/>
    <s v="Monthly"/>
    <d v="2024-02-28T00:00:00"/>
    <x v="7"/>
    <x v="4"/>
    <n v="-236"/>
    <x v="1"/>
    <x v="5"/>
    <s v="Olivier Bivegete"/>
    <s v="o.hategeka@bdf.rw"/>
    <n v="788459057"/>
    <m/>
    <m/>
    <m/>
  </r>
  <r>
    <s v="C000225"/>
    <x v="179"/>
    <s v="Kamonyi Telecenter"/>
    <s v="Kamonyi"/>
    <x v="0"/>
    <x v="0"/>
    <s v="Standard"/>
    <x v="0"/>
    <x v="6"/>
    <m/>
    <s v="4G ONE NETWORK 3MBPS"/>
    <m/>
    <n v="1"/>
    <n v="81355.932203389835"/>
    <n v="81355.932203389835"/>
    <s v="Monthly"/>
    <d v="2024-02-28T00:00:00"/>
    <x v="7"/>
    <x v="4"/>
    <n v="-236"/>
    <x v="1"/>
    <x v="5"/>
    <s v="Olivier Bivegete"/>
    <s v="o.hategeka@bdf.rw"/>
    <n v="788459057"/>
    <m/>
    <m/>
    <m/>
  </r>
  <r>
    <s v="C000225"/>
    <x v="179"/>
    <s v="Nyamagabe Telecenter "/>
    <s v="Nyamagabe"/>
    <x v="0"/>
    <x v="0"/>
    <s v="Standard"/>
    <x v="0"/>
    <x v="6"/>
    <m/>
    <s v="4G ONE NETWORK 3MBPS"/>
    <m/>
    <n v="1"/>
    <n v="81355.932203389835"/>
    <n v="81355.932203389835"/>
    <s v="Monthly"/>
    <d v="2024-02-28T00:00:00"/>
    <x v="7"/>
    <x v="4"/>
    <n v="-236"/>
    <x v="1"/>
    <x v="5"/>
    <s v="Olivier Bivegete"/>
    <s v="o.hategeka@bdf.rw"/>
    <n v="788459057"/>
    <m/>
    <m/>
    <m/>
  </r>
  <r>
    <s v="C004355"/>
    <x v="180"/>
    <s v="ENABEL/KWIGIRA PROJECT"/>
    <s v="Gasabo"/>
    <x v="1"/>
    <x v="6"/>
    <s v="Standard"/>
    <x v="0"/>
    <x v="6"/>
    <m/>
    <s v="MUP 8GB/DAY"/>
    <m/>
    <n v="20"/>
    <n v="77711.86440677967"/>
    <n v="1554237.2881355933"/>
    <s v="Year"/>
    <d v="2024-02-28T00:00:00"/>
    <x v="7"/>
    <x v="4"/>
    <n v="-236"/>
    <x v="1"/>
    <x v="6"/>
    <s v="LYSE UWINGABIRE"/>
    <s v="lyse.uwingabire@enabel.be"/>
    <s v="0788388137"/>
    <m/>
    <m/>
    <m/>
  </r>
  <r>
    <s v="C003110"/>
    <x v="181"/>
    <s v="Fiber Internet: Ferwafa HQ"/>
    <s v="Gasabo"/>
    <x v="1"/>
    <x v="7"/>
    <s v="Standard"/>
    <x v="0"/>
    <x v="5"/>
    <n v="10"/>
    <s v="Fiber Broadband Internet 10Mbps"/>
    <m/>
    <n v="1"/>
    <n v="510000"/>
    <n v="510000"/>
    <s v="Monthly"/>
    <d v="2024-02-28T00:00:00"/>
    <x v="7"/>
    <x v="4"/>
    <n v="-236"/>
    <x v="1"/>
    <x v="1"/>
    <s v="IRAGUHA David "/>
    <s v="iragyhadavid@gmail.com"/>
    <s v="0 788 328208"/>
    <m/>
    <m/>
    <m/>
  </r>
  <r>
    <s v="C002249"/>
    <x v="182"/>
    <s v="GS KABARE"/>
    <s v="Kirehe"/>
    <x v="0"/>
    <x v="4"/>
    <s v="Standard"/>
    <x v="0"/>
    <x v="0"/>
    <n v="3"/>
    <s v="fiber vpn 3mbps"/>
    <m/>
    <n v="1"/>
    <n v="180000"/>
    <n v="180000"/>
    <s v="Monthly"/>
    <d v="2024-02-28T00:00:00"/>
    <x v="7"/>
    <x v="4"/>
    <n v="-236"/>
    <x v="1"/>
    <x v="4"/>
    <s v="Anicet"/>
    <s v="anindacet@yahoo.fr;groupekabare@gmail.com"/>
    <n v="788683002"/>
    <m/>
    <m/>
    <m/>
  </r>
  <r>
    <s v="C001419"/>
    <x v="183"/>
    <s v="MINECOFIN 4G Service"/>
    <s v="Nyarugenge"/>
    <x v="0"/>
    <x v="0"/>
    <s v="Standard"/>
    <x v="0"/>
    <x v="6"/>
    <m/>
    <s v="4G MUP 2GB/DAY"/>
    <m/>
    <n v="11"/>
    <n v="28305.084746"/>
    <n v="311355.93220600003"/>
    <s v="Monthly"/>
    <d v="2024-02-28T00:00:00"/>
    <x v="7"/>
    <x v="4"/>
    <n v="-236"/>
    <x v="1"/>
    <x v="1"/>
    <s v="Florent Kwizera"/>
    <s v="florent.kwizera@minecofin.gov.rw"/>
    <s v="0 788 599711"/>
    <m/>
    <m/>
    <m/>
  </r>
  <r>
    <s v="C001587"/>
    <x v="184"/>
    <s v="MURUNDA-MAIN BRANCH"/>
    <s v="Rutsiro"/>
    <x v="0"/>
    <x v="6"/>
    <s v="Standard"/>
    <x v="0"/>
    <x v="0"/>
    <n v="5"/>
    <s v="FIBER VPN 5MBPS"/>
    <m/>
    <n v="1"/>
    <n v="270000"/>
    <n v="270000"/>
    <s v="Monthly"/>
    <d v="2024-02-28T00:00:00"/>
    <x v="7"/>
    <x v="4"/>
    <n v="-236"/>
    <x v="1"/>
    <x v="6"/>
    <s v="MUKESHIMANA Rosalie"/>
    <s v="murunda.hospital@moh.gov.rw"/>
    <n v="788855310"/>
    <m/>
    <m/>
    <m/>
  </r>
  <r>
    <s v="C002046"/>
    <x v="185"/>
    <s v="MSS Gold Plus"/>
    <s v="Gasabo"/>
    <x v="0"/>
    <x v="0"/>
    <s v="VIP"/>
    <x v="1"/>
    <x v="7"/>
    <m/>
    <s v="MSS Gold Plus Package"/>
    <m/>
    <n v="1"/>
    <n v="541585"/>
    <n v="541585"/>
    <s v="Monthly"/>
    <d v="2024-02-28T00:00:00"/>
    <x v="7"/>
    <x v="4"/>
    <n v="-236"/>
    <x v="1"/>
    <x v="1"/>
    <s v="Gashugi Aimé Claude"/>
    <s v="agashugi@primature.gov.rw"/>
    <s v="0 788 529 042"/>
    <m/>
    <m/>
    <m/>
  </r>
  <r>
    <s v="C002046"/>
    <x v="185"/>
    <s v="PMO 4G LTE"/>
    <s v="Gasabo"/>
    <x v="0"/>
    <x v="0"/>
    <s v="VIP"/>
    <x v="0"/>
    <x v="6"/>
    <m/>
    <s v="4G 30GB Bundle"/>
    <m/>
    <n v="1"/>
    <n v="13559.322033"/>
    <n v="13559.322033"/>
    <s v="Monthly"/>
    <d v="2024-02-28T00:00:00"/>
    <x v="7"/>
    <x v="4"/>
    <n v="-236"/>
    <x v="1"/>
    <x v="1"/>
    <s v="Gashugi Aimé Claude"/>
    <s v="agashugi@primature.gov.rw"/>
    <s v="0 788 529 042"/>
    <m/>
    <m/>
    <m/>
  </r>
  <r>
    <s v="C002046"/>
    <x v="185"/>
    <s v="PMO 4G LTE"/>
    <s v="Gasabo"/>
    <x v="0"/>
    <x v="0"/>
    <s v="VIP"/>
    <x v="0"/>
    <x v="6"/>
    <m/>
    <s v="4G MUP 1GB/DAY"/>
    <m/>
    <n v="6"/>
    <n v="19491.525423999999"/>
    <n v="116949.152544"/>
    <s v="Monthly"/>
    <d v="2024-02-28T00:00:00"/>
    <x v="7"/>
    <x v="4"/>
    <n v="-236"/>
    <x v="1"/>
    <x v="1"/>
    <s v="Gashugi Aimé Claude"/>
    <s v="agashugi@primature.gov.rw"/>
    <s v="0 788 529 042"/>
    <m/>
    <m/>
    <m/>
  </r>
  <r>
    <s v="C002046"/>
    <x v="185"/>
    <s v="PMO 4G LTE"/>
    <s v="Gasabo"/>
    <x v="0"/>
    <x v="0"/>
    <s v="VIP"/>
    <x v="0"/>
    <x v="6"/>
    <m/>
    <s v="4G MUP 2GB/DAY"/>
    <m/>
    <n v="10"/>
    <n v="28305.084746"/>
    <n v="283050.84746000002"/>
    <s v="Monthly"/>
    <d v="2024-02-28T00:00:00"/>
    <x v="7"/>
    <x v="4"/>
    <n v="-236"/>
    <x v="1"/>
    <x v="1"/>
    <s v="Gashugi Aimé Claude"/>
    <s v="agashugi@primature.gov.rw"/>
    <s v="0 788 529 042"/>
    <m/>
    <m/>
    <m/>
  </r>
  <r>
    <s v="C002046"/>
    <x v="185"/>
    <s v="PMO 4G LTE"/>
    <s v="Gasabo"/>
    <x v="0"/>
    <x v="0"/>
    <s v="VIP"/>
    <x v="0"/>
    <x v="6"/>
    <m/>
    <s v="4G MUP 4GB/DAY"/>
    <m/>
    <n v="12"/>
    <n v="45338.983051000003"/>
    <n v="544067.79661200009"/>
    <s v="Monthly"/>
    <d v="2024-02-28T00:00:00"/>
    <x v="7"/>
    <x v="4"/>
    <n v="-236"/>
    <x v="1"/>
    <x v="1"/>
    <s v="Gashugi Aimé Claude"/>
    <s v="agashugi@primature.gov.rw"/>
    <s v="0 788 529 042"/>
    <m/>
    <m/>
    <m/>
  </r>
  <r>
    <s v="C003798"/>
    <x v="186"/>
    <s v="RCI HQ."/>
    <s v="Gasabo"/>
    <x v="0"/>
    <x v="7"/>
    <s v="Standard"/>
    <x v="1"/>
    <x v="0"/>
    <n v="30"/>
    <s v="FIBER VPN 30MBPS"/>
    <m/>
    <n v="1"/>
    <n v="1260000"/>
    <n v="1260000"/>
    <s v="Monthly"/>
    <d v="2024-02-28T00:00:00"/>
    <x v="7"/>
    <x v="4"/>
    <n v="-236"/>
    <x v="1"/>
    <x v="2"/>
    <s v="Dieudonne Dukuzumuremyi"/>
    <s v="dukuzumuremyi@cooperation.rw"/>
    <s v="0783-058-756"/>
    <m/>
    <m/>
    <m/>
  </r>
  <r>
    <s v="C003798"/>
    <x v="186"/>
    <s v="RCI HQ."/>
    <s v="Gasabo"/>
    <x v="0"/>
    <x v="7"/>
    <s v="Standard"/>
    <x v="3"/>
    <x v="7"/>
    <m/>
    <s v="MSS GOLD"/>
    <m/>
    <n v="1"/>
    <n v="369325"/>
    <n v="369325"/>
    <s v="Monthly"/>
    <d v="2024-02-28T00:00:00"/>
    <x v="7"/>
    <x v="4"/>
    <n v="-236"/>
    <x v="1"/>
    <x v="2"/>
    <s v="Dieudonne Dukuzumuremyi"/>
    <s v="dukuzumuremyi@cooperation.rw"/>
    <s v="0783-058-756"/>
    <m/>
    <m/>
    <m/>
  </r>
  <r>
    <s v="C003109"/>
    <x v="187"/>
    <s v="Bugesera prison"/>
    <s v="Bugesera"/>
    <x v="0"/>
    <x v="3"/>
    <s v="Standard"/>
    <x v="1"/>
    <x v="10"/>
    <m/>
    <s v="VIDEO CONFERENCE"/>
    <m/>
    <n v="1"/>
    <n v="223647.53"/>
    <n v="223647.53"/>
    <s v="Monthly"/>
    <d v="2024-02-28T00:00:00"/>
    <x v="7"/>
    <x v="4"/>
    <n v="-236"/>
    <x v="1"/>
    <x v="5"/>
    <s v="Wilson Kabagambe"/>
    <s v="wilson.kabagambe@rcs.gov.rw"/>
    <n v="788828151"/>
    <m/>
    <m/>
    <m/>
  </r>
  <r>
    <s v="C003109"/>
    <x v="187"/>
    <s v="Mpaga Prison"/>
    <s v="Bugesera"/>
    <x v="0"/>
    <x v="3"/>
    <s v="Standard"/>
    <x v="1"/>
    <x v="10"/>
    <m/>
    <s v="VIDEO CONFERENCE"/>
    <m/>
    <n v="1"/>
    <n v="223647.53"/>
    <n v="223647.53"/>
    <s v="Monthly"/>
    <d v="2024-02-28T00:00:00"/>
    <x v="7"/>
    <x v="4"/>
    <n v="-236"/>
    <x v="1"/>
    <x v="5"/>
    <s v="Wilson Kabagambe"/>
    <s v="wilson.kabagambe@rcs.gov.rw"/>
    <n v="788828151"/>
    <m/>
    <m/>
    <m/>
  </r>
  <r>
    <s v="C003109"/>
    <x v="187"/>
    <s v="Gicumbi Prison"/>
    <s v="Gicumbi"/>
    <x v="0"/>
    <x v="3"/>
    <s v="Standard"/>
    <x v="1"/>
    <x v="10"/>
    <m/>
    <s v="VIDEO CONFERENCE"/>
    <m/>
    <n v="1"/>
    <n v="223647.53"/>
    <n v="223647.53"/>
    <s v="Monthly"/>
    <d v="2024-02-28T00:00:00"/>
    <x v="7"/>
    <x v="4"/>
    <n v="-236"/>
    <x v="1"/>
    <x v="5"/>
    <s v="Wilson Kabagambe"/>
    <s v="wilson.kabagambe@rcs.gov.rw"/>
    <n v="788828151"/>
    <m/>
    <m/>
    <m/>
  </r>
  <r>
    <s v="C003109"/>
    <x v="187"/>
    <s v="Huye prison"/>
    <s v="Huye"/>
    <x v="0"/>
    <x v="3"/>
    <s v="Standard"/>
    <x v="1"/>
    <x v="10"/>
    <m/>
    <s v="VIDEO CONFERENCE"/>
    <m/>
    <n v="1"/>
    <n v="223647.53"/>
    <n v="223647.53"/>
    <s v="Monthly"/>
    <d v="2024-02-28T00:00:00"/>
    <x v="7"/>
    <x v="4"/>
    <n v="-236"/>
    <x v="1"/>
    <x v="5"/>
    <s v="Wilson Kabagambe"/>
    <s v="wilson.kabagambe@rcs.gov.rw"/>
    <n v="788828151"/>
    <m/>
    <m/>
    <m/>
  </r>
  <r>
    <s v="C003109"/>
    <x v="187"/>
    <s v="RCS HQ"/>
    <s v="Kicukiro"/>
    <x v="0"/>
    <x v="3"/>
    <s v="Standard"/>
    <x v="1"/>
    <x v="10"/>
    <m/>
    <s v="VIDEO CONFERENCE"/>
    <m/>
    <n v="1"/>
    <n v="223647.53"/>
    <n v="223647.53"/>
    <s v="Monthly"/>
    <d v="2024-02-28T00:00:00"/>
    <x v="7"/>
    <x v="4"/>
    <n v="-236"/>
    <x v="1"/>
    <x v="5"/>
    <s v="Wilson Kabagambe"/>
    <s v="wilson.kabagambe@rcs.gov.rw"/>
    <n v="788828151"/>
    <m/>
    <m/>
    <m/>
  </r>
  <r>
    <s v="C003109"/>
    <x v="187"/>
    <s v="Muhanga Prison"/>
    <s v="Muhanga"/>
    <x v="0"/>
    <x v="3"/>
    <s v="Standard"/>
    <x v="1"/>
    <x v="10"/>
    <m/>
    <s v="VIDEO CONFERENCE"/>
    <m/>
    <n v="1"/>
    <n v="223647.53"/>
    <n v="223647.53"/>
    <s v="Monthly"/>
    <d v="2024-02-28T00:00:00"/>
    <x v="7"/>
    <x v="4"/>
    <n v="-236"/>
    <x v="1"/>
    <x v="5"/>
    <s v="Wilson Kabagambe"/>
    <s v="wilson.kabagambe@rcs.gov.rw"/>
    <n v="788828151"/>
    <m/>
    <m/>
    <m/>
  </r>
  <r>
    <s v="C003109"/>
    <x v="187"/>
    <s v="Musanze Prison"/>
    <s v="Musanze"/>
    <x v="0"/>
    <x v="3"/>
    <s v="Standard"/>
    <x v="1"/>
    <x v="10"/>
    <m/>
    <s v="VIDEO CONFERENCE"/>
    <m/>
    <n v="1"/>
    <n v="223647.53"/>
    <n v="223647.53"/>
    <s v="Monthly"/>
    <d v="2024-02-28T00:00:00"/>
    <x v="7"/>
    <x v="4"/>
    <n v="-236"/>
    <x v="1"/>
    <x v="5"/>
    <s v="Wilson Kabagambe"/>
    <s v="wilson.kabagambe@rcs.gov.rw"/>
    <n v="788828151"/>
    <m/>
    <m/>
    <m/>
  </r>
  <r>
    <s v="C003109"/>
    <x v="187"/>
    <s v="Ngoma Prison"/>
    <s v="Ngoma"/>
    <x v="0"/>
    <x v="3"/>
    <s v="Standard"/>
    <x v="1"/>
    <x v="10"/>
    <m/>
    <s v="VIDEO CONFERENCE"/>
    <m/>
    <n v="1"/>
    <n v="223647.53"/>
    <n v="223647.53"/>
    <s v="Monthly"/>
    <d v="2024-02-28T00:00:00"/>
    <x v="7"/>
    <x v="4"/>
    <n v="-236"/>
    <x v="1"/>
    <x v="5"/>
    <s v="Wilson Kabagambe"/>
    <s v="wilson.kabagambe@rcs.gov.rw"/>
    <n v="788828151"/>
    <m/>
    <m/>
    <m/>
  </r>
  <r>
    <s v="C003109"/>
    <x v="187"/>
    <s v="Nyagatare Prison"/>
    <s v="Nyagatare"/>
    <x v="0"/>
    <x v="3"/>
    <s v="Standard"/>
    <x v="1"/>
    <x v="10"/>
    <m/>
    <s v="VIDEO CONFERENCE"/>
    <m/>
    <n v="1"/>
    <n v="223647.53"/>
    <n v="223647.53"/>
    <s v="Monthly"/>
    <d v="2024-02-28T00:00:00"/>
    <x v="7"/>
    <x v="4"/>
    <n v="-236"/>
    <x v="1"/>
    <x v="5"/>
    <s v="Wilson Kabagambe"/>
    <s v="wilson.kabagambe@rcs.gov.rw"/>
    <n v="788828151"/>
    <m/>
    <m/>
    <m/>
  </r>
  <r>
    <s v="C003109"/>
    <x v="187"/>
    <s v="Nyamagabe prison"/>
    <s v="Nyamagabe"/>
    <x v="0"/>
    <x v="3"/>
    <s v="Standard"/>
    <x v="1"/>
    <x v="10"/>
    <m/>
    <s v="VIDEO CONFERENCE"/>
    <m/>
    <n v="1"/>
    <n v="223647.53"/>
    <n v="223647.53"/>
    <s v="Monthly"/>
    <d v="2024-02-28T00:00:00"/>
    <x v="7"/>
    <x v="4"/>
    <n v="-236"/>
    <x v="1"/>
    <x v="5"/>
    <s v="Wilson Kabagambe"/>
    <s v="wilson.kabagambe@rcs.gov.rw"/>
    <n v="788828151"/>
    <m/>
    <m/>
    <m/>
  </r>
  <r>
    <s v="C003109"/>
    <x v="187"/>
    <s v="Nyarugenge Prison"/>
    <s v="Nyarugenge"/>
    <x v="0"/>
    <x v="3"/>
    <s v="Standard"/>
    <x v="1"/>
    <x v="10"/>
    <m/>
    <s v="VIDEO CONFERENCE"/>
    <m/>
    <n v="1"/>
    <n v="223647.53"/>
    <n v="223647.53"/>
    <s v="Monthly"/>
    <d v="2024-02-28T00:00:00"/>
    <x v="7"/>
    <x v="4"/>
    <n v="-236"/>
    <x v="1"/>
    <x v="5"/>
    <s v="Wilson Kabagambe"/>
    <s v="wilson.kabagambe@rcs.gov.rw"/>
    <n v="788828151"/>
    <m/>
    <m/>
    <m/>
  </r>
  <r>
    <s v="C003109"/>
    <x v="187"/>
    <s v="Rubavu Prison"/>
    <s v="Rubavu"/>
    <x v="0"/>
    <x v="3"/>
    <s v="Standard"/>
    <x v="1"/>
    <x v="10"/>
    <m/>
    <s v="VIDEO CONFERENCE"/>
    <m/>
    <n v="1"/>
    <n v="223647.53"/>
    <n v="223647.53"/>
    <s v="Monthly"/>
    <d v="2024-02-28T00:00:00"/>
    <x v="7"/>
    <x v="4"/>
    <n v="-236"/>
    <x v="1"/>
    <x v="5"/>
    <s v="Wilson Kabagambe"/>
    <s v="wilson.kabagambe@rcs.gov.rw"/>
    <n v="788828151"/>
    <m/>
    <m/>
    <m/>
  </r>
  <r>
    <s v="C003109"/>
    <x v="187"/>
    <s v="Rusizi Prison"/>
    <s v="Rusizi"/>
    <x v="0"/>
    <x v="3"/>
    <s v="Standard"/>
    <x v="1"/>
    <x v="10"/>
    <m/>
    <s v="VIDEO CONFERENCE"/>
    <m/>
    <n v="1"/>
    <n v="223647.53"/>
    <n v="223647.53"/>
    <s v="Monthly"/>
    <d v="2024-02-28T00:00:00"/>
    <x v="7"/>
    <x v="4"/>
    <n v="-236"/>
    <x v="1"/>
    <x v="5"/>
    <s v="Wilson Kabagambe"/>
    <s v="wilson.kabagambe@rcs.gov.rw"/>
    <n v="788828151"/>
    <m/>
    <m/>
    <m/>
  </r>
  <r>
    <s v="C003109"/>
    <x v="187"/>
    <s v="Rwamagana Trainning school"/>
    <s v="Rwamagana  "/>
    <x v="0"/>
    <x v="3"/>
    <s v="Standard"/>
    <x v="1"/>
    <x v="10"/>
    <m/>
    <s v="VIDEO CONFERENCE"/>
    <m/>
    <n v="1"/>
    <n v="223647.53"/>
    <n v="223647.53"/>
    <s v="Monthly"/>
    <d v="2024-02-28T00:00:00"/>
    <x v="7"/>
    <x v="4"/>
    <n v="-236"/>
    <x v="1"/>
    <x v="5"/>
    <s v="Wilson Kabagambe"/>
    <s v="wilson.kabagambe@rcs.gov.rw"/>
    <n v="788828151"/>
    <m/>
    <m/>
    <m/>
  </r>
  <r>
    <s v="C003109"/>
    <x v="187"/>
    <s v="Rwamagana Prison"/>
    <s v="Rwamagana  "/>
    <x v="0"/>
    <x v="3"/>
    <s v="Standard"/>
    <x v="1"/>
    <x v="10"/>
    <m/>
    <s v="VIDEO CONFERENCE"/>
    <m/>
    <n v="1"/>
    <n v="223647.53"/>
    <n v="223647.53"/>
    <s v="Monthly"/>
    <d v="2024-02-28T00:00:00"/>
    <x v="7"/>
    <x v="4"/>
    <n v="-236"/>
    <x v="1"/>
    <x v="5"/>
    <s v="Wilson Kabagambe"/>
    <s v="wilson.kabagambe@rcs.gov.rw"/>
    <n v="788828151"/>
    <m/>
    <m/>
    <m/>
  </r>
  <r>
    <s v="C003574"/>
    <x v="188"/>
    <s v="RMS Ngoma Branch"/>
    <s v="Ngoma"/>
    <x v="0"/>
    <x v="6"/>
    <s v="Standard"/>
    <x v="0"/>
    <x v="0"/>
    <n v="3"/>
    <s v="FIBER VPN 3MBPS"/>
    <m/>
    <n v="1"/>
    <n v="180000"/>
    <n v="180000"/>
    <s v="Monthly"/>
    <d v="2024-02-28T00:00:00"/>
    <x v="7"/>
    <x v="4"/>
    <n v="-236"/>
    <x v="1"/>
    <x v="6"/>
    <s v="NZABANDORA Felix"/>
    <s v="nzabandoraf@gmail.com"/>
    <n v="788302709"/>
    <m/>
    <m/>
    <m/>
  </r>
  <r>
    <s v="C003574"/>
    <x v="188"/>
    <s v="RMS Nyamasheke Branch"/>
    <s v="Nyamasheke"/>
    <x v="0"/>
    <x v="6"/>
    <s v="Standard"/>
    <x v="0"/>
    <x v="0"/>
    <n v="5"/>
    <s v="FIBER VPN 5MBPS"/>
    <m/>
    <n v="1"/>
    <n v="270000"/>
    <n v="270000"/>
    <s v="Monthly"/>
    <d v="2024-02-28T00:00:00"/>
    <x v="7"/>
    <x v="4"/>
    <n v="-236"/>
    <x v="1"/>
    <x v="6"/>
    <s v="NZABANDORA Felix"/>
    <s v="nzabandoraf@gmail.com"/>
    <n v="788302709"/>
    <m/>
    <m/>
    <m/>
  </r>
  <r>
    <s v="C003574"/>
    <x v="188"/>
    <s v="RMS HQ"/>
    <s v="Gasabo"/>
    <x v="0"/>
    <x v="6"/>
    <s v="Standard"/>
    <x v="0"/>
    <x v="0"/>
    <n v="30"/>
    <s v="FIBER VPN 30MBPS"/>
    <m/>
    <n v="1"/>
    <n v="1260000"/>
    <n v="1260000"/>
    <s v="Monthly"/>
    <d v="2024-02-28T00:00:00"/>
    <x v="7"/>
    <x v="4"/>
    <n v="-236"/>
    <x v="1"/>
    <x v="6"/>
    <s v="NZABANDORA Felix"/>
    <s v="nzabandoraf@gmail.com"/>
    <n v="788302709"/>
    <m/>
    <m/>
    <m/>
  </r>
  <r>
    <s v="C003574"/>
    <x v="188"/>
    <s v="RMS Burera Branch"/>
    <s v="Burera"/>
    <x v="0"/>
    <x v="6"/>
    <s v="Standard"/>
    <x v="0"/>
    <x v="6"/>
    <m/>
    <s v="4G ONE NETWORK 3MBPS"/>
    <m/>
    <n v="1"/>
    <n v="81355.932203389835"/>
    <n v="81355.932203389835"/>
    <s v="Monthly"/>
    <d v="2024-02-28T00:00:00"/>
    <x v="7"/>
    <x v="4"/>
    <n v="-236"/>
    <x v="1"/>
    <x v="6"/>
    <s v="NZABANDORA Felix"/>
    <s v="nzabandoraf@gmail.com"/>
    <n v="788302709"/>
    <m/>
    <m/>
    <m/>
  </r>
  <r>
    <s v="C003574"/>
    <x v="188"/>
    <s v="RMS Burera Branch"/>
    <s v="Burera"/>
    <x v="0"/>
    <x v="6"/>
    <s v="Standard"/>
    <x v="0"/>
    <x v="6"/>
    <m/>
    <s v="4G MUP 1GB/DAY"/>
    <m/>
    <n v="1"/>
    <n v="19491.53"/>
    <n v="19491.53"/>
    <s v="Monthly"/>
    <d v="2024-02-28T00:00:00"/>
    <x v="7"/>
    <x v="4"/>
    <n v="-236"/>
    <x v="1"/>
    <x v="6"/>
    <s v="NZABANDORA Felix"/>
    <s v="nzabandoraf@gmail.com"/>
    <n v="788302709"/>
    <m/>
    <m/>
    <m/>
  </r>
  <r>
    <s v="C003574"/>
    <x v="188"/>
    <s v="RMS Musanze Branch"/>
    <s v="Musanze"/>
    <x v="0"/>
    <x v="6"/>
    <s v="Standard"/>
    <x v="0"/>
    <x v="6"/>
    <m/>
    <s v="4G MUP 8GB/DAY"/>
    <m/>
    <n v="1"/>
    <n v="77711.86440677967"/>
    <n v="77711.86440677967"/>
    <s v="Monthly"/>
    <d v="2024-02-28T00:00:00"/>
    <x v="7"/>
    <x v="4"/>
    <n v="-236"/>
    <x v="1"/>
    <x v="6"/>
    <s v="NZABANDORA Felix"/>
    <s v="nzabandoraf@gmail.com"/>
    <n v="788302709"/>
    <m/>
    <m/>
    <m/>
  </r>
  <r>
    <s v="C003574"/>
    <x v="188"/>
    <s v="RMS Gasabo Branch"/>
    <s v="Gasabo"/>
    <x v="0"/>
    <x v="6"/>
    <s v="Standard"/>
    <x v="0"/>
    <x v="6"/>
    <m/>
    <s v="4G ONE NETWORK 5MBPS"/>
    <m/>
    <n v="1"/>
    <n v="101694.92"/>
    <n v="101694.92"/>
    <s v="Monthly"/>
    <d v="2024-02-28T00:00:00"/>
    <x v="7"/>
    <x v="4"/>
    <n v="-236"/>
    <x v="1"/>
    <x v="6"/>
    <s v="NZABANDORA Felix"/>
    <s v="nzabandoraf@gmail.com"/>
    <n v="788302709"/>
    <m/>
    <m/>
    <m/>
  </r>
  <r>
    <s v="C003574"/>
    <x v="188"/>
    <s v="RMS HQ"/>
    <s v="Gasabo"/>
    <x v="0"/>
    <x v="6"/>
    <s v="Standard"/>
    <x v="3"/>
    <x v="7"/>
    <m/>
    <s v="MSS GOLD"/>
    <m/>
    <n v="1"/>
    <n v="369325"/>
    <n v="369325"/>
    <s v="Monthly"/>
    <d v="2024-02-28T00:00:00"/>
    <x v="7"/>
    <x v="4"/>
    <n v="-236"/>
    <x v="1"/>
    <x v="6"/>
    <s v="NZABANDORA Felix"/>
    <s v="nzabandoraf@gmail.com"/>
    <n v="788302709"/>
    <m/>
    <m/>
    <m/>
  </r>
  <r>
    <s v="C003574"/>
    <x v="188"/>
    <s v="RMS Freezone Warehouse"/>
    <s v="Gasabo"/>
    <x v="0"/>
    <x v="6"/>
    <s v="Standard"/>
    <x v="0"/>
    <x v="6"/>
    <m/>
    <s v=" 4G MUP 4GB/DAY "/>
    <m/>
    <n v="1"/>
    <n v="45338.98"/>
    <n v="45338.98"/>
    <s v="Monthly"/>
    <d v="2024-02-28T00:00:00"/>
    <x v="7"/>
    <x v="4"/>
    <n v="-236"/>
    <x v="1"/>
    <x v="6"/>
    <s v="NZABANDORA Felix"/>
    <s v="nzabandoraf@gmail.com"/>
    <n v="788302709"/>
    <m/>
    <m/>
    <m/>
  </r>
  <r>
    <s v="C003574"/>
    <x v="188"/>
    <s v="RMS Gasabo Branch"/>
    <s v="Gasabo"/>
    <x v="0"/>
    <x v="6"/>
    <s v="Standard"/>
    <x v="0"/>
    <x v="6"/>
    <m/>
    <s v=" 4G MUP 4GB/DAY "/>
    <m/>
    <n v="1"/>
    <n v="45338.98"/>
    <n v="45338.98"/>
    <s v="Monthly"/>
    <d v="2024-02-28T00:00:00"/>
    <x v="7"/>
    <x v="4"/>
    <n v="-236"/>
    <x v="1"/>
    <x v="6"/>
    <s v="NZABANDORA Felix"/>
    <s v="nzabandoraf@gmail.com"/>
    <n v="788302709"/>
    <m/>
    <m/>
    <m/>
  </r>
  <r>
    <s v="C003574"/>
    <x v="188"/>
    <s v="RMS Gatsibo Branch"/>
    <s v="Gatsibo"/>
    <x v="0"/>
    <x v="6"/>
    <s v="Standard"/>
    <x v="0"/>
    <x v="6"/>
    <m/>
    <s v="4G ONE NETWORK 5MBPS"/>
    <m/>
    <n v="1"/>
    <n v="101694.92"/>
    <n v="101694.92"/>
    <s v="Monthly"/>
    <d v="2024-02-28T00:00:00"/>
    <x v="7"/>
    <x v="4"/>
    <n v="-236"/>
    <x v="1"/>
    <x v="6"/>
    <s v="NZABANDORA Felix"/>
    <s v="nzabandoraf@gmail.com"/>
    <n v="788302709"/>
    <m/>
    <m/>
    <m/>
  </r>
  <r>
    <s v="C003574"/>
    <x v="188"/>
    <s v="RMS Gicubi Branch"/>
    <s v="Gicumbi"/>
    <x v="0"/>
    <x v="6"/>
    <s v="Standard"/>
    <x v="0"/>
    <x v="6"/>
    <m/>
    <s v="4G ONE NETWORK 5MBPS"/>
    <m/>
    <n v="1"/>
    <n v="101694.92"/>
    <n v="101694.92"/>
    <s v="Monthly"/>
    <d v="2024-02-28T00:00:00"/>
    <x v="7"/>
    <x v="4"/>
    <n v="-236"/>
    <x v="1"/>
    <x v="6"/>
    <s v="NZABANDORA Felix"/>
    <s v="nzabandoraf@gmail.com"/>
    <n v="788302709"/>
    <m/>
    <m/>
    <m/>
  </r>
  <r>
    <s v="C003574"/>
    <x v="188"/>
    <s v="RMS Gisagara Branch"/>
    <s v="Gisagara"/>
    <x v="0"/>
    <x v="6"/>
    <s v="Standard"/>
    <x v="0"/>
    <x v="6"/>
    <m/>
    <s v="4G MUP 1GB/DAY"/>
    <m/>
    <n v="1"/>
    <n v="19491.53"/>
    <n v="19491.53"/>
    <s v="Monthly"/>
    <d v="2024-02-28T00:00:00"/>
    <x v="7"/>
    <x v="4"/>
    <n v="-236"/>
    <x v="1"/>
    <x v="6"/>
    <s v="NZABANDORA Felix"/>
    <s v="nzabandoraf@gmail.com"/>
    <n v="788302709"/>
    <m/>
    <m/>
    <m/>
  </r>
  <r>
    <s v="C003574"/>
    <x v="188"/>
    <s v="RMS Huye Branch"/>
    <s v="Huye"/>
    <x v="0"/>
    <x v="6"/>
    <s v="Standard"/>
    <x v="0"/>
    <x v="6"/>
    <m/>
    <s v="4G ONE NETWORK 5MBPS"/>
    <m/>
    <n v="1"/>
    <n v="101694.92"/>
    <n v="101694.92"/>
    <s v="Monthly"/>
    <d v="2024-02-28T00:00:00"/>
    <x v="7"/>
    <x v="4"/>
    <n v="-236"/>
    <x v="1"/>
    <x v="6"/>
    <s v="NZABANDORA Felix"/>
    <s v="nzabandoraf@gmail.com"/>
    <n v="788302709"/>
    <m/>
    <m/>
    <m/>
  </r>
  <r>
    <s v="C003574"/>
    <x v="188"/>
    <s v="RMS Kamonyi Branch"/>
    <s v="Kamonyi"/>
    <x v="0"/>
    <x v="6"/>
    <s v="Standard"/>
    <x v="0"/>
    <x v="6"/>
    <m/>
    <s v="4G MUP 8GB/DAY"/>
    <m/>
    <n v="1"/>
    <n v="77711.86"/>
    <n v="77711.86"/>
    <s v="Monthly"/>
    <d v="2024-02-28T00:00:00"/>
    <x v="7"/>
    <x v="4"/>
    <n v="-236"/>
    <x v="1"/>
    <x v="6"/>
    <s v="NZABANDORA Felix"/>
    <s v="nzabandoraf@gmail.com"/>
    <n v="788302709"/>
    <m/>
    <m/>
    <m/>
  </r>
  <r>
    <s v="C003574"/>
    <x v="188"/>
    <s v="RMSKayonza Branch"/>
    <s v="Kayonza"/>
    <x v="0"/>
    <x v="6"/>
    <s v="Standard"/>
    <x v="0"/>
    <x v="6"/>
    <m/>
    <s v="4G MUP 8GB/DAY"/>
    <m/>
    <n v="1"/>
    <n v="77711.86"/>
    <n v="77711.86"/>
    <s v="Monthly"/>
    <d v="2024-02-28T00:00:00"/>
    <x v="7"/>
    <x v="4"/>
    <n v="-236"/>
    <x v="1"/>
    <x v="6"/>
    <s v="NZABANDORA Felix"/>
    <s v="nzabandoraf@gmail.com"/>
    <n v="788302709"/>
    <m/>
    <m/>
    <m/>
  </r>
  <r>
    <s v="C003574"/>
    <x v="188"/>
    <s v="RMS Kirehe Branch"/>
    <s v="Kirehe"/>
    <x v="0"/>
    <x v="6"/>
    <s v="Standard"/>
    <x v="0"/>
    <x v="6"/>
    <m/>
    <s v="4G MUP 8GB/DAY"/>
    <m/>
    <n v="1"/>
    <n v="77711.86"/>
    <n v="77711.86"/>
    <s v="Monthly"/>
    <d v="2024-02-28T00:00:00"/>
    <x v="7"/>
    <x v="4"/>
    <n v="-236"/>
    <x v="1"/>
    <x v="6"/>
    <s v="NZABANDORA Felix"/>
    <s v="nzabandoraf@gmail.com"/>
    <n v="788302709"/>
    <m/>
    <m/>
    <m/>
  </r>
  <r>
    <s v="C003574"/>
    <x v="188"/>
    <s v="RMS Muhanga Branch"/>
    <s v="Muhanga"/>
    <x v="0"/>
    <x v="6"/>
    <s v="Standard"/>
    <x v="0"/>
    <x v="6"/>
    <m/>
    <s v=" 4G MUP 4GB/DAY "/>
    <m/>
    <n v="1"/>
    <n v="45338.98"/>
    <n v="45338.98"/>
    <s v="Monthly"/>
    <d v="2024-02-28T00:00:00"/>
    <x v="7"/>
    <x v="4"/>
    <n v="-236"/>
    <x v="1"/>
    <x v="6"/>
    <s v="NZABANDORA Felix"/>
    <s v="nzabandoraf@gmail.com"/>
    <n v="788302709"/>
    <m/>
    <m/>
    <m/>
  </r>
  <r>
    <s v="C003574"/>
    <x v="188"/>
    <s v="RMS Ngororero Branch"/>
    <s v="Ngororero"/>
    <x v="0"/>
    <x v="6"/>
    <s v="Standard"/>
    <x v="0"/>
    <x v="6"/>
    <m/>
    <s v="4G MUP 8GB/DAY"/>
    <m/>
    <n v="1"/>
    <n v="77711.86"/>
    <n v="77711.86"/>
    <s v="Monthly"/>
    <d v="2024-02-28T00:00:00"/>
    <x v="7"/>
    <x v="4"/>
    <n v="-236"/>
    <x v="1"/>
    <x v="6"/>
    <s v="NZABANDORA Felix"/>
    <s v="nzabandoraf@gmail.com"/>
    <n v="788302709"/>
    <m/>
    <m/>
    <m/>
  </r>
  <r>
    <s v="C003574"/>
    <x v="188"/>
    <s v="RMS Nyabihu Branch"/>
    <s v="Nyabihu"/>
    <x v="0"/>
    <x v="6"/>
    <s v="Standard"/>
    <x v="0"/>
    <x v="6"/>
    <m/>
    <s v="4G MUP 8GB/DAY"/>
    <m/>
    <n v="1"/>
    <n v="77711.86"/>
    <n v="77711.86"/>
    <s v="Monthly"/>
    <d v="2024-02-28T00:00:00"/>
    <x v="7"/>
    <x v="4"/>
    <n v="-236"/>
    <x v="1"/>
    <x v="6"/>
    <s v="NZABANDORA Felix"/>
    <s v="nzabandoraf@gmail.com"/>
    <n v="788302709"/>
    <m/>
    <m/>
    <m/>
  </r>
  <r>
    <s v="C003574"/>
    <x v="188"/>
    <s v="RMS  Nyagatare Branch"/>
    <s v="Nyagatare"/>
    <x v="0"/>
    <x v="6"/>
    <s v="Standard"/>
    <x v="0"/>
    <x v="6"/>
    <m/>
    <s v="4G MUP 8GB/DAY"/>
    <m/>
    <n v="1"/>
    <n v="77711.86"/>
    <n v="77711.86"/>
    <s v="Monthly"/>
    <d v="2024-02-28T00:00:00"/>
    <x v="7"/>
    <x v="4"/>
    <n v="-236"/>
    <x v="1"/>
    <x v="6"/>
    <s v="NZABANDORA Felix"/>
    <s v="nzabandoraf@gmail.com"/>
    <n v="788302709"/>
    <m/>
    <m/>
    <m/>
  </r>
  <r>
    <s v="C003574"/>
    <x v="188"/>
    <s v="RMS Nyanza Branch"/>
    <s v="Nyanza"/>
    <x v="0"/>
    <x v="6"/>
    <s v="Standard"/>
    <x v="0"/>
    <x v="6"/>
    <m/>
    <s v="4G MUP 1GB/DAY"/>
    <m/>
    <n v="1"/>
    <n v="19491.53"/>
    <n v="19491.53"/>
    <s v="Monthly"/>
    <d v="2024-02-28T00:00:00"/>
    <x v="7"/>
    <x v="4"/>
    <n v="-236"/>
    <x v="1"/>
    <x v="6"/>
    <s v="NZABANDORA Felix"/>
    <s v="nzabandoraf@gmail.com"/>
    <n v="788302709"/>
    <m/>
    <m/>
    <m/>
  </r>
  <r>
    <s v="C003574"/>
    <x v="188"/>
    <s v="RMS Nyaruguru Branch"/>
    <s v="Nyaruguru"/>
    <x v="0"/>
    <x v="6"/>
    <s v="Standard"/>
    <x v="0"/>
    <x v="6"/>
    <m/>
    <s v="4G MUP 8GB/DAY"/>
    <m/>
    <n v="1"/>
    <n v="77711.86"/>
    <n v="77711.86"/>
    <s v="Monthly"/>
    <d v="2024-02-28T00:00:00"/>
    <x v="7"/>
    <x v="4"/>
    <n v="-236"/>
    <x v="1"/>
    <x v="6"/>
    <s v="NZABANDORA Felix"/>
    <s v="nzabandoraf@gmail.com"/>
    <n v="788302709"/>
    <m/>
    <m/>
    <m/>
  </r>
  <r>
    <s v="C003574"/>
    <x v="188"/>
    <s v="RMS Rulindo Branch"/>
    <s v="Rulindo"/>
    <x v="0"/>
    <x v="6"/>
    <s v="Standard"/>
    <x v="0"/>
    <x v="6"/>
    <m/>
    <s v=" 4G MUP 4GB/DAY "/>
    <m/>
    <n v="1"/>
    <n v="45338.98"/>
    <n v="45338.98"/>
    <s v="Monthly"/>
    <d v="2024-02-28T00:00:00"/>
    <x v="7"/>
    <x v="4"/>
    <n v="-236"/>
    <x v="1"/>
    <x v="6"/>
    <s v="NZABANDORA Felix"/>
    <s v="nzabandoraf@gmail.com"/>
    <n v="788302709"/>
    <m/>
    <m/>
    <m/>
  </r>
  <r>
    <s v="C003574"/>
    <x v="188"/>
    <s v="RMS Rulindo Branch"/>
    <s v="Rulindo"/>
    <x v="0"/>
    <x v="6"/>
    <s v="Standard"/>
    <x v="0"/>
    <x v="6"/>
    <m/>
    <s v="4G ONE NETWORK 3MBPS"/>
    <m/>
    <n v="1"/>
    <n v="81355.932203389835"/>
    <n v="81355.932203389835"/>
    <s v="Monthly"/>
    <d v="2024-02-28T00:00:00"/>
    <x v="7"/>
    <x v="4"/>
    <n v="-236"/>
    <x v="1"/>
    <x v="6"/>
    <s v="NZABANDORA Felix"/>
    <s v="nzabandoraf@gmail.com"/>
    <n v="788302709"/>
    <m/>
    <m/>
    <m/>
  </r>
  <r>
    <s v="C003574"/>
    <x v="188"/>
    <s v="RMS Rusizi Branch"/>
    <s v="Rusizi"/>
    <x v="0"/>
    <x v="6"/>
    <s v="Standard"/>
    <x v="0"/>
    <x v="6"/>
    <m/>
    <s v="4G MUP 8GB/DAY"/>
    <m/>
    <n v="1"/>
    <n v="77711.86"/>
    <n v="77711.86"/>
    <s v="Monthly"/>
    <d v="2024-02-28T00:00:00"/>
    <x v="7"/>
    <x v="4"/>
    <n v="-236"/>
    <x v="1"/>
    <x v="6"/>
    <s v="NZABANDORA Felix"/>
    <s v="nzabandoraf@gmail.com"/>
    <n v="788302709"/>
    <m/>
    <m/>
    <m/>
  </r>
  <r>
    <s v="C003574"/>
    <x v="188"/>
    <s v="RMS Rwamagana Branch"/>
    <s v="Rwamagana  "/>
    <x v="0"/>
    <x v="6"/>
    <s v="Standard"/>
    <x v="0"/>
    <x v="6"/>
    <m/>
    <s v="4G MUP 8GB/DAY"/>
    <m/>
    <n v="1"/>
    <n v="77711.86"/>
    <n v="77711.86"/>
    <s v="Monthly"/>
    <d v="2024-02-28T00:00:00"/>
    <x v="7"/>
    <x v="4"/>
    <n v="-236"/>
    <x v="1"/>
    <x v="6"/>
    <s v="NZABANDORA Felix"/>
    <s v="nzabandoraf@gmail.com"/>
    <n v="788302709"/>
    <m/>
    <m/>
    <m/>
  </r>
  <r>
    <s v="C003574"/>
    <x v="188"/>
    <s v="RMS Bugesera Branch"/>
    <s v="Bugesera"/>
    <x v="0"/>
    <x v="6"/>
    <s v="Standard"/>
    <x v="0"/>
    <x v="6"/>
    <m/>
    <s v=" 4G MUP 4GB/DAY "/>
    <m/>
    <n v="2"/>
    <n v="45338.98"/>
    <n v="90677.96"/>
    <s v="Monthly"/>
    <d v="2024-02-28T00:00:00"/>
    <x v="7"/>
    <x v="4"/>
    <n v="-236"/>
    <x v="1"/>
    <x v="6"/>
    <s v="NZABANDORA Felix"/>
    <s v="nzabandoraf@gmail.com"/>
    <n v="788302709"/>
    <m/>
    <m/>
    <m/>
  </r>
  <r>
    <s v="C003574"/>
    <x v="188"/>
    <s v="RMS Gakenke Branch"/>
    <s v="Gakenke"/>
    <x v="0"/>
    <x v="6"/>
    <s v="Standard"/>
    <x v="0"/>
    <x v="6"/>
    <m/>
    <s v=" 4G MUP 4GB/DAY "/>
    <m/>
    <n v="2"/>
    <n v="45338.98"/>
    <n v="90677.96"/>
    <s v="Monthly"/>
    <d v="2024-02-28T00:00:00"/>
    <x v="7"/>
    <x v="4"/>
    <n v="-236"/>
    <x v="1"/>
    <x v="6"/>
    <s v="NZABANDORA Felix"/>
    <s v="nzabandoraf@gmail.com"/>
    <n v="788302709"/>
    <m/>
    <m/>
    <m/>
  </r>
  <r>
    <s v="C003574"/>
    <x v="188"/>
    <s v="RMS -HQ"/>
    <s v="Gasabo"/>
    <x v="0"/>
    <x v="6"/>
    <s v="Standard"/>
    <x v="0"/>
    <x v="6"/>
    <m/>
    <s v=" 4G MUP 4GB/DAY "/>
    <m/>
    <n v="2"/>
    <n v="45338.98"/>
    <n v="90677.96"/>
    <s v="Monthly"/>
    <d v="2024-02-28T00:00:00"/>
    <x v="7"/>
    <x v="4"/>
    <n v="-236"/>
    <x v="1"/>
    <x v="6"/>
    <s v="NZABANDORA Felix"/>
    <s v="nzabandoraf@gmail.com"/>
    <n v="788302709"/>
    <m/>
    <m/>
    <m/>
  </r>
  <r>
    <s v="C003574"/>
    <x v="188"/>
    <s v="RMS Karongi Branch"/>
    <s v="Karongi"/>
    <x v="0"/>
    <x v="6"/>
    <s v="Standard"/>
    <x v="0"/>
    <x v="6"/>
    <m/>
    <s v=" 4G MUP 4GB/DAY "/>
    <m/>
    <n v="2"/>
    <n v="45338.98"/>
    <n v="90677.96"/>
    <s v="Monthly"/>
    <d v="2024-02-28T00:00:00"/>
    <x v="7"/>
    <x v="4"/>
    <n v="-236"/>
    <x v="1"/>
    <x v="6"/>
    <s v="NZABANDORA Felix"/>
    <s v="nzabandoraf@gmail.com"/>
    <n v="788302709"/>
    <m/>
    <m/>
    <m/>
  </r>
  <r>
    <s v="C003574"/>
    <x v="188"/>
    <s v="RMS Kicukiro Branch"/>
    <s v="Kicukiro"/>
    <x v="0"/>
    <x v="6"/>
    <s v="Standard"/>
    <x v="0"/>
    <x v="6"/>
    <m/>
    <s v="4G MUP 4GB/DAY"/>
    <m/>
    <n v="2"/>
    <n v="45338.983051000003"/>
    <n v="90677.966102000006"/>
    <s v="Monthly"/>
    <d v="2024-02-28T00:00:00"/>
    <x v="7"/>
    <x v="4"/>
    <n v="-236"/>
    <x v="1"/>
    <x v="6"/>
    <s v="NZABANDORA Felix"/>
    <s v="nzabandoraf@gmail.com"/>
    <n v="788302709"/>
    <m/>
    <m/>
    <m/>
  </r>
  <r>
    <s v="C003574"/>
    <x v="188"/>
    <s v="RMS Nyamagabe Branch"/>
    <s v="Nyamagabe"/>
    <x v="0"/>
    <x v="6"/>
    <s v="Standard"/>
    <x v="0"/>
    <x v="6"/>
    <m/>
    <s v=" 4G MUP 4GB/DAY "/>
    <m/>
    <n v="2"/>
    <n v="45338.98"/>
    <n v="90677.96"/>
    <s v="Monthly"/>
    <d v="2024-02-28T00:00:00"/>
    <x v="7"/>
    <x v="4"/>
    <n v="-236"/>
    <x v="1"/>
    <x v="6"/>
    <s v="NZABANDORA Felix"/>
    <s v="nzabandoraf@gmail.com"/>
    <n v="788302709"/>
    <m/>
    <m/>
    <m/>
  </r>
  <r>
    <s v="C003574"/>
    <x v="188"/>
    <s v="RMS Nyanza Branch"/>
    <s v="Nyanza"/>
    <x v="0"/>
    <x v="6"/>
    <s v="Standard"/>
    <x v="0"/>
    <x v="6"/>
    <m/>
    <s v=" 4G MUP 4GB/DAY "/>
    <m/>
    <n v="2"/>
    <n v="45338.98"/>
    <n v="90677.96"/>
    <s v="Monthly"/>
    <d v="2024-02-28T00:00:00"/>
    <x v="7"/>
    <x v="4"/>
    <n v="-236"/>
    <x v="1"/>
    <x v="6"/>
    <s v="NZABANDORA Felix"/>
    <s v="nzabandoraf@gmail.com"/>
    <n v="788302709"/>
    <m/>
    <m/>
    <m/>
  </r>
  <r>
    <s v="C003574"/>
    <x v="188"/>
    <s v="RMS NYARUGENGE Branch"/>
    <s v="Nyarugenge"/>
    <x v="0"/>
    <x v="6"/>
    <s v="Standard"/>
    <x v="0"/>
    <x v="6"/>
    <m/>
    <s v=" 4G MUP 4GB/DAY "/>
    <m/>
    <n v="2"/>
    <n v="45338.98"/>
    <n v="90677.96"/>
    <s v="Monthly"/>
    <d v="2024-02-28T00:00:00"/>
    <x v="7"/>
    <x v="4"/>
    <n v="-236"/>
    <x v="1"/>
    <x v="6"/>
    <s v="NZABANDORA Felix"/>
    <s v="nzabandoraf@gmail.com"/>
    <n v="788302709"/>
    <m/>
    <m/>
    <m/>
  </r>
  <r>
    <s v="C003574"/>
    <x v="188"/>
    <s v="RMS Rubavu Branch"/>
    <s v="Rubavu"/>
    <x v="0"/>
    <x v="6"/>
    <s v="Standard"/>
    <x v="0"/>
    <x v="6"/>
    <m/>
    <s v=" 4G MUP 4GB/DAY "/>
    <m/>
    <n v="2"/>
    <n v="45338.98"/>
    <n v="90677.96"/>
    <s v="Monthly"/>
    <d v="2024-02-28T00:00:00"/>
    <x v="7"/>
    <x v="4"/>
    <n v="-236"/>
    <x v="1"/>
    <x v="6"/>
    <s v="NZABANDORA Felix"/>
    <s v="nzabandoraf@gmail.com"/>
    <n v="788302709"/>
    <m/>
    <m/>
    <m/>
  </r>
  <r>
    <s v="C003574"/>
    <x v="188"/>
    <s v="RMS Ruhango Branch"/>
    <s v="Ruhango"/>
    <x v="0"/>
    <x v="6"/>
    <s v="Standard"/>
    <x v="0"/>
    <x v="6"/>
    <m/>
    <s v=" 4G MUP 4GB/DAY "/>
    <m/>
    <n v="2"/>
    <n v="45338.98"/>
    <n v="90677.96"/>
    <s v="Monthly"/>
    <d v="2024-02-28T00:00:00"/>
    <x v="7"/>
    <x v="4"/>
    <n v="-236"/>
    <x v="1"/>
    <x v="6"/>
    <s v="NZABANDORA Felix"/>
    <s v="nzabandoraf@gmail.com"/>
    <n v="788302709"/>
    <m/>
    <m/>
    <m/>
  </r>
  <r>
    <s v="C003574"/>
    <x v="188"/>
    <s v="RMS Rutsiro Branch"/>
    <s v="Rutsiro"/>
    <x v="0"/>
    <x v="6"/>
    <s v="Standard"/>
    <x v="0"/>
    <x v="6"/>
    <m/>
    <s v=" 4G MUP 4GB/DAY "/>
    <m/>
    <n v="2"/>
    <n v="45338.98"/>
    <n v="90677.96"/>
    <s v="Monthly"/>
    <d v="2024-02-28T00:00:00"/>
    <x v="7"/>
    <x v="4"/>
    <n v="-236"/>
    <x v="1"/>
    <x v="6"/>
    <s v="NZABANDORA Felix"/>
    <s v="nzabandoraf@gmail.com"/>
    <n v="788302709"/>
    <m/>
    <m/>
    <m/>
  </r>
  <r>
    <s v="C003574"/>
    <x v="188"/>
    <s v="RMS Muhanga Branch"/>
    <s v="Muhanga"/>
    <x v="0"/>
    <x v="6"/>
    <s v="Standard"/>
    <x v="0"/>
    <x v="6"/>
    <m/>
    <s v="4G MUP 1GB/DAY"/>
    <m/>
    <n v="3"/>
    <n v="19491.53"/>
    <n v="58474.59"/>
    <s v="Monthly"/>
    <d v="2024-02-28T00:00:00"/>
    <x v="7"/>
    <x v="4"/>
    <n v="-236"/>
    <x v="1"/>
    <x v="6"/>
    <s v="NZABANDORA Felix"/>
    <s v="nzabandoraf@gmail.com"/>
    <n v="788302709"/>
    <m/>
    <m/>
    <m/>
  </r>
  <r>
    <s v="C003574"/>
    <x v="188"/>
    <s v="RMS HQ"/>
    <s v="Gasabo"/>
    <x v="0"/>
    <x v="6"/>
    <s v="Standard"/>
    <x v="0"/>
    <x v="6"/>
    <m/>
    <s v="4G ONE NETWORK 5MBPS"/>
    <m/>
    <n v="32"/>
    <n v="101694.91525423729"/>
    <n v="3254237.2881355933"/>
    <s v="Monthly"/>
    <d v="2024-02-28T00:00:00"/>
    <x v="7"/>
    <x v="4"/>
    <n v="-236"/>
    <x v="1"/>
    <x v="6"/>
    <s v="NZABANDORA Felix"/>
    <s v="nzabandoraf@gmail.com"/>
    <n v="788302709"/>
    <m/>
    <m/>
    <m/>
  </r>
  <r>
    <s v="C000068"/>
    <x v="189"/>
    <s v="Dark Fiber Lease: Kigali-Gatuna"/>
    <s v="Gicumbi"/>
    <x v="1"/>
    <x v="1"/>
    <s v="Standard"/>
    <x v="2"/>
    <x v="2"/>
    <m/>
    <s v="Dark Fiber Lease  "/>
    <n v="85.007000000000005"/>
    <n v="1"/>
    <n v="3725007"/>
    <n v="3725007"/>
    <s v="Monthly"/>
    <d v="2024-02-28T00:00:00"/>
    <x v="7"/>
    <x v="4"/>
    <n v="-236"/>
    <x v="1"/>
    <x v="1"/>
    <s v="Samuel Murenzi "/>
    <s v="Samuel.Murenzi@rw.airtel.com"/>
    <s v="0 731 000 042"/>
    <m/>
    <m/>
    <m/>
  </r>
  <r>
    <s v="C000068"/>
    <x v="189"/>
    <s v="Pole Lease"/>
    <s v="Gasabo"/>
    <x v="1"/>
    <x v="1"/>
    <s v="Standard"/>
    <x v="2"/>
    <x v="11"/>
    <m/>
    <s v="Pole Lease "/>
    <m/>
    <n v="1"/>
    <n v="349916.66666666669"/>
    <n v="349916.66666666669"/>
    <s v="Monthly"/>
    <d v="2024-02-28T00:00:00"/>
    <x v="7"/>
    <x v="4"/>
    <n v="-236"/>
    <x v="1"/>
    <x v="1"/>
    <s v="Samuel Murenzi "/>
    <s v="Samuel.Murenzi@rw.airtel.com"/>
    <s v="0 731 000 042"/>
    <m/>
    <m/>
    <m/>
  </r>
  <r>
    <s v="C002141"/>
    <x v="190"/>
    <s v="HQ"/>
    <s v="Gasabo"/>
    <x v="0"/>
    <x v="0"/>
    <s v="Standard"/>
    <x v="0"/>
    <x v="6"/>
    <m/>
    <s v="4G MUP 8GB/DAY"/>
    <m/>
    <n v="1"/>
    <n v="77711.86"/>
    <n v="77711.86"/>
    <s v="Monthly"/>
    <d v="2024-02-28T00:00:00"/>
    <x v="7"/>
    <x v="4"/>
    <n v="-236"/>
    <x v="1"/>
    <x v="5"/>
    <s v="Jeannette"/>
    <s v="chantum.rrpplus@gmail.com"/>
    <n v="785920129"/>
    <m/>
    <m/>
    <m/>
  </r>
  <r>
    <s v="C002675"/>
    <x v="178"/>
    <s v="Fiber Internet: TB Gacurabwenge"/>
    <s v="Kamonyi"/>
    <x v="0"/>
    <x v="11"/>
    <s v="Standard"/>
    <x v="0"/>
    <x v="0"/>
    <n v="3"/>
    <s v="Fiber Broadband Internet 3Mbps"/>
    <m/>
    <n v="1"/>
    <n v="171000"/>
    <n v="171000"/>
    <s v="Monthly"/>
    <d v="2024-02-28T00:00:00"/>
    <x v="7"/>
    <x v="4"/>
    <n v="-236"/>
    <x v="1"/>
    <x v="1"/>
    <s v="Fred Gashemeza"/>
    <s v="fred.gashemeza@judiciary.gov.rw"/>
    <s v="0 788 305665"/>
    <m/>
    <m/>
    <m/>
  </r>
  <r>
    <s v="C002675"/>
    <x v="178"/>
    <s v="Fiber Internet: TB Kirehe"/>
    <s v="Kirehe"/>
    <x v="0"/>
    <x v="11"/>
    <s v="Standard"/>
    <x v="0"/>
    <x v="0"/>
    <n v="3"/>
    <s v="Fiber Broadband Internet 3Mbps"/>
    <m/>
    <n v="1"/>
    <n v="171000"/>
    <n v="171000"/>
    <s v="Monthly"/>
    <d v="2024-02-28T00:00:00"/>
    <x v="7"/>
    <x v="4"/>
    <n v="-236"/>
    <x v="1"/>
    <x v="1"/>
    <s v="Fred Gashemeza"/>
    <s v="fred.gashemeza@judiciary.gov.rw"/>
    <s v="0 788 305665"/>
    <m/>
    <m/>
    <m/>
  </r>
  <r>
    <s v="C002675"/>
    <x v="178"/>
    <s v="Fiber Internet: TB Nyarubuye"/>
    <s v="Kirehe"/>
    <x v="0"/>
    <x v="11"/>
    <s v="Standard"/>
    <x v="0"/>
    <x v="0"/>
    <n v="3"/>
    <s v="Fiber Broadband Internet 3Mbps"/>
    <m/>
    <n v="1"/>
    <n v="3725007"/>
    <n v="3725007"/>
    <s v="Monthly"/>
    <d v="2024-02-28T00:00:00"/>
    <x v="7"/>
    <x v="4"/>
    <n v="-236"/>
    <x v="1"/>
    <x v="1"/>
    <s v="Fred Gashemeza"/>
    <s v="fred.gashemeza@judiciary.gov.rw"/>
    <s v="0 788 305665"/>
    <m/>
    <m/>
    <m/>
  </r>
  <r>
    <s v="C002675"/>
    <x v="178"/>
    <s v="Fiber Internet: TB Sake"/>
    <s v="Ngoma"/>
    <x v="0"/>
    <x v="11"/>
    <s v="Standard"/>
    <x v="0"/>
    <x v="0"/>
    <n v="3"/>
    <s v="Fiber Broadband Internet 3Mbps"/>
    <m/>
    <n v="1"/>
    <n v="3725007"/>
    <n v="3725007"/>
    <s v="Monthly"/>
    <d v="2024-02-28T00:00:00"/>
    <x v="7"/>
    <x v="4"/>
    <n v="-236"/>
    <x v="1"/>
    <x v="1"/>
    <s v="Fred Gashemeza"/>
    <s v="fred.gashemeza@judiciary.gov.rw"/>
    <s v="0 788 305665"/>
    <m/>
    <m/>
    <m/>
  </r>
  <r>
    <s v="C002675"/>
    <x v="178"/>
    <s v="Fiber Internet: TB Ngarama"/>
    <s v="Nyagatare"/>
    <x v="0"/>
    <x v="11"/>
    <s v="Standard"/>
    <x v="0"/>
    <x v="0"/>
    <n v="3"/>
    <s v="Fiber Broadband Internet 3Mbps"/>
    <m/>
    <n v="1"/>
    <n v="171000"/>
    <n v="171000"/>
    <s v="Monthly"/>
    <d v="2024-02-28T00:00:00"/>
    <x v="7"/>
    <x v="4"/>
    <n v="-236"/>
    <x v="1"/>
    <x v="1"/>
    <s v="Fred Gashemeza"/>
    <s v="fred.gashemeza@judiciary.gov.rw"/>
    <s v="0 788 305665"/>
    <m/>
    <m/>
    <m/>
  </r>
  <r>
    <s v="C002675"/>
    <x v="178"/>
    <s v="Fiber Internet: TB Kagano"/>
    <s v="Nyamasheke"/>
    <x v="0"/>
    <x v="11"/>
    <s v="Standard"/>
    <x v="0"/>
    <x v="0"/>
    <n v="3"/>
    <s v="Fiber Broadband Internet 3Mbps"/>
    <m/>
    <n v="1"/>
    <n v="270000"/>
    <n v="270000"/>
    <s v="Monthly"/>
    <d v="2024-02-28T00:00:00"/>
    <x v="7"/>
    <x v="4"/>
    <n v="-236"/>
    <x v="1"/>
    <x v="1"/>
    <s v="Fred Gashemeza"/>
    <s v="fred.gashemeza@judiciary.gov.rw"/>
    <s v="0 788 305665"/>
    <m/>
    <m/>
    <m/>
  </r>
  <r>
    <s v="C002675"/>
    <x v="178"/>
    <s v="Fiber Internet: TB Ndora"/>
    <s v="Gisagara"/>
    <x v="0"/>
    <x v="11"/>
    <s v="Standard"/>
    <x v="0"/>
    <x v="0"/>
    <n v="4"/>
    <s v="Fiber Broadband Internet 4Mbps"/>
    <m/>
    <n v="1"/>
    <n v="256500"/>
    <n v="256500"/>
    <s v="Monthly"/>
    <d v="2024-02-28T00:00:00"/>
    <x v="7"/>
    <x v="4"/>
    <n v="-236"/>
    <x v="1"/>
    <x v="1"/>
    <s v="Fred Gashemeza"/>
    <s v="fred.gashemeza@judiciary.gov.rw"/>
    <s v="0 788 305665"/>
    <m/>
    <m/>
    <m/>
  </r>
  <r>
    <s v="C002675"/>
    <x v="178"/>
    <s v="Fiber Internet: TGI Karongi"/>
    <s v="Karongi"/>
    <x v="0"/>
    <x v="11"/>
    <s v="Standard"/>
    <x v="0"/>
    <x v="0"/>
    <n v="4"/>
    <s v="Fiber Broadband Internet 4Mbps"/>
    <m/>
    <n v="1"/>
    <n v="221400"/>
    <n v="221400"/>
    <s v="Monthly"/>
    <d v="2024-02-28T00:00:00"/>
    <x v="7"/>
    <x v="4"/>
    <n v="-236"/>
    <x v="1"/>
    <x v="1"/>
    <s v="Fred Gashemeza"/>
    <s v="fred.gashemeza@judiciary.gov.rw"/>
    <s v="0 788 305665"/>
    <m/>
    <m/>
    <m/>
  </r>
  <r>
    <s v="C002675"/>
    <x v="178"/>
    <s v="Fiber Internet: TB Bwishyura"/>
    <s v="Karongi"/>
    <x v="0"/>
    <x v="11"/>
    <s v="Standard"/>
    <x v="0"/>
    <x v="0"/>
    <n v="4"/>
    <s v="Fiber Broadband Internet 4Mbps"/>
    <m/>
    <n v="1"/>
    <n v="256500"/>
    <n v="256500"/>
    <s v="Monthly"/>
    <d v="2024-02-28T00:00:00"/>
    <x v="7"/>
    <x v="4"/>
    <n v="-236"/>
    <x v="1"/>
    <x v="1"/>
    <s v="Fred Gashemeza"/>
    <s v="fred.gashemeza@judiciary.gov.rw"/>
    <s v="0 788 305665"/>
    <m/>
    <m/>
    <m/>
  </r>
  <r>
    <s v="C002675"/>
    <x v="178"/>
    <s v="Fiber Internet: TB Kiramuruzi"/>
    <s v="Kayonza"/>
    <x v="0"/>
    <x v="11"/>
    <s v="Standard"/>
    <x v="0"/>
    <x v="0"/>
    <n v="4"/>
    <s v="Fiber Broadband Internet 4Mbps"/>
    <m/>
    <n v="1"/>
    <n v="256500"/>
    <n v="256500"/>
    <s v="Monthly"/>
    <d v="2024-02-28T00:00:00"/>
    <x v="7"/>
    <x v="4"/>
    <n v="-236"/>
    <x v="1"/>
    <x v="1"/>
    <s v="Fred Gashemeza"/>
    <s v="fred.gashemeza@judiciary.gov.rw"/>
    <s v="0 788 305665"/>
    <m/>
    <m/>
    <m/>
  </r>
  <r>
    <s v="C002675"/>
    <x v="178"/>
    <s v="Fiber Internet: TB Kabarondo"/>
    <s v="Kayonza"/>
    <x v="0"/>
    <x v="11"/>
    <s v="Standard"/>
    <x v="0"/>
    <x v="0"/>
    <n v="4"/>
    <s v="Fiber Broadband Internet 4Mbps"/>
    <m/>
    <n v="1"/>
    <n v="256500"/>
    <n v="256500"/>
    <s v="Monthly"/>
    <d v="2024-02-28T00:00:00"/>
    <x v="7"/>
    <x v="4"/>
    <n v="-236"/>
    <x v="1"/>
    <x v="1"/>
    <s v="Fred Gashemeza"/>
    <s v="fred.gashemeza@judiciary.gov.rw"/>
    <s v="0 788 305665"/>
    <m/>
    <m/>
    <m/>
  </r>
  <r>
    <s v="C002675"/>
    <x v="178"/>
    <s v="Fiber Internet: TB Nyamabuye"/>
    <s v="Muhanga"/>
    <x v="0"/>
    <x v="11"/>
    <s v="Standard"/>
    <x v="0"/>
    <x v="0"/>
    <n v="4"/>
    <s v="Fiber Broadband Internet 4Mbps"/>
    <m/>
    <n v="1"/>
    <n v="270000"/>
    <n v="270000"/>
    <s v="Monthly"/>
    <d v="2024-02-28T00:00:00"/>
    <x v="7"/>
    <x v="4"/>
    <n v="-236"/>
    <x v="1"/>
    <x v="1"/>
    <s v="Fred Gashemeza"/>
    <s v="fred.gashemeza@judiciary.gov.rw"/>
    <s v="0 788 305665"/>
    <m/>
    <m/>
    <m/>
  </r>
  <r>
    <s v="C002675"/>
    <x v="178"/>
    <s v="Fiber Internet: TB Muhoza"/>
    <s v="Musanze"/>
    <x v="0"/>
    <x v="11"/>
    <s v="Standard"/>
    <x v="0"/>
    <x v="0"/>
    <n v="4"/>
    <s v="Fiber Broadband Internet 4Mbps"/>
    <m/>
    <n v="1"/>
    <n v="270000"/>
    <n v="270000"/>
    <s v="Monthly"/>
    <d v="2024-02-28T00:00:00"/>
    <x v="7"/>
    <x v="4"/>
    <n v="-236"/>
    <x v="1"/>
    <x v="1"/>
    <s v="Fred Gashemeza"/>
    <s v="fred.gashemeza@judiciary.gov.rw"/>
    <s v="0 788 305665"/>
    <m/>
    <m/>
    <m/>
  </r>
  <r>
    <s v="C002675"/>
    <x v="178"/>
    <s v="Fiber Internet: TB Ngoma"/>
    <s v="Ngoma"/>
    <x v="0"/>
    <x v="11"/>
    <s v="Standard"/>
    <x v="0"/>
    <x v="0"/>
    <n v="4"/>
    <s v="Fiber Broadband Internet 4Mbps"/>
    <m/>
    <n v="1"/>
    <n v="256500"/>
    <n v="256500"/>
    <s v="Monthly"/>
    <d v="2024-02-28T00:00:00"/>
    <x v="7"/>
    <x v="4"/>
    <n v="-236"/>
    <x v="1"/>
    <x v="1"/>
    <s v="Fred Gashemeza"/>
    <s v="fred.gashemeza@judiciary.gov.rw"/>
    <s v="0 788 305665"/>
    <m/>
    <m/>
    <m/>
  </r>
  <r>
    <s v="C002675"/>
    <x v="178"/>
    <s v="Fiber Internet: TB Ngororero"/>
    <s v="Ngororero"/>
    <x v="0"/>
    <x v="11"/>
    <s v="Standard"/>
    <x v="0"/>
    <x v="0"/>
    <n v="4"/>
    <s v="Fiber Broadband Internet 4Mbps"/>
    <m/>
    <n v="1"/>
    <n v="270000"/>
    <n v="270000"/>
    <s v="Monthly"/>
    <d v="2024-02-28T00:00:00"/>
    <x v="7"/>
    <x v="4"/>
    <n v="-236"/>
    <x v="1"/>
    <x v="1"/>
    <s v="Fred Gashemeza"/>
    <s v="fred.gashemeza@judiciary.gov.rw"/>
    <s v="0 788 305665"/>
    <m/>
    <m/>
    <m/>
  </r>
  <r>
    <s v="C002675"/>
    <x v="178"/>
    <s v="Fiber Internet: TB Mukamira"/>
    <s v="Nyabihu"/>
    <x v="0"/>
    <x v="11"/>
    <s v="Standard"/>
    <x v="0"/>
    <x v="0"/>
    <n v="4"/>
    <s v="Fiber Broadband Internet 4Mbps"/>
    <m/>
    <n v="1"/>
    <n v="256500"/>
    <n v="256500"/>
    <s v="Monthly"/>
    <d v="2024-02-28T00:00:00"/>
    <x v="7"/>
    <x v="4"/>
    <n v="-236"/>
    <x v="1"/>
    <x v="1"/>
    <s v="Fred Gashemeza"/>
    <s v="fred.gashemeza@judiciary.gov.rw"/>
    <s v="0 788 305665"/>
    <m/>
    <m/>
    <m/>
  </r>
  <r>
    <s v="C002675"/>
    <x v="178"/>
    <s v="Fiber Internet: TB Nyagatare"/>
    <s v="Nyagatare"/>
    <x v="0"/>
    <x v="11"/>
    <s v="Standard"/>
    <x v="0"/>
    <x v="0"/>
    <n v="4"/>
    <s v="Fiber Broadband Internet 4Mbps"/>
    <m/>
    <n v="1"/>
    <n v="256500"/>
    <n v="256500"/>
    <s v="Monthly"/>
    <d v="2024-02-28T00:00:00"/>
    <x v="7"/>
    <x v="4"/>
    <n v="-236"/>
    <x v="1"/>
    <x v="1"/>
    <s v="Fred Gashemeza"/>
    <s v="fred.gashemeza@judiciary.gov.rw"/>
    <s v="0 788 305665"/>
    <m/>
    <m/>
    <m/>
  </r>
  <r>
    <s v="C002675"/>
    <x v="178"/>
    <s v="Fiber Internet: TB Kibeho"/>
    <s v="Nyaruguru"/>
    <x v="0"/>
    <x v="11"/>
    <s v="Standard"/>
    <x v="0"/>
    <x v="0"/>
    <n v="4"/>
    <s v="Fiber Broadband Internet 4Mbps"/>
    <m/>
    <n v="1"/>
    <n v="256500"/>
    <n v="256500"/>
    <s v="Monthly"/>
    <d v="2024-02-28T00:00:00"/>
    <x v="7"/>
    <x v="4"/>
    <n v="-236"/>
    <x v="1"/>
    <x v="1"/>
    <s v="Fred Gashemeza"/>
    <s v="fred.gashemeza@judiciary.gov.rw"/>
    <s v="0 788 305665"/>
    <m/>
    <m/>
    <m/>
  </r>
  <r>
    <s v="C002675"/>
    <x v="178"/>
    <s v="Fiber Internet: TB Gisenyi"/>
    <s v="Rubavu"/>
    <x v="0"/>
    <x v="11"/>
    <s v="Standard"/>
    <x v="0"/>
    <x v="0"/>
    <n v="4"/>
    <s v="Fiber Broadband Internet 4Mbps"/>
    <m/>
    <n v="1"/>
    <n v="256500"/>
    <n v="256500"/>
    <s v="Monthly"/>
    <d v="2024-02-28T00:00:00"/>
    <x v="7"/>
    <x v="4"/>
    <n v="-236"/>
    <x v="1"/>
    <x v="1"/>
    <s v="Fred Gashemeza"/>
    <s v="fred.gashemeza@judiciary.gov.rw"/>
    <s v="0 788 305665"/>
    <m/>
    <m/>
    <m/>
  </r>
  <r>
    <s v="C002675"/>
    <x v="178"/>
    <s v="Fiber Internet: TB Ruhango"/>
    <s v="Ruhango"/>
    <x v="0"/>
    <x v="11"/>
    <s v="Standard"/>
    <x v="0"/>
    <x v="0"/>
    <n v="4"/>
    <s v="Fiber Broadband Internet 4Mbps"/>
    <m/>
    <n v="1"/>
    <n v="256500"/>
    <n v="256500"/>
    <s v="Monthly"/>
    <d v="2024-02-28T00:00:00"/>
    <x v="7"/>
    <x v="4"/>
    <n v="-236"/>
    <x v="1"/>
    <x v="1"/>
    <s v="Fred Gashemeza"/>
    <s v="fred.gashemeza@judiciary.gov.rw"/>
    <s v="0 788 305665"/>
    <m/>
    <m/>
    <m/>
  </r>
  <r>
    <s v="C002675"/>
    <x v="178"/>
    <s v="Fiber Internet: TGI Rusizi"/>
    <s v="Rusizi"/>
    <x v="0"/>
    <x v="11"/>
    <s v="Standard"/>
    <x v="0"/>
    <x v="0"/>
    <n v="4"/>
    <s v="Fiber Broadband Internet 4Mbps"/>
    <m/>
    <n v="1"/>
    <n v="221400"/>
    <n v="221400"/>
    <s v="Monthly"/>
    <d v="2024-02-28T00:00:00"/>
    <x v="7"/>
    <x v="4"/>
    <n v="-236"/>
    <x v="1"/>
    <x v="1"/>
    <s v="Fred Gashemeza"/>
    <s v="fred.gashemeza@judiciary.gov.rw"/>
    <s v="0 788 305665"/>
    <m/>
    <m/>
    <m/>
  </r>
  <r>
    <s v="C002675"/>
    <x v="178"/>
    <s v="Fiber Internet: TB Kamembe"/>
    <s v="Rusizi"/>
    <x v="0"/>
    <x v="11"/>
    <s v="Standard"/>
    <x v="0"/>
    <x v="0"/>
    <n v="4"/>
    <s v="Fiber Broadband Internet 4Mbps"/>
    <m/>
    <n v="1"/>
    <n v="256500"/>
    <n v="256500"/>
    <s v="Monthly"/>
    <d v="2024-02-28T00:00:00"/>
    <x v="7"/>
    <x v="4"/>
    <n v="-236"/>
    <x v="1"/>
    <x v="1"/>
    <s v="Fred Gashemeza"/>
    <s v="fred.gashemeza@judiciary.gov.rw"/>
    <s v="0 788 305665"/>
    <m/>
    <m/>
    <m/>
  </r>
  <r>
    <s v="C002675"/>
    <x v="178"/>
    <s v="Fiber Internet: TB Gasabo"/>
    <s v="Gasabo"/>
    <x v="0"/>
    <x v="11"/>
    <s v="Standard"/>
    <x v="0"/>
    <x v="0"/>
    <n v="5"/>
    <s v="Fiber Broadband Internet 5Mbps"/>
    <m/>
    <n v="1"/>
    <n v="256500"/>
    <n v="256500"/>
    <s v="Monthly"/>
    <d v="2024-02-28T00:00:00"/>
    <x v="7"/>
    <x v="4"/>
    <n v="-236"/>
    <x v="1"/>
    <x v="1"/>
    <s v="Fred Gashemeza"/>
    <s v="fred.gashemeza@judiciary.gov.rw"/>
    <s v="0 788 305665"/>
    <m/>
    <m/>
    <m/>
  </r>
  <r>
    <s v="C002675"/>
    <x v="178"/>
    <s v="Fiber Internet: TGI Gicumbi"/>
    <s v="Gicumbi"/>
    <x v="0"/>
    <x v="11"/>
    <s v="Standard"/>
    <x v="0"/>
    <x v="0"/>
    <n v="5"/>
    <s v="Fiber Broadband Internet 5Mbps"/>
    <m/>
    <n v="1"/>
    <n v="221400"/>
    <n v="221400"/>
    <s v="Monthly"/>
    <d v="2024-02-28T00:00:00"/>
    <x v="7"/>
    <x v="4"/>
    <n v="-236"/>
    <x v="1"/>
    <x v="1"/>
    <s v="Fred Gashemeza"/>
    <s v="fred.gashemeza@judiciary.gov.rw"/>
    <s v="0 788 305665"/>
    <m/>
    <m/>
    <m/>
  </r>
  <r>
    <s v="C002675"/>
    <x v="178"/>
    <s v="Fiber Internet: TGI Huye"/>
    <s v="Huye"/>
    <x v="0"/>
    <x v="11"/>
    <s v="Standard"/>
    <x v="0"/>
    <x v="0"/>
    <n v="5"/>
    <s v="Fiber Broadband Internet 5Mbps"/>
    <m/>
    <n v="1"/>
    <n v="221400"/>
    <n v="221400"/>
    <s v="Monthly"/>
    <d v="2024-02-28T00:00:00"/>
    <x v="7"/>
    <x v="4"/>
    <n v="-236"/>
    <x v="1"/>
    <x v="1"/>
    <s v="Fred Gashemeza"/>
    <s v="fred.gashemeza@judiciary.gov.rw"/>
    <s v="0 788 305665"/>
    <m/>
    <m/>
    <m/>
  </r>
  <r>
    <s v="C002675"/>
    <x v="178"/>
    <s v="Fiber Internet: TB Kicukiro"/>
    <s v="Kicukiro"/>
    <x v="0"/>
    <x v="11"/>
    <s v="Standard"/>
    <x v="0"/>
    <x v="0"/>
    <n v="5"/>
    <s v="Fiber Broadband Internet 5Mbps"/>
    <m/>
    <n v="1"/>
    <n v="256500"/>
    <n v="256500"/>
    <s v="Monthly"/>
    <d v="2024-02-28T00:00:00"/>
    <x v="7"/>
    <x v="4"/>
    <n v="-236"/>
    <x v="1"/>
    <x v="1"/>
    <s v="Fred Gashemeza"/>
    <s v="fred.gashemeza@judiciary.gov.rw"/>
    <s v="0 788 305665"/>
    <m/>
    <m/>
    <m/>
  </r>
  <r>
    <s v="C002675"/>
    <x v="178"/>
    <s v="Fiber Internet: TGI Muhanga"/>
    <s v="Muhanga"/>
    <x v="0"/>
    <x v="11"/>
    <s v="Standard"/>
    <x v="0"/>
    <x v="0"/>
    <n v="5"/>
    <s v="Fiber Broadband Internet 5Mbps"/>
    <m/>
    <n v="1"/>
    <n v="221400"/>
    <n v="221400"/>
    <s v="Monthly"/>
    <d v="2024-02-28T00:00:00"/>
    <x v="7"/>
    <x v="4"/>
    <n v="-236"/>
    <x v="1"/>
    <x v="1"/>
    <s v="Fred Gashemeza"/>
    <s v="fred.gashemeza@judiciary.gov.rw"/>
    <s v="0 788 305665"/>
    <m/>
    <m/>
    <m/>
  </r>
  <r>
    <s v="C002675"/>
    <x v="178"/>
    <s v="Fiber Internet: TGI Ngoma"/>
    <s v="Ngoma"/>
    <x v="0"/>
    <x v="11"/>
    <s v="Standard"/>
    <x v="0"/>
    <x v="0"/>
    <n v="5"/>
    <s v="Fiber Broadband Internet 5Mbps"/>
    <m/>
    <n v="1"/>
    <n v="221400"/>
    <n v="221400"/>
    <s v="Monthly"/>
    <d v="2024-02-28T00:00:00"/>
    <x v="7"/>
    <x v="4"/>
    <n v="-236"/>
    <x v="1"/>
    <x v="1"/>
    <s v="Fred Gashemeza"/>
    <s v="fred.gashemeza@judiciary.gov.rw"/>
    <s v="0 788 305665"/>
    <m/>
    <m/>
    <m/>
  </r>
  <r>
    <s v="C002675"/>
    <x v="178"/>
    <s v="Fiber Internet: TGI Nyagatare"/>
    <s v="Nyagatare"/>
    <x v="0"/>
    <x v="11"/>
    <s v="Standard"/>
    <x v="0"/>
    <x v="0"/>
    <n v="5"/>
    <s v="Fiber Broadband Internet 5Mbps"/>
    <m/>
    <n v="1"/>
    <n v="221400"/>
    <n v="221400"/>
    <s v="Monthly"/>
    <d v="2024-02-28T00:00:00"/>
    <x v="7"/>
    <x v="4"/>
    <n v="-236"/>
    <x v="1"/>
    <x v="1"/>
    <s v="Fred Gashemeza"/>
    <s v="fred.gashemeza@judiciary.gov.rw"/>
    <s v="0 788 305665"/>
    <m/>
    <m/>
    <m/>
  </r>
  <r>
    <s v="C002675"/>
    <x v="178"/>
    <s v="Fiber Internet: TGI Nyamagabe"/>
    <s v="Nyamagabe"/>
    <x v="0"/>
    <x v="11"/>
    <s v="Standard"/>
    <x v="0"/>
    <x v="0"/>
    <n v="5"/>
    <s v="Fiber Broadband Internet 5Mbps"/>
    <m/>
    <n v="1"/>
    <n v="221400"/>
    <n v="221400"/>
    <s v="Monthly"/>
    <d v="2024-02-28T00:00:00"/>
    <x v="7"/>
    <x v="4"/>
    <n v="-236"/>
    <x v="1"/>
    <x v="1"/>
    <s v="Fred Gashemeza"/>
    <s v="fred.gashemeza@judiciary.gov.rw"/>
    <s v="0 788 305665"/>
    <m/>
    <m/>
    <m/>
  </r>
  <r>
    <s v="C002675"/>
    <x v="178"/>
    <s v="Fiber Internet: TGI Nyarugenge"/>
    <s v="Nyarugenge"/>
    <x v="0"/>
    <x v="11"/>
    <s v="Standard"/>
    <x v="0"/>
    <x v="0"/>
    <n v="5"/>
    <s v="Fiber Broadband Internet 5Mbps"/>
    <m/>
    <n v="1"/>
    <n v="221400"/>
    <n v="221400"/>
    <s v="Monthly"/>
    <d v="2024-02-28T00:00:00"/>
    <x v="7"/>
    <x v="4"/>
    <n v="-236"/>
    <x v="1"/>
    <x v="1"/>
    <s v="Fred Gashemeza"/>
    <s v="fred.gashemeza@judiciary.gov.rw"/>
    <s v="0 788 305665"/>
    <m/>
    <m/>
    <m/>
  </r>
  <r>
    <s v="C002675"/>
    <x v="178"/>
    <s v="Fiber Internet: TB Nyarugenge"/>
    <s v="Nyarugenge"/>
    <x v="0"/>
    <x v="11"/>
    <s v="Standard"/>
    <x v="0"/>
    <x v="0"/>
    <n v="5"/>
    <s v="Fiber Broadband Internet 5Mbps"/>
    <m/>
    <n v="1"/>
    <n v="270000"/>
    <n v="270000"/>
    <s v="Monthly"/>
    <d v="2024-02-28T00:00:00"/>
    <x v="7"/>
    <x v="4"/>
    <n v="-236"/>
    <x v="1"/>
    <x v="1"/>
    <s v="Fred Gashemeza"/>
    <s v="fred.gashemeza@judiciary.gov.rw"/>
    <s v="0 788 305665"/>
    <m/>
    <m/>
    <m/>
  </r>
  <r>
    <s v="C002675"/>
    <x v="178"/>
    <s v="Fiber Internet: TGI Rubavu"/>
    <s v="Rubavu"/>
    <x v="0"/>
    <x v="11"/>
    <s v="Standard"/>
    <x v="0"/>
    <x v="0"/>
    <n v="5"/>
    <s v="Fiber Broadband Internet 5Mbps"/>
    <m/>
    <n v="1"/>
    <n v="221400"/>
    <n v="221400"/>
    <s v="Monthly"/>
    <d v="2024-02-28T00:00:00"/>
    <x v="7"/>
    <x v="4"/>
    <n v="-236"/>
    <x v="1"/>
    <x v="1"/>
    <s v="Fred Gashemeza"/>
    <s v="fred.gashemeza@judiciary.gov.rw"/>
    <s v="0 788 305665"/>
    <m/>
    <m/>
    <m/>
  </r>
  <r>
    <s v="C002675"/>
    <x v="178"/>
    <s v="Fiber Internet: HC Rusizi"/>
    <s v="Rusizi"/>
    <x v="0"/>
    <x v="11"/>
    <s v="Standard"/>
    <x v="0"/>
    <x v="0"/>
    <n v="5"/>
    <s v="Fiber Broadband Internet 5Mbps"/>
    <m/>
    <n v="1"/>
    <n v="221400"/>
    <n v="221400"/>
    <s v="Monthly"/>
    <d v="2024-02-28T00:00:00"/>
    <x v="7"/>
    <x v="4"/>
    <n v="-236"/>
    <x v="1"/>
    <x v="1"/>
    <s v="Fred Gashemeza"/>
    <s v="fred.gashemeza@judiciary.gov.rw"/>
    <s v="0 788 305665"/>
    <m/>
    <m/>
    <m/>
  </r>
  <r>
    <s v="C002675"/>
    <x v="178"/>
    <s v="Fiber Internet: TGI Musanze"/>
    <s v="Musanze"/>
    <x v="0"/>
    <x v="11"/>
    <s v="Standard"/>
    <x v="0"/>
    <x v="0"/>
    <n v="6"/>
    <s v="Fiber Broadband Internet 6Mbps"/>
    <m/>
    <n v="1"/>
    <n v="221400"/>
    <n v="221400"/>
    <s v="Monthly"/>
    <d v="2024-02-28T00:00:00"/>
    <x v="7"/>
    <x v="4"/>
    <n v="-236"/>
    <x v="1"/>
    <x v="1"/>
    <s v="Fred Gashemeza"/>
    <s v="fred.gashemeza@judiciary.gov.rw"/>
    <s v="0 788 305665"/>
    <m/>
    <m/>
    <m/>
  </r>
  <r>
    <s v="C002675"/>
    <x v="178"/>
    <s v="Fiber Internet: HC Nyanza"/>
    <s v="Nyanza"/>
    <x v="0"/>
    <x v="11"/>
    <s v="Standard"/>
    <x v="0"/>
    <x v="0"/>
    <n v="6"/>
    <s v="Fiber Broadband Internet 6Mbps"/>
    <m/>
    <n v="1"/>
    <n v="255839.83050847458"/>
    <n v="255839.83050847458"/>
    <s v="Monthly"/>
    <d v="2024-02-28T00:00:00"/>
    <x v="7"/>
    <x v="4"/>
    <n v="-236"/>
    <x v="1"/>
    <x v="1"/>
    <s v="Fred Gashemeza"/>
    <s v="fred.gashemeza@judiciary.gov.rw"/>
    <s v="0 788 305665"/>
    <m/>
    <m/>
    <m/>
  </r>
  <r>
    <s v="C002675"/>
    <x v="178"/>
    <s v="Fiber Internet: HC Rwamagana"/>
    <s v="Rwamagana  "/>
    <x v="0"/>
    <x v="11"/>
    <s v="Standard"/>
    <x v="0"/>
    <x v="0"/>
    <n v="6"/>
    <s v="Fiber Broadband Internet 6Mbps"/>
    <m/>
    <n v="1"/>
    <n v="255839.83050847458"/>
    <n v="255839.83050847458"/>
    <s v="Monthly"/>
    <d v="2024-02-28T00:00:00"/>
    <x v="7"/>
    <x v="4"/>
    <n v="-236"/>
    <x v="1"/>
    <x v="1"/>
    <s v="Fred Gashemeza"/>
    <s v="fred.gashemeza@judiciary.gov.rw"/>
    <s v="0 788 305665"/>
    <m/>
    <m/>
    <m/>
  </r>
  <r>
    <s v="C002675"/>
    <x v="178"/>
    <s v="Fiber Internet: HC-COM-TC"/>
    <s v="Nyarugenge"/>
    <x v="0"/>
    <x v="11"/>
    <s v="Standard"/>
    <x v="0"/>
    <x v="0"/>
    <n v="15"/>
    <s v="Fiber Broadband Internet 15Mbps"/>
    <m/>
    <n v="1"/>
    <n v="590400"/>
    <n v="590400"/>
    <s v="Monthly"/>
    <d v="2024-02-28T00:00:00"/>
    <x v="7"/>
    <x v="4"/>
    <n v="-236"/>
    <x v="1"/>
    <x v="1"/>
    <s v="Fred Gashemeza"/>
    <s v="fred.gashemeza@judiciary.gov.rw"/>
    <s v="0 788 305665"/>
    <m/>
    <m/>
    <m/>
  </r>
  <r>
    <s v="C002675"/>
    <x v="178"/>
    <s v="4G Service: TB Mbogo"/>
    <s v="Gasabo"/>
    <x v="0"/>
    <x v="11"/>
    <s v="Standard"/>
    <x v="0"/>
    <x v="6"/>
    <m/>
    <s v="4G ONE NETWORK 3MBPS"/>
    <m/>
    <n v="1"/>
    <n v="81355.932203389835"/>
    <n v="81355.932203389835"/>
    <s v="Monthly"/>
    <d v="2024-02-28T00:00:00"/>
    <x v="7"/>
    <x v="4"/>
    <n v="-236"/>
    <x v="1"/>
    <x v="1"/>
    <s v="Fred Gashemeza"/>
    <s v="fred.gashemeza@judiciary.gov.rw"/>
    <s v="0 788 305665"/>
    <m/>
    <m/>
    <m/>
  </r>
  <r>
    <s v="C002675"/>
    <x v="178"/>
    <s v="4G Service: TB Gashali"/>
    <s v="Karongi"/>
    <x v="0"/>
    <x v="11"/>
    <s v="Standard"/>
    <x v="0"/>
    <x v="6"/>
    <m/>
    <s v="4G ONE NETWORK 3MBPS"/>
    <m/>
    <n v="1"/>
    <n v="81355.932203389835"/>
    <n v="81355.932203389835"/>
    <s v="Monthly"/>
    <d v="2024-02-28T00:00:00"/>
    <x v="7"/>
    <x v="4"/>
    <n v="-236"/>
    <x v="1"/>
    <x v="1"/>
    <s v="Fred Gashemeza"/>
    <s v="fred.gashemeza@judiciary.gov.rw"/>
    <s v="0 788 305665"/>
    <m/>
    <m/>
    <m/>
  </r>
  <r>
    <s v="C002675"/>
    <x v="178"/>
    <s v="4G Service: TB Kiyumba"/>
    <s v="Muhanga"/>
    <x v="0"/>
    <x v="11"/>
    <s v="Standard"/>
    <x v="0"/>
    <x v="6"/>
    <m/>
    <s v="4G ONE NETWORK 3MBPS"/>
    <m/>
    <n v="1"/>
    <n v="81355.932203389835"/>
    <n v="81355.932203389835"/>
    <s v="Monthly"/>
    <d v="2024-02-28T00:00:00"/>
    <x v="7"/>
    <x v="4"/>
    <n v="-236"/>
    <x v="1"/>
    <x v="1"/>
    <s v="Fred Gashemeza"/>
    <s v="fred.gashemeza@judiciary.gov.rw"/>
    <s v="0 788 305665"/>
    <m/>
    <m/>
    <m/>
  </r>
  <r>
    <s v="C002675"/>
    <x v="178"/>
    <s v="4G Service: TB Gatunda"/>
    <s v="Muhanga"/>
    <x v="0"/>
    <x v="11"/>
    <s v="Standard"/>
    <x v="0"/>
    <x v="6"/>
    <m/>
    <s v="4G ONE NETWORK 3MBPS"/>
    <m/>
    <n v="1"/>
    <n v="81355.932203389835"/>
    <n v="81355.932203389835"/>
    <s v="Monthly"/>
    <d v="2024-02-28T00:00:00"/>
    <x v="7"/>
    <x v="4"/>
    <n v="-236"/>
    <x v="1"/>
    <x v="1"/>
    <s v="Fred Gashemeza"/>
    <s v="fred.gashemeza@judiciary.gov.rw"/>
    <s v="0 788 305665"/>
    <m/>
    <m/>
    <m/>
  </r>
  <r>
    <s v="C002675"/>
    <x v="178"/>
    <s v="4G Service: TB Kaniga"/>
    <s v="Nyagatare"/>
    <x v="0"/>
    <x v="11"/>
    <s v="Standard"/>
    <x v="0"/>
    <x v="6"/>
    <m/>
    <s v="4G ONE NETWORK 3MBPS"/>
    <m/>
    <n v="1"/>
    <n v="81355.932203389835"/>
    <n v="81355.932203389835"/>
    <s v="Monthly"/>
    <d v="2024-02-28T00:00:00"/>
    <x v="7"/>
    <x v="4"/>
    <n v="-236"/>
    <x v="1"/>
    <x v="1"/>
    <s v="Fred Gashemeza"/>
    <s v="fred.gashemeza@judiciary.gov.rw"/>
    <s v="0 788 305665"/>
    <m/>
    <m/>
    <m/>
  </r>
  <r>
    <s v="C002675"/>
    <x v="178"/>
    <s v="4G Service: TB Kaduha"/>
    <s v="Nyamagabe"/>
    <x v="0"/>
    <x v="11"/>
    <s v="Standard"/>
    <x v="0"/>
    <x v="6"/>
    <m/>
    <s v="4G ONE NETWORK 3MBPS"/>
    <m/>
    <n v="1"/>
    <n v="81355.932203389835"/>
    <n v="81355.932203389835"/>
    <s v="Monthly"/>
    <d v="2024-02-28T00:00:00"/>
    <x v="7"/>
    <x v="4"/>
    <n v="-236"/>
    <x v="1"/>
    <x v="1"/>
    <s v="Fred Gashemeza"/>
    <s v="fred.gashemeza@judiciary.gov.rw"/>
    <s v="0 788 305665"/>
    <m/>
    <m/>
    <m/>
  </r>
  <r>
    <s v="C002675"/>
    <x v="178"/>
    <s v="4G Service: TB Nyakabuye"/>
    <s v="Rusizi"/>
    <x v="0"/>
    <x v="11"/>
    <s v="Standard"/>
    <x v="0"/>
    <x v="6"/>
    <m/>
    <s v="4G ONE NETWORK 3MBPS"/>
    <m/>
    <n v="1"/>
    <n v="81355.932203389835"/>
    <n v="81355.932203389835"/>
    <s v="Monthly"/>
    <d v="2024-02-28T00:00:00"/>
    <x v="7"/>
    <x v="4"/>
    <n v="-236"/>
    <x v="1"/>
    <x v="1"/>
    <s v="Fred Gashemeza"/>
    <s v="fred.gashemeza@judiciary.gov.rw"/>
    <s v="0 788 305665"/>
    <m/>
    <m/>
    <m/>
  </r>
  <r>
    <s v="C002675"/>
    <x v="178"/>
    <s v="4G Service: TB Nzige"/>
    <s v="Rwamagana  "/>
    <x v="0"/>
    <x v="11"/>
    <s v="Standard"/>
    <x v="0"/>
    <x v="6"/>
    <m/>
    <s v="4G ONE NETWORK 3MBPS"/>
    <m/>
    <n v="1"/>
    <n v="81355.932203389835"/>
    <n v="81355.932203389835"/>
    <s v="Monthly"/>
    <d v="2024-02-28T00:00:00"/>
    <x v="7"/>
    <x v="4"/>
    <n v="-236"/>
    <x v="1"/>
    <x v="1"/>
    <s v="Fred Gashemeza"/>
    <s v="fred.gashemeza@judiciary.gov.rw"/>
    <s v="0 788 305665"/>
    <m/>
    <m/>
    <m/>
  </r>
  <r>
    <s v="C001475"/>
    <x v="117"/>
    <s v="HQ"/>
    <s v="Nyarugenge"/>
    <x v="0"/>
    <x v="0"/>
    <s v="Standard"/>
    <x v="0"/>
    <x v="6"/>
    <m/>
    <s v="4G MUP 2GB/DAY"/>
    <m/>
    <n v="26"/>
    <n v="28305.08"/>
    <n v="735932.08000000007"/>
    <s v="Monthly"/>
    <d v="2024-02-29T00:00:00"/>
    <x v="7"/>
    <x v="4"/>
    <n v="-237"/>
    <x v="1"/>
    <x v="7"/>
    <s v="Marie Goretti KABERA"/>
    <s v="gkabera@myculture.gov.rw,dmutunge@myculture.gov.rw"/>
    <n v="788866205"/>
    <m/>
    <m/>
    <m/>
  </r>
  <r>
    <s v="C001918"/>
    <x v="191"/>
    <s v="HQ"/>
    <s v="Nyaruguru"/>
    <x v="0"/>
    <x v="0"/>
    <s v="Standard"/>
    <x v="0"/>
    <x v="0"/>
    <n v="3"/>
    <s v="Fiber Broadband Internet 3Mbps"/>
    <m/>
    <n v="1"/>
    <n v="180000"/>
    <n v="180000"/>
    <s v="Monthly"/>
    <d v="2024-02-29T00:00:00"/>
    <x v="7"/>
    <x v="4"/>
    <n v="-237"/>
    <x v="1"/>
    <x v="5"/>
    <s v="VIANNEY"/>
    <s v="info@nyaruguru.gov.rw"/>
    <n v="788351929"/>
    <m/>
    <m/>
    <m/>
  </r>
  <r>
    <s v="C001918"/>
    <x v="191"/>
    <s v="HQ"/>
    <s v="Nyaruguru"/>
    <x v="0"/>
    <x v="0"/>
    <s v="Standard"/>
    <x v="0"/>
    <x v="0"/>
    <n v="15"/>
    <s v="FIBER VPN 15MBPS"/>
    <m/>
    <n v="1"/>
    <n v="720000"/>
    <n v="720000"/>
    <s v="Monthly"/>
    <d v="2024-02-29T00:00:00"/>
    <x v="7"/>
    <x v="4"/>
    <n v="-237"/>
    <x v="1"/>
    <x v="5"/>
    <s v="VIANNEY"/>
    <s v="info@nyaruguru.gov.rw"/>
    <n v="788351929"/>
    <m/>
    <m/>
    <m/>
  </r>
  <r>
    <s v="C001918"/>
    <x v="191"/>
    <s v="HQ"/>
    <s v="Nyaruguru"/>
    <x v="0"/>
    <x v="0"/>
    <s v="Standard"/>
    <x v="3"/>
    <x v="7"/>
    <m/>
    <s v="MSS GOLD"/>
    <m/>
    <n v="1"/>
    <n v="369325.42"/>
    <n v="369325.42"/>
    <s v="Monthly"/>
    <d v="2024-02-29T00:00:00"/>
    <x v="7"/>
    <x v="4"/>
    <n v="-237"/>
    <x v="1"/>
    <x v="5"/>
    <s v="VIANNEY"/>
    <s v="info@nyaruguru.gov.rw"/>
    <n v="788351929"/>
    <m/>
    <m/>
    <m/>
  </r>
  <r>
    <s v="C001918"/>
    <x v="191"/>
    <s v="CELL"/>
    <s v="Nyaruguru"/>
    <x v="0"/>
    <x v="0"/>
    <s v="Standard"/>
    <x v="0"/>
    <x v="6"/>
    <m/>
    <s v="4G MUP 1GB/DAY"/>
    <m/>
    <n v="5"/>
    <n v="19491.53"/>
    <n v="97457.65"/>
    <s v="Monthly"/>
    <d v="2024-02-29T00:00:00"/>
    <x v="7"/>
    <x v="4"/>
    <n v="-237"/>
    <x v="1"/>
    <x v="5"/>
    <s v="VIANNEY"/>
    <s v="info@nyaruguru.gov.rw"/>
    <n v="788351929"/>
    <m/>
    <m/>
    <m/>
  </r>
  <r>
    <s v="C001918"/>
    <x v="191"/>
    <s v="CELL"/>
    <s v="Nyaruguru"/>
    <x v="0"/>
    <x v="0"/>
    <s v="Standard"/>
    <x v="0"/>
    <x v="6"/>
    <m/>
    <s v="4G MUP 1GB/DAY"/>
    <m/>
    <n v="43"/>
    <n v="19491.53"/>
    <n v="838135.78999999992"/>
    <s v="Monthly"/>
    <d v="2024-02-29T00:00:00"/>
    <x v="7"/>
    <x v="4"/>
    <n v="-237"/>
    <x v="1"/>
    <x v="5"/>
    <s v="VIANNEY"/>
    <s v="info@nyaruguru.gov.rw"/>
    <n v="788351929"/>
    <m/>
    <m/>
    <m/>
  </r>
  <r>
    <s v="C001440"/>
    <x v="12"/>
    <s v="VSAT: CHINDA"/>
    <s v="Mozambique"/>
    <x v="0"/>
    <x v="3"/>
    <s v="VIP"/>
    <x v="1"/>
    <x v="8"/>
    <n v="6"/>
    <s v="VSAT Internet 6Mbps"/>
    <m/>
    <n v="1"/>
    <n v="5421468"/>
    <n v="5421468"/>
    <s v="Monthly"/>
    <d v="2024-03-01T00:00:00"/>
    <x v="8"/>
    <x v="4"/>
    <n v="-238"/>
    <x v="1"/>
    <x v="1"/>
    <s v="Jean de Dieu MUGAMBWA_x000a_Lt Col_x000a_Ag. H/CEC"/>
    <s v="headcec@minadef.gov.rw    "/>
    <s v="0 78 831 4513"/>
    <m/>
    <m/>
    <m/>
  </r>
  <r>
    <s v="C002070"/>
    <x v="192"/>
    <s v="RC Musanze"/>
    <s v="Musanze"/>
    <x v="0"/>
    <x v="0"/>
    <s v="Standard"/>
    <x v="0"/>
    <x v="0"/>
    <n v="3"/>
    <s v="FIBER VPN 3MBPS"/>
    <m/>
    <n v="1"/>
    <n v="180000"/>
    <n v="180000"/>
    <s v="Monthly"/>
    <d v="2024-03-07T00:00:00"/>
    <x v="8"/>
    <x v="4"/>
    <n v="-244"/>
    <x v="1"/>
    <x v="2"/>
    <s v="Furaha Janvier"/>
    <s v="rba_it@rba.co.rw"/>
    <s v="0722-000-694"/>
    <m/>
    <m/>
    <m/>
  </r>
  <r>
    <s v="C002070"/>
    <x v="192"/>
    <s v="RC Nyagatare"/>
    <s v="Nyagatare"/>
    <x v="0"/>
    <x v="0"/>
    <s v="Standard"/>
    <x v="0"/>
    <x v="0"/>
    <n v="3"/>
    <s v="FIBER VPN 3MBPS"/>
    <m/>
    <n v="1"/>
    <n v="180000"/>
    <n v="180000"/>
    <s v="Monthly"/>
    <d v="2024-03-07T00:00:00"/>
    <x v="8"/>
    <x v="4"/>
    <n v="-244"/>
    <x v="1"/>
    <x v="2"/>
    <s v="Furaha Janvier"/>
    <s v="rba_it@rba.co.rw"/>
    <s v="0722-000-694"/>
    <m/>
    <m/>
    <m/>
  </r>
  <r>
    <s v="C002070"/>
    <x v="192"/>
    <s v="RC Rubavu"/>
    <s v="Rubavu"/>
    <x v="0"/>
    <x v="0"/>
    <s v="Standard"/>
    <x v="0"/>
    <x v="0"/>
    <n v="3"/>
    <s v="FIBER VPN 3MBPS"/>
    <m/>
    <n v="1"/>
    <n v="180000"/>
    <n v="180000"/>
    <s v="Monthly"/>
    <d v="2024-03-07T00:00:00"/>
    <x v="8"/>
    <x v="4"/>
    <n v="-244"/>
    <x v="1"/>
    <x v="2"/>
    <s v="Furaha Janvier"/>
    <s v="rba_it@rba.co.rw"/>
    <s v="0722-000-694"/>
    <m/>
    <m/>
    <m/>
  </r>
  <r>
    <s v="C002070"/>
    <x v="192"/>
    <s v="RC Rusizi"/>
    <s v="Rusizi"/>
    <x v="0"/>
    <x v="0"/>
    <s v="Standard"/>
    <x v="0"/>
    <x v="0"/>
    <n v="3"/>
    <s v="FIBER VPN 3MBPS"/>
    <m/>
    <n v="1"/>
    <n v="180000"/>
    <n v="180000"/>
    <s v="Monthly"/>
    <d v="2024-03-07T00:00:00"/>
    <x v="8"/>
    <x v="4"/>
    <n v="-244"/>
    <x v="1"/>
    <x v="2"/>
    <s v="Furaha Janvier"/>
    <s v="rba_it@rba.co.rw"/>
    <s v="0722-000-694"/>
    <m/>
    <m/>
    <m/>
  </r>
  <r>
    <s v="C002070"/>
    <x v="192"/>
    <s v="VPN link btn RBA &amp; AoS (NDC)"/>
    <s v="Gasabo"/>
    <x v="0"/>
    <x v="0"/>
    <s v="Standard"/>
    <x v="0"/>
    <x v="0"/>
    <n v="10"/>
    <s v="FIBER VPN 10MBPS"/>
    <m/>
    <n v="1"/>
    <n v="510000"/>
    <n v="510000"/>
    <s v="Monthly"/>
    <d v="2024-03-07T00:00:00"/>
    <x v="8"/>
    <x v="4"/>
    <n v="-244"/>
    <x v="1"/>
    <x v="2"/>
    <s v="Furaha Janvier"/>
    <s v="rba_it@rba.co.rw"/>
    <s v="0722-000-694"/>
    <m/>
    <m/>
    <m/>
  </r>
  <r>
    <s v="C002070"/>
    <x v="192"/>
    <s v="RBA - HQ"/>
    <s v="Gasabo"/>
    <x v="0"/>
    <x v="0"/>
    <s v="Standard"/>
    <x v="0"/>
    <x v="0"/>
    <n v="20"/>
    <s v="FIBER VPN 20MBPS"/>
    <m/>
    <n v="1"/>
    <n v="900000"/>
    <n v="900000"/>
    <s v="Monthly"/>
    <d v="2024-03-07T00:00:00"/>
    <x v="8"/>
    <x v="4"/>
    <n v="-244"/>
    <x v="1"/>
    <x v="2"/>
    <s v="Furaha Janvier"/>
    <s v="rba_it@rba.co.rw"/>
    <s v="0722-000-694"/>
    <m/>
    <m/>
    <m/>
  </r>
  <r>
    <s v="C002070"/>
    <x v="192"/>
    <s v="RBA - HQ"/>
    <s v="Gasabo"/>
    <x v="0"/>
    <x v="0"/>
    <s v="Standard"/>
    <x v="0"/>
    <x v="6"/>
    <m/>
    <s v="4G MUP 1GB/DAY"/>
    <m/>
    <n v="19"/>
    <n v="19491.53"/>
    <n v="370339.06999999995"/>
    <s v="Monthly"/>
    <d v="2024-03-07T00:00:00"/>
    <x v="8"/>
    <x v="4"/>
    <n v="-244"/>
    <x v="1"/>
    <x v="2"/>
    <s v="Furaha Janvier"/>
    <s v="rba_it@rba.co.rw"/>
    <s v="0722-000-694"/>
    <m/>
    <m/>
    <m/>
  </r>
  <r>
    <s v="C002070"/>
    <x v="192"/>
    <s v="RBA - HQ"/>
    <s v="Gasabo"/>
    <x v="0"/>
    <x v="0"/>
    <s v="Standard"/>
    <x v="0"/>
    <x v="6"/>
    <m/>
    <s v="4G MUP 2GB/DAY"/>
    <m/>
    <n v="22"/>
    <n v="28305.08"/>
    <n v="622711.76"/>
    <s v="Monthly"/>
    <d v="2024-03-07T00:00:00"/>
    <x v="8"/>
    <x v="4"/>
    <n v="-244"/>
    <x v="1"/>
    <x v="2"/>
    <s v="Furaha Janvier"/>
    <s v="rba_it@rba.co.rw"/>
    <s v="0722-000-694"/>
    <m/>
    <m/>
    <m/>
  </r>
  <r>
    <s v="C002070"/>
    <x v="192"/>
    <s v="RBA - HQ"/>
    <s v="Gasabo"/>
    <x v="0"/>
    <x v="0"/>
    <s v="Standard"/>
    <x v="0"/>
    <x v="6"/>
    <m/>
    <s v="4G MUP 2GB/DAY"/>
    <m/>
    <n v="22"/>
    <n v="28305.084746"/>
    <n v="622711.86441200005"/>
    <s v="Monthly"/>
    <d v="2024-03-07T00:00:00"/>
    <x v="8"/>
    <x v="4"/>
    <n v="-244"/>
    <x v="1"/>
    <x v="2"/>
    <s v="Furaha Janvier"/>
    <s v="rba_it@rba.co.rw"/>
    <s v="0722-000-694"/>
    <m/>
    <m/>
    <m/>
  </r>
  <r>
    <s v="C002107"/>
    <x v="193"/>
    <s v="RISA CEO 4G"/>
    <s v="Gasabo"/>
    <x v="0"/>
    <x v="0"/>
    <s v="VIP"/>
    <x v="0"/>
    <x v="6"/>
    <m/>
    <s v="4G ONE NETWORK 5MBPS "/>
    <m/>
    <n v="1"/>
    <n v="101694.91525400001"/>
    <n v="101694.91525400001"/>
    <s v="Monthly"/>
    <d v="2024-03-09T00:00:00"/>
    <x v="8"/>
    <x v="4"/>
    <n v="-246"/>
    <x v="1"/>
    <x v="0"/>
    <s v="Deo Kimonyo "/>
    <s v="deo.kimonyo@risa.gov.rw"/>
    <s v="0788524094"/>
    <m/>
    <m/>
    <m/>
  </r>
  <r>
    <s v="C002107"/>
    <x v="193"/>
    <s v="RISA CEO 4G"/>
    <s v="Gasabo"/>
    <x v="0"/>
    <x v="0"/>
    <s v="VIP"/>
    <x v="0"/>
    <x v="6"/>
    <m/>
    <s v="4G ONE NETWORK 5MBPS "/>
    <m/>
    <n v="1"/>
    <n v="101694.91525400001"/>
    <n v="101694.91525400001"/>
    <s v="Monthly"/>
    <d v="2024-03-09T00:00:00"/>
    <x v="8"/>
    <x v="4"/>
    <n v="-246"/>
    <x v="1"/>
    <x v="0"/>
    <s v="Deo Kimonyo "/>
    <s v="deo.kimonyo@risa.gov.rw"/>
    <s v="0788524094"/>
    <m/>
    <m/>
    <m/>
  </r>
  <r>
    <s v="C003798"/>
    <x v="186"/>
    <s v="RCI HQ."/>
    <s v="Gasabo"/>
    <x v="0"/>
    <x v="7"/>
    <s v="Standard"/>
    <x v="0"/>
    <x v="6"/>
    <m/>
    <s v="4G MUP 2GB/DAY"/>
    <m/>
    <n v="13"/>
    <n v="28305.08"/>
    <n v="367966.04000000004"/>
    <s v="Monthly"/>
    <d v="2024-03-10T00:00:00"/>
    <x v="8"/>
    <x v="4"/>
    <n v="-247"/>
    <x v="1"/>
    <x v="2"/>
    <s v="Dieudonne Dukuzumuremyi"/>
    <s v="dukuzumuremyi@cooperation.rw"/>
    <s v="0783-058-756"/>
    <m/>
    <m/>
    <m/>
  </r>
  <r>
    <s v="C003181"/>
    <x v="194"/>
    <s v="RDH-MAIN BRANCH"/>
    <s v="Ruhango"/>
    <x v="0"/>
    <x v="6"/>
    <s v="Standard"/>
    <x v="0"/>
    <x v="6"/>
    <m/>
    <s v="4G ONE NETWORK 5MBPS"/>
    <m/>
    <n v="1"/>
    <n v="101694.92"/>
    <n v="101694.92"/>
    <s v="Monthly"/>
    <d v="2024-03-10T00:00:00"/>
    <x v="8"/>
    <x v="4"/>
    <n v="-247"/>
    <x v="1"/>
    <x v="6"/>
    <s v="Edmond"/>
    <s v="ruhango.hospital@moh.gov.rw"/>
    <n v="788359272"/>
    <m/>
    <m/>
    <m/>
  </r>
  <r>
    <s v="C002244"/>
    <x v="195"/>
    <s v="RWANDA ATHLETICS FEDERATION"/>
    <s v="Gasabo"/>
    <x v="0"/>
    <x v="0"/>
    <s v="Standard"/>
    <x v="0"/>
    <x v="6"/>
    <m/>
    <s v="4G ONE NETWORK 3MBPS"/>
    <m/>
    <n v="1"/>
    <n v="81355.932203000004"/>
    <n v="81355.932203000004"/>
    <s v="Monthly"/>
    <d v="2024-03-12T00:00:00"/>
    <x v="8"/>
    <x v="4"/>
    <n v="-249"/>
    <x v="1"/>
    <x v="1"/>
    <m/>
    <s v="rwa@mf.worldatheletic.org"/>
    <n v="788302849"/>
    <m/>
    <m/>
    <m/>
  </r>
  <r>
    <s v="C002246"/>
    <x v="106"/>
    <s v="RBC-HQ"/>
    <s v="Gasabo"/>
    <x v="0"/>
    <x v="6"/>
    <s v="Standard"/>
    <x v="0"/>
    <x v="6"/>
    <m/>
    <s v="4G ONE NETWORK 3MBPS"/>
    <m/>
    <n v="2"/>
    <n v="81355.932203389835"/>
    <n v="162711.86440677967"/>
    <s v="Monthly"/>
    <d v="2024-03-18T00:00:00"/>
    <x v="8"/>
    <x v="4"/>
    <n v="-255"/>
    <x v="1"/>
    <x v="6"/>
    <s v="KAGIRANEZA Samuel"/>
    <s v="samuel.kagiraneza@rbc.gov.rw"/>
    <n v="788512162"/>
    <m/>
    <m/>
    <m/>
  </r>
  <r>
    <s v="C002246"/>
    <x v="106"/>
    <s v="RBC-HQ"/>
    <s v="Gasabo"/>
    <x v="0"/>
    <x v="6"/>
    <s v="Standard"/>
    <x v="0"/>
    <x v="6"/>
    <m/>
    <s v="4G MUP 4GB/DAY"/>
    <m/>
    <n v="3"/>
    <n v="45338.983051000003"/>
    <n v="136016.94915300002"/>
    <s v="Monthly"/>
    <d v="2024-03-18T00:00:00"/>
    <x v="8"/>
    <x v="4"/>
    <n v="-255"/>
    <x v="1"/>
    <x v="6"/>
    <s v="KAGIRANEZA Samuel"/>
    <s v="samuel.kagiraneza@rbc.gov.rw"/>
    <n v="788512162"/>
    <m/>
    <m/>
    <m/>
  </r>
  <r>
    <s v="C001496"/>
    <x v="196"/>
    <s v="Mount Kenya University"/>
    <s v="Kicukiro"/>
    <x v="1"/>
    <x v="4"/>
    <s v="Standard"/>
    <x v="1"/>
    <x v="5"/>
    <n v="50"/>
    <s v="fiber vpn 50mbps"/>
    <m/>
    <n v="1"/>
    <n v="1584000"/>
    <n v="1584000"/>
    <s v="Monthly"/>
    <d v="2024-03-30T00:00:00"/>
    <x v="8"/>
    <x v="4"/>
    <n v="-267"/>
    <x v="1"/>
    <x v="4"/>
    <s v="Gathangi"/>
    <s v="igathangi@mku.ac.ke;dkariuki@mku.ac.ke"/>
    <s v="788817647/784419928"/>
    <m/>
    <m/>
    <m/>
  </r>
  <r>
    <s v="A0000703"/>
    <x v="197"/>
    <s v="HQ"/>
    <s v="Rwamagana  "/>
    <x v="0"/>
    <x v="0"/>
    <s v="VIP"/>
    <x v="0"/>
    <x v="6"/>
    <m/>
    <s v="4G MUP 1GB/DAY"/>
    <m/>
    <n v="1"/>
    <n v="19491.53"/>
    <n v="19491.53"/>
    <s v="Monthly"/>
    <d v="2024-03-31T00:00:00"/>
    <x v="8"/>
    <x v="4"/>
    <n v="-268"/>
    <x v="1"/>
    <x v="3"/>
    <s v="Leatitia"/>
    <s v="rpfeasternprovince@yahoo.com"/>
    <s v="0788-616-965"/>
    <m/>
    <m/>
    <m/>
  </r>
  <r>
    <s v="C000707"/>
    <x v="198"/>
    <s v="GAHINI-MAIN BRANCH"/>
    <s v="Kayonza"/>
    <x v="0"/>
    <x v="6"/>
    <s v="Standard"/>
    <x v="0"/>
    <x v="0"/>
    <n v="5"/>
    <s v="FIBER VPN 5MBPS"/>
    <m/>
    <n v="1"/>
    <n v="270000"/>
    <n v="270000"/>
    <s v="Monthly"/>
    <d v="2024-03-31T00:00:00"/>
    <x v="8"/>
    <x v="4"/>
    <n v="-268"/>
    <x v="1"/>
    <x v="6"/>
    <s v="Eugene "/>
    <s v="gahini.hospital@moh.gov.rw"/>
    <n v="786274819"/>
    <m/>
    <m/>
    <m/>
  </r>
  <r>
    <s v="C001070"/>
    <x v="199"/>
    <s v="KADUHA-MAIN BRANCH"/>
    <s v="Nyamagabe"/>
    <x v="0"/>
    <x v="6"/>
    <s v="Standard"/>
    <x v="0"/>
    <x v="0"/>
    <n v="5"/>
    <s v="FIBER VPN 5MBPS"/>
    <m/>
    <n v="1"/>
    <n v="270000"/>
    <n v="270000"/>
    <s v="Monthly"/>
    <d v="2024-03-31T00:00:00"/>
    <x v="8"/>
    <x v="4"/>
    <n v="-268"/>
    <x v="1"/>
    <x v="6"/>
    <s v="NGABOYAMAHINA Faustin"/>
    <s v="ngaboyamahinafaustin77@gmail.com"/>
    <n v="788989730"/>
    <m/>
    <m/>
    <m/>
  </r>
  <r>
    <s v="C001172"/>
    <x v="200"/>
    <s v="KIBUNGO-MAIN BRANCH"/>
    <s v="Ngoma"/>
    <x v="0"/>
    <x v="6"/>
    <s v="Standard"/>
    <x v="0"/>
    <x v="0"/>
    <n v="5"/>
    <s v="FIBER VPN 5MBPS"/>
    <m/>
    <n v="1"/>
    <n v="270000"/>
    <n v="270000"/>
    <s v="Monthly"/>
    <d v="2024-03-31T00:00:00"/>
    <x v="8"/>
    <x v="4"/>
    <n v="-268"/>
    <x v="1"/>
    <x v="6"/>
    <s v="SIBONIYO DAVID"/>
    <s v="info@krh.gov.rw"/>
    <n v="788623826"/>
    <m/>
    <m/>
    <m/>
  </r>
  <r>
    <s v="C001172"/>
    <x v="200"/>
    <s v="KIBUNGO-MAIN BRANCH"/>
    <s v="Ngoma"/>
    <x v="0"/>
    <x v="6"/>
    <s v="Standard"/>
    <x v="0"/>
    <x v="0"/>
    <n v="5"/>
    <s v="FIBER VPN 5MBPS"/>
    <m/>
    <n v="1"/>
    <n v="270000"/>
    <n v="270000"/>
    <s v="Monthly"/>
    <d v="2024-03-31T00:00:00"/>
    <x v="8"/>
    <x v="4"/>
    <n v="-268"/>
    <x v="1"/>
    <x v="6"/>
    <s v="SIBONIYO DAVID"/>
    <s v="info@krh.gov.rw"/>
    <n v="788623826"/>
    <m/>
    <m/>
    <m/>
  </r>
  <r>
    <s v="C001172"/>
    <x v="200"/>
    <s v="KIBUNGO-MAIN BRANCH"/>
    <s v="Ngoma"/>
    <x v="0"/>
    <x v="6"/>
    <s v="Standard"/>
    <x v="3"/>
    <x v="7"/>
    <m/>
    <s v="MSS GOLD"/>
    <m/>
    <n v="1"/>
    <n v="369325"/>
    <n v="369325"/>
    <s v="Monthly"/>
    <d v="2024-03-31T00:00:00"/>
    <x v="8"/>
    <x v="4"/>
    <n v="-268"/>
    <x v="1"/>
    <x v="6"/>
    <s v="SIBONIYO DAVID"/>
    <s v="info@krh.gov.rw"/>
    <n v="788623826"/>
    <m/>
    <m/>
    <m/>
  </r>
  <r>
    <s v="C001174"/>
    <x v="201"/>
    <s v="KIBUYE-MAIN BRANCH"/>
    <s v="Karongi"/>
    <x v="0"/>
    <x v="6"/>
    <s v="Standard"/>
    <x v="0"/>
    <x v="0"/>
    <n v="5"/>
    <s v="FIBER VPN 5MBPS"/>
    <m/>
    <n v="1"/>
    <n v="270000"/>
    <n v="270000"/>
    <s v="Monthly"/>
    <d v="2024-03-31T00:00:00"/>
    <x v="8"/>
    <x v="4"/>
    <n v="-268"/>
    <x v="1"/>
    <x v="6"/>
    <s v="TUYISHIME Fortunatus"/>
    <s v="tuyishimefortunatus@gmail.com"/>
    <n v="788984855"/>
    <m/>
    <m/>
    <m/>
  </r>
  <r>
    <s v="C001386"/>
    <x v="202"/>
    <s v="MIFOTRA - HQ"/>
    <s v="Gasabo"/>
    <x v="0"/>
    <x v="0"/>
    <s v="Standard"/>
    <x v="0"/>
    <x v="0"/>
    <n v="20"/>
    <s v="FIBER VPN 20MBPS"/>
    <m/>
    <n v="1"/>
    <n v="900000"/>
    <n v="900000"/>
    <s v="Monthly"/>
    <d v="2024-03-31T00:00:00"/>
    <x v="8"/>
    <x v="4"/>
    <n v="-268"/>
    <x v="1"/>
    <x v="2"/>
    <s v="Aristote Narayisenze"/>
    <s v="anarayisenze@mifotra.gov.rw"/>
    <s v="0788-816-699"/>
    <m/>
    <m/>
    <m/>
  </r>
  <r>
    <s v="C001386"/>
    <x v="202"/>
    <s v="MIFOTRA - HQ"/>
    <s v="Gasabo"/>
    <x v="0"/>
    <x v="0"/>
    <s v="Standard"/>
    <x v="3"/>
    <x v="7"/>
    <m/>
    <s v="MSS GOLD"/>
    <m/>
    <n v="1"/>
    <n v="369325.42"/>
    <n v="369325.42"/>
    <s v="Monthly"/>
    <d v="2024-03-31T00:00:00"/>
    <x v="8"/>
    <x v="4"/>
    <n v="-268"/>
    <x v="1"/>
    <x v="2"/>
    <s v="Aristote Narayisenze"/>
    <s v="anarayisenze@mifotra.gov.rw"/>
    <s v="0788-816-699"/>
    <m/>
    <m/>
    <m/>
  </r>
  <r>
    <s v="C001386"/>
    <x v="202"/>
    <s v="MIFOTRA - HQ2"/>
    <s v="Gasabo"/>
    <x v="0"/>
    <x v="0"/>
    <s v="Standard"/>
    <x v="1"/>
    <x v="10"/>
    <m/>
    <s v="VIDEO CONFERENCE"/>
    <m/>
    <n v="1"/>
    <n v="258044.92"/>
    <n v="258044.92"/>
    <s v="Monthly"/>
    <d v="2024-03-31T00:00:00"/>
    <x v="8"/>
    <x v="4"/>
    <n v="-268"/>
    <x v="1"/>
    <x v="2"/>
    <s v="Aristote Narayisenze"/>
    <s v="anarayisenze@mifotra.gov.rw"/>
    <s v="0788-816-699"/>
    <m/>
    <m/>
    <m/>
  </r>
  <r>
    <s v="C001386"/>
    <x v="202"/>
    <s v="MIFOTRA - HQ2"/>
    <s v="Gasabo"/>
    <x v="0"/>
    <x v="0"/>
    <s v="Standard"/>
    <x v="1"/>
    <x v="3"/>
    <m/>
    <s v="VoIP PHONES 41-70"/>
    <m/>
    <n v="1"/>
    <n v="189000"/>
    <n v="189000"/>
    <s v="Monthly"/>
    <d v="2024-03-31T00:00:00"/>
    <x v="8"/>
    <x v="4"/>
    <n v="-268"/>
    <x v="1"/>
    <x v="2"/>
    <s v="Aristote Narayisenze"/>
    <s v="anarayisenze@mifotra.gov.rw"/>
    <s v="0788-816-699"/>
    <m/>
    <m/>
    <m/>
  </r>
  <r>
    <s v="C001386"/>
    <x v="202"/>
    <s v="MIFOTRA - HQ"/>
    <s v="Gasabo"/>
    <x v="0"/>
    <x v="0"/>
    <s v="Standard"/>
    <x v="0"/>
    <x v="6"/>
    <m/>
    <s v="4G UNLIMITED 100GB"/>
    <m/>
    <n v="2"/>
    <n v="245677.97"/>
    <n v="491355.94"/>
    <s v="Monthly"/>
    <d v="2024-03-31T00:00:00"/>
    <x v="8"/>
    <x v="4"/>
    <n v="-268"/>
    <x v="1"/>
    <x v="2"/>
    <s v="Aristote Narayisenze"/>
    <s v="anarayisenze@mifotra.gov.rw"/>
    <s v="0788-816-699"/>
    <m/>
    <m/>
    <m/>
  </r>
  <r>
    <s v="C001386"/>
    <x v="202"/>
    <s v="MIFOTRA - HQ2"/>
    <s v="Gasabo"/>
    <x v="0"/>
    <x v="0"/>
    <s v="Standard"/>
    <x v="0"/>
    <x v="6"/>
    <m/>
    <s v="4G MUP 1GB/DAY"/>
    <m/>
    <n v="3"/>
    <n v="19491.53"/>
    <n v="58474.59"/>
    <s v="Monthly"/>
    <d v="2024-03-31T00:00:00"/>
    <x v="8"/>
    <x v="4"/>
    <n v="-268"/>
    <x v="1"/>
    <x v="2"/>
    <s v="Aristote Narayisenze"/>
    <s v="anarayisenze@mifotra.gov.rw"/>
    <s v="0788-816-699"/>
    <m/>
    <m/>
    <m/>
  </r>
  <r>
    <s v="C001422"/>
    <x v="203"/>
    <s v="MINEDUC - VPN to AoS DC"/>
    <s v="Gasabo"/>
    <x v="0"/>
    <x v="0"/>
    <s v="Standard"/>
    <x v="0"/>
    <x v="0"/>
    <n v="10"/>
    <s v="FIBER VPN 10MBPS"/>
    <m/>
    <n v="1"/>
    <n v="510000"/>
    <n v="510000"/>
    <s v="Monthly"/>
    <d v="2024-03-31T00:00:00"/>
    <x v="8"/>
    <x v="4"/>
    <n v="-268"/>
    <x v="1"/>
    <x v="2"/>
    <s v="Bella RWIGAMBA"/>
    <s v="BRWIGAMBA@mineduc.gov.rw"/>
    <s v="0788-898-259"/>
    <m/>
    <m/>
    <m/>
  </r>
  <r>
    <s v="C001422"/>
    <x v="203"/>
    <s v="MINEDUC - HQ"/>
    <s v="Gasabo"/>
    <x v="0"/>
    <x v="0"/>
    <s v="Standard"/>
    <x v="0"/>
    <x v="0"/>
    <n v="30"/>
    <s v="FIBER VPN 30MBPS"/>
    <m/>
    <n v="1"/>
    <n v="1260000"/>
    <n v="1260000"/>
    <s v="Monthly"/>
    <d v="2024-03-31T00:00:00"/>
    <x v="8"/>
    <x v="4"/>
    <n v="-268"/>
    <x v="1"/>
    <x v="2"/>
    <s v="Bella RWIGAMBA"/>
    <s v="BRWIGAMBA@mineduc.gov.rw"/>
    <s v="0788-898-255"/>
    <m/>
    <m/>
    <m/>
  </r>
  <r>
    <s v="C001422"/>
    <x v="203"/>
    <s v="MINEDUC - HQ"/>
    <s v="Gasabo"/>
    <x v="0"/>
    <x v="0"/>
    <s v="Standard"/>
    <x v="0"/>
    <x v="6"/>
    <m/>
    <s v="4G MUP 2GB/DAY"/>
    <m/>
    <n v="2"/>
    <n v="28305.08"/>
    <n v="56610.16"/>
    <s v="Monthly"/>
    <d v="2024-03-31T00:00:00"/>
    <x v="8"/>
    <x v="4"/>
    <n v="-268"/>
    <x v="1"/>
    <x v="2"/>
    <s v="Bella RWIGAMBA"/>
    <s v="BRWIGAMBA@mineduc.gov.rw"/>
    <s v="0788-898-257"/>
    <m/>
    <m/>
    <m/>
  </r>
  <r>
    <s v="C001422"/>
    <x v="203"/>
    <s v="MINEDUC - HQ"/>
    <s v="Gasabo"/>
    <x v="0"/>
    <x v="0"/>
    <s v="Standard"/>
    <x v="0"/>
    <x v="6"/>
    <m/>
    <s v=" 4G MUP 4GB/DAY "/>
    <m/>
    <n v="2"/>
    <n v="45338.98"/>
    <n v="90677.96"/>
    <s v="Monthly"/>
    <d v="2024-03-31T00:00:00"/>
    <x v="8"/>
    <x v="4"/>
    <n v="-268"/>
    <x v="1"/>
    <x v="2"/>
    <s v="Bella RWIGAMBA"/>
    <s v="BRWIGAMBA@mineduc.gov.rw"/>
    <s v="0788-898-258"/>
    <m/>
    <m/>
    <m/>
  </r>
  <r>
    <s v="C001422"/>
    <x v="203"/>
    <s v="MINEDUC - HQ"/>
    <s v="Gasabo"/>
    <x v="0"/>
    <x v="0"/>
    <s v="Standard"/>
    <x v="0"/>
    <x v="6"/>
    <m/>
    <s v="4G MUP 1GB/DAY"/>
    <m/>
    <n v="11"/>
    <n v="19491.53"/>
    <n v="214406.83"/>
    <s v="Monthly"/>
    <d v="2024-03-31T00:00:00"/>
    <x v="8"/>
    <x v="4"/>
    <n v="-268"/>
    <x v="1"/>
    <x v="2"/>
    <s v="Bella RWIGAMBA"/>
    <s v="BRWIGAMBA@mineduc.gov.rw"/>
    <s v="0788-898-256"/>
    <m/>
    <m/>
    <m/>
  </r>
  <r>
    <s v="C001385"/>
    <x v="204"/>
    <s v="MINEMA -HQ"/>
    <s v="Nyarugenge"/>
    <x v="0"/>
    <x v="0"/>
    <s v="Standard"/>
    <x v="0"/>
    <x v="0"/>
    <n v="10"/>
    <s v="FIBER VPN 10MBPS"/>
    <m/>
    <n v="1"/>
    <n v="510000"/>
    <n v="510000"/>
    <s v="Monthly"/>
    <d v="2024-03-31T00:00:00"/>
    <x v="8"/>
    <x v="4"/>
    <n v="-268"/>
    <x v="1"/>
    <x v="2"/>
    <s v="Rene Mutabazi"/>
    <s v="rmutabazi@minema.gov.rw"/>
    <s v="0788-450-600"/>
    <m/>
    <m/>
    <m/>
  </r>
  <r>
    <s v="C001385"/>
    <x v="204"/>
    <s v="MINEMA -HQ"/>
    <s v="Nyarugenge"/>
    <x v="0"/>
    <x v="0"/>
    <s v="Standard"/>
    <x v="0"/>
    <x v="3"/>
    <m/>
    <s v="VoIP PHONES 21- 40"/>
    <m/>
    <n v="1"/>
    <n v="108000"/>
    <n v="108000"/>
    <s v="Monthly"/>
    <d v="2024-03-31T00:00:00"/>
    <x v="8"/>
    <x v="4"/>
    <n v="-268"/>
    <x v="1"/>
    <x v="2"/>
    <s v="Rene Mutabazi"/>
    <s v="rmutabazi@minema.gov.rw"/>
    <s v="0788-450-600"/>
    <m/>
    <m/>
    <m/>
  </r>
  <r>
    <s v="C001384"/>
    <x v="204"/>
    <s v="MINEMA -HQ"/>
    <s v="Nyarugenge"/>
    <x v="0"/>
    <x v="0"/>
    <s v="Standard"/>
    <x v="0"/>
    <x v="7"/>
    <m/>
    <s v="MSS GOLD"/>
    <m/>
    <n v="1"/>
    <n v="369325.42372899997"/>
    <n v="369325.42372899997"/>
    <s v="Monthly"/>
    <d v="2024-03-31T00:00:00"/>
    <x v="8"/>
    <x v="4"/>
    <n v="-268"/>
    <x v="1"/>
    <x v="2"/>
    <s v="Rene Mutabazi"/>
    <s v="rmutabazi@minema.gov.rw"/>
    <s v="0788-450-601"/>
    <m/>
    <m/>
    <m/>
  </r>
  <r>
    <s v="C001385"/>
    <x v="204"/>
    <s v="MINEMA -HQ"/>
    <s v="Nyarugenge"/>
    <x v="0"/>
    <x v="0"/>
    <s v="Standard"/>
    <x v="0"/>
    <x v="6"/>
    <m/>
    <s v="4G MUP 2GB/DAY"/>
    <m/>
    <n v="1"/>
    <n v="28305.08"/>
    <n v="28305.08"/>
    <s v="Monthly"/>
    <d v="2024-03-31T00:00:00"/>
    <x v="8"/>
    <x v="4"/>
    <n v="-268"/>
    <x v="1"/>
    <x v="2"/>
    <s v="Rene Mutabazi"/>
    <s v="rmutabazi@minema.gov.rw"/>
    <s v="0788-450-600"/>
    <m/>
    <m/>
    <m/>
  </r>
  <r>
    <s v="C001385"/>
    <x v="204"/>
    <s v="MINEMA -HQ"/>
    <s v="Nyarugenge"/>
    <x v="0"/>
    <x v="0"/>
    <s v="Standard"/>
    <x v="0"/>
    <x v="6"/>
    <m/>
    <s v="4G ONE NETWORK 5MBPS"/>
    <m/>
    <n v="2"/>
    <n v="101694.92"/>
    <n v="203389.84"/>
    <s v="Monthly"/>
    <d v="2024-03-31T00:00:00"/>
    <x v="8"/>
    <x v="4"/>
    <n v="-268"/>
    <x v="1"/>
    <x v="2"/>
    <s v="Rene Mutabazi"/>
    <s v="rmutabazi@minema.gov.rw"/>
    <s v="0788-450-600"/>
    <m/>
    <m/>
    <m/>
  </r>
  <r>
    <s v="C001385"/>
    <x v="204"/>
    <s v="MINEMA -HQ"/>
    <s v="Nyarugenge"/>
    <x v="0"/>
    <x v="0"/>
    <s v="Standard"/>
    <x v="0"/>
    <x v="6"/>
    <m/>
    <s v="4G MUP 1GB/DAY"/>
    <m/>
    <n v="8"/>
    <n v="19491.53"/>
    <n v="155932.24"/>
    <s v="Monthly"/>
    <d v="2024-03-31T00:00:00"/>
    <x v="8"/>
    <x v="4"/>
    <n v="-268"/>
    <x v="1"/>
    <x v="2"/>
    <s v="Rene Mutabazi"/>
    <s v="rmutabazi@minema.gov.rw"/>
    <s v="0788-450-600"/>
    <m/>
    <m/>
    <m/>
  </r>
  <r>
    <s v="C001427"/>
    <x v="205"/>
    <s v="MINISTRY OF SPORTS"/>
    <s v="Kicukiro"/>
    <x v="0"/>
    <x v="0"/>
    <s v="Standard"/>
    <x v="1"/>
    <x v="0"/>
    <n v="10"/>
    <s v="FIBER VPN 10MBPS"/>
    <m/>
    <n v="1"/>
    <n v="510000"/>
    <n v="510000"/>
    <s v="Monthly"/>
    <d v="2024-03-31T00:00:00"/>
    <x v="8"/>
    <x v="4"/>
    <n v="-268"/>
    <x v="1"/>
    <x v="2"/>
    <s v="Florian IRUTABAMI"/>
    <s v="it@minisports.gov.rw"/>
    <s v="0788-227-070"/>
    <m/>
    <m/>
    <m/>
  </r>
  <r>
    <s v="C001427"/>
    <x v="205"/>
    <s v="MINISTRY OF SPORTS"/>
    <s v="Kicukiro"/>
    <x v="0"/>
    <x v="0"/>
    <s v="Standard"/>
    <x v="1"/>
    <x v="3"/>
    <m/>
    <s v="VoIP PHONES 1-20"/>
    <m/>
    <n v="1"/>
    <n v="60000"/>
    <n v="60000"/>
    <s v="Monthly"/>
    <d v="2024-03-31T00:00:00"/>
    <x v="8"/>
    <x v="4"/>
    <n v="-268"/>
    <x v="1"/>
    <x v="2"/>
    <s v="Florian IRUTABAMI"/>
    <s v="it@minisports.gov.rw"/>
    <s v="0788-227-070"/>
    <m/>
    <m/>
    <m/>
  </r>
  <r>
    <s v="C001427"/>
    <x v="205"/>
    <s v="MINISTRY OF SPORTS"/>
    <s v="Kicukiro"/>
    <x v="0"/>
    <x v="0"/>
    <s v="Standard"/>
    <x v="1"/>
    <x v="3"/>
    <m/>
    <s v="VOIP TRUNK GATEWAY"/>
    <m/>
    <n v="1"/>
    <n v="100500"/>
    <n v="100500"/>
    <s v="Monthly"/>
    <d v="2024-03-31T00:00:00"/>
    <x v="8"/>
    <x v="4"/>
    <n v="-268"/>
    <x v="1"/>
    <x v="2"/>
    <s v="Florian IRUTABAMI"/>
    <s v="it@minisports.gov.rw"/>
    <s v="0788-227-070"/>
    <m/>
    <m/>
    <m/>
  </r>
  <r>
    <s v="C001427"/>
    <x v="205"/>
    <s v="MINISTRY OF SPORTS"/>
    <s v="Kicukiro"/>
    <x v="0"/>
    <x v="0"/>
    <s v="Standard"/>
    <x v="3"/>
    <x v="7"/>
    <m/>
    <s v="MSS GOLD"/>
    <m/>
    <n v="1"/>
    <n v="369325.42"/>
    <n v="369325.42"/>
    <s v="Monthly"/>
    <d v="2024-03-31T00:00:00"/>
    <x v="8"/>
    <x v="4"/>
    <n v="-268"/>
    <x v="1"/>
    <x v="2"/>
    <s v="Florian IRUTABAMI"/>
    <s v="it@minisports.gov.rw"/>
    <s v="0788-227-070"/>
    <m/>
    <m/>
    <m/>
  </r>
  <r>
    <s v="C001427"/>
    <x v="205"/>
    <s v="MINISTRY OF SPORTS"/>
    <s v="Kicukiro"/>
    <x v="0"/>
    <x v="0"/>
    <s v="Standard"/>
    <x v="1"/>
    <x v="10"/>
    <m/>
    <s v="VIDEO CONFERENCE"/>
    <m/>
    <n v="1"/>
    <n v="258044.92"/>
    <n v="258044.92"/>
    <s v="Monthly"/>
    <d v="2024-03-31T00:00:00"/>
    <x v="8"/>
    <x v="4"/>
    <n v="-268"/>
    <x v="1"/>
    <x v="2"/>
    <s v="Florian IRUTABAMI"/>
    <s v="it@minisports.gov.rw"/>
    <s v="0788-227-070"/>
    <m/>
    <m/>
    <m/>
  </r>
  <r>
    <s v="C001427"/>
    <x v="205"/>
    <s v="MINISTRY OF SPORTS"/>
    <s v="Kicukiro"/>
    <x v="0"/>
    <x v="0"/>
    <s v="Standard"/>
    <x v="0"/>
    <x v="6"/>
    <m/>
    <s v="4G MUP 1GB/DAY"/>
    <m/>
    <n v="1"/>
    <n v="19491.53"/>
    <n v="19491.53"/>
    <s v="Monthly"/>
    <d v="2024-03-31T00:00:00"/>
    <x v="8"/>
    <x v="4"/>
    <n v="-268"/>
    <x v="1"/>
    <x v="2"/>
    <s v="Florian IRUTABAMI"/>
    <s v="it@minisports.gov.rw"/>
    <s v="0788-227-070"/>
    <m/>
    <m/>
    <m/>
  </r>
  <r>
    <s v="C001693"/>
    <x v="11"/>
    <s v="National Human Rights Commission"/>
    <s v="Gasabo"/>
    <x v="0"/>
    <x v="0"/>
    <s v="Standard"/>
    <x v="1"/>
    <x v="0"/>
    <n v="15"/>
    <s v="FIBER VPN 15MBPS"/>
    <m/>
    <n v="1"/>
    <n v="720000"/>
    <n v="720000"/>
    <s v="Monthly"/>
    <d v="2024-03-31T00:00:00"/>
    <x v="8"/>
    <x v="4"/>
    <n v="-268"/>
    <x v="1"/>
    <x v="2"/>
    <s v="Theogene Ntakirutimana"/>
    <s v="theogene.ntakirutimana@cndp.org.rw"/>
    <s v="0788-486-357"/>
    <m/>
    <m/>
    <m/>
  </r>
  <r>
    <s v="C003800"/>
    <x v="206"/>
    <s v="HQ"/>
    <s v="Gasabo"/>
    <x v="0"/>
    <x v="0"/>
    <s v="VIP"/>
    <x v="0"/>
    <x v="0"/>
    <n v="15"/>
    <s v="FIBER INTERNET 15MBPS GOV"/>
    <m/>
    <n v="1"/>
    <n v="720000"/>
    <n v="720000"/>
    <s v="Monthly"/>
    <d v="2024-03-31T00:00:00"/>
    <x v="8"/>
    <x v="4"/>
    <n v="-268"/>
    <x v="1"/>
    <x v="0"/>
    <s v="Toussaint Lionnel Maniriho"/>
    <s v="t.maniriho@ncsa.gov.rw"/>
    <s v="0788582957"/>
    <m/>
    <m/>
    <m/>
  </r>
  <r>
    <s v="C003800"/>
    <x v="206"/>
    <s v="HQ"/>
    <s v="Gasabo"/>
    <x v="0"/>
    <x v="0"/>
    <s v="VIP"/>
    <x v="0"/>
    <x v="6"/>
    <m/>
    <s v="4G MUP 2GB/DAY"/>
    <m/>
    <n v="2"/>
    <n v="28305.08"/>
    <n v="56610.16"/>
    <s v="Monthly"/>
    <d v="2024-03-31T00:00:00"/>
    <x v="8"/>
    <x v="4"/>
    <n v="-268"/>
    <x v="1"/>
    <x v="0"/>
    <s v="Toussaint Lionnel Maniriho"/>
    <s v="t.maniriho@ncsa.gov.rw"/>
    <s v="0788582957"/>
    <m/>
    <m/>
    <m/>
  </r>
  <r>
    <s v="C003800"/>
    <x v="206"/>
    <s v="HQ"/>
    <s v="Gasabo"/>
    <x v="0"/>
    <x v="0"/>
    <s v="VIP"/>
    <x v="0"/>
    <x v="6"/>
    <m/>
    <s v="4G MUP 8GB/DAY"/>
    <m/>
    <n v="7"/>
    <n v="77711.86"/>
    <n v="543983.02"/>
    <s v="Monthly"/>
    <d v="2024-03-31T00:00:00"/>
    <x v="8"/>
    <x v="4"/>
    <n v="-268"/>
    <x v="1"/>
    <x v="0"/>
    <s v="Toussaint Lionnel Maniriho"/>
    <s v="t.maniriho@ncsa.gov.rw"/>
    <s v="0788582957"/>
    <m/>
    <m/>
    <m/>
  </r>
  <r>
    <s v="C003800"/>
    <x v="206"/>
    <s v="HQ"/>
    <s v="Gasabo"/>
    <x v="0"/>
    <x v="0"/>
    <s v="VIP"/>
    <x v="0"/>
    <x v="6"/>
    <m/>
    <s v=" 4G MUP 4GB/DAY "/>
    <m/>
    <n v="9"/>
    <n v="45338.98"/>
    <n v="408050.82"/>
    <s v="Monthly"/>
    <d v="2024-03-31T00:00:00"/>
    <x v="8"/>
    <x v="4"/>
    <n v="-268"/>
    <x v="1"/>
    <x v="0"/>
    <s v="Toussaint Lionnel Maniriho"/>
    <s v="t.maniriho@ncsa.gov.rw"/>
    <s v="0788582957"/>
    <m/>
    <m/>
    <m/>
  </r>
  <r>
    <s v="C001889"/>
    <x v="207"/>
    <s v="NYABIHU  DISTRICT HQ - VPN LAIS."/>
    <s v="Nyabihu"/>
    <x v="0"/>
    <x v="0"/>
    <s v="Standard"/>
    <x v="0"/>
    <x v="0"/>
    <n v="3"/>
    <s v="FIBER VPN 3MBPS"/>
    <m/>
    <n v="1"/>
    <n v="180000"/>
    <n v="180000"/>
    <s v="Monthly"/>
    <d v="2024-03-31T00:00:00"/>
    <x v="8"/>
    <x v="4"/>
    <n v="-268"/>
    <x v="1"/>
    <x v="2"/>
    <s v="Pascal Ndikubwimana"/>
    <s v="pascal.ndikubwimana@nyabihu.gov.rw"/>
    <s v="0788-547-103"/>
    <m/>
    <m/>
    <m/>
  </r>
  <r>
    <s v="C001889"/>
    <x v="207"/>
    <s v="NYABIHU DISTRICT HQ."/>
    <s v="Nyabihu"/>
    <x v="0"/>
    <x v="0"/>
    <s v="Standard"/>
    <x v="0"/>
    <x v="0"/>
    <n v="15"/>
    <s v="FIBER VPN 15MBPS"/>
    <m/>
    <n v="1"/>
    <n v="720000"/>
    <n v="720000"/>
    <s v="Monthly"/>
    <d v="2024-03-31T00:00:00"/>
    <x v="8"/>
    <x v="4"/>
    <n v="-268"/>
    <x v="1"/>
    <x v="2"/>
    <s v="Pascal Ndikubwimana"/>
    <s v="pascal.ndikubwimana@nyabihu.gov.rw"/>
    <s v="0788-547-103"/>
    <m/>
    <m/>
    <m/>
  </r>
  <r>
    <s v="C001889"/>
    <x v="207"/>
    <s v="NYABIHU DISTRICT HQ."/>
    <s v="Nyabihu"/>
    <x v="0"/>
    <x v="0"/>
    <s v="Standard"/>
    <x v="0"/>
    <x v="10"/>
    <m/>
    <s v="VIDEO CONFERENCE"/>
    <m/>
    <n v="1"/>
    <n v="258044.92"/>
    <n v="258044.92"/>
    <s v="Monthly"/>
    <d v="2024-03-31T00:00:00"/>
    <x v="8"/>
    <x v="4"/>
    <n v="-268"/>
    <x v="1"/>
    <x v="2"/>
    <s v="Pascal Ndikubwimana"/>
    <s v="pascal.ndikubwimana@nyabihu.gov.rw"/>
    <s v="0788-547-103"/>
    <m/>
    <m/>
    <m/>
  </r>
  <r>
    <s v="C001889"/>
    <x v="207"/>
    <s v="NYABIHU DISTRICT HQ"/>
    <s v="Nyabihu"/>
    <x v="0"/>
    <x v="0"/>
    <s v="Standard"/>
    <x v="3"/>
    <x v="7"/>
    <m/>
    <s v="MSS GOLD"/>
    <m/>
    <n v="1"/>
    <n v="369325.42"/>
    <n v="369325.42"/>
    <s v="Monthly"/>
    <d v="2024-03-31T00:00:00"/>
    <x v="8"/>
    <x v="4"/>
    <n v="-268"/>
    <x v="1"/>
    <x v="2"/>
    <s v="Pascal Ndikubwimana"/>
    <s v="pascal.ndikubwimana@nyabihu.gov.rw"/>
    <s v="0788-547-103"/>
    <m/>
    <m/>
    <m/>
  </r>
  <r>
    <s v="C001889"/>
    <x v="207"/>
    <s v="NYABIHU DISTRICT"/>
    <s v="Nyabihu"/>
    <x v="0"/>
    <x v="0"/>
    <s v="Standard"/>
    <x v="0"/>
    <x v="6"/>
    <m/>
    <s v="4G MUP 2GB/DAY"/>
    <m/>
    <n v="14"/>
    <n v="28305.08"/>
    <n v="396271.12"/>
    <s v="Monthly"/>
    <d v="2024-03-31T00:00:00"/>
    <x v="8"/>
    <x v="4"/>
    <n v="-268"/>
    <x v="1"/>
    <x v="2"/>
    <s v="Pascal Ndikubwimana"/>
    <s v="pascal.ndikubwimana@nyabihu.gov.rw"/>
    <s v="0788-547-103"/>
    <m/>
    <m/>
    <m/>
  </r>
  <r>
    <s v="C001889"/>
    <x v="207"/>
    <s v="NYABIHU DISTRICT HQ"/>
    <s v="Nyabihu"/>
    <x v="0"/>
    <x v="0"/>
    <s v="Standard"/>
    <x v="0"/>
    <x v="6"/>
    <m/>
    <s v="4G ONE NETWORK 3MBPS"/>
    <m/>
    <n v="79"/>
    <n v="81355.932203389835"/>
    <n v="6427118.6440677969"/>
    <s v="Monthly"/>
    <d v="2024-03-31T00:00:00"/>
    <x v="8"/>
    <x v="4"/>
    <n v="-268"/>
    <x v="1"/>
    <x v="2"/>
    <s v="Pascal Ndikubwimana"/>
    <s v="pascal.ndikubwimana@nyabihu.gov.rw"/>
    <s v="0788-547-103"/>
    <m/>
    <m/>
    <m/>
  </r>
  <r>
    <s v="C001895"/>
    <x v="208"/>
    <s v="NYAGATARE-MAIN BRANCH"/>
    <s v="Nyagatare"/>
    <x v="0"/>
    <x v="6"/>
    <s v="Standard"/>
    <x v="0"/>
    <x v="0"/>
    <n v="5"/>
    <s v="FIBER VPN 5MBPS"/>
    <m/>
    <n v="1"/>
    <n v="270000"/>
    <n v="270000"/>
    <s v="Monthly"/>
    <d v="2024-03-31T00:00:00"/>
    <x v="8"/>
    <x v="4"/>
    <n v="-268"/>
    <x v="1"/>
    <x v="6"/>
    <s v="Evode BYARUGABA"/>
    <s v="nyagatare.hospital@moh.gov.rw"/>
    <n v="784893270"/>
    <m/>
    <m/>
    <m/>
  </r>
  <r>
    <s v="C001936"/>
    <x v="209"/>
    <s v="Fiber VPN: OAG-AOS"/>
    <s v="Gasabo"/>
    <x v="0"/>
    <x v="0"/>
    <s v="Standard"/>
    <x v="0"/>
    <x v="0"/>
    <n v="10"/>
    <s v="Fiber VPN 10Mbps"/>
    <m/>
    <n v="1"/>
    <n v="510000"/>
    <n v="510000"/>
    <s v="Monthly"/>
    <d v="2024-03-31T00:00:00"/>
    <x v="8"/>
    <x v="4"/>
    <n v="-268"/>
    <x v="1"/>
    <x v="1"/>
    <s v="Evergiste Bushayija"/>
    <s v="Evergiste.Bushayija@oag.gov.rw"/>
    <s v="0 788 511 916 "/>
    <m/>
    <m/>
    <m/>
  </r>
  <r>
    <s v="C001936"/>
    <x v="209"/>
    <s v="Fiber Internet: OAG HQ"/>
    <s v="Gasabo"/>
    <x v="0"/>
    <x v="0"/>
    <s v="Standard"/>
    <x v="0"/>
    <x v="0"/>
    <n v="50"/>
    <s v="Fiber Broadband Internet 50Mbps"/>
    <m/>
    <n v="1"/>
    <n v="1800000"/>
    <n v="1800000"/>
    <s v="Monthly"/>
    <d v="2024-03-31T00:00:00"/>
    <x v="8"/>
    <x v="4"/>
    <n v="-268"/>
    <x v="1"/>
    <x v="1"/>
    <s v="Evergiste Bushayija"/>
    <s v="Evergiste.Bushayija@oag.gov.rw"/>
    <s v="0 788 511 916 "/>
    <m/>
    <m/>
    <m/>
  </r>
  <r>
    <s v="C001936"/>
    <x v="209"/>
    <s v="Fiber VPN: OAG-AOS"/>
    <s v="Gasabo"/>
    <x v="0"/>
    <x v="0"/>
    <s v="Standard"/>
    <x v="0"/>
    <x v="6"/>
    <m/>
    <s v="4G MUP 2GB/DAY"/>
    <m/>
    <n v="1"/>
    <n v="28305.084746"/>
    <n v="28305.084746"/>
    <s v="Monthly"/>
    <d v="2024-03-31T00:00:00"/>
    <x v="8"/>
    <x v="4"/>
    <n v="-268"/>
    <x v="1"/>
    <x v="1"/>
    <s v="Evergiste Bushayija"/>
    <s v="Evergiste.Bushayija@oag.gov.rw"/>
    <s v="0 788 511 916 "/>
    <m/>
    <m/>
    <m/>
  </r>
  <r>
    <s v="C001960"/>
    <x v="210"/>
    <s v="OMBUDSMAN OFFICE"/>
    <s v="Gasabo"/>
    <x v="0"/>
    <x v="0"/>
    <s v="Standard"/>
    <x v="0"/>
    <x v="0"/>
    <n v="30"/>
    <s v="FIBER VPN 30MBPS"/>
    <m/>
    <n v="1"/>
    <n v="1260000"/>
    <n v="1260000"/>
    <s v="Monthly"/>
    <d v="2024-03-31T00:00:00"/>
    <x v="8"/>
    <x v="4"/>
    <n v="-268"/>
    <x v="1"/>
    <x v="2"/>
    <s v="Celestin Rutayisire"/>
    <s v="ombudsinfo@ombudsman.gov.rw "/>
    <s v="0788-761-805"/>
    <m/>
    <m/>
    <m/>
  </r>
  <r>
    <s v="C001960"/>
    <x v="210"/>
    <s v="OMBUDSMAN OFFICE HQ"/>
    <s v="Gasabo"/>
    <x v="0"/>
    <x v="0"/>
    <s v="Standard"/>
    <x v="3"/>
    <x v="7"/>
    <m/>
    <s v="MSS GOLD"/>
    <m/>
    <n v="1"/>
    <n v="369325.42"/>
    <n v="369325.42"/>
    <s v="Monthly"/>
    <d v="2024-03-31T00:00:00"/>
    <x v="8"/>
    <x v="4"/>
    <n v="-268"/>
    <x v="1"/>
    <x v="2"/>
    <s v="Celestin Rutayisire"/>
    <s v="ombudsinfo@ombudsman.gov.rw"/>
    <s v="0788-761-805"/>
    <m/>
    <m/>
    <m/>
  </r>
  <r>
    <s v="C001960"/>
    <x v="210"/>
    <s v="OMBUDSMAN OFFICE HQ"/>
    <s v="Gasabo"/>
    <x v="0"/>
    <x v="0"/>
    <s v="Standard"/>
    <x v="0"/>
    <x v="6"/>
    <m/>
    <s v=" 4G MUP 4GB/DAY "/>
    <m/>
    <n v="2"/>
    <n v="45338.98"/>
    <n v="90677.96"/>
    <s v="Monthly"/>
    <d v="2024-03-31T00:00:00"/>
    <x v="8"/>
    <x v="4"/>
    <n v="-268"/>
    <x v="1"/>
    <x v="2"/>
    <s v="Celestin Rutayisire"/>
    <s v="ombudsinfo@ombudsman.gov.rw"/>
    <s v="0788-761-805"/>
    <m/>
    <m/>
    <m/>
  </r>
  <r>
    <s v="C002028"/>
    <x v="211"/>
    <s v="Pivot Access Ltd"/>
    <s v="Gasabo"/>
    <x v="1"/>
    <x v="2"/>
    <s v="Standard"/>
    <x v="0"/>
    <x v="5"/>
    <n v="10"/>
    <s v="FIBER INTERNET 10MBPS"/>
    <m/>
    <n v="1"/>
    <n v="1045000"/>
    <n v="1045000"/>
    <s v="Monthly"/>
    <d v="2024-03-31T00:00:00"/>
    <x v="8"/>
    <x v="4"/>
    <n v="-268"/>
    <x v="1"/>
    <x v="2"/>
    <s v="Fanny Colombe"/>
    <s v="fanny.colombe@pivotaccess.com"/>
    <s v="0788-622-377"/>
    <m/>
    <m/>
    <m/>
  </r>
  <r>
    <s v="C002262"/>
    <x v="174"/>
    <s v="Fiber VPN: RCB-AOS"/>
    <s v="Gasabo"/>
    <x v="0"/>
    <x v="0"/>
    <s v="Standard"/>
    <x v="0"/>
    <x v="0"/>
    <n v="10"/>
    <s v="Fiber VPN 10Mbps"/>
    <m/>
    <n v="1"/>
    <n v="510000"/>
    <n v="510000"/>
    <s v="Monthly"/>
    <d v="2024-03-31T00:00:00"/>
    <x v="8"/>
    <x v="4"/>
    <n v="-268"/>
    <x v="1"/>
    <x v="1"/>
    <s v="Intwari Gedeon"/>
    <s v="gedeon.intwari@rcb.rw"/>
    <s v="0 786 275 984"/>
    <m/>
    <m/>
    <m/>
  </r>
  <r>
    <s v="C000952"/>
    <x v="212"/>
    <s v="Rwanda Culture Heritage Academy (RCHA)"/>
    <s v="Nyarugenge"/>
    <x v="0"/>
    <x v="0"/>
    <s v="Standard"/>
    <x v="0"/>
    <x v="0"/>
    <n v="5"/>
    <s v="FIBER VPN 5MBPS"/>
    <m/>
    <n v="1"/>
    <n v="270000"/>
    <n v="270000"/>
    <s v="Monthly"/>
    <d v="2024-03-31T00:00:00"/>
    <x v="8"/>
    <x v="4"/>
    <n v="-268"/>
    <x v="1"/>
    <x v="5"/>
    <s v="Theogene Murinzi"/>
    <s v="fkamusiime@museum.gov.rw"/>
    <n v="785920129"/>
    <m/>
    <m/>
    <m/>
  </r>
  <r>
    <s v="C000952"/>
    <x v="212"/>
    <s v="RCHA-KANDT HOUSE "/>
    <s v="Nyarugenge"/>
    <x v="0"/>
    <x v="0"/>
    <s v="Standard"/>
    <x v="0"/>
    <x v="0"/>
    <n v="5"/>
    <s v="FIBER VPN 5MBPS"/>
    <m/>
    <n v="1"/>
    <n v="270000"/>
    <n v="270000"/>
    <s v="Monthly"/>
    <d v="2024-03-31T00:00:00"/>
    <x v="8"/>
    <x v="4"/>
    <n v="-268"/>
    <x v="1"/>
    <x v="5"/>
    <s v="Theogene Murinzi"/>
    <s v="fkamusiime@museum.gov.rw"/>
    <n v="785920129"/>
    <m/>
    <m/>
    <m/>
  </r>
  <r>
    <s v="C000952"/>
    <x v="212"/>
    <s v="RCHA-HQ"/>
    <s v="Nyarugenge"/>
    <x v="0"/>
    <x v="0"/>
    <s v="Standard"/>
    <x v="0"/>
    <x v="7"/>
    <m/>
    <s v="MSS-Gold"/>
    <m/>
    <n v="1"/>
    <n v="369325"/>
    <n v="369325"/>
    <s v="Monthly"/>
    <d v="2024-03-31T00:00:00"/>
    <x v="8"/>
    <x v="4"/>
    <n v="-268"/>
    <x v="1"/>
    <x v="5"/>
    <s v="Theogene Murinzi"/>
    <s v="fkamusiime@museum.gov.rw"/>
    <n v="785920129"/>
    <m/>
    <m/>
    <m/>
  </r>
  <r>
    <s v="C000952"/>
    <x v="212"/>
    <s v="RCHA-HUYE"/>
    <s v="Nyarugenge"/>
    <x v="0"/>
    <x v="0"/>
    <s v="Standard"/>
    <x v="0"/>
    <x v="7"/>
    <m/>
    <s v="MSS-Gold"/>
    <m/>
    <n v="1"/>
    <n v="369325"/>
    <n v="369325"/>
    <s v="Monthly"/>
    <d v="2024-03-31T00:00:00"/>
    <x v="8"/>
    <x v="4"/>
    <n v="-268"/>
    <x v="1"/>
    <x v="5"/>
    <s v="Theogene Murinzi"/>
    <s v="fkamusiime@museum.gov.rw"/>
    <n v="785920129"/>
    <m/>
    <m/>
    <m/>
  </r>
  <r>
    <s v="C000952"/>
    <x v="212"/>
    <s v="RCHA FOR CAMPAGN AGAINST GENOCIDE"/>
    <s v="Nyarugenge"/>
    <x v="0"/>
    <x v="0"/>
    <s v="Standard"/>
    <x v="0"/>
    <x v="6"/>
    <m/>
    <s v="4G MUP 2GB/DAY"/>
    <m/>
    <n v="1"/>
    <n v="28305.08"/>
    <n v="28305.08"/>
    <s v="Monthly"/>
    <d v="2024-03-31T00:00:00"/>
    <x v="8"/>
    <x v="4"/>
    <n v="-268"/>
    <x v="1"/>
    <x v="5"/>
    <s v="Theogene Murinzi"/>
    <s v="fkamusiime@museum.gov.rw"/>
    <n v="785920129"/>
    <m/>
    <m/>
    <m/>
  </r>
  <r>
    <s v="C000952"/>
    <x v="212"/>
    <s v="INMR-KWIGIRA RCHA RWESERO"/>
    <s v="Nyarugenge"/>
    <x v="0"/>
    <x v="0"/>
    <s v="Standard"/>
    <x v="0"/>
    <x v="6"/>
    <m/>
    <s v="4G ONE NETWORK 5MBPS"/>
    <m/>
    <n v="6"/>
    <n v="101694.92"/>
    <n v="610169.52"/>
    <s v="Monthly"/>
    <d v="2024-03-31T00:00:00"/>
    <x v="8"/>
    <x v="4"/>
    <n v="-268"/>
    <x v="1"/>
    <x v="5"/>
    <s v="Theogene Murinzi"/>
    <s v="fkamusiime@museum.gov.rw"/>
    <n v="785920129"/>
    <m/>
    <m/>
    <m/>
  </r>
  <r>
    <s v="C002220"/>
    <x v="213"/>
    <s v="HQ"/>
    <s v="Gasabo"/>
    <x v="0"/>
    <x v="0"/>
    <s v="Standard"/>
    <x v="0"/>
    <x v="0"/>
    <n v="20"/>
    <s v="FIBER VPN 20MBPS"/>
    <m/>
    <n v="1"/>
    <n v="900000"/>
    <n v="900000"/>
    <s v="Monthly"/>
    <d v="2024-03-31T00:00:00"/>
    <x v="8"/>
    <x v="4"/>
    <n v="-268"/>
    <x v="1"/>
    <x v="7"/>
    <s v="Rwagasana Jean Pierre"/>
    <s v="jp.rwagasana@rlrc.gov.rw,info@rlrc.gov.rw"/>
    <n v="788826645"/>
    <m/>
    <m/>
    <m/>
  </r>
  <r>
    <s v="C002220"/>
    <x v="213"/>
    <s v="HQ"/>
    <s v="Gasabo"/>
    <x v="0"/>
    <x v="0"/>
    <s v="Standard"/>
    <x v="0"/>
    <x v="7"/>
    <m/>
    <s v="MSS Secure Browsing"/>
    <m/>
    <n v="1"/>
    <n v="86130"/>
    <n v="86130"/>
    <s v="Monthly"/>
    <d v="2024-03-31T00:00:00"/>
    <x v="8"/>
    <x v="4"/>
    <n v="-268"/>
    <x v="1"/>
    <x v="7"/>
    <s v="Rwagasana Jean Pierre"/>
    <s v="jp.rwagasana@rlrc.gov.rw,info@rlrc.gov.rw"/>
    <n v="788826645"/>
    <m/>
    <m/>
    <m/>
  </r>
  <r>
    <s v="C002220"/>
    <x v="213"/>
    <s v="HQ"/>
    <s v="Gasabo"/>
    <x v="0"/>
    <x v="0"/>
    <s v="Standard"/>
    <x v="0"/>
    <x v="6"/>
    <m/>
    <s v=" 4G MUP 4GB/DAY "/>
    <m/>
    <n v="7"/>
    <n v="45338.98"/>
    <n v="317372.86000000004"/>
    <s v="Monthly"/>
    <d v="2024-03-31T00:00:00"/>
    <x v="8"/>
    <x v="4"/>
    <n v="-268"/>
    <x v="1"/>
    <x v="7"/>
    <s v="Rwagasana Jean Pierre"/>
    <s v="jp.rwagasana@rlrc.gov.rw,info@rlrc.gov.rw"/>
    <n v="788826645"/>
    <m/>
    <m/>
    <m/>
  </r>
  <r>
    <s v="C002128"/>
    <x v="214"/>
    <s v="Road Maintenance Fund FER"/>
    <s v="Nyarugenge"/>
    <x v="0"/>
    <x v="0"/>
    <s v="Standard"/>
    <x v="0"/>
    <x v="6"/>
    <m/>
    <s v=" 4G MUP 4GB/DAY "/>
    <m/>
    <n v="1"/>
    <n v="45338.98"/>
    <n v="45338.98"/>
    <s v="Monthly"/>
    <d v="2024-03-31T00:00:00"/>
    <x v="8"/>
    <x v="4"/>
    <n v="-268"/>
    <x v="1"/>
    <x v="5"/>
    <s v="Uwimana Theophille"/>
    <s v="theophile.uwimana@rmf.gov.rw"/>
    <n v="788602677"/>
    <m/>
    <m/>
    <m/>
  </r>
  <r>
    <s v="C002325"/>
    <x v="215"/>
    <s v="RMH- RADIOTHERAPY"/>
    <s v="Kicukiro"/>
    <x v="0"/>
    <x v="6"/>
    <s v="Standard"/>
    <x v="0"/>
    <x v="0"/>
    <n v="10"/>
    <s v="FIBER VPN 10MBPS"/>
    <m/>
    <n v="1"/>
    <n v="510000"/>
    <n v="510000"/>
    <s v="Monthly"/>
    <d v="2024-03-31T00:00:00"/>
    <x v="8"/>
    <x v="4"/>
    <n v="-268"/>
    <x v="1"/>
    <x v="6"/>
    <s v="Lt GATETE Donath "/>
    <s v="d.gatete@rmh.rw"/>
    <n v="788286474"/>
    <m/>
    <m/>
    <m/>
  </r>
  <r>
    <s v="C002325"/>
    <x v="215"/>
    <s v="RMH- VIP WING"/>
    <s v="Kicukiro"/>
    <x v="0"/>
    <x v="6"/>
    <s v="Standard"/>
    <x v="0"/>
    <x v="0"/>
    <n v="10"/>
    <s v="FIBER VPN 10MBPS"/>
    <m/>
    <n v="1"/>
    <n v="510000"/>
    <n v="510000"/>
    <s v="Monthly"/>
    <d v="2024-03-31T00:00:00"/>
    <x v="8"/>
    <x v="4"/>
    <n v="-268"/>
    <x v="1"/>
    <x v="6"/>
    <s v="Lt GATETE Donath "/>
    <s v="d.gatete@rmh.rw"/>
    <n v="788286474"/>
    <m/>
    <m/>
    <m/>
  </r>
  <r>
    <s v="C002325"/>
    <x v="215"/>
    <s v="RMH- MAIN BRANCH"/>
    <s v="Kicukiro"/>
    <x v="0"/>
    <x v="6"/>
    <s v="Standard"/>
    <x v="0"/>
    <x v="0"/>
    <n v="30"/>
    <s v="FIBER VPN 30MBPS"/>
    <m/>
    <n v="1"/>
    <n v="1260000"/>
    <n v="1260000"/>
    <s v="Monthly"/>
    <d v="2024-03-31T00:00:00"/>
    <x v="8"/>
    <x v="4"/>
    <n v="-268"/>
    <x v="1"/>
    <x v="6"/>
    <s v="Lt GATETE Donath "/>
    <s v="d.gatete@rmh.rw"/>
    <n v="788286474"/>
    <m/>
    <m/>
    <m/>
  </r>
  <r>
    <s v="C002325"/>
    <x v="215"/>
    <s v="RMH- MAIN BRANCH"/>
    <s v="Kicukiro"/>
    <x v="0"/>
    <x v="6"/>
    <s v="Standard"/>
    <x v="1"/>
    <x v="10"/>
    <m/>
    <s v="VC SERVICE"/>
    <m/>
    <n v="1"/>
    <n v="258044.9152542373"/>
    <n v="258044.9152542373"/>
    <s v="Monthly"/>
    <d v="2024-03-31T00:00:00"/>
    <x v="8"/>
    <x v="4"/>
    <n v="-268"/>
    <x v="1"/>
    <x v="6"/>
    <s v="Lt GATETE Donath "/>
    <s v="d.gatete@rmh.rw"/>
    <n v="788286474"/>
    <m/>
    <m/>
    <m/>
  </r>
  <r>
    <s v="C002325"/>
    <x v="215"/>
    <s v="RMH- MAIN BRANCH"/>
    <s v="Kicukiro"/>
    <x v="0"/>
    <x v="6"/>
    <s v="Standard"/>
    <x v="0"/>
    <x v="6"/>
    <m/>
    <s v=" 4G MUP 4GB/DAY "/>
    <m/>
    <n v="1"/>
    <n v="45338.98"/>
    <n v="45338.98"/>
    <s v="Monthly"/>
    <d v="2024-03-31T00:00:00"/>
    <x v="8"/>
    <x v="4"/>
    <n v="-268"/>
    <x v="1"/>
    <x v="6"/>
    <s v="Lt GATETE Donath "/>
    <s v="d.gatete@rmh.rw"/>
    <n v="788286474"/>
    <m/>
    <m/>
    <m/>
  </r>
  <r>
    <s v="C002325"/>
    <x v="215"/>
    <s v="RMH- MAIN BRANCH"/>
    <s v="Kicukiro"/>
    <x v="0"/>
    <x v="6"/>
    <s v="Standard"/>
    <x v="0"/>
    <x v="6"/>
    <m/>
    <s v="4G MUP 1GB/DAY"/>
    <m/>
    <n v="1"/>
    <n v="19491.53"/>
    <n v="19491.53"/>
    <s v="Monthly"/>
    <d v="2024-03-31T00:00:00"/>
    <x v="8"/>
    <x v="4"/>
    <n v="-268"/>
    <x v="1"/>
    <x v="6"/>
    <s v="Lt GATETE Donath "/>
    <s v="d.gatete@rmh.rw"/>
    <n v="788286474"/>
    <m/>
    <m/>
    <m/>
  </r>
  <r>
    <s v="C002136"/>
    <x v="216"/>
    <s v="HQ"/>
    <s v="Gasabo"/>
    <x v="1"/>
    <x v="2"/>
    <s v="VIP"/>
    <x v="0"/>
    <x v="5"/>
    <n v="5"/>
    <s v="FIBER INTERNET 5MBPS"/>
    <m/>
    <n v="1"/>
    <n v="595000"/>
    <n v="595000"/>
    <s v="Monthly"/>
    <d v="2024-03-31T00:00:00"/>
    <x v="8"/>
    <x v="4"/>
    <n v="-268"/>
    <x v="1"/>
    <x v="7"/>
    <s v="Jeannot Gapira"/>
    <s v="jeannot.gapira@rpfinkotanyi.rw"/>
    <n v="788648595"/>
    <m/>
    <m/>
    <m/>
  </r>
  <r>
    <s v="C002136"/>
    <x v="216"/>
    <s v="HQ"/>
    <s v="Gasabo"/>
    <x v="1"/>
    <x v="2"/>
    <s v="VIP"/>
    <x v="0"/>
    <x v="6"/>
    <m/>
    <s v="4G UNLIMITED 200GB PRIV"/>
    <m/>
    <n v="1"/>
    <n v="448305.08"/>
    <n v="448305.08"/>
    <s v="Monthly"/>
    <d v="2024-03-31T00:00:00"/>
    <x v="8"/>
    <x v="4"/>
    <n v="-268"/>
    <x v="1"/>
    <x v="7"/>
    <s v="Jeannot Gapira"/>
    <s v="jeannot.gapira@rpfinkotanyi.rw"/>
    <n v="788648595"/>
    <m/>
    <m/>
    <m/>
  </r>
  <r>
    <s v="C002136"/>
    <x v="216"/>
    <s v="HQ"/>
    <s v="Gasabo"/>
    <x v="1"/>
    <x v="2"/>
    <s v="VIP"/>
    <x v="0"/>
    <x v="6"/>
    <m/>
    <s v="4G MUP 2GB/DAY PRIV"/>
    <m/>
    <n v="6"/>
    <n v="28305.08"/>
    <n v="169830.48"/>
    <s v="Monthly"/>
    <d v="2024-03-31T00:00:00"/>
    <x v="8"/>
    <x v="4"/>
    <n v="-268"/>
    <x v="1"/>
    <x v="7"/>
    <s v="Jeannot Gapira"/>
    <s v="jeannot.gapira@rpfinkotanyi.rw"/>
    <n v="788648595"/>
    <m/>
    <m/>
    <m/>
  </r>
  <r>
    <s v="C002136"/>
    <x v="216"/>
    <s v="HQ"/>
    <s v="Gasabo"/>
    <x v="1"/>
    <x v="2"/>
    <s v="VIP"/>
    <x v="0"/>
    <x v="6"/>
    <m/>
    <s v=" 4G MUP 4GB/DAY "/>
    <m/>
    <n v="36"/>
    <n v="45338.98"/>
    <n v="1632203.28"/>
    <s v="Monthly"/>
    <d v="2024-03-31T00:00:00"/>
    <x v="8"/>
    <x v="4"/>
    <n v="-268"/>
    <x v="1"/>
    <x v="7"/>
    <s v="Jeannot Gapira"/>
    <s v="jeannot.gapira@rpfinkotanyi.rw"/>
    <n v="788648595"/>
    <m/>
    <m/>
    <m/>
  </r>
  <r>
    <s v="C002394"/>
    <x v="217"/>
    <s v="RRA ELDORET"/>
    <s v="Tanzania"/>
    <x v="0"/>
    <x v="0"/>
    <s v="VIP"/>
    <x v="4"/>
    <x v="0"/>
    <n v="1"/>
    <s v="FIBER INTERNET 1MBPS"/>
    <m/>
    <n v="1"/>
    <n v="220762"/>
    <n v="220762"/>
    <s v="Monthly"/>
    <d v="2024-03-31T00:00:00"/>
    <x v="8"/>
    <x v="4"/>
    <n v="-268"/>
    <x v="1"/>
    <x v="7"/>
    <s v="Anicet Kubwumuremyi"/>
    <s v="anicet.kubwumuremyi@rra.gov.rw,claudine.byukusenge@rra.gov.rw"/>
    <n v="783152689"/>
    <m/>
    <m/>
    <m/>
  </r>
  <r>
    <s v="C002394"/>
    <x v="217"/>
    <s v="RRA STAFF APARTMENT TZ"/>
    <s v="Tanzania"/>
    <x v="0"/>
    <x v="0"/>
    <s v="VIP"/>
    <x v="4"/>
    <x v="0"/>
    <n v="3"/>
    <s v="FIBER INTERNET 3MBPS"/>
    <m/>
    <n v="1"/>
    <n v="670932.19999999995"/>
    <n v="670932.19999999995"/>
    <s v="Monthly"/>
    <d v="2024-03-31T00:00:00"/>
    <x v="8"/>
    <x v="4"/>
    <n v="-268"/>
    <x v="1"/>
    <x v="7"/>
    <s v="Anicet Kubwumuremyi"/>
    <s v="anicet.kubwumuremyi@rra.gov.rw,claudine.byukusenge@rra.gov.rw"/>
    <n v="783152689"/>
    <m/>
    <m/>
    <m/>
  </r>
  <r>
    <s v="C002394"/>
    <x v="217"/>
    <s v="RRA NYAMATA"/>
    <s v="Bugesera"/>
    <x v="0"/>
    <x v="0"/>
    <s v="VIP"/>
    <x v="0"/>
    <x v="0"/>
    <n v="3"/>
    <s v="FIBER VPN 3MBPS"/>
    <m/>
    <n v="1"/>
    <n v="180000"/>
    <n v="180000"/>
    <s v="Monthly"/>
    <d v="2024-03-31T00:00:00"/>
    <x v="8"/>
    <x v="4"/>
    <n v="-268"/>
    <x v="1"/>
    <x v="7"/>
    <s v="Anicet Kubwumuremyi"/>
    <s v="anicet.kubwumuremyi@rra.gov.rw,claudine.byukusenge@rra.gov.rw"/>
    <n v="783152689"/>
    <m/>
    <m/>
    <m/>
  </r>
  <r>
    <s v="C002394"/>
    <x v="217"/>
    <s v="RRA BURERA"/>
    <s v="Burera"/>
    <x v="0"/>
    <x v="0"/>
    <s v="VIP"/>
    <x v="0"/>
    <x v="0"/>
    <n v="3"/>
    <s v="FIBER VPN 3MBPS"/>
    <m/>
    <n v="1"/>
    <n v="180000"/>
    <n v="180000"/>
    <s v="Monthly"/>
    <d v="2024-03-31T00:00:00"/>
    <x v="8"/>
    <x v="4"/>
    <n v="-268"/>
    <x v="1"/>
    <x v="7"/>
    <s v="Anicet Kubwumuremyi"/>
    <s v="anicet.kubwumuremyi@rra.gov.rw,claudine.byukusenge@rra.gov.rw"/>
    <n v="783152689"/>
    <m/>
    <m/>
    <m/>
  </r>
  <r>
    <s v="C002394"/>
    <x v="217"/>
    <s v="RRA GAKENKE"/>
    <s v="Gakenke"/>
    <x v="0"/>
    <x v="0"/>
    <s v="VIP"/>
    <x v="0"/>
    <x v="0"/>
    <n v="3"/>
    <s v="FIBER VPN 3MBPS"/>
    <m/>
    <n v="1"/>
    <n v="180000"/>
    <n v="180000"/>
    <s v="Monthly"/>
    <d v="2024-03-31T00:00:00"/>
    <x v="8"/>
    <x v="4"/>
    <n v="-268"/>
    <x v="1"/>
    <x v="7"/>
    <s v="Anicet Kubwumuremyi"/>
    <s v="anicet.kubwumuremyi@rra.gov.rw,claudine.byukusenge@rra.gov.rw"/>
    <n v="783152689"/>
    <m/>
    <m/>
    <m/>
  </r>
  <r>
    <s v="C002394"/>
    <x v="217"/>
    <s v="RRA RDB"/>
    <s v="Gasabo"/>
    <x v="0"/>
    <x v="0"/>
    <s v="VIP"/>
    <x v="0"/>
    <x v="0"/>
    <n v="3"/>
    <s v="FIBER VPN 3MBPS"/>
    <m/>
    <n v="1"/>
    <n v="180000"/>
    <n v="180000"/>
    <s v="Monthly"/>
    <d v="2024-03-31T00:00:00"/>
    <x v="8"/>
    <x v="4"/>
    <n v="-268"/>
    <x v="1"/>
    <x v="7"/>
    <s v="Anicet Kubwumuremyi"/>
    <s v="anicet.kubwumuremyi@rra.gov.rw,claudine.byukusenge@rra.gov.rw"/>
    <n v="783152689"/>
    <m/>
    <m/>
    <m/>
  </r>
  <r>
    <s v="C002394"/>
    <x v="217"/>
    <s v="RRA GICUMBI"/>
    <s v="Gicumbi"/>
    <x v="0"/>
    <x v="0"/>
    <s v="VIP"/>
    <x v="0"/>
    <x v="0"/>
    <n v="3"/>
    <s v="FIBER VPN 3MBPS"/>
    <m/>
    <n v="1"/>
    <n v="180000"/>
    <n v="180000"/>
    <s v="Monthly"/>
    <d v="2024-03-31T00:00:00"/>
    <x v="8"/>
    <x v="4"/>
    <n v="-268"/>
    <x v="1"/>
    <x v="7"/>
    <s v="Anicet Kubwumuremyi"/>
    <s v="anicet.kubwumuremyi@rra.gov.rw,claudine.byukusenge@rra.gov.rw"/>
    <n v="783152689"/>
    <m/>
    <m/>
    <m/>
  </r>
  <r>
    <s v="C002394"/>
    <x v="217"/>
    <s v="RRA GISAGARA"/>
    <s v="Gisagara"/>
    <x v="0"/>
    <x v="0"/>
    <s v="VIP"/>
    <x v="0"/>
    <x v="0"/>
    <n v="3"/>
    <s v="FIBER VPN 3MBPS"/>
    <m/>
    <n v="1"/>
    <n v="180000"/>
    <n v="180000"/>
    <s v="Monthly"/>
    <d v="2024-03-31T00:00:00"/>
    <x v="8"/>
    <x v="4"/>
    <n v="-268"/>
    <x v="1"/>
    <x v="7"/>
    <s v="Anicet Kubwumuremyi"/>
    <s v="anicet.kubwumuremyi@rra.gov.rw,claudine.byukusenge@rra.gov.rw"/>
    <n v="783152689"/>
    <m/>
    <m/>
    <m/>
  </r>
  <r>
    <s v="C002394"/>
    <x v="217"/>
    <s v="RRA HUYE_TI(BTC)"/>
    <s v="Huye"/>
    <x v="0"/>
    <x v="0"/>
    <s v="VIP"/>
    <x v="0"/>
    <x v="0"/>
    <n v="3"/>
    <s v="FIBER VPN 3MBPS"/>
    <m/>
    <n v="1"/>
    <n v="180000"/>
    <n v="180000"/>
    <s v="Monthly"/>
    <d v="2024-03-31T00:00:00"/>
    <x v="8"/>
    <x v="4"/>
    <n v="-268"/>
    <x v="1"/>
    <x v="7"/>
    <s v="Anicet Kubwumuremyi"/>
    <s v="anicet.kubwumuremyi@rra.gov.rw,claudine.byukusenge@rra.gov.rw"/>
    <n v="783152689"/>
    <m/>
    <m/>
    <m/>
  </r>
  <r>
    <s v="C002394"/>
    <x v="217"/>
    <s v="RRA - BNR HUYE"/>
    <s v="Huye"/>
    <x v="0"/>
    <x v="0"/>
    <s v="VIP"/>
    <x v="0"/>
    <x v="0"/>
    <n v="3"/>
    <s v="FIBER VPN 3MBPS"/>
    <m/>
    <n v="1"/>
    <n v="180000"/>
    <n v="180000"/>
    <s v="Monthly"/>
    <d v="2024-03-31T00:00:00"/>
    <x v="8"/>
    <x v="4"/>
    <n v="-268"/>
    <x v="1"/>
    <x v="7"/>
    <s v="Anicet Kubwumuremyi"/>
    <s v="anicet.kubwumuremyi@rra.gov.rw,claudine.byukusenge@rra.gov.rw"/>
    <n v="783152689"/>
    <m/>
    <m/>
    <m/>
  </r>
  <r>
    <s v="C002394"/>
    <x v="217"/>
    <s v="RRA KAMONYI"/>
    <s v="Kamonyi"/>
    <x v="0"/>
    <x v="0"/>
    <s v="VIP"/>
    <x v="0"/>
    <x v="0"/>
    <n v="3"/>
    <s v="FIBER VPN 3MBPS"/>
    <m/>
    <n v="1"/>
    <n v="180000"/>
    <n v="180000"/>
    <s v="Monthly"/>
    <d v="2024-03-31T00:00:00"/>
    <x v="8"/>
    <x v="4"/>
    <n v="-268"/>
    <x v="1"/>
    <x v="7"/>
    <s v="Anicet Kubwumuremyi"/>
    <s v="anicet.kubwumuremyi@rra.gov.rw,claudine.byukusenge@rra.gov.rw"/>
    <n v="783152689"/>
    <m/>
    <m/>
    <m/>
  </r>
  <r>
    <s v="C002394"/>
    <x v="217"/>
    <s v="RRA KARONGI"/>
    <s v="Karongi"/>
    <x v="0"/>
    <x v="0"/>
    <s v="VIP"/>
    <x v="0"/>
    <x v="0"/>
    <n v="3"/>
    <s v="FIBER VPN 3MBPS"/>
    <m/>
    <n v="1"/>
    <n v="180000"/>
    <n v="180000"/>
    <s v="Monthly"/>
    <d v="2024-03-31T00:00:00"/>
    <x v="8"/>
    <x v="4"/>
    <n v="-268"/>
    <x v="1"/>
    <x v="7"/>
    <s v="Anicet Kubwumuremyi"/>
    <s v="anicet.kubwumuremyi@rra.gov.rw,claudine.byukusenge@rra.gov.rw"/>
    <n v="783152689"/>
    <m/>
    <m/>
    <m/>
  </r>
  <r>
    <s v="C002394"/>
    <x v="217"/>
    <s v="RRA KAYONZA"/>
    <s v="Kayonza"/>
    <x v="0"/>
    <x v="0"/>
    <s v="VIP"/>
    <x v="0"/>
    <x v="0"/>
    <n v="3"/>
    <s v="FIBER VPN 3MBPS"/>
    <m/>
    <n v="1"/>
    <n v="180000"/>
    <n v="180000"/>
    <s v="Monthly"/>
    <d v="2024-03-31T00:00:00"/>
    <x v="8"/>
    <x v="4"/>
    <n v="-268"/>
    <x v="1"/>
    <x v="7"/>
    <s v="Anicet Kubwumuremyi"/>
    <s v="anicet.kubwumuremyi@rra.gov.rw,claudine.byukusenge@rra.gov.rw"/>
    <n v="783152689"/>
    <m/>
    <m/>
    <m/>
  </r>
  <r>
    <s v="C002394"/>
    <x v="217"/>
    <s v="RRA AIRPORT"/>
    <s v="Kicukiro"/>
    <x v="0"/>
    <x v="0"/>
    <s v="VIP"/>
    <x v="0"/>
    <x v="0"/>
    <n v="3"/>
    <s v="FIBER VPN 3MBPS"/>
    <m/>
    <n v="1"/>
    <n v="180000"/>
    <n v="180000"/>
    <s v="Monthly"/>
    <d v="2024-03-31T00:00:00"/>
    <x v="8"/>
    <x v="4"/>
    <n v="-268"/>
    <x v="1"/>
    <x v="7"/>
    <s v="Anicet Kubwumuremyi"/>
    <s v="anicet.kubwumuremyi@rra.gov.rw,claudine.byukusenge@rra.gov.rw"/>
    <n v="783152689"/>
    <m/>
    <m/>
    <m/>
  </r>
  <r>
    <s v="C002394"/>
    <x v="217"/>
    <s v="RRA - RPD"/>
    <s v="Kicukiro"/>
    <x v="0"/>
    <x v="0"/>
    <s v="VIP"/>
    <x v="0"/>
    <x v="0"/>
    <n v="3"/>
    <s v="FIBER VPN 3MBPS"/>
    <m/>
    <n v="1"/>
    <n v="180000"/>
    <n v="180000"/>
    <s v="Monthly"/>
    <d v="2024-03-31T00:00:00"/>
    <x v="8"/>
    <x v="4"/>
    <n v="-268"/>
    <x v="1"/>
    <x v="7"/>
    <s v="Anicet Kubwumuremyi"/>
    <s v="anicet.kubwumuremyi@rra.gov.rw,claudine.byukusenge@rra.gov.rw"/>
    <n v="783152689"/>
    <m/>
    <m/>
    <m/>
  </r>
  <r>
    <s v="C002394"/>
    <x v="217"/>
    <s v="RRA KIREHE"/>
    <s v="Kirehe"/>
    <x v="0"/>
    <x v="0"/>
    <s v="VIP"/>
    <x v="0"/>
    <x v="0"/>
    <n v="3"/>
    <s v="FIBER VPN 3MBPS"/>
    <m/>
    <n v="1"/>
    <n v="180000"/>
    <n v="180000"/>
    <s v="Monthly"/>
    <d v="2024-03-31T00:00:00"/>
    <x v="8"/>
    <x v="4"/>
    <n v="-268"/>
    <x v="1"/>
    <x v="7"/>
    <s v="Anicet Kubwumuremyi"/>
    <s v="anicet.kubwumuremyi@rra.gov.rw,claudine.byukusenge@rra.gov.rw"/>
    <n v="783152689"/>
    <m/>
    <m/>
    <m/>
  </r>
  <r>
    <s v="C002394"/>
    <x v="217"/>
    <s v="RRA MUHANGA"/>
    <s v="Muhanga"/>
    <x v="0"/>
    <x v="0"/>
    <s v="VIP"/>
    <x v="0"/>
    <x v="0"/>
    <n v="3"/>
    <s v="FIBER VPN 3MBPS"/>
    <m/>
    <n v="1"/>
    <n v="180000"/>
    <n v="180000"/>
    <s v="Monthly"/>
    <d v="2024-03-31T00:00:00"/>
    <x v="8"/>
    <x v="4"/>
    <n v="-268"/>
    <x v="1"/>
    <x v="7"/>
    <s v="Anicet Kubwumuremyi"/>
    <s v="anicet.kubwumuremyi@rra.gov.rw,claudine.byukusenge@rra.gov.rw"/>
    <n v="783152689"/>
    <m/>
    <m/>
    <m/>
  </r>
  <r>
    <s v="C002394"/>
    <x v="217"/>
    <s v="RRA MUSANZE"/>
    <s v="Musanze"/>
    <x v="0"/>
    <x v="0"/>
    <s v="VIP"/>
    <x v="0"/>
    <x v="0"/>
    <n v="3"/>
    <s v="FIBER VPN 3MBPS"/>
    <m/>
    <n v="1"/>
    <n v="180000"/>
    <n v="180000"/>
    <s v="Monthly"/>
    <d v="2024-03-31T00:00:00"/>
    <x v="8"/>
    <x v="4"/>
    <n v="-268"/>
    <x v="1"/>
    <x v="7"/>
    <s v="Anicet Kubwumuremyi"/>
    <s v="anicet.kubwumuremyi@rra.gov.rw,claudine.byukusenge@rra.gov.rw"/>
    <n v="783152689"/>
    <m/>
    <m/>
    <m/>
  </r>
  <r>
    <s v="C002394"/>
    <x v="217"/>
    <s v="RRA NGOMA"/>
    <s v="Ngoma"/>
    <x v="0"/>
    <x v="0"/>
    <s v="VIP"/>
    <x v="0"/>
    <x v="0"/>
    <n v="3"/>
    <s v="FIBER VPN 3MBPS"/>
    <m/>
    <n v="1"/>
    <n v="180000"/>
    <n v="180000"/>
    <s v="Monthly"/>
    <d v="2024-03-31T00:00:00"/>
    <x v="8"/>
    <x v="4"/>
    <n v="-268"/>
    <x v="1"/>
    <x v="7"/>
    <s v="Anicet Kubwumuremyi"/>
    <s v="anicet.kubwumuremyi@rra.gov.rw,claudine.byukusenge@rra.gov.rw"/>
    <n v="783152689"/>
    <m/>
    <m/>
    <m/>
  </r>
  <r>
    <s v="C002394"/>
    <x v="217"/>
    <s v="RRA NGORORERO"/>
    <s v="Ngororero"/>
    <x v="0"/>
    <x v="0"/>
    <s v="VIP"/>
    <x v="0"/>
    <x v="0"/>
    <n v="3"/>
    <s v="FIBER VPN 3MBPS"/>
    <m/>
    <n v="1"/>
    <n v="180000"/>
    <n v="180000"/>
    <s v="Monthly"/>
    <d v="2024-03-31T00:00:00"/>
    <x v="8"/>
    <x v="4"/>
    <n v="-268"/>
    <x v="1"/>
    <x v="7"/>
    <s v="Anicet Kubwumuremyi"/>
    <s v="anicet.kubwumuremyi@rra.gov.rw,claudine.byukusenge@rra.gov.rw"/>
    <n v="783152689"/>
    <m/>
    <m/>
    <m/>
  </r>
  <r>
    <s v="C002394"/>
    <x v="217"/>
    <s v="RRA NYABIHU"/>
    <s v="Nyabihu"/>
    <x v="0"/>
    <x v="0"/>
    <s v="VIP"/>
    <x v="0"/>
    <x v="0"/>
    <n v="3"/>
    <s v="FIBER VPN 3MBPS"/>
    <m/>
    <n v="1"/>
    <n v="180000"/>
    <n v="180000"/>
    <s v="Monthly"/>
    <d v="2024-03-31T00:00:00"/>
    <x v="8"/>
    <x v="4"/>
    <n v="-268"/>
    <x v="1"/>
    <x v="7"/>
    <s v="Anicet Kubwumuremyi"/>
    <s v="anicet.kubwumuremyi@rra.gov.rw,claudine.byukusenge@rra.gov.rw"/>
    <n v="783152689"/>
    <m/>
    <m/>
    <m/>
  </r>
  <r>
    <s v="C002394"/>
    <x v="217"/>
    <s v="RRA NYAGATARE"/>
    <s v="Nyagatare"/>
    <x v="0"/>
    <x v="0"/>
    <s v="VIP"/>
    <x v="0"/>
    <x v="0"/>
    <n v="3"/>
    <s v="FIBER VPN 3MBPS"/>
    <m/>
    <n v="1"/>
    <n v="180000"/>
    <n v="180000"/>
    <s v="Monthly"/>
    <d v="2024-03-31T00:00:00"/>
    <x v="8"/>
    <x v="4"/>
    <n v="-268"/>
    <x v="1"/>
    <x v="7"/>
    <s v="Anicet Kubwumuremyi"/>
    <s v="anicet.kubwumuremyi@rra.gov.rw,claudine.byukusenge@rra.gov.rw"/>
    <n v="783152689"/>
    <m/>
    <m/>
    <m/>
  </r>
  <r>
    <s v="C002394"/>
    <x v="217"/>
    <s v="RRA NYAMAGABE"/>
    <s v="Nyamagabe"/>
    <x v="0"/>
    <x v="0"/>
    <s v="VIP"/>
    <x v="0"/>
    <x v="0"/>
    <n v="3"/>
    <s v="FIBER VPN 3MBPS"/>
    <m/>
    <n v="1"/>
    <n v="180000"/>
    <n v="180000"/>
    <s v="Monthly"/>
    <d v="2024-03-31T00:00:00"/>
    <x v="8"/>
    <x v="4"/>
    <n v="-268"/>
    <x v="1"/>
    <x v="7"/>
    <s v="Anicet Kubwumuremyi"/>
    <s v="anicet.kubwumuremyi@rra.gov.rw,claudine.byukusenge@rra.gov.rw"/>
    <n v="783152689"/>
    <m/>
    <m/>
    <m/>
  </r>
  <r>
    <s v="C002394"/>
    <x v="217"/>
    <s v="RRA NYAMASHEKE"/>
    <s v="Nyamasheke"/>
    <x v="0"/>
    <x v="0"/>
    <s v="VIP"/>
    <x v="0"/>
    <x v="0"/>
    <n v="3"/>
    <s v="FIBER VPN 3MBPS"/>
    <m/>
    <n v="1"/>
    <n v="180000"/>
    <n v="180000"/>
    <s v="Monthly"/>
    <d v="2024-03-31T00:00:00"/>
    <x v="8"/>
    <x v="4"/>
    <n v="-268"/>
    <x v="1"/>
    <x v="7"/>
    <s v="Anicet Kubwumuremyi"/>
    <s v="anicet.kubwumuremyi@rra.gov.rw,claudine.byukusenge@rra.gov.rw"/>
    <n v="783152689"/>
    <m/>
    <m/>
    <m/>
  </r>
  <r>
    <s v="C002394"/>
    <x v="217"/>
    <s v="RRA NYANZA"/>
    <s v="Nyanza"/>
    <x v="0"/>
    <x v="0"/>
    <s v="VIP"/>
    <x v="0"/>
    <x v="0"/>
    <n v="3"/>
    <s v="FIBER VPN 3MBPS"/>
    <m/>
    <n v="1"/>
    <n v="180000"/>
    <n v="180000"/>
    <s v="Monthly"/>
    <d v="2024-03-31T00:00:00"/>
    <x v="8"/>
    <x v="4"/>
    <n v="-268"/>
    <x v="1"/>
    <x v="7"/>
    <s v="Anicet Kubwumuremyi"/>
    <s v="anicet.kubwumuremyi@rra.gov.rw,claudine.byukusenge@rra.gov.rw"/>
    <n v="783152689"/>
    <m/>
    <m/>
    <m/>
  </r>
  <r>
    <s v="C002394"/>
    <x v="217"/>
    <s v="RRA - POST"/>
    <s v="Nyarugenge"/>
    <x v="0"/>
    <x v="0"/>
    <s v="VIP"/>
    <x v="0"/>
    <x v="0"/>
    <n v="3"/>
    <s v="FIBER VPN 3MBPS"/>
    <m/>
    <n v="1"/>
    <n v="180000"/>
    <n v="180000"/>
    <s v="Monthly"/>
    <d v="2024-03-31T00:00:00"/>
    <x v="8"/>
    <x v="4"/>
    <n v="-268"/>
    <x v="1"/>
    <x v="7"/>
    <s v="Anicet Kubwumuremyi"/>
    <s v="anicet.kubwumuremyi@rra.gov.rw,claudine.byukusenge@rra.gov.rw"/>
    <n v="783152689"/>
    <m/>
    <m/>
    <m/>
  </r>
  <r>
    <s v="C002394"/>
    <x v="217"/>
    <s v="RRA - GT BANK"/>
    <s v="Nyarugenge"/>
    <x v="0"/>
    <x v="0"/>
    <s v="VIP"/>
    <x v="0"/>
    <x v="0"/>
    <n v="3"/>
    <s v="FIBER VPN 3MBPS"/>
    <m/>
    <n v="1"/>
    <n v="180000"/>
    <n v="180000"/>
    <s v="Monthly"/>
    <d v="2024-03-31T00:00:00"/>
    <x v="8"/>
    <x v="4"/>
    <n v="-268"/>
    <x v="1"/>
    <x v="7"/>
    <s v="Anicet Kubwumuremyi"/>
    <s v="anicet.kubwumuremyi@rra.gov.rw,claudine.byukusenge@rra.gov.rw"/>
    <n v="783152689"/>
    <m/>
    <m/>
    <m/>
  </r>
  <r>
    <s v="C002394"/>
    <x v="217"/>
    <s v="RRA - BK"/>
    <s v="Nyarugenge"/>
    <x v="0"/>
    <x v="0"/>
    <s v="VIP"/>
    <x v="0"/>
    <x v="0"/>
    <n v="3"/>
    <s v="FIBER VPN 3MBPS"/>
    <m/>
    <n v="1"/>
    <n v="180000"/>
    <n v="180000"/>
    <s v="Monthly"/>
    <d v="2024-03-31T00:00:00"/>
    <x v="8"/>
    <x v="4"/>
    <n v="-268"/>
    <x v="1"/>
    <x v="7"/>
    <s v="Anicet Kubwumuremyi"/>
    <s v="anicet.kubwumuremyi@rra.gov.rw,claudine.byukusenge@rra.gov.rw"/>
    <n v="783152689"/>
    <m/>
    <m/>
    <m/>
  </r>
  <r>
    <s v="C002394"/>
    <x v="217"/>
    <s v="RRA-ACCESS BANK"/>
    <s v="Nyarugenge"/>
    <x v="0"/>
    <x v="0"/>
    <s v="VIP"/>
    <x v="0"/>
    <x v="0"/>
    <n v="3"/>
    <s v="FIBER VPN 3MBPS"/>
    <m/>
    <n v="1"/>
    <n v="180000"/>
    <n v="180000"/>
    <s v="Monthly"/>
    <d v="2024-03-31T00:00:00"/>
    <x v="8"/>
    <x v="4"/>
    <n v="-268"/>
    <x v="1"/>
    <x v="7"/>
    <s v="Anicet Kubwumuremyi"/>
    <s v="anicet.kubwumuremyi@rra.gov.rw,claudine.byukusenge@rra.gov.rw"/>
    <n v="783152689"/>
    <m/>
    <m/>
    <m/>
  </r>
  <r>
    <s v="C002394"/>
    <x v="217"/>
    <s v="RRA - RSSB"/>
    <s v="Nyarugenge"/>
    <x v="0"/>
    <x v="0"/>
    <s v="VIP"/>
    <x v="0"/>
    <x v="0"/>
    <n v="3"/>
    <s v="FIBER VPN 3MBPS"/>
    <m/>
    <n v="1"/>
    <n v="180000"/>
    <n v="180000"/>
    <s v="Monthly"/>
    <d v="2024-03-31T00:00:00"/>
    <x v="8"/>
    <x v="4"/>
    <n v="-268"/>
    <x v="1"/>
    <x v="7"/>
    <s v="Anicet Kubwumuremyi"/>
    <s v="anicet.kubwumuremyi@rra.gov.rw,claudine.byukusenge@rra.gov.rw"/>
    <n v="783152689"/>
    <m/>
    <m/>
    <m/>
  </r>
  <r>
    <s v="C002394"/>
    <x v="217"/>
    <s v="VPN LINK RRA-BNR"/>
    <s v="Nyarugenge"/>
    <x v="0"/>
    <x v="0"/>
    <s v="VIP"/>
    <x v="0"/>
    <x v="0"/>
    <n v="3"/>
    <s v="FIBER VPN 3MBPS"/>
    <m/>
    <n v="1"/>
    <n v="180000"/>
    <n v="180000"/>
    <s v="Monthly"/>
    <d v="2024-03-31T00:00:00"/>
    <x v="8"/>
    <x v="4"/>
    <n v="-268"/>
    <x v="1"/>
    <x v="7"/>
    <s v="Anicet Kubwumuremyi"/>
    <s v="anicet.kubwumuremyi@rra.gov.rw,claudine.byukusenge@rra.gov.rw"/>
    <n v="783152689"/>
    <m/>
    <m/>
    <m/>
  </r>
  <r>
    <s v="C002394"/>
    <x v="217"/>
    <s v="VPN LINK RRA-KCB"/>
    <s v="Nyarugenge"/>
    <x v="0"/>
    <x v="0"/>
    <s v="VIP"/>
    <x v="0"/>
    <x v="0"/>
    <n v="3"/>
    <s v="FIBER VPN 3MBPS"/>
    <m/>
    <n v="1"/>
    <n v="180000"/>
    <n v="180000"/>
    <s v="Monthly"/>
    <d v="2024-03-31T00:00:00"/>
    <x v="8"/>
    <x v="4"/>
    <n v="-268"/>
    <x v="1"/>
    <x v="7"/>
    <s v="Anicet Kubwumuremyi"/>
    <s v="anicet.kubwumuremyi@rra.gov.rw,claudine.byukusenge@rra.gov.rw"/>
    <n v="783152689"/>
    <m/>
    <m/>
    <m/>
  </r>
  <r>
    <s v="C002394"/>
    <x v="217"/>
    <s v="RRA NYARUGURU"/>
    <s v="Nyaruguru"/>
    <x v="0"/>
    <x v="0"/>
    <s v="VIP"/>
    <x v="0"/>
    <x v="0"/>
    <n v="3"/>
    <s v="FIBER VPN 3MBPS"/>
    <m/>
    <n v="1"/>
    <n v="180000"/>
    <n v="180000"/>
    <s v="Monthly"/>
    <d v="2024-03-31T00:00:00"/>
    <x v="8"/>
    <x v="4"/>
    <n v="-268"/>
    <x v="1"/>
    <x v="7"/>
    <s v="Anicet Kubwumuremyi"/>
    <s v="anicet.kubwumuremyi@rra.gov.rw,claudine.byukusenge@rra.gov.rw"/>
    <n v="783152689"/>
    <m/>
    <m/>
    <m/>
  </r>
  <r>
    <s v="C002394"/>
    <x v="217"/>
    <s v="RRA RUBAVU DTD"/>
    <s v="Rubavu"/>
    <x v="0"/>
    <x v="0"/>
    <s v="VIP"/>
    <x v="0"/>
    <x v="0"/>
    <n v="3"/>
    <s v="FIBER VPN 3MBPS"/>
    <m/>
    <n v="1"/>
    <n v="180000"/>
    <n v="180000"/>
    <s v="Monthly"/>
    <d v="2024-03-31T00:00:00"/>
    <x v="8"/>
    <x v="4"/>
    <n v="-268"/>
    <x v="1"/>
    <x v="7"/>
    <s v="Anicet Kubwumuremyi"/>
    <s v="anicet.kubwumuremyi@rra.gov.rw,claudine.byukusenge@rra.gov.rw"/>
    <n v="783152689"/>
    <m/>
    <m/>
    <m/>
  </r>
  <r>
    <s v="C002394"/>
    <x v="217"/>
    <s v="RRA RUHANGO"/>
    <s v="Ruhango"/>
    <x v="0"/>
    <x v="0"/>
    <s v="VIP"/>
    <x v="0"/>
    <x v="0"/>
    <n v="3"/>
    <s v="FIBER VPN 3MBPS"/>
    <m/>
    <n v="1"/>
    <n v="180000"/>
    <n v="180000"/>
    <s v="Monthly"/>
    <d v="2024-03-31T00:00:00"/>
    <x v="8"/>
    <x v="4"/>
    <n v="-268"/>
    <x v="1"/>
    <x v="7"/>
    <s v="Anicet Kubwumuremyi"/>
    <s v="anicet.kubwumuremyi@rra.gov.rw,claudine.byukusenge@rra.gov.rw"/>
    <n v="783152689"/>
    <m/>
    <m/>
    <m/>
  </r>
  <r>
    <s v="C002394"/>
    <x v="217"/>
    <s v="RRA RULINDO"/>
    <s v="Rulindo"/>
    <x v="0"/>
    <x v="0"/>
    <s v="VIP"/>
    <x v="0"/>
    <x v="0"/>
    <n v="3"/>
    <s v="FIBER VPN 3MBPS"/>
    <m/>
    <n v="1"/>
    <n v="180000"/>
    <n v="180000"/>
    <s v="Monthly"/>
    <d v="2024-03-31T00:00:00"/>
    <x v="8"/>
    <x v="4"/>
    <n v="-268"/>
    <x v="1"/>
    <x v="7"/>
    <s v="Anicet Kubwumuremyi"/>
    <s v="anicet.kubwumuremyi@rra.gov.rw,claudine.byukusenge@rra.gov.rw"/>
    <n v="783152689"/>
    <m/>
    <m/>
    <m/>
  </r>
  <r>
    <s v="C002394"/>
    <x v="217"/>
    <s v="RRA RUSIZI DTD"/>
    <s v="Rusizi"/>
    <x v="0"/>
    <x v="0"/>
    <s v="VIP"/>
    <x v="0"/>
    <x v="0"/>
    <n v="3"/>
    <s v="FIBER VPN 3MBPS"/>
    <m/>
    <n v="1"/>
    <n v="180000"/>
    <n v="180000"/>
    <s v="Monthly"/>
    <d v="2024-03-31T00:00:00"/>
    <x v="8"/>
    <x v="4"/>
    <n v="-268"/>
    <x v="1"/>
    <x v="7"/>
    <s v="Anicet Kubwumuremyi"/>
    <s v="anicet.kubwumuremyi@rra.gov.rw,claudine.byukusenge@rra.gov.rw"/>
    <n v="783152689"/>
    <m/>
    <m/>
    <m/>
  </r>
  <r>
    <s v="C002394"/>
    <x v="217"/>
    <s v="RRA RUTSIRO"/>
    <s v="Rutsiro"/>
    <x v="0"/>
    <x v="0"/>
    <s v="VIP"/>
    <x v="0"/>
    <x v="0"/>
    <n v="3"/>
    <s v="FIBER VPN 3MBPS"/>
    <m/>
    <n v="1"/>
    <n v="180000"/>
    <n v="180000"/>
    <s v="Monthly"/>
    <d v="2024-03-31T00:00:00"/>
    <x v="8"/>
    <x v="4"/>
    <n v="-268"/>
    <x v="1"/>
    <x v="7"/>
    <s v="Anicet Kubwumuremyi"/>
    <s v="anicet.kubwumuremyi@rra.gov.rw,claudine.byukusenge@rra.gov.rw"/>
    <n v="783152689"/>
    <m/>
    <m/>
    <m/>
  </r>
  <r>
    <s v="C002394"/>
    <x v="217"/>
    <s v="RRA RWAMAGANA"/>
    <s v="Rwamagana  "/>
    <x v="0"/>
    <x v="0"/>
    <s v="VIP"/>
    <x v="0"/>
    <x v="0"/>
    <n v="3"/>
    <s v="FIBER VPN 3MBPS"/>
    <m/>
    <n v="1"/>
    <n v="180000"/>
    <n v="180000"/>
    <s v="Monthly"/>
    <d v="2024-03-31T00:00:00"/>
    <x v="8"/>
    <x v="4"/>
    <n v="-268"/>
    <x v="1"/>
    <x v="7"/>
    <s v="Anicet Kubwumuremyi"/>
    <s v="anicet.kubwumuremyi@rra.gov.rw,claudine.byukusenge@rra.gov.rw"/>
    <n v="783152689"/>
    <m/>
    <m/>
    <m/>
  </r>
  <r>
    <s v="C002394"/>
    <x v="217"/>
    <s v="RRA TANZANIA(DAR ES SALAAM)"/>
    <s v="Tanzania"/>
    <x v="0"/>
    <x v="0"/>
    <s v="VIP"/>
    <x v="4"/>
    <x v="0"/>
    <n v="5"/>
    <s v="FIBER INTERNET 5MBPS"/>
    <m/>
    <n v="1"/>
    <n v="1673250"/>
    <n v="1673250"/>
    <s v="Monthly"/>
    <d v="2024-03-31T00:00:00"/>
    <x v="8"/>
    <x v="4"/>
    <n v="-268"/>
    <x v="1"/>
    <x v="7"/>
    <s v="Anicet Kubwumuremyi"/>
    <s v="anicet.kubwumuremyi@rra.gov.rw,claudine.byukusenge@rra.gov.rw"/>
    <n v="783152689"/>
    <m/>
    <m/>
    <m/>
  </r>
  <r>
    <s v="C002394"/>
    <x v="217"/>
    <s v="RRA INTERNATIONAL VPN 5MBPS(Mombasa)"/>
    <s v="Kenya"/>
    <x v="0"/>
    <x v="0"/>
    <s v="VIP"/>
    <x v="4"/>
    <x v="0"/>
    <n v="5"/>
    <s v="FIBER INTERNET 5MBPS"/>
    <m/>
    <n v="1"/>
    <n v="960000"/>
    <n v="960000"/>
    <s v="Monthly"/>
    <d v="2024-03-31T00:00:00"/>
    <x v="8"/>
    <x v="4"/>
    <n v="-268"/>
    <x v="1"/>
    <x v="7"/>
    <s v="Anicet Kubwumuremyi"/>
    <s v="anicet.kubwumuremyi@rra.gov.rw,claudine.byukusenge@rra.gov.rw"/>
    <n v="783152689"/>
    <m/>
    <m/>
    <m/>
  </r>
  <r>
    <s v="C002394"/>
    <x v="217"/>
    <s v="RRA Masaka"/>
    <s v="Kicukiro"/>
    <x v="0"/>
    <x v="0"/>
    <s v="VIP"/>
    <x v="0"/>
    <x v="0"/>
    <n v="5"/>
    <s v="FIBER VPN 5MBPS"/>
    <m/>
    <n v="1"/>
    <n v="270000"/>
    <n v="270000"/>
    <s v="Monthly"/>
    <d v="2024-03-31T00:00:00"/>
    <x v="8"/>
    <x v="4"/>
    <n v="-268"/>
    <x v="1"/>
    <x v="7"/>
    <s v="Anicet Kubwumuremyi"/>
    <s v="anicet.kubwumuremyi@rra.gov.rw,claudine.byukusenge@rra.gov.rw"/>
    <n v="783152689"/>
    <m/>
    <m/>
    <m/>
  </r>
  <r>
    <s v="C002394"/>
    <x v="217"/>
    <s v="RRA NEMBA"/>
    <s v="Bugesera"/>
    <x v="0"/>
    <x v="0"/>
    <s v="VIP"/>
    <x v="0"/>
    <x v="0"/>
    <n v="10"/>
    <s v="FIBER VPN 10MBPS"/>
    <m/>
    <n v="1"/>
    <n v="510000"/>
    <n v="510000"/>
    <s v="Monthly"/>
    <d v="2024-03-31T00:00:00"/>
    <x v="8"/>
    <x v="4"/>
    <n v="-268"/>
    <x v="1"/>
    <x v="7"/>
    <s v="Anicet Kubwumuremyi"/>
    <s v="anicet.kubwumuremyi@rra.gov.rw,claudine.byukusenge@rra.gov.rw"/>
    <n v="783152689"/>
    <m/>
    <m/>
    <m/>
  </r>
  <r>
    <s v="C002394"/>
    <x v="217"/>
    <s v="RRA RUHWA"/>
    <s v="Bugesera"/>
    <x v="0"/>
    <x v="0"/>
    <s v="VIP"/>
    <x v="0"/>
    <x v="0"/>
    <n v="10"/>
    <s v="FIBER VPN 10MBPS"/>
    <m/>
    <n v="1"/>
    <n v="510000"/>
    <n v="510000"/>
    <s v="Monthly"/>
    <d v="2024-03-31T00:00:00"/>
    <x v="8"/>
    <x v="4"/>
    <n v="-268"/>
    <x v="1"/>
    <x v="7"/>
    <s v="Anicet Kubwumuremyi"/>
    <s v="anicet.kubwumuremyi@rra.gov.rw,claudine.byukusenge@rra.gov.rw"/>
    <n v="783152689"/>
    <m/>
    <m/>
    <m/>
  </r>
  <r>
    <s v="C002394"/>
    <x v="217"/>
    <s v="RRA DR SITE BUGESERA VPN"/>
    <s v="Bugesera"/>
    <x v="0"/>
    <x v="0"/>
    <s v="VIP"/>
    <x v="0"/>
    <x v="0"/>
    <n v="10"/>
    <s v="FIBER VPN 10MBPS"/>
    <m/>
    <n v="1"/>
    <n v="510000"/>
    <n v="510000"/>
    <s v="Monthly"/>
    <d v="2024-03-31T00:00:00"/>
    <x v="8"/>
    <x v="4"/>
    <n v="-268"/>
    <x v="1"/>
    <x v="7"/>
    <s v="Anicet Kubwumuremyi"/>
    <s v="anicet.kubwumuremyi@rra.gov.rw,claudine.byukusenge@rra.gov.rw"/>
    <n v="783152689"/>
    <m/>
    <m/>
    <m/>
  </r>
  <r>
    <s v="C002394"/>
    <x v="217"/>
    <s v="RRA DR SITE BUGESERA INTERNET"/>
    <s v="Bugesera"/>
    <x v="0"/>
    <x v="0"/>
    <s v="VIP"/>
    <x v="0"/>
    <x v="0"/>
    <n v="10"/>
    <s v="FIBER VPN 10MBPS"/>
    <m/>
    <n v="1"/>
    <n v="510000"/>
    <n v="510000"/>
    <s v="Monthly"/>
    <d v="2024-03-31T00:00:00"/>
    <x v="8"/>
    <x v="4"/>
    <n v="-268"/>
    <x v="1"/>
    <x v="7"/>
    <s v="Anicet Kubwumuremyi"/>
    <s v="anicet.kubwumuremyi@rra.gov.rw,claudine.byukusenge@rra.gov.rw"/>
    <n v="783152689"/>
    <m/>
    <m/>
    <m/>
  </r>
  <r>
    <s v="C002394"/>
    <x v="217"/>
    <s v="RRA AKANYARU"/>
    <s v="Huye"/>
    <x v="0"/>
    <x v="0"/>
    <s v="VIP"/>
    <x v="0"/>
    <x v="0"/>
    <n v="10"/>
    <s v="FIBER VPN 10MBPS"/>
    <m/>
    <n v="1"/>
    <n v="510000"/>
    <n v="510000"/>
    <s v="Monthly"/>
    <d v="2024-03-31T00:00:00"/>
    <x v="8"/>
    <x v="4"/>
    <n v="-268"/>
    <x v="1"/>
    <x v="7"/>
    <s v="Anicet Kubwumuremyi"/>
    <s v="anicet.kubwumuremyi@rra.gov.rw,claudine.byukusenge@rra.gov.rw"/>
    <n v="783152689"/>
    <m/>
    <m/>
    <m/>
  </r>
  <r>
    <s v="C002394"/>
    <x v="217"/>
    <s v="RRA RUSUMO"/>
    <s v="Kirehe"/>
    <x v="0"/>
    <x v="0"/>
    <s v="VIP"/>
    <x v="0"/>
    <x v="0"/>
    <n v="10"/>
    <s v="FIBER VPN 10MBPS"/>
    <m/>
    <n v="1"/>
    <n v="510000"/>
    <n v="510000"/>
    <s v="Monthly"/>
    <d v="2024-03-31T00:00:00"/>
    <x v="8"/>
    <x v="4"/>
    <n v="-268"/>
    <x v="1"/>
    <x v="7"/>
    <s v="Anicet Kubwumuremyi"/>
    <s v="anicet.kubwumuremyi@rra.gov.rw,claudine.byukusenge@rra.gov.rw"/>
    <n v="783152689"/>
    <m/>
    <m/>
    <m/>
  </r>
  <r>
    <s v="C002394"/>
    <x v="217"/>
    <s v="RRA CYANIKA"/>
    <s v="Musanze"/>
    <x v="0"/>
    <x v="0"/>
    <s v="VIP"/>
    <x v="0"/>
    <x v="0"/>
    <n v="10"/>
    <s v="FIBER VPN 10MBPS"/>
    <m/>
    <n v="1"/>
    <n v="510000"/>
    <n v="510000"/>
    <s v="Monthly"/>
    <d v="2024-03-31T00:00:00"/>
    <x v="8"/>
    <x v="4"/>
    <n v="-268"/>
    <x v="1"/>
    <x v="7"/>
    <s v="Anicet Kubwumuremyi"/>
    <s v="anicet.kubwumuremyi@rra.gov.rw,claudine.byukusenge@rra.gov.rw"/>
    <n v="783152689"/>
    <m/>
    <m/>
    <m/>
  </r>
  <r>
    <s v="C002394"/>
    <x v="217"/>
    <s v="RRA GATUNA"/>
    <s v="Nyagatare"/>
    <x v="0"/>
    <x v="0"/>
    <s v="VIP"/>
    <x v="0"/>
    <x v="0"/>
    <n v="10"/>
    <s v="FIBER VPN 10MBPS"/>
    <m/>
    <n v="1"/>
    <n v="510000"/>
    <n v="510000"/>
    <s v="Monthly"/>
    <d v="2024-03-31T00:00:00"/>
    <x v="8"/>
    <x v="4"/>
    <n v="-268"/>
    <x v="1"/>
    <x v="7"/>
    <s v="Anicet Kubwumuremyi"/>
    <s v="anicet.kubwumuremyi@rra.gov.rw,claudine.byukusenge@rra.gov.rw"/>
    <n v="783152689"/>
    <m/>
    <m/>
    <m/>
  </r>
  <r>
    <s v="C002394"/>
    <x v="217"/>
    <s v="RRA KAGITUMBA"/>
    <s v="Nyagatare"/>
    <x v="0"/>
    <x v="0"/>
    <s v="VIP"/>
    <x v="0"/>
    <x v="0"/>
    <n v="10"/>
    <s v="FIBER VPN 10MBPS"/>
    <m/>
    <n v="1"/>
    <n v="510000"/>
    <n v="510000"/>
    <s v="Monthly"/>
    <d v="2024-03-31T00:00:00"/>
    <x v="8"/>
    <x v="4"/>
    <n v="-268"/>
    <x v="1"/>
    <x v="7"/>
    <s v="Anicet Kubwumuremyi"/>
    <s v="anicet.kubwumuremyi@rra.gov.rw,claudine.byukusenge@rra.gov.rw"/>
    <n v="783152689"/>
    <m/>
    <m/>
    <m/>
  </r>
  <r>
    <s v="C002394"/>
    <x v="217"/>
    <s v="RRA POIDS LOURDS"/>
    <s v="Nyarugenge"/>
    <x v="0"/>
    <x v="0"/>
    <s v="VIP"/>
    <x v="0"/>
    <x v="0"/>
    <n v="10"/>
    <s v="FIBER VPN 10MBPS"/>
    <m/>
    <n v="1"/>
    <n v="510000"/>
    <n v="510000"/>
    <s v="Monthly"/>
    <d v="2024-03-31T00:00:00"/>
    <x v="8"/>
    <x v="4"/>
    <n v="-268"/>
    <x v="1"/>
    <x v="7"/>
    <s v="Anicet Kubwumuremyi"/>
    <s v="anicet.kubwumuremyi@rra.gov.rw,claudine.byukusenge@rra.gov.rw"/>
    <n v="783152689"/>
    <m/>
    <m/>
    <m/>
  </r>
  <r>
    <s v="C002394"/>
    <x v="217"/>
    <s v="RRA LA CORNICHE"/>
    <s v="Rubavu"/>
    <x v="0"/>
    <x v="0"/>
    <s v="VIP"/>
    <x v="0"/>
    <x v="0"/>
    <n v="10"/>
    <s v="FIBER VPN 10MBPS"/>
    <m/>
    <n v="1"/>
    <n v="510000"/>
    <n v="510000"/>
    <s v="Monthly"/>
    <d v="2024-03-31T00:00:00"/>
    <x v="8"/>
    <x v="4"/>
    <n v="-268"/>
    <x v="1"/>
    <x v="7"/>
    <s v="Anicet Kubwumuremyi"/>
    <s v="anicet.kubwumuremyi@rra.gov.rw,claudine.byukusenge@rra.gov.rw"/>
    <n v="783152689"/>
    <m/>
    <m/>
    <m/>
  </r>
  <r>
    <s v="C002394"/>
    <x v="217"/>
    <s v="RRA RUSIZI 2"/>
    <s v="Rusizi"/>
    <x v="0"/>
    <x v="0"/>
    <s v="VIP"/>
    <x v="0"/>
    <x v="0"/>
    <n v="10"/>
    <s v="FIBER VPN 10MBPS"/>
    <m/>
    <n v="1"/>
    <n v="510000"/>
    <n v="510000"/>
    <s v="Monthly"/>
    <d v="2024-03-31T00:00:00"/>
    <x v="8"/>
    <x v="4"/>
    <n v="-268"/>
    <x v="1"/>
    <x v="7"/>
    <s v="Anicet Kubwumuremyi"/>
    <s v="anicet.kubwumuremyi@rra.gov.rw,claudine.byukusenge@rra.gov.rw"/>
    <n v="783152689"/>
    <m/>
    <m/>
    <m/>
  </r>
  <r>
    <s v="C002394"/>
    <x v="217"/>
    <s v="RRA BUGARAMA"/>
    <s v="Rusizi"/>
    <x v="0"/>
    <x v="0"/>
    <s v="VIP"/>
    <x v="0"/>
    <x v="0"/>
    <n v="10"/>
    <s v="FIBER VPN 10MBPS"/>
    <m/>
    <n v="1"/>
    <n v="510000"/>
    <n v="510000"/>
    <s v="Monthly"/>
    <d v="2024-03-31T00:00:00"/>
    <x v="8"/>
    <x v="4"/>
    <n v="-268"/>
    <x v="1"/>
    <x v="7"/>
    <s v="Anicet Kubwumuremyi"/>
    <s v="anicet.kubwumuremyi@rra.gov.rw,claudine.byukusenge@rra.gov.rw"/>
    <n v="783152689"/>
    <m/>
    <m/>
    <m/>
  </r>
  <r>
    <s v="C002394"/>
    <x v="217"/>
    <s v="RRA RUSIZI 1"/>
    <s v="Rusizi"/>
    <x v="0"/>
    <x v="0"/>
    <s v="VIP"/>
    <x v="0"/>
    <x v="0"/>
    <n v="10"/>
    <s v="FIBER VPN 10MBPS"/>
    <m/>
    <n v="1"/>
    <n v="510000"/>
    <n v="510000"/>
    <s v="Monthly"/>
    <d v="2024-03-31T00:00:00"/>
    <x v="8"/>
    <x v="4"/>
    <n v="-268"/>
    <x v="1"/>
    <x v="7"/>
    <s v="Anicet Kubwumuremyi"/>
    <s v="anicet.kubwumuremyi@rra.gov.rw,claudine.byukusenge@rra.gov.rw"/>
    <n v="783152689"/>
    <m/>
    <m/>
    <m/>
  </r>
  <r>
    <s v="C002394"/>
    <x v="217"/>
    <s v="RRA GIKONDO CUSTOMS"/>
    <s v="Kicukiro"/>
    <x v="0"/>
    <x v="0"/>
    <s v="VIP"/>
    <x v="0"/>
    <x v="0"/>
    <n v="20"/>
    <s v="FIBER VPN 20MBPS"/>
    <m/>
    <n v="1"/>
    <n v="900000"/>
    <n v="900000"/>
    <s v="Monthly"/>
    <d v="2024-03-31T00:00:00"/>
    <x v="8"/>
    <x v="4"/>
    <n v="-268"/>
    <x v="1"/>
    <x v="7"/>
    <s v="Anicet Kubwumuremyi"/>
    <s v="anicet.kubwumuremyi@rra.gov.rw,claudine.byukusenge@rra.gov.rw"/>
    <n v="783152689"/>
    <m/>
    <m/>
    <m/>
  </r>
  <r>
    <s v="C002394"/>
    <x v="217"/>
    <s v="RRA HQ VPN"/>
    <s v="Gasabo"/>
    <x v="0"/>
    <x v="0"/>
    <s v="VIP"/>
    <x v="0"/>
    <x v="0"/>
    <n v="50"/>
    <s v="FIBER VPN 50MBPS"/>
    <m/>
    <n v="1"/>
    <n v="1800000"/>
    <n v="1800000"/>
    <s v="Monthly"/>
    <d v="2024-03-31T00:00:00"/>
    <x v="8"/>
    <x v="4"/>
    <n v="-268"/>
    <x v="1"/>
    <x v="7"/>
    <s v="Anicet Kubwumuremyi"/>
    <s v="anicet.kubwumuremyi@rra.gov.rw,claudine.byukusenge@rra.gov.rw"/>
    <n v="783152689"/>
    <m/>
    <m/>
    <m/>
  </r>
  <r>
    <s v="C002394"/>
    <x v="217"/>
    <s v="RRA HQ to Telecom House(Rinex)"/>
    <s v="Gasabo"/>
    <x v="0"/>
    <x v="0"/>
    <s v="VIP"/>
    <x v="0"/>
    <x v="0"/>
    <n v="50"/>
    <s v="FIBER VPN 50MBPS"/>
    <m/>
    <n v="1"/>
    <n v="1800000"/>
    <n v="1800000"/>
    <s v="Monthly"/>
    <d v="2024-03-31T00:00:00"/>
    <x v="8"/>
    <x v="4"/>
    <n v="-268"/>
    <x v="1"/>
    <x v="7"/>
    <s v="Anicet Kubwumuremyi"/>
    <s v="anicet.kubwumuremyi@rra.gov.rw,claudine.byukusenge@rra.gov.rw"/>
    <n v="783152689"/>
    <m/>
    <m/>
    <m/>
  </r>
  <r>
    <s v="C002394"/>
    <x v="217"/>
    <s v="RRA HQ(80Mbps) &amp; IP Transit(20Mbps)"/>
    <s v="Gasabo"/>
    <x v="0"/>
    <x v="0"/>
    <s v="VIP"/>
    <x v="0"/>
    <x v="0"/>
    <n v="100"/>
    <s v="FIBER VPN 100MBPS"/>
    <m/>
    <n v="1"/>
    <n v="3600000"/>
    <n v="3600000"/>
    <s v="Monthly"/>
    <d v="2024-03-31T00:00:00"/>
    <x v="8"/>
    <x v="4"/>
    <n v="-268"/>
    <x v="1"/>
    <x v="7"/>
    <s v="Anicet Kubwumuremyi"/>
    <s v="anicet.kubwumuremyi@rra.gov.rw,claudine.byukusenge@rra.gov.rw"/>
    <n v="783152689"/>
    <m/>
    <m/>
    <m/>
  </r>
  <r>
    <s v="C002394"/>
    <x v="217"/>
    <s v="DR BUGESERA DARK FIBER LEASE"/>
    <s v="Bugesera"/>
    <x v="0"/>
    <x v="0"/>
    <s v="VIP"/>
    <x v="0"/>
    <x v="2"/>
    <m/>
    <s v="Dark Fiber Lease  "/>
    <n v="45"/>
    <n v="1"/>
    <n v="4204629"/>
    <n v="4204629"/>
    <s v="Monthly"/>
    <d v="2024-03-31T00:00:00"/>
    <x v="8"/>
    <x v="4"/>
    <n v="-268"/>
    <x v="1"/>
    <x v="7"/>
    <s v="Anicet Kubwumuremyi"/>
    <s v="anicet.kubwumuremyi@rra.gov.rw,claudine.byukusenge@rra.gov.rw"/>
    <n v="783152689"/>
    <m/>
    <m/>
    <m/>
  </r>
  <r>
    <s v="C002394"/>
    <x v="217"/>
    <s v="HQ"/>
    <s v="Gasabo"/>
    <x v="0"/>
    <x v="0"/>
    <s v="VIP"/>
    <x v="0"/>
    <x v="6"/>
    <m/>
    <s v="4G ONE NETWORK 8GB/DAY"/>
    <m/>
    <n v="1"/>
    <n v="77711.86"/>
    <n v="77711.86"/>
    <s v="Monthly"/>
    <d v="2024-03-31T00:00:00"/>
    <x v="8"/>
    <x v="4"/>
    <n v="-268"/>
    <x v="1"/>
    <x v="7"/>
    <s v="Anicet Kubwumuremyi"/>
    <s v="anicet.kubwumuremyi@rra.gov.rw,claudine.byukusenge@rra.gov.rw"/>
    <n v="783152689"/>
    <m/>
    <m/>
    <m/>
  </r>
  <r>
    <s v="C002394"/>
    <x v="217"/>
    <s v="HQ"/>
    <s v="Gasabo"/>
    <x v="0"/>
    <x v="0"/>
    <s v="VIP"/>
    <x v="0"/>
    <x v="6"/>
    <m/>
    <s v="4G MUP 2GB/Day + Device"/>
    <m/>
    <n v="4"/>
    <n v="35084.75"/>
    <n v="140339"/>
    <s v="Monthly"/>
    <d v="2024-03-31T00:00:00"/>
    <x v="8"/>
    <x v="4"/>
    <n v="-268"/>
    <x v="1"/>
    <x v="7"/>
    <s v="Anicet Kubwumuremyi"/>
    <s v="anicet.kubwumuremyi@rra.gov.rw,claudine.byukusenge@rra.gov.rw"/>
    <n v="783152689"/>
    <m/>
    <m/>
    <m/>
  </r>
  <r>
    <s v="C002394"/>
    <x v="217"/>
    <s v="HQ"/>
    <s v="Gasabo"/>
    <x v="0"/>
    <x v="0"/>
    <s v="VIP"/>
    <x v="0"/>
    <x v="6"/>
    <m/>
    <s v="4G MUP 2GB/DAY"/>
    <m/>
    <n v="13"/>
    <n v="28305.08"/>
    <n v="367966.04000000004"/>
    <s v="Monthly"/>
    <d v="2024-03-31T00:00:00"/>
    <x v="8"/>
    <x v="4"/>
    <n v="-268"/>
    <x v="1"/>
    <x v="7"/>
    <s v="Anicet Kubwumuremyi"/>
    <s v="anicet.kubwumuremyi@rra.gov.rw,claudine.byukusenge@rra.gov.rw"/>
    <n v="783152689"/>
    <m/>
    <m/>
    <m/>
  </r>
  <r>
    <s v="C002394"/>
    <x v="217"/>
    <s v="HQ"/>
    <s v="Gasabo"/>
    <x v="0"/>
    <x v="0"/>
    <s v="VIP"/>
    <x v="0"/>
    <x v="6"/>
    <m/>
    <s v="4G MUP 4GB/DAY + Device"/>
    <m/>
    <n v="15"/>
    <n v="52118.64"/>
    <n v="781779.6"/>
    <s v="Monthly"/>
    <d v="2024-03-31T00:00:00"/>
    <x v="8"/>
    <x v="4"/>
    <n v="-268"/>
    <x v="1"/>
    <x v="7"/>
    <s v="Anicet Kubwumuremyi"/>
    <s v="anicet.kubwumuremyi@rra.gov.rw,claudine.byukusenge@rra.gov.rw"/>
    <n v="783152689"/>
    <m/>
    <m/>
    <m/>
  </r>
  <r>
    <s v="C002437"/>
    <x v="25"/>
    <s v="RSSB-Kibagabaga hospital"/>
    <s v="Gasabo"/>
    <x v="0"/>
    <x v="0"/>
    <s v="VIP"/>
    <x v="0"/>
    <x v="0"/>
    <n v="1"/>
    <s v="FIBER VPN 1MBPS"/>
    <m/>
    <n v="1"/>
    <n v="90000"/>
    <n v="90000"/>
    <s v="Monthly"/>
    <d v="2024-03-31T00:00:00"/>
    <x v="8"/>
    <x v="4"/>
    <n v="-268"/>
    <x v="1"/>
    <x v="3"/>
    <s v="Odette Kampire"/>
    <s v="odette.kampire@rssb.rw"/>
    <s v="0788-850-079."/>
    <m/>
    <m/>
    <m/>
  </r>
  <r>
    <s v="C002437"/>
    <x v="25"/>
    <s v="RSSB-King Faisal Hospital"/>
    <s v="Gasabo"/>
    <x v="0"/>
    <x v="0"/>
    <s v="VIP"/>
    <x v="0"/>
    <x v="0"/>
    <n v="1"/>
    <s v="FIBER VPN 1MBPS"/>
    <m/>
    <n v="1"/>
    <n v="90000"/>
    <n v="90000"/>
    <s v="Monthly"/>
    <d v="2024-03-31T00:00:00"/>
    <x v="8"/>
    <x v="4"/>
    <n v="-268"/>
    <x v="1"/>
    <x v="3"/>
    <s v="Odette Kampire"/>
    <s v="odette.kampire@rssb.rw"/>
    <s v="0788-850-079."/>
    <m/>
    <m/>
    <m/>
  </r>
  <r>
    <s v="C002437"/>
    <x v="25"/>
    <s v="RSSB-Byumba Hospital"/>
    <s v="Gicumbi"/>
    <x v="0"/>
    <x v="0"/>
    <s v="VIP"/>
    <x v="0"/>
    <x v="0"/>
    <n v="1"/>
    <s v="FIBER VPN 1MBPS"/>
    <m/>
    <n v="1"/>
    <n v="90000"/>
    <n v="90000"/>
    <s v="Monthly"/>
    <d v="2024-03-31T00:00:00"/>
    <x v="8"/>
    <x v="4"/>
    <n v="-268"/>
    <x v="1"/>
    <x v="3"/>
    <s v="Odette Kampire"/>
    <s v="odette.kampire@rssb.rw"/>
    <s v="0788-850-079."/>
    <m/>
    <m/>
    <m/>
  </r>
  <r>
    <s v="C002437"/>
    <x v="25"/>
    <s v="RSSB-Kabgayi Hospital."/>
    <s v="Kamonyi"/>
    <x v="0"/>
    <x v="0"/>
    <s v="VIP"/>
    <x v="0"/>
    <x v="0"/>
    <n v="1"/>
    <s v="FIBER VPN 1MBPS"/>
    <m/>
    <n v="1"/>
    <n v="90000"/>
    <n v="90000"/>
    <s v="Monthly"/>
    <d v="2024-03-31T00:00:00"/>
    <x v="8"/>
    <x v="4"/>
    <n v="-268"/>
    <x v="1"/>
    <x v="3"/>
    <s v="Odette Kampire"/>
    <s v="odette.kampire@rssb.rw"/>
    <s v="0788-850-079."/>
    <m/>
    <m/>
    <m/>
  </r>
  <r>
    <s v="C002437"/>
    <x v="25"/>
    <s v="RSSB-Kanombe Hospital"/>
    <s v="Kicukiro"/>
    <x v="0"/>
    <x v="0"/>
    <s v="VIP"/>
    <x v="0"/>
    <x v="0"/>
    <n v="1"/>
    <s v="FIBER VPN 1MBPS"/>
    <m/>
    <n v="1"/>
    <n v="90000"/>
    <n v="90000"/>
    <s v="Monthly"/>
    <d v="2024-03-31T00:00:00"/>
    <x v="8"/>
    <x v="4"/>
    <n v="-268"/>
    <x v="1"/>
    <x v="3"/>
    <s v="Odette Kampire"/>
    <s v="odette.kampire@rssb.rw"/>
    <s v="0788-850-079."/>
    <m/>
    <m/>
    <m/>
  </r>
  <r>
    <s v="C002437"/>
    <x v="25"/>
    <s v="RSSB-Gihundwe Hospital"/>
    <s v="Nyamasheke"/>
    <x v="0"/>
    <x v="0"/>
    <s v="VIP"/>
    <x v="0"/>
    <x v="0"/>
    <n v="1"/>
    <s v="FIBER VPN 1MBPS"/>
    <m/>
    <n v="1"/>
    <n v="90000"/>
    <n v="90000"/>
    <s v="Monthly"/>
    <d v="2024-03-31T00:00:00"/>
    <x v="8"/>
    <x v="4"/>
    <n v="-268"/>
    <x v="1"/>
    <x v="3"/>
    <s v="Odette Kampire"/>
    <s v="odette.kampire@rssb.rw"/>
    <s v="0788-850-079."/>
    <m/>
    <m/>
    <m/>
  </r>
  <r>
    <s v="C002437"/>
    <x v="25"/>
    <s v="RSSB-Nyanza Hospital"/>
    <s v="Nyanza"/>
    <x v="0"/>
    <x v="0"/>
    <s v="VIP"/>
    <x v="0"/>
    <x v="0"/>
    <n v="1"/>
    <s v="FIBER VPN 1MBPS"/>
    <m/>
    <n v="1"/>
    <n v="90000"/>
    <n v="90000"/>
    <s v="Monthly"/>
    <d v="2024-03-31T00:00:00"/>
    <x v="8"/>
    <x v="4"/>
    <n v="-268"/>
    <x v="1"/>
    <x v="3"/>
    <s v="Odette Kampire"/>
    <s v="odette.kampire@rssb.rw"/>
    <s v="0788-850-079."/>
    <m/>
    <m/>
    <m/>
  </r>
  <r>
    <s v="C002437"/>
    <x v="25"/>
    <s v="RSSB-CHUK"/>
    <s v="Nyarugenge"/>
    <x v="0"/>
    <x v="0"/>
    <s v="VIP"/>
    <x v="0"/>
    <x v="0"/>
    <n v="1"/>
    <s v="FIBER VPN 1MBPS"/>
    <m/>
    <n v="1"/>
    <n v="90000"/>
    <n v="90000"/>
    <s v="Monthly"/>
    <d v="2024-03-31T00:00:00"/>
    <x v="8"/>
    <x v="4"/>
    <n v="-268"/>
    <x v="1"/>
    <x v="3"/>
    <s v="Odette Kampire"/>
    <s v="odette.kampire@rssb.rw"/>
    <s v="0788-850-079."/>
    <m/>
    <m/>
    <m/>
  </r>
  <r>
    <s v="C002437"/>
    <x v="25"/>
    <s v="RSSB-Ruhengeri Hospital"/>
    <s v="Rubavu"/>
    <x v="0"/>
    <x v="0"/>
    <s v="VIP"/>
    <x v="0"/>
    <x v="0"/>
    <n v="1"/>
    <s v="FIBER VPN 1MBPS"/>
    <m/>
    <n v="1"/>
    <n v="90000"/>
    <n v="90000"/>
    <s v="Monthly"/>
    <d v="2024-03-31T00:00:00"/>
    <x v="8"/>
    <x v="4"/>
    <n v="-268"/>
    <x v="1"/>
    <x v="3"/>
    <s v="Odette Kampire"/>
    <s v="odette.kampire@rssb.rw"/>
    <s v="0788-850-079."/>
    <m/>
    <m/>
    <m/>
  </r>
  <r>
    <s v="C002437"/>
    <x v="25"/>
    <s v="RSSB-Gisenyi Hospital."/>
    <s v="Rubavu"/>
    <x v="0"/>
    <x v="0"/>
    <s v="VIP"/>
    <x v="0"/>
    <x v="0"/>
    <n v="1"/>
    <s v="FIBER VPN 1MBPS"/>
    <m/>
    <n v="1"/>
    <n v="90000"/>
    <n v="90000"/>
    <s v="Monthly"/>
    <d v="2024-03-31T00:00:00"/>
    <x v="8"/>
    <x v="4"/>
    <n v="-268"/>
    <x v="1"/>
    <x v="3"/>
    <s v="Odette Kampire"/>
    <s v="odette.kampire@rssb.rw"/>
    <s v="0788-850-079."/>
    <m/>
    <m/>
    <m/>
  </r>
  <r>
    <s v="C002437"/>
    <x v="25"/>
    <s v="RSSB Bugesera"/>
    <s v="Bugesera"/>
    <x v="0"/>
    <x v="0"/>
    <s v="VIP"/>
    <x v="0"/>
    <x v="0"/>
    <n v="3"/>
    <s v="FIBER VPN 3MBPS"/>
    <m/>
    <n v="1"/>
    <n v="180000"/>
    <n v="180000"/>
    <s v="Monthly"/>
    <d v="2024-03-31T00:00:00"/>
    <x v="8"/>
    <x v="4"/>
    <n v="-268"/>
    <x v="1"/>
    <x v="3"/>
    <s v="Odette Kampire"/>
    <s v="odette.kampire@rssb.rw"/>
    <s v="0788-850-079."/>
    <m/>
    <m/>
    <m/>
  </r>
  <r>
    <s v="C002437"/>
    <x v="25"/>
    <s v="RSSB Burera"/>
    <s v="Burera"/>
    <x v="0"/>
    <x v="0"/>
    <s v="VIP"/>
    <x v="0"/>
    <x v="0"/>
    <n v="3"/>
    <s v="FIBER VPN 3MBPS"/>
    <m/>
    <n v="1"/>
    <n v="180000"/>
    <n v="180000"/>
    <s v="Monthly"/>
    <d v="2024-03-31T00:00:00"/>
    <x v="8"/>
    <x v="4"/>
    <n v="-268"/>
    <x v="1"/>
    <x v="3"/>
    <s v="Odette Kampire"/>
    <s v="odette.kampire@rssb.rw"/>
    <s v="0788-850-079."/>
    <m/>
    <m/>
    <m/>
  </r>
  <r>
    <s v="C002437"/>
    <x v="25"/>
    <s v="RSSB Gakenke"/>
    <s v="Gakenke"/>
    <x v="0"/>
    <x v="0"/>
    <s v="VIP"/>
    <x v="0"/>
    <x v="0"/>
    <n v="3"/>
    <s v="FIBER VPN 3MBPS"/>
    <m/>
    <n v="1"/>
    <n v="180000"/>
    <n v="180000"/>
    <s v="Monthly"/>
    <d v="2024-03-31T00:00:00"/>
    <x v="8"/>
    <x v="4"/>
    <n v="-268"/>
    <x v="1"/>
    <x v="3"/>
    <s v="Odette Kampire"/>
    <s v="odette.kampire@rssb.rw"/>
    <s v="0788-850-079."/>
    <m/>
    <m/>
    <m/>
  </r>
  <r>
    <s v="C002437"/>
    <x v="25"/>
    <s v="RSSB 2nd New Link"/>
    <s v="Gasabo"/>
    <x v="0"/>
    <x v="0"/>
    <s v="VIP"/>
    <x v="0"/>
    <x v="0"/>
    <n v="3"/>
    <s v="FIBER VPN 3MBPS"/>
    <m/>
    <n v="1"/>
    <n v="180000"/>
    <n v="180000"/>
    <s v="Monthly"/>
    <d v="2024-03-31T00:00:00"/>
    <x v="8"/>
    <x v="4"/>
    <n v="-268"/>
    <x v="1"/>
    <x v="3"/>
    <s v="Odette Kampire"/>
    <s v="odette.kampire@rssb.rw"/>
    <s v="0788-850-079."/>
    <m/>
    <m/>
    <m/>
  </r>
  <r>
    <s v="C002437"/>
    <x v="25"/>
    <s v="RSSB Gasabo"/>
    <s v="Gasabo"/>
    <x v="0"/>
    <x v="0"/>
    <s v="VIP"/>
    <x v="0"/>
    <x v="0"/>
    <n v="3"/>
    <s v="FIBER VPN 3MBPS"/>
    <m/>
    <n v="1"/>
    <n v="180000"/>
    <n v="180000"/>
    <s v="Monthly"/>
    <d v="2024-03-31T00:00:00"/>
    <x v="8"/>
    <x v="4"/>
    <n v="-268"/>
    <x v="1"/>
    <x v="3"/>
    <s v="Odette Kampire"/>
    <s v="odette.kampire@rssb.rw"/>
    <s v="0788-850-079."/>
    <m/>
    <m/>
    <m/>
  </r>
  <r>
    <s v="C002437"/>
    <x v="25"/>
    <s v="RSSB Gatsibo"/>
    <s v="Gatsibo"/>
    <x v="0"/>
    <x v="0"/>
    <s v="VIP"/>
    <x v="0"/>
    <x v="0"/>
    <n v="3"/>
    <s v="FIBER VPN 3MBPS"/>
    <m/>
    <n v="1"/>
    <n v="180000"/>
    <n v="180000"/>
    <s v="Monthly"/>
    <d v="2024-03-31T00:00:00"/>
    <x v="8"/>
    <x v="4"/>
    <n v="-268"/>
    <x v="1"/>
    <x v="3"/>
    <s v="Odette Kampire"/>
    <s v="odette.kampire@rssb.rw"/>
    <s v="0788-850-079."/>
    <m/>
    <m/>
    <m/>
  </r>
  <r>
    <s v="C002437"/>
    <x v="25"/>
    <s v="RSSB Gicumbi"/>
    <s v="Gicumbi"/>
    <x v="0"/>
    <x v="0"/>
    <s v="VIP"/>
    <x v="0"/>
    <x v="0"/>
    <n v="3"/>
    <s v="FIBER VPN 3MBPS"/>
    <m/>
    <n v="1"/>
    <n v="180000"/>
    <n v="180000"/>
    <s v="Monthly"/>
    <d v="2024-03-31T00:00:00"/>
    <x v="8"/>
    <x v="4"/>
    <n v="-268"/>
    <x v="1"/>
    <x v="3"/>
    <s v="Odette Kampire"/>
    <s v="odette.kampire@rssb.rw"/>
    <s v="0788-850-079."/>
    <m/>
    <m/>
    <m/>
  </r>
  <r>
    <s v="C002437"/>
    <x v="25"/>
    <s v="RSSB Gisagara"/>
    <s v="Gisagara"/>
    <x v="0"/>
    <x v="0"/>
    <s v="VIP"/>
    <x v="0"/>
    <x v="0"/>
    <n v="3"/>
    <s v="FIBER VPN 3MBPS"/>
    <m/>
    <n v="1"/>
    <n v="180000"/>
    <n v="180000"/>
    <s v="Monthly"/>
    <d v="2024-03-31T00:00:00"/>
    <x v="8"/>
    <x v="4"/>
    <n v="-268"/>
    <x v="1"/>
    <x v="3"/>
    <s v="Odette Kampire"/>
    <s v="odette.kampire@rssb.rw"/>
    <s v="0788-850-079."/>
    <m/>
    <m/>
    <m/>
  </r>
  <r>
    <s v="C002437"/>
    <x v="25"/>
    <s v="RSSB Huye"/>
    <s v="Huye"/>
    <x v="0"/>
    <x v="0"/>
    <s v="VIP"/>
    <x v="0"/>
    <x v="0"/>
    <n v="3"/>
    <s v="FIBER VPN 3MBPS"/>
    <m/>
    <n v="1"/>
    <n v="180000"/>
    <n v="180000"/>
    <s v="Monthly"/>
    <d v="2024-03-31T00:00:00"/>
    <x v="8"/>
    <x v="4"/>
    <n v="-268"/>
    <x v="1"/>
    <x v="3"/>
    <s v="Odette Kampire"/>
    <s v="odette.kampire@rssb.rw"/>
    <s v="0788-850-079."/>
    <m/>
    <m/>
    <m/>
  </r>
  <r>
    <s v="C002437"/>
    <x v="25"/>
    <s v="RSSB Kamonyi"/>
    <s v="Kamonyi"/>
    <x v="0"/>
    <x v="0"/>
    <s v="VIP"/>
    <x v="0"/>
    <x v="0"/>
    <n v="3"/>
    <s v="FIBER VPN 3MBPS"/>
    <m/>
    <n v="1"/>
    <n v="180000"/>
    <n v="180000"/>
    <s v="Monthly"/>
    <d v="2024-03-31T00:00:00"/>
    <x v="8"/>
    <x v="4"/>
    <n v="-268"/>
    <x v="1"/>
    <x v="3"/>
    <s v="Odette Kampire"/>
    <s v="odette.kampire@rssb.rw"/>
    <s v="0788-850-079."/>
    <m/>
    <m/>
    <m/>
  </r>
  <r>
    <s v="C002437"/>
    <x v="25"/>
    <s v="RSSB Karongi"/>
    <s v="Karongi"/>
    <x v="0"/>
    <x v="0"/>
    <s v="VIP"/>
    <x v="0"/>
    <x v="0"/>
    <n v="3"/>
    <s v="FIBER VPN 3MBPS"/>
    <m/>
    <n v="1"/>
    <n v="180000"/>
    <n v="180000"/>
    <s v="Monthly"/>
    <d v="2024-03-31T00:00:00"/>
    <x v="8"/>
    <x v="4"/>
    <n v="-268"/>
    <x v="1"/>
    <x v="3"/>
    <s v="Odette Kampire"/>
    <s v="odette.kampire@rssb.rw"/>
    <s v="0788-850-079."/>
    <m/>
    <m/>
    <m/>
  </r>
  <r>
    <s v="C002437"/>
    <x v="25"/>
    <s v="RSSB Kayonza"/>
    <s v="Kayonza"/>
    <x v="0"/>
    <x v="0"/>
    <s v="VIP"/>
    <x v="0"/>
    <x v="0"/>
    <n v="3"/>
    <s v="FIBER VPN 3MBPS"/>
    <m/>
    <n v="1"/>
    <n v="180000"/>
    <n v="180000"/>
    <s v="Monthly"/>
    <d v="2024-03-31T00:00:00"/>
    <x v="8"/>
    <x v="4"/>
    <n v="-268"/>
    <x v="1"/>
    <x v="3"/>
    <s v="Odette Kampire"/>
    <s v="odette.kampire@rssb.rw"/>
    <s v="0788-850-079."/>
    <m/>
    <m/>
    <m/>
  </r>
  <r>
    <s v="C002437"/>
    <x v="25"/>
    <s v="RSSB Kicukiro"/>
    <s v="Kicukiro"/>
    <x v="0"/>
    <x v="0"/>
    <s v="VIP"/>
    <x v="0"/>
    <x v="0"/>
    <n v="3"/>
    <s v="FIBER VPN 3MBPS"/>
    <m/>
    <n v="1"/>
    <m/>
    <n v="0"/>
    <s v="Monthly"/>
    <d v="2024-03-31T00:00:00"/>
    <x v="8"/>
    <x v="4"/>
    <n v="-268"/>
    <x v="1"/>
    <x v="3"/>
    <s v="Odette Kampire"/>
    <s v="odette.kampire@rssb.rw"/>
    <s v="0788-850-079."/>
    <m/>
    <m/>
    <m/>
  </r>
  <r>
    <s v="C002437"/>
    <x v="25"/>
    <s v="RSSB Kirehe"/>
    <s v="Kirehe"/>
    <x v="0"/>
    <x v="0"/>
    <s v="VIP"/>
    <x v="0"/>
    <x v="0"/>
    <n v="3"/>
    <s v="FIBER VPN 3MBPS"/>
    <m/>
    <n v="1"/>
    <n v="180000"/>
    <n v="180000"/>
    <s v="Monthly"/>
    <d v="2024-03-31T00:00:00"/>
    <x v="8"/>
    <x v="4"/>
    <n v="-268"/>
    <x v="1"/>
    <x v="3"/>
    <s v="Odette Kampire"/>
    <s v="odette.kampire@rssb.rw"/>
    <s v="0788-850-079."/>
    <m/>
    <m/>
    <m/>
  </r>
  <r>
    <s v="C002437"/>
    <x v="25"/>
    <s v="RSSB Muhanga"/>
    <s v="Muhanga"/>
    <x v="0"/>
    <x v="0"/>
    <s v="VIP"/>
    <x v="0"/>
    <x v="0"/>
    <n v="3"/>
    <s v="FIBER VPN 3MBPS"/>
    <m/>
    <n v="1"/>
    <n v="180000"/>
    <n v="180000"/>
    <s v="Monthly"/>
    <d v="2024-03-31T00:00:00"/>
    <x v="8"/>
    <x v="4"/>
    <n v="-268"/>
    <x v="1"/>
    <x v="3"/>
    <s v="Odette Kampire"/>
    <s v="odette.kampire@rssb.rw"/>
    <s v="0788-850-079."/>
    <m/>
    <m/>
    <m/>
  </r>
  <r>
    <s v="C002437"/>
    <x v="25"/>
    <s v="RSSB Musanze"/>
    <s v="Musanze"/>
    <x v="0"/>
    <x v="0"/>
    <s v="VIP"/>
    <x v="0"/>
    <x v="0"/>
    <n v="3"/>
    <s v="FIBER VPN 3MBPS"/>
    <m/>
    <n v="1"/>
    <n v="180000"/>
    <n v="180000"/>
    <s v="Monthly"/>
    <d v="2024-03-31T00:00:00"/>
    <x v="8"/>
    <x v="4"/>
    <n v="-268"/>
    <x v="1"/>
    <x v="3"/>
    <s v="Odette Kampire"/>
    <s v="odette.kampire@rssb.rw"/>
    <s v="0788-850-079."/>
    <m/>
    <m/>
    <m/>
  </r>
  <r>
    <s v="C002437"/>
    <x v="25"/>
    <s v="RSSB Ngoma"/>
    <s v="Ngoma"/>
    <x v="0"/>
    <x v="0"/>
    <s v="VIP"/>
    <x v="0"/>
    <x v="0"/>
    <n v="3"/>
    <s v="FIBER VPN 3MBPS"/>
    <m/>
    <n v="1"/>
    <n v="180000"/>
    <n v="180000"/>
    <s v="Monthly"/>
    <d v="2024-03-31T00:00:00"/>
    <x v="8"/>
    <x v="4"/>
    <n v="-268"/>
    <x v="1"/>
    <x v="3"/>
    <s v="Odette Kampire"/>
    <s v="odette.kampire@rssb.rw"/>
    <s v="0788-850-079."/>
    <m/>
    <m/>
    <m/>
  </r>
  <r>
    <s v="C002437"/>
    <x v="25"/>
    <s v="RSSB Ngororero"/>
    <s v="Ngororero"/>
    <x v="0"/>
    <x v="0"/>
    <s v="VIP"/>
    <x v="0"/>
    <x v="0"/>
    <n v="3"/>
    <s v="FIBER VPN 3MBPS"/>
    <m/>
    <n v="1"/>
    <n v="180000"/>
    <n v="180000"/>
    <s v="Monthly"/>
    <d v="2024-03-31T00:00:00"/>
    <x v="8"/>
    <x v="4"/>
    <n v="-268"/>
    <x v="1"/>
    <x v="3"/>
    <s v="Odette Kampire"/>
    <s v="odette.kampire@rssb.rw"/>
    <s v="0788-850-079."/>
    <m/>
    <m/>
    <m/>
  </r>
  <r>
    <s v="C002437"/>
    <x v="25"/>
    <s v="RSSB Nyabihu"/>
    <s v="Nyabihu"/>
    <x v="0"/>
    <x v="0"/>
    <s v="VIP"/>
    <x v="0"/>
    <x v="0"/>
    <n v="3"/>
    <s v="FIBER VPN 3MBPS"/>
    <m/>
    <n v="1"/>
    <n v="180000"/>
    <n v="180000"/>
    <s v="Monthly"/>
    <d v="2024-03-31T00:00:00"/>
    <x v="8"/>
    <x v="4"/>
    <n v="-268"/>
    <x v="1"/>
    <x v="3"/>
    <s v="Odette Kampire"/>
    <s v="odette.kampire@rssb.rw"/>
    <s v="0788-850-079."/>
    <m/>
    <m/>
    <m/>
  </r>
  <r>
    <s v="C002437"/>
    <x v="25"/>
    <s v="RSSB Nyagatare"/>
    <s v="Nyagatare"/>
    <x v="0"/>
    <x v="0"/>
    <s v="VIP"/>
    <x v="0"/>
    <x v="0"/>
    <n v="3"/>
    <s v="FIBER VPN 3MBPS"/>
    <m/>
    <n v="1"/>
    <n v="180000"/>
    <n v="180000"/>
    <s v="Monthly"/>
    <d v="2024-03-31T00:00:00"/>
    <x v="8"/>
    <x v="4"/>
    <n v="-268"/>
    <x v="1"/>
    <x v="3"/>
    <s v="Odette Kampire"/>
    <s v="odette.kampire@rssb.rw"/>
    <s v="0788-850-079."/>
    <m/>
    <m/>
    <m/>
  </r>
  <r>
    <s v="C002437"/>
    <x v="25"/>
    <s v="RSSB Nyamagabe"/>
    <s v="Nyamagabe"/>
    <x v="0"/>
    <x v="0"/>
    <s v="VIP"/>
    <x v="0"/>
    <x v="0"/>
    <n v="3"/>
    <s v="FIBER VPN 3MBPS"/>
    <m/>
    <n v="1"/>
    <n v="180000"/>
    <n v="180000"/>
    <s v="Monthly"/>
    <d v="2024-03-31T00:00:00"/>
    <x v="8"/>
    <x v="4"/>
    <n v="-268"/>
    <x v="1"/>
    <x v="3"/>
    <s v="Odette Kampire"/>
    <s v="odette.kampire@rssb.rw"/>
    <s v="0788-850-079."/>
    <m/>
    <m/>
    <m/>
  </r>
  <r>
    <s v="C002437"/>
    <x v="25"/>
    <s v="RSSB Nyanza"/>
    <s v="Nyamagabe"/>
    <x v="0"/>
    <x v="0"/>
    <s v="VIP"/>
    <x v="0"/>
    <x v="0"/>
    <n v="3"/>
    <s v="FIBER VPN 3MBPS"/>
    <m/>
    <n v="1"/>
    <n v="180000"/>
    <n v="180000"/>
    <s v="Monthly"/>
    <d v="2024-03-31T00:00:00"/>
    <x v="8"/>
    <x v="4"/>
    <n v="-268"/>
    <x v="1"/>
    <x v="3"/>
    <s v="Odette Kampire"/>
    <s v="odette.kampire@rssb.rw"/>
    <s v="0788-850-079."/>
    <m/>
    <m/>
    <m/>
  </r>
  <r>
    <s v="C002437"/>
    <x v="25"/>
    <s v="RSSB Nyamasheke"/>
    <s v="Nyamasheke"/>
    <x v="0"/>
    <x v="0"/>
    <s v="VIP"/>
    <x v="0"/>
    <x v="0"/>
    <n v="3"/>
    <s v="FIBER VPN 3MBPS"/>
    <m/>
    <n v="1"/>
    <n v="180000"/>
    <n v="180000"/>
    <s v="Monthly"/>
    <d v="2024-03-31T00:00:00"/>
    <x v="8"/>
    <x v="4"/>
    <n v="-268"/>
    <x v="1"/>
    <x v="3"/>
    <s v="Odette Kampire"/>
    <s v="odette.kampire@rssb.rw"/>
    <s v="0788-850-079."/>
    <m/>
    <m/>
    <m/>
  </r>
  <r>
    <s v="C002437"/>
    <x v="25"/>
    <s v="RSSB New Link"/>
    <s v="Nyarugenge"/>
    <x v="0"/>
    <x v="0"/>
    <s v="VIP"/>
    <x v="0"/>
    <x v="0"/>
    <n v="3"/>
    <s v="FIBER VPN 3MBPS"/>
    <m/>
    <n v="1"/>
    <n v="180000"/>
    <n v="180000"/>
    <s v="Monthly"/>
    <d v="2024-03-31T00:00:00"/>
    <x v="8"/>
    <x v="4"/>
    <n v="-268"/>
    <x v="1"/>
    <x v="3"/>
    <s v="Odette Kampire"/>
    <s v="odette.kampire@rssb.rw"/>
    <s v="0788-850-079."/>
    <m/>
    <m/>
    <m/>
  </r>
  <r>
    <s v="C002437"/>
    <x v="25"/>
    <s v="RSSB Nyarugenge"/>
    <s v="Nyarugenge"/>
    <x v="0"/>
    <x v="0"/>
    <s v="VIP"/>
    <x v="0"/>
    <x v="0"/>
    <n v="3"/>
    <s v="FIBER VPN 3MBPS"/>
    <m/>
    <n v="1"/>
    <n v="180000"/>
    <n v="180000"/>
    <s v="Monthly"/>
    <d v="2024-03-31T00:00:00"/>
    <x v="8"/>
    <x v="4"/>
    <n v="-268"/>
    <x v="1"/>
    <x v="3"/>
    <s v="Odette Kampire"/>
    <s v="odette.kampire@rssb.rw"/>
    <s v="0788-850-079."/>
    <m/>
    <m/>
    <m/>
  </r>
  <r>
    <s v="C002437"/>
    <x v="25"/>
    <s v="RSSB Nyaruguru"/>
    <s v="Nyarugenge"/>
    <x v="0"/>
    <x v="0"/>
    <s v="VIP"/>
    <x v="0"/>
    <x v="0"/>
    <n v="3"/>
    <s v="FIBER VPN 3MBPS"/>
    <m/>
    <n v="1"/>
    <n v="180000"/>
    <n v="180000"/>
    <s v="Monthly"/>
    <d v="2024-03-31T00:00:00"/>
    <x v="8"/>
    <x v="4"/>
    <n v="-268"/>
    <x v="1"/>
    <x v="3"/>
    <s v="Odette Kampire"/>
    <s v="odette.kampire@rssb.rw"/>
    <s v="0788-850-079."/>
    <m/>
    <m/>
    <m/>
  </r>
  <r>
    <s v="C002437"/>
    <x v="25"/>
    <s v="RSSB Rubavu"/>
    <s v="Rubavu"/>
    <x v="0"/>
    <x v="0"/>
    <s v="VIP"/>
    <x v="0"/>
    <x v="0"/>
    <n v="3"/>
    <s v="FIBER VPN 3MBPS"/>
    <m/>
    <n v="1"/>
    <n v="180000"/>
    <n v="180000"/>
    <s v="Monthly"/>
    <d v="2024-03-31T00:00:00"/>
    <x v="8"/>
    <x v="4"/>
    <n v="-268"/>
    <x v="1"/>
    <x v="3"/>
    <s v="Odette Kampire"/>
    <s v="odette.kampire@rssb.rw"/>
    <s v="0788-850-079."/>
    <m/>
    <m/>
    <m/>
  </r>
  <r>
    <s v="C002437"/>
    <x v="25"/>
    <s v="RSSB Ruhango"/>
    <s v="Ruhango"/>
    <x v="0"/>
    <x v="0"/>
    <s v="VIP"/>
    <x v="0"/>
    <x v="0"/>
    <n v="3"/>
    <s v="FIBER VPN 3MBPS"/>
    <m/>
    <n v="1"/>
    <n v="180000"/>
    <n v="180000"/>
    <s v="Monthly"/>
    <d v="2024-03-31T00:00:00"/>
    <x v="8"/>
    <x v="4"/>
    <n v="-268"/>
    <x v="1"/>
    <x v="3"/>
    <s v="Odette Kampire"/>
    <s v="odette.kampire@rssb.rw"/>
    <s v="0788-850-079."/>
    <m/>
    <m/>
    <m/>
  </r>
  <r>
    <s v="C002437"/>
    <x v="25"/>
    <s v="RSSB-Rulindo"/>
    <s v="Rulindo"/>
    <x v="0"/>
    <x v="0"/>
    <s v="VIP"/>
    <x v="0"/>
    <x v="0"/>
    <n v="3"/>
    <s v="FIBER VPN 3MBPS"/>
    <m/>
    <n v="1"/>
    <n v="180000"/>
    <n v="180000"/>
    <s v="Monthly"/>
    <d v="2024-03-31T00:00:00"/>
    <x v="8"/>
    <x v="4"/>
    <n v="-268"/>
    <x v="1"/>
    <x v="3"/>
    <s v="Odette Kampire"/>
    <s v="odette.kampire@rssb.rw"/>
    <s v="0788-850-079."/>
    <m/>
    <m/>
    <m/>
  </r>
  <r>
    <s v="C002437"/>
    <x v="25"/>
    <s v="RSSB Rusizi"/>
    <s v="Rusizi"/>
    <x v="0"/>
    <x v="0"/>
    <s v="VIP"/>
    <x v="0"/>
    <x v="0"/>
    <n v="3"/>
    <s v="FIBER VPN 3MBPS"/>
    <m/>
    <n v="1"/>
    <n v="180000"/>
    <n v="180000"/>
    <s v="Monthly"/>
    <d v="2024-03-31T00:00:00"/>
    <x v="8"/>
    <x v="4"/>
    <n v="-268"/>
    <x v="1"/>
    <x v="3"/>
    <s v="Odette Kampire"/>
    <s v="odette.kampire@rssb.rw"/>
    <s v="0788-850-079."/>
    <m/>
    <m/>
    <m/>
  </r>
  <r>
    <s v="C002437"/>
    <x v="25"/>
    <s v="RSSB Rutsiro"/>
    <s v="Rutsiro"/>
    <x v="0"/>
    <x v="0"/>
    <s v="VIP"/>
    <x v="0"/>
    <x v="0"/>
    <n v="3"/>
    <s v="FIBER VPN 3MBPS"/>
    <m/>
    <n v="1"/>
    <n v="180000"/>
    <n v="180000"/>
    <s v="Monthly"/>
    <d v="2024-03-31T00:00:00"/>
    <x v="8"/>
    <x v="4"/>
    <n v="-268"/>
    <x v="1"/>
    <x v="3"/>
    <s v="Odette Kampire"/>
    <s v="odette.kampire@rssb.rw"/>
    <s v="0788-850-079."/>
    <m/>
    <m/>
    <m/>
  </r>
  <r>
    <s v="C002437"/>
    <x v="25"/>
    <s v="RSSB Rwamagana"/>
    <s v="Rwamagana  "/>
    <x v="0"/>
    <x v="0"/>
    <s v="VIP"/>
    <x v="0"/>
    <x v="0"/>
    <n v="3"/>
    <s v="FIBER VPN 3MBPS"/>
    <m/>
    <n v="1"/>
    <n v="180000"/>
    <n v="180000"/>
    <s v="Monthly"/>
    <d v="2024-03-31T00:00:00"/>
    <x v="8"/>
    <x v="4"/>
    <n v="-268"/>
    <x v="1"/>
    <x v="3"/>
    <s v="Odette Kampire"/>
    <s v="odette.kampire@rssb.rw"/>
    <s v="0788-850-079."/>
    <m/>
    <m/>
    <m/>
  </r>
  <r>
    <s v="C002437"/>
    <x v="25"/>
    <s v="RSSB HQ"/>
    <s v="Nyarugenge"/>
    <x v="0"/>
    <x v="0"/>
    <s v="VIP"/>
    <x v="0"/>
    <x v="0"/>
    <n v="150"/>
    <s v="FIBER VPN 150MBPS"/>
    <m/>
    <n v="1"/>
    <n v="4500000"/>
    <n v="4500000"/>
    <s v="Monthly"/>
    <d v="2024-03-31T00:00:00"/>
    <x v="8"/>
    <x v="4"/>
    <n v="-268"/>
    <x v="1"/>
    <x v="3"/>
    <s v="Odette Kampire"/>
    <s v="odette.kampire@rssb.rw"/>
    <s v="0788-850-079."/>
    <m/>
    <m/>
    <m/>
  </r>
  <r>
    <s v="C002437"/>
    <x v="25"/>
    <s v="RSSB VPN HQ"/>
    <s v="Nyarugenge"/>
    <x v="0"/>
    <x v="0"/>
    <s v="VIP"/>
    <x v="0"/>
    <x v="0"/>
    <m/>
    <s v="FIBER VPN 5MBPS"/>
    <m/>
    <n v="1"/>
    <n v="270000"/>
    <n v="270000"/>
    <s v="Monthly"/>
    <d v="2024-03-31T00:00:00"/>
    <x v="8"/>
    <x v="4"/>
    <n v="-268"/>
    <x v="1"/>
    <x v="3"/>
    <s v="Odette Kampire"/>
    <s v="odette.kampire@rssb.rw"/>
    <s v="0788-850-079."/>
    <m/>
    <m/>
    <m/>
  </r>
  <r>
    <s v="C002437"/>
    <x v="25"/>
    <s v="Rwanda Social Security Board (RSSB)- HQ"/>
    <s v="Gasabo"/>
    <x v="0"/>
    <x v="0"/>
    <s v="VIP"/>
    <x v="3"/>
    <x v="7"/>
    <m/>
    <s v="MSS Platinum"/>
    <m/>
    <n v="1"/>
    <n v="1478575"/>
    <n v="1478575"/>
    <s v="Monthly"/>
    <d v="2024-03-31T00:00:00"/>
    <x v="8"/>
    <x v="4"/>
    <n v="-268"/>
    <x v="1"/>
    <x v="3"/>
    <s v="Odette Kampire"/>
    <s v="odette.kampire@rssb.rw"/>
    <s v="0788-850-079."/>
    <m/>
    <m/>
    <m/>
  </r>
  <r>
    <s v="C002437"/>
    <x v="25"/>
    <s v="RSSB"/>
    <s v="Gasabo"/>
    <x v="0"/>
    <x v="0"/>
    <s v="VIP"/>
    <x v="0"/>
    <x v="6"/>
    <m/>
    <s v="4G MUP 2GB/DAY"/>
    <m/>
    <n v="2"/>
    <n v="28305.08"/>
    <n v="56610.16"/>
    <s v="Monthly"/>
    <d v="2024-03-31T00:00:00"/>
    <x v="8"/>
    <x v="4"/>
    <n v="-268"/>
    <x v="1"/>
    <x v="3"/>
    <s v="Odette Kampire"/>
    <s v="odette.kampire@rssb.rw"/>
    <s v="0788-850-079."/>
    <m/>
    <m/>
    <m/>
  </r>
  <r>
    <s v="C002437"/>
    <x v="25"/>
    <s v="RSSB"/>
    <s v="Gasabo"/>
    <x v="0"/>
    <x v="0"/>
    <s v="VIP"/>
    <x v="0"/>
    <x v="6"/>
    <m/>
    <s v="4G MUP 2GB/DAY"/>
    <m/>
    <n v="30"/>
    <n v="28305.08"/>
    <n v="849152.4"/>
    <s v="Monthly"/>
    <d v="2024-03-31T00:00:00"/>
    <x v="8"/>
    <x v="4"/>
    <n v="-268"/>
    <x v="1"/>
    <x v="3"/>
    <s v="Odette Kampire"/>
    <s v="odette.kampire@rssb.rw"/>
    <s v="0788-850-079."/>
    <m/>
    <m/>
    <m/>
  </r>
  <r>
    <s v="C002437"/>
    <x v="25"/>
    <s v="RSSB"/>
    <s v="Gasabo"/>
    <x v="0"/>
    <x v="0"/>
    <s v="VIP"/>
    <x v="0"/>
    <x v="6"/>
    <m/>
    <s v="4G MUP 2GB/DAY"/>
    <m/>
    <n v="558"/>
    <n v="28305.08"/>
    <n v="15794234.640000001"/>
    <s v="Monthly"/>
    <d v="2024-03-31T00:00:00"/>
    <x v="8"/>
    <x v="4"/>
    <n v="-268"/>
    <x v="1"/>
    <x v="3"/>
    <s v="Odette Kampire"/>
    <s v="odette.kampire@rssb.rw"/>
    <s v="0788-850-079."/>
    <m/>
    <m/>
    <m/>
  </r>
  <r>
    <s v="C002143"/>
    <x v="218"/>
    <s v="Lais"/>
    <s v="Rubavu"/>
    <x v="0"/>
    <x v="0"/>
    <s v="Standard"/>
    <x v="0"/>
    <x v="0"/>
    <n v="3"/>
    <s v="FIBER VPN 3MBPS"/>
    <m/>
    <n v="1"/>
    <n v="180000"/>
    <n v="180000"/>
    <s v="Monthly"/>
    <d v="2024-03-31T00:00:00"/>
    <x v="8"/>
    <x v="4"/>
    <n v="-268"/>
    <x v="1"/>
    <x v="0"/>
    <s v="Joel Gasagure"/>
    <s v="rubavudistrict@rubavu.gov.rw "/>
    <s v="0788578289"/>
    <m/>
    <m/>
    <m/>
  </r>
  <r>
    <s v="C002143"/>
    <x v="218"/>
    <s v="HQ"/>
    <s v="Rubavu"/>
    <x v="0"/>
    <x v="0"/>
    <s v="Standard"/>
    <x v="0"/>
    <x v="0"/>
    <n v="10"/>
    <s v="FIBER VPN 10MBPS"/>
    <m/>
    <n v="1"/>
    <n v="510000"/>
    <n v="510000"/>
    <s v="Monthly"/>
    <d v="2024-03-31T00:00:00"/>
    <x v="8"/>
    <x v="4"/>
    <n v="-268"/>
    <x v="1"/>
    <x v="0"/>
    <s v="Joel Gasagure"/>
    <s v="rubavudistrict@rubavu.gov.rw "/>
    <s v="0788578289"/>
    <m/>
    <m/>
    <m/>
  </r>
  <r>
    <s v="C002143"/>
    <x v="218"/>
    <s v="HQ"/>
    <s v="Rubavu"/>
    <x v="0"/>
    <x v="0"/>
    <s v="Standard"/>
    <x v="1"/>
    <x v="10"/>
    <m/>
    <s v="VIDEO CONFERENCE"/>
    <m/>
    <n v="1"/>
    <n v="258044.92"/>
    <n v="258044.92"/>
    <s v="Monthly"/>
    <d v="2024-03-31T00:00:00"/>
    <x v="8"/>
    <x v="4"/>
    <n v="-268"/>
    <x v="1"/>
    <x v="0"/>
    <s v="Joel Gasagure"/>
    <s v="rubavudistrict@rubavu.gov.rw "/>
    <s v="0788578289"/>
    <m/>
    <m/>
    <m/>
  </r>
  <r>
    <s v="C002143"/>
    <x v="218"/>
    <s v="HQ"/>
    <s v="Rubavu"/>
    <x v="0"/>
    <x v="0"/>
    <s v="Standard"/>
    <x v="3"/>
    <x v="7"/>
    <m/>
    <s v="MSS GOLD"/>
    <m/>
    <n v="1"/>
    <n v="369325.42"/>
    <n v="369325.42"/>
    <s v="Monthly"/>
    <d v="2024-03-31T00:00:00"/>
    <x v="8"/>
    <x v="4"/>
    <n v="-268"/>
    <x v="1"/>
    <x v="0"/>
    <s v="Joel Gasagure"/>
    <s v="rubavudistrict@rubavu.gov.rw "/>
    <s v="0788578289"/>
    <m/>
    <m/>
    <m/>
  </r>
  <r>
    <s v="C002179"/>
    <x v="219"/>
    <s v="Giheke Sector"/>
    <s v="Rusizi"/>
    <x v="0"/>
    <x v="0"/>
    <s v="Standard"/>
    <x v="0"/>
    <x v="0"/>
    <n v="2"/>
    <s v="FIBER VPN 2MBPS"/>
    <m/>
    <n v="1"/>
    <n v="150000"/>
    <n v="150000"/>
    <s v="Monthly"/>
    <d v="2024-03-31T00:00:00"/>
    <x v="8"/>
    <x v="4"/>
    <n v="-268"/>
    <x v="1"/>
    <x v="2"/>
    <s v="NZABANDORA Jean Damascene"/>
    <s v="ict@rusizi.gov.rw"/>
    <s v="0788-551-314"/>
    <m/>
    <m/>
    <m/>
  </r>
  <r>
    <s v="C002179"/>
    <x v="219"/>
    <s v="Gashonga Sector"/>
    <s v="Rusizi"/>
    <x v="0"/>
    <x v="0"/>
    <s v="Standard"/>
    <x v="0"/>
    <x v="0"/>
    <n v="2"/>
    <s v="FIBER VPN 2MBPS"/>
    <m/>
    <n v="1"/>
    <n v="150000"/>
    <n v="150000"/>
    <s v="Monthly"/>
    <d v="2024-03-31T00:00:00"/>
    <x v="8"/>
    <x v="4"/>
    <n v="-268"/>
    <x v="1"/>
    <x v="2"/>
    <s v="NZABANDORA Jean Damascene"/>
    <s v="ict@rusizi.gov.rw"/>
    <s v="0788-551-314"/>
    <m/>
    <m/>
    <m/>
  </r>
  <r>
    <s v="C002179"/>
    <x v="219"/>
    <s v="Rwimbogo Sector"/>
    <s v="Rusizi"/>
    <x v="0"/>
    <x v="0"/>
    <s v="Standard"/>
    <x v="0"/>
    <x v="0"/>
    <n v="2"/>
    <s v="FIBER VPN 2MBPS"/>
    <m/>
    <n v="1"/>
    <n v="150000"/>
    <n v="150000"/>
    <s v="Monthly"/>
    <d v="2024-03-31T00:00:00"/>
    <x v="8"/>
    <x v="4"/>
    <n v="-268"/>
    <x v="1"/>
    <x v="2"/>
    <s v="NZABANDORA Jean Damascene"/>
    <s v="ict@rusizi.gov.rw"/>
    <s v="0788-551-314"/>
    <m/>
    <m/>
    <m/>
  </r>
  <r>
    <s v="C002179"/>
    <x v="219"/>
    <s v="Mururu Sector"/>
    <s v="Rusizi"/>
    <x v="0"/>
    <x v="0"/>
    <s v="Standard"/>
    <x v="0"/>
    <x v="0"/>
    <n v="2"/>
    <s v="FIBER VPN 2MBPS"/>
    <m/>
    <n v="1"/>
    <n v="150000"/>
    <n v="150000"/>
    <s v="Monthly"/>
    <d v="2024-03-31T00:00:00"/>
    <x v="8"/>
    <x v="4"/>
    <n v="-268"/>
    <x v="1"/>
    <x v="2"/>
    <s v="NZABANDORA Jean Damascene"/>
    <s v="ict@rusizi.gov.rw"/>
    <s v="0788-551-314"/>
    <m/>
    <m/>
    <m/>
  </r>
  <r>
    <s v="C002179"/>
    <x v="219"/>
    <s v="Gihundwe Sector"/>
    <s v="Rusizi"/>
    <x v="0"/>
    <x v="0"/>
    <s v="Standard"/>
    <x v="0"/>
    <x v="0"/>
    <n v="2"/>
    <s v="FIBER VPN 2MBPS"/>
    <m/>
    <n v="1"/>
    <n v="150000"/>
    <n v="150000"/>
    <s v="Monthly"/>
    <d v="2024-03-31T00:00:00"/>
    <x v="8"/>
    <x v="4"/>
    <n v="-268"/>
    <x v="1"/>
    <x v="2"/>
    <s v="NZABANDORA Jean Damascene"/>
    <s v="ict@rusizi.gov.rw"/>
    <s v="0788-551-314"/>
    <m/>
    <m/>
    <m/>
  </r>
  <r>
    <s v="C002179"/>
    <x v="219"/>
    <s v="Bugarama Sector"/>
    <s v="Rusizi"/>
    <x v="0"/>
    <x v="0"/>
    <s v="Standard"/>
    <x v="0"/>
    <x v="0"/>
    <n v="2"/>
    <s v="FIBER VPN 2MBPS"/>
    <m/>
    <n v="1"/>
    <n v="150000"/>
    <n v="150000"/>
    <s v="Monthly"/>
    <d v="2024-03-31T00:00:00"/>
    <x v="8"/>
    <x v="4"/>
    <n v="-268"/>
    <x v="1"/>
    <x v="2"/>
    <s v="NZABANDORA Jean Damascene"/>
    <s v="ict@rusizi.gov.rw"/>
    <s v="0788-551-314"/>
    <m/>
    <m/>
    <m/>
  </r>
  <r>
    <s v="C002179"/>
    <x v="219"/>
    <s v="Nzahaha Sector"/>
    <s v="Rusizi"/>
    <x v="0"/>
    <x v="0"/>
    <s v="Standard"/>
    <x v="0"/>
    <x v="0"/>
    <n v="2"/>
    <s v="FIBER VPN 2MBPS"/>
    <m/>
    <n v="1"/>
    <n v="150000"/>
    <n v="150000"/>
    <s v="Monthly"/>
    <d v="2024-03-31T00:00:00"/>
    <x v="8"/>
    <x v="4"/>
    <n v="-268"/>
    <x v="1"/>
    <x v="2"/>
    <s v="NZABANDORA Jean Damascene"/>
    <s v="ict@rusizi.gov.rw"/>
    <s v="0788-551-314"/>
    <m/>
    <m/>
    <m/>
  </r>
  <r>
    <s v="C002179"/>
    <x v="219"/>
    <s v="RUSIZI District HQ - VPN LAIS."/>
    <s v="Rusizi"/>
    <x v="0"/>
    <x v="0"/>
    <s v="Standard"/>
    <x v="0"/>
    <x v="0"/>
    <n v="3"/>
    <s v="FIBER VPN 3MBPS"/>
    <m/>
    <n v="1"/>
    <n v="180000"/>
    <n v="180000"/>
    <s v="Monthly"/>
    <d v="2024-03-31T00:00:00"/>
    <x v="8"/>
    <x v="4"/>
    <n v="-268"/>
    <x v="1"/>
    <x v="2"/>
    <s v="NZABANDORA Jean Damascene"/>
    <s v="ict@rusizi.gov.rw"/>
    <s v="0788-551-314"/>
    <m/>
    <m/>
    <m/>
  </r>
  <r>
    <s v="C002179"/>
    <x v="219"/>
    <s v="RUSIZI District HQ."/>
    <s v="Rusizi"/>
    <x v="0"/>
    <x v="0"/>
    <s v="Standard"/>
    <x v="0"/>
    <x v="0"/>
    <n v="10"/>
    <s v="FIBER VPN 10MBPS"/>
    <m/>
    <n v="1"/>
    <n v="510000"/>
    <n v="510000"/>
    <s v="Monthly"/>
    <d v="2024-03-31T00:00:00"/>
    <x v="8"/>
    <x v="4"/>
    <n v="-268"/>
    <x v="1"/>
    <x v="2"/>
    <s v="NZABANDORA Jean Damascene"/>
    <s v="ict@rusizi.gov.rw"/>
    <s v="0788-551-314"/>
    <m/>
    <m/>
    <m/>
  </r>
  <r>
    <s v="C002179"/>
    <x v="219"/>
    <s v="RUSIZI District HQ."/>
    <s v="Rusizi"/>
    <x v="0"/>
    <x v="0"/>
    <s v="Standard"/>
    <x v="1"/>
    <x v="10"/>
    <m/>
    <s v="VIDEO CONFERENCE"/>
    <m/>
    <n v="1"/>
    <n v="258044.92"/>
    <n v="258044.92"/>
    <s v="Monthly"/>
    <d v="2024-03-31T00:00:00"/>
    <x v="8"/>
    <x v="4"/>
    <n v="-268"/>
    <x v="1"/>
    <x v="2"/>
    <s v="NZABANDORA Jean Damascene"/>
    <s v="ict@rusizi.gov.rw"/>
    <s v="0788-551-314"/>
    <m/>
    <m/>
    <m/>
  </r>
  <r>
    <s v="C002179"/>
    <x v="219"/>
    <s v="RUSIZI District HQ."/>
    <s v="Rusizi"/>
    <x v="0"/>
    <x v="0"/>
    <s v="Standard"/>
    <x v="3"/>
    <x v="7"/>
    <m/>
    <s v="MSS GOLD"/>
    <m/>
    <n v="1"/>
    <n v="369325.42"/>
    <n v="369325.42"/>
    <s v="Monthly"/>
    <d v="2024-03-31T00:00:00"/>
    <x v="8"/>
    <x v="4"/>
    <n v="-268"/>
    <x v="1"/>
    <x v="2"/>
    <s v="NZABANDORA Jean Damascene"/>
    <s v="ict@rusizi.gov.rw"/>
    <s v="0788-551-314"/>
    <m/>
    <m/>
    <m/>
  </r>
  <r>
    <s v="C002179"/>
    <x v="219"/>
    <s v="RUSIZI District HQ."/>
    <s v="Rusizi"/>
    <x v="0"/>
    <x v="0"/>
    <s v="Standard"/>
    <x v="0"/>
    <x v="6"/>
    <m/>
    <s v="4G ONE NETWORK 3MBPS"/>
    <m/>
    <n v="2"/>
    <n v="81355.932203389835"/>
    <n v="162711.86440677967"/>
    <s v="Monthly"/>
    <d v="2024-03-31T00:00:00"/>
    <x v="8"/>
    <x v="4"/>
    <n v="-268"/>
    <x v="1"/>
    <x v="2"/>
    <s v="NZABANDORA Jean Damascene"/>
    <s v="ict@rusizi.gov.rw"/>
    <s v="0788-551-314"/>
    <m/>
    <m/>
    <m/>
  </r>
  <r>
    <s v="C002179"/>
    <x v="219"/>
    <s v="RUSIZI District HQ."/>
    <s v="Rusizi"/>
    <x v="0"/>
    <x v="0"/>
    <s v="Standard"/>
    <x v="0"/>
    <x v="6"/>
    <m/>
    <s v="4G ONE NETWORK 5MBPS"/>
    <m/>
    <n v="4"/>
    <n v="101694.92"/>
    <n v="406779.68"/>
    <s v="Monthly"/>
    <d v="2024-03-31T00:00:00"/>
    <x v="8"/>
    <x v="4"/>
    <n v="-268"/>
    <x v="1"/>
    <x v="2"/>
    <s v="NZABANDORA Jean Damascene"/>
    <s v="ict@rusizi.gov.rw"/>
    <s v="0788-551-314"/>
    <m/>
    <m/>
    <m/>
  </r>
  <r>
    <s v="C002179"/>
    <x v="219"/>
    <s v="RUSIZI District HQ."/>
    <s v="Rusizi"/>
    <x v="0"/>
    <x v="0"/>
    <s v="Standard"/>
    <x v="0"/>
    <x v="6"/>
    <m/>
    <s v=" 4G MUP 4GB/DAY "/>
    <m/>
    <n v="6"/>
    <n v="45338.98"/>
    <n v="272033.88"/>
    <s v="Monthly"/>
    <d v="2024-03-31T00:00:00"/>
    <x v="8"/>
    <x v="4"/>
    <n v="-268"/>
    <x v="1"/>
    <x v="2"/>
    <s v="NZABANDORA Jean Damascene"/>
    <s v="ict@rusizi.gov.rw"/>
    <s v="0788-551-314"/>
    <m/>
    <m/>
    <m/>
  </r>
  <r>
    <s v="C002179"/>
    <x v="219"/>
    <s v="RUSIZI District"/>
    <s v="Rusizi"/>
    <x v="0"/>
    <x v="0"/>
    <s v="Standard"/>
    <x v="0"/>
    <x v="6"/>
    <m/>
    <s v="4G MUP 2GB/DAY"/>
    <m/>
    <n v="71"/>
    <n v="28305.08"/>
    <n v="2009660.6800000002"/>
    <s v="Monthly"/>
    <d v="2024-03-31T00:00:00"/>
    <x v="8"/>
    <x v="4"/>
    <n v="-268"/>
    <x v="1"/>
    <x v="2"/>
    <s v="NZABANDORA Jean Damascene"/>
    <s v="ict@rusizi.gov.rw"/>
    <s v="0788-551-314"/>
    <m/>
    <m/>
    <m/>
  </r>
  <r>
    <s v="C004042"/>
    <x v="220"/>
    <s v="RPA"/>
    <s v="Musanze"/>
    <x v="0"/>
    <x v="3"/>
    <s v="Standard"/>
    <x v="1"/>
    <x v="3"/>
    <m/>
    <s v="VoIP PHONES 1-20"/>
    <m/>
    <n v="1"/>
    <n v="60000"/>
    <n v="60000"/>
    <s v="Monthly"/>
    <d v="2024-03-31T00:00:00"/>
    <x v="8"/>
    <x v="4"/>
    <n v="-268"/>
    <x v="1"/>
    <x v="4"/>
    <s v="Joy"/>
    <s v="joybebeto@gmail.com"/>
    <n v="781197647"/>
    <m/>
    <m/>
    <m/>
  </r>
  <r>
    <s v="C002675"/>
    <x v="178"/>
    <s v="Fiber Internet: TB Gihango"/>
    <s v="Gasabo"/>
    <x v="0"/>
    <x v="11"/>
    <s v="Standard"/>
    <x v="0"/>
    <x v="0"/>
    <n v="3"/>
    <s v="Fiber Broadband Internet 3Mbps"/>
    <m/>
    <n v="1"/>
    <n v="28305.08"/>
    <n v="28305.08"/>
    <s v="Monthly"/>
    <d v="2024-03-31T00:00:00"/>
    <x v="8"/>
    <x v="4"/>
    <n v="-268"/>
    <x v="1"/>
    <x v="1"/>
    <s v="Fred Gashemeza"/>
    <s v="fred.gashemeza@judiciary.gov.rw"/>
    <s v="0 788 305665"/>
    <m/>
    <m/>
    <m/>
  </r>
  <r>
    <s v="C002675"/>
    <x v="178"/>
    <s v="Fiber VPN: IDC Link"/>
    <s v="Gasabo"/>
    <x v="0"/>
    <x v="11"/>
    <s v="Standard"/>
    <x v="0"/>
    <x v="0"/>
    <n v="3"/>
    <s v="Fiber Broadband Internet 3Mbps"/>
    <m/>
    <n v="1"/>
    <n v="171000"/>
    <n v="171000"/>
    <s v="Monthly"/>
    <d v="2024-03-31T00:00:00"/>
    <x v="8"/>
    <x v="4"/>
    <n v="-268"/>
    <x v="1"/>
    <x v="1"/>
    <s v="Fred Gashemeza"/>
    <s v="fred.gashemeza@judiciary.gov.rw"/>
    <s v="0 788 305665"/>
    <m/>
    <m/>
    <m/>
  </r>
  <r>
    <s v="C002675"/>
    <x v="178"/>
    <s v="Fiber Internet: TB Nyamata"/>
    <s v="Bugesera"/>
    <x v="0"/>
    <x v="11"/>
    <s v="Standard"/>
    <x v="0"/>
    <x v="0"/>
    <n v="4"/>
    <s v="Fiber Broadband Internet 4Mbps"/>
    <m/>
    <n v="1"/>
    <n v="270000"/>
    <n v="270000"/>
    <s v="Monthly"/>
    <d v="2024-03-31T00:00:00"/>
    <x v="8"/>
    <x v="4"/>
    <n v="-268"/>
    <x v="1"/>
    <x v="1"/>
    <s v="Fred Gashemeza"/>
    <s v="fred.gashemeza@judiciary.gov.rw"/>
    <s v="0 788 305665"/>
    <m/>
    <m/>
    <m/>
  </r>
  <r>
    <s v="C002675"/>
    <x v="178"/>
    <s v="Fiber Internet: TB Cyeru"/>
    <s v="Burera"/>
    <x v="0"/>
    <x v="11"/>
    <s v="Standard"/>
    <x v="0"/>
    <x v="0"/>
    <n v="4"/>
    <s v="Fiber Broadband Internet 4Mbps"/>
    <m/>
    <n v="1"/>
    <n v="256500"/>
    <n v="256500"/>
    <s v="Monthly"/>
    <d v="2024-03-31T00:00:00"/>
    <x v="8"/>
    <x v="4"/>
    <n v="-268"/>
    <x v="1"/>
    <x v="1"/>
    <s v="Fred Gashemeza"/>
    <s v="fred.gashemeza@judiciary.gov.rw"/>
    <s v="0 788 305665"/>
    <m/>
    <m/>
    <m/>
  </r>
  <r>
    <s v="C002675"/>
    <x v="178"/>
    <s v="Fiber Internet: TB Gakenke"/>
    <s v="Gakenke"/>
    <x v="0"/>
    <x v="11"/>
    <s v="Standard"/>
    <x v="0"/>
    <x v="0"/>
    <n v="4"/>
    <s v="Fiber Broadband Internet 4Mbps"/>
    <m/>
    <n v="1"/>
    <n v="256500"/>
    <n v="256500"/>
    <s v="Monthly"/>
    <d v="2024-03-31T00:00:00"/>
    <x v="8"/>
    <x v="4"/>
    <n v="-268"/>
    <x v="1"/>
    <x v="1"/>
    <s v="Fred Gashemeza"/>
    <s v="fred.gashemeza@judiciary.gov.rw"/>
    <s v="0 788 305665"/>
    <m/>
    <m/>
    <m/>
  </r>
  <r>
    <s v="C002675"/>
    <x v="178"/>
    <s v="Fiber Internet: TB Gahunga"/>
    <s v="Gasabo"/>
    <x v="0"/>
    <x v="11"/>
    <s v="Standard"/>
    <x v="0"/>
    <x v="0"/>
    <n v="4"/>
    <s v="Fiber Broadband Internet 4Mbps"/>
    <m/>
    <n v="1"/>
    <n v="256500"/>
    <n v="256500"/>
    <s v="Monthly"/>
    <d v="2024-03-31T00:00:00"/>
    <x v="8"/>
    <x v="4"/>
    <n v="-268"/>
    <x v="1"/>
    <x v="1"/>
    <s v="Fred Gashemeza"/>
    <s v="fred.gashemeza@judiciary.gov.rw"/>
    <s v="0 788 305665"/>
    <m/>
    <m/>
    <m/>
  </r>
  <r>
    <s v="C002675"/>
    <x v="178"/>
    <s v="Fiber Internet: TGI Gasabo"/>
    <s v="Gasabo"/>
    <x v="0"/>
    <x v="11"/>
    <s v="Standard"/>
    <x v="0"/>
    <x v="0"/>
    <n v="5"/>
    <s v="Fiber Broadband Internet 5Mbps"/>
    <m/>
    <n v="1"/>
    <n v="221400"/>
    <n v="221400"/>
    <s v="Monthly"/>
    <d v="2024-03-31T00:00:00"/>
    <x v="8"/>
    <x v="4"/>
    <n v="-268"/>
    <x v="1"/>
    <x v="1"/>
    <s v="Fred Gashemeza"/>
    <s v="fred.gashemeza@judiciary.gov.rw"/>
    <s v="0 788 305665"/>
    <m/>
    <m/>
    <m/>
  </r>
  <r>
    <s v="C002675"/>
    <x v="178"/>
    <s v="Fiber Internet: Supreme Court HQ"/>
    <s v="Gasabo"/>
    <x v="0"/>
    <x v="11"/>
    <s v="Standard"/>
    <x v="0"/>
    <x v="0"/>
    <n v="5"/>
    <s v="Fiber Broadband Internet 5Mbps"/>
    <m/>
    <n v="1"/>
    <n v="221400"/>
    <n v="221400"/>
    <s v="Monthly"/>
    <d v="2024-03-31T00:00:00"/>
    <x v="8"/>
    <x v="4"/>
    <n v="-268"/>
    <x v="1"/>
    <x v="1"/>
    <s v="Fred Gashemeza"/>
    <s v="fred.gashemeza@judiciary.gov.rw"/>
    <s v="0 788 305665"/>
    <m/>
    <m/>
    <m/>
  </r>
  <r>
    <s v="C002330"/>
    <x v="221"/>
    <s v="UNESCO-MAIN BRANCH"/>
    <s v="Gasabo"/>
    <x v="1"/>
    <x v="4"/>
    <s v="Standard"/>
    <x v="1"/>
    <x v="5"/>
    <n v="10"/>
    <s v="FIBER VPN 10MBPS"/>
    <m/>
    <n v="1"/>
    <n v="510000"/>
    <n v="510000"/>
    <s v="Year"/>
    <d v="2024-03-31T00:00:00"/>
    <x v="8"/>
    <x v="4"/>
    <n v="-268"/>
    <x v="1"/>
    <x v="6"/>
    <s v="KANAMUGIRE Felix"/>
    <s v="felix.kanamugire@unesco.org"/>
    <n v="788250761"/>
    <m/>
    <m/>
    <m/>
  </r>
  <r>
    <s v="C001439"/>
    <x v="12"/>
    <s v="RMA Gako kf"/>
    <s v="Bugesera"/>
    <x v="0"/>
    <x v="3"/>
    <s v="VIP"/>
    <x v="0"/>
    <x v="0"/>
    <n v="1"/>
    <s v="vpn (1mbps)"/>
    <m/>
    <n v="1"/>
    <n v="90000"/>
    <n v="90000"/>
    <s v="Monthly"/>
    <d v="2024-04-01T00:00:00"/>
    <x v="9"/>
    <x v="4"/>
    <n v="-269"/>
    <x v="1"/>
    <x v="4"/>
    <s v="Neza"/>
    <s v="dirinfosyscec@minadef.gov.rw"/>
    <n v="788315241"/>
    <m/>
    <m/>
    <m/>
  </r>
  <r>
    <s v="C001439"/>
    <x v="12"/>
    <s v="MOD Kami kf"/>
    <s v="Gasabo"/>
    <x v="0"/>
    <x v="3"/>
    <s v="VIP"/>
    <x v="0"/>
    <x v="0"/>
    <n v="1"/>
    <s v="VPN (1Mbps)"/>
    <m/>
    <n v="1"/>
    <n v="90000"/>
    <n v="90000"/>
    <s v="Monthly"/>
    <d v="2024-04-01T00:00:00"/>
    <x v="9"/>
    <x v="4"/>
    <n v="-269"/>
    <x v="1"/>
    <x v="4"/>
    <s v="Neza"/>
    <s v="dirinfosyscec@minadef.gov.rw"/>
    <n v="788315241"/>
    <m/>
    <m/>
    <m/>
  </r>
  <r>
    <s v="C001439"/>
    <x v="12"/>
    <s v="204Bde Kami kf"/>
    <s v="Gasabo"/>
    <x v="0"/>
    <x v="3"/>
    <s v="VIP"/>
    <x v="0"/>
    <x v="0"/>
    <n v="1"/>
    <s v="vpn (1mbps)"/>
    <m/>
    <n v="1"/>
    <n v="90000"/>
    <n v="90000"/>
    <s v="Monthly"/>
    <d v="2024-04-01T00:00:00"/>
    <x v="9"/>
    <x v="4"/>
    <n v="-269"/>
    <x v="1"/>
    <x v="4"/>
    <s v="Neza"/>
    <s v="dirinfosyscec@minadef.gov.rw"/>
    <n v="788315241"/>
    <m/>
    <m/>
    <m/>
  </r>
  <r>
    <s v="C001439"/>
    <x v="12"/>
    <s v="2 Div HQ kf"/>
    <s v="Gasabo"/>
    <x v="0"/>
    <x v="3"/>
    <s v="VIP"/>
    <x v="0"/>
    <x v="0"/>
    <n v="1"/>
    <s v="vpn (1mbps)"/>
    <m/>
    <n v="1"/>
    <n v="90000"/>
    <n v="90000"/>
    <s v="Monthly"/>
    <d v="2024-04-01T00:00:00"/>
    <x v="9"/>
    <x v="4"/>
    <n v="-269"/>
    <x v="1"/>
    <x v="4"/>
    <s v="Neza"/>
    <s v="dirinfosyscec@minadef.gov.rw"/>
    <n v="788315241"/>
    <m/>
    <m/>
    <m/>
  </r>
  <r>
    <s v="C001439"/>
    <x v="12"/>
    <s v="CTC Gabiro kf"/>
    <s v="Gatsibo"/>
    <x v="0"/>
    <x v="3"/>
    <s v="VIP"/>
    <x v="0"/>
    <x v="0"/>
    <n v="1"/>
    <s v="vpn (1mbps)"/>
    <m/>
    <n v="1"/>
    <n v="90000"/>
    <n v="90000"/>
    <s v="Monthly"/>
    <d v="2024-04-01T00:00:00"/>
    <x v="9"/>
    <x v="4"/>
    <n v="-269"/>
    <x v="1"/>
    <x v="4"/>
    <s v="Neza"/>
    <s v="dirinfosyscec@minadef.gov.rw"/>
    <n v="788315241"/>
    <m/>
    <m/>
    <m/>
  </r>
  <r>
    <s v="C001439"/>
    <x v="12"/>
    <s v="Gicumbi Barracks kf"/>
    <s v="Gicumbi"/>
    <x v="0"/>
    <x v="3"/>
    <s v="VIP"/>
    <x v="0"/>
    <x v="0"/>
    <n v="1"/>
    <s v="vpn (1mbps)"/>
    <m/>
    <n v="1"/>
    <n v="90000"/>
    <n v="90000"/>
    <s v="Monthly"/>
    <d v="2024-04-01T00:00:00"/>
    <x v="9"/>
    <x v="4"/>
    <n v="-269"/>
    <x v="1"/>
    <x v="4"/>
    <s v="Neza"/>
    <s v="dirinfosyscec@minadef.gov.rw"/>
    <n v="788315241"/>
    <m/>
    <m/>
    <m/>
  </r>
  <r>
    <s v="C001439"/>
    <x v="12"/>
    <s v="Huye Barracks kf"/>
    <s v="Huye"/>
    <x v="0"/>
    <x v="3"/>
    <s v="VIP"/>
    <x v="0"/>
    <x v="0"/>
    <n v="1"/>
    <s v="vpn (1mbps)"/>
    <m/>
    <n v="1"/>
    <n v="90000"/>
    <n v="90000"/>
    <s v="Monthly"/>
    <d v="2024-04-01T00:00:00"/>
    <x v="9"/>
    <x v="4"/>
    <n v="-269"/>
    <x v="1"/>
    <x v="4"/>
    <s v="Neza"/>
    <s v="dirinfosyscec@minadef.gov.rw"/>
    <n v="788315241"/>
    <m/>
    <m/>
    <m/>
  </r>
  <r>
    <s v="C001439"/>
    <x v="12"/>
    <s v="Karongi Barracks kf"/>
    <s v="Karongi"/>
    <x v="0"/>
    <x v="3"/>
    <s v="VIP"/>
    <x v="0"/>
    <x v="0"/>
    <n v="1"/>
    <s v="vpn (1mbps)"/>
    <m/>
    <n v="1"/>
    <n v="90000"/>
    <n v="90000"/>
    <s v="Monthly"/>
    <d v="2024-04-01T00:00:00"/>
    <x v="9"/>
    <x v="4"/>
    <n v="-269"/>
    <x v="1"/>
    <x v="4"/>
    <s v="Neza"/>
    <s v="dirinfosyscec@minadef.gov.rw"/>
    <n v="788315241"/>
    <m/>
    <m/>
    <m/>
  </r>
  <r>
    <s v="C001439"/>
    <x v="12"/>
    <s v="RMH-Kanombe kf"/>
    <s v="Kicukiro"/>
    <x v="0"/>
    <x v="3"/>
    <s v="VIP"/>
    <x v="0"/>
    <x v="0"/>
    <n v="1"/>
    <s v="vpn (1mbps)"/>
    <m/>
    <n v="1"/>
    <n v="90000"/>
    <n v="90000"/>
    <s v="Monthly"/>
    <d v="2024-04-01T00:00:00"/>
    <x v="9"/>
    <x v="4"/>
    <n v="-269"/>
    <x v="1"/>
    <x v="4"/>
    <s v="Neza"/>
    <s v="dirinfosyscec@minadef.gov.rw"/>
    <n v="788315241"/>
    <m/>
    <m/>
    <m/>
  </r>
  <r>
    <s v="C001439"/>
    <x v="12"/>
    <s v="WB Brigade kf"/>
    <s v="Kicukiro"/>
    <x v="0"/>
    <x v="3"/>
    <s v="VIP"/>
    <x v="0"/>
    <x v="0"/>
    <n v="1"/>
    <s v="vpn (1mbps)"/>
    <m/>
    <n v="1"/>
    <n v="90000"/>
    <n v="90000"/>
    <s v="Monthly"/>
    <d v="2024-04-01T00:00:00"/>
    <x v="9"/>
    <x v="4"/>
    <n v="-269"/>
    <x v="1"/>
    <x v="4"/>
    <s v="Neza"/>
    <s v="dirinfosyscec@minadef.gov.rw"/>
    <n v="788315241"/>
    <m/>
    <m/>
    <m/>
  </r>
  <r>
    <s v="C001439"/>
    <x v="12"/>
    <s v="Muhanga Barracks kf"/>
    <s v="Muhanga"/>
    <x v="0"/>
    <x v="3"/>
    <s v="VIP"/>
    <x v="0"/>
    <x v="0"/>
    <n v="1"/>
    <s v="vpn (1mbps)"/>
    <m/>
    <n v="1"/>
    <n v="90000"/>
    <n v="90000"/>
    <s v="Monthly"/>
    <d v="2024-04-01T00:00:00"/>
    <x v="9"/>
    <x v="4"/>
    <n v="-269"/>
    <x v="1"/>
    <x v="4"/>
    <s v="Neza"/>
    <s v="dirinfosyscec@minadef.gov.rw"/>
    <n v="788315241"/>
    <m/>
    <m/>
    <m/>
  </r>
  <r>
    <s v="C001439"/>
    <x v="12"/>
    <s v="CSC Nyakinama kf"/>
    <s v="Musanze"/>
    <x v="0"/>
    <x v="3"/>
    <s v="VIP"/>
    <x v="0"/>
    <x v="0"/>
    <n v="1"/>
    <s v="vpn (1mbps)"/>
    <m/>
    <n v="1"/>
    <n v="90000"/>
    <n v="90000"/>
    <s v="Monthly"/>
    <d v="2024-04-01T00:00:00"/>
    <x v="9"/>
    <x v="4"/>
    <n v="-269"/>
    <x v="1"/>
    <x v="4"/>
    <s v="Neza"/>
    <s v="dirinfosyscec@minadef.gov.rw"/>
    <n v="788315241"/>
    <m/>
    <m/>
    <m/>
  </r>
  <r>
    <s v="C001439"/>
    <x v="12"/>
    <s v="Ngoma Barracks kf"/>
    <s v="Ngoma"/>
    <x v="0"/>
    <x v="3"/>
    <s v="VIP"/>
    <x v="0"/>
    <x v="0"/>
    <n v="1"/>
    <s v="vpn (1mbps)"/>
    <m/>
    <n v="1"/>
    <n v="90000"/>
    <n v="90000"/>
    <s v="Monthly"/>
    <d v="2024-04-01T00:00:00"/>
    <x v="9"/>
    <x v="4"/>
    <n v="-269"/>
    <x v="1"/>
    <x v="4"/>
    <s v="Neza"/>
    <s v="dirinfosyscec@minadef.gov.rw"/>
    <n v="788315241"/>
    <m/>
    <m/>
    <m/>
  </r>
  <r>
    <s v="C001439"/>
    <x v="12"/>
    <s v="BMTC Nasho kf"/>
    <s v="Ngoma"/>
    <x v="0"/>
    <x v="3"/>
    <s v="VIP"/>
    <x v="0"/>
    <x v="0"/>
    <n v="1"/>
    <s v="vpn (1mbps)"/>
    <m/>
    <n v="1"/>
    <n v="90000"/>
    <n v="90000"/>
    <s v="Monthly"/>
    <d v="2024-04-01T00:00:00"/>
    <x v="9"/>
    <x v="4"/>
    <n v="-269"/>
    <x v="1"/>
    <x v="4"/>
    <s v="Neza"/>
    <s v="dirinfosyscec@minadef.gov.rw"/>
    <n v="788315241"/>
    <m/>
    <m/>
    <m/>
  </r>
  <r>
    <s v="C001439"/>
    <x v="12"/>
    <s v="Bigogwe kf"/>
    <s v="Nyabihu"/>
    <x v="0"/>
    <x v="3"/>
    <s v="VIP"/>
    <x v="0"/>
    <x v="0"/>
    <n v="1"/>
    <s v="VPN (1Mbps)"/>
    <m/>
    <n v="1"/>
    <n v="90000"/>
    <n v="90000"/>
    <s v="Monthly"/>
    <d v="2024-04-01T00:00:00"/>
    <x v="9"/>
    <x v="4"/>
    <n v="-269"/>
    <x v="1"/>
    <x v="4"/>
    <s v="Neza"/>
    <s v="dirinfosyscec@minadef.gov.rw"/>
    <n v="788315241"/>
    <m/>
    <m/>
    <m/>
  </r>
  <r>
    <s v="C001439"/>
    <x v="12"/>
    <s v="Nyagatare Barracks kf"/>
    <s v="Nyagatare"/>
    <x v="0"/>
    <x v="3"/>
    <s v="VIP"/>
    <x v="0"/>
    <x v="0"/>
    <n v="1"/>
    <s v="vpn (1mbps)"/>
    <m/>
    <n v="1"/>
    <n v="90000"/>
    <n v="90000"/>
    <s v="Monthly"/>
    <d v="2024-04-01T00:00:00"/>
    <x v="9"/>
    <x v="4"/>
    <n v="-269"/>
    <x v="1"/>
    <x v="4"/>
    <s v="Neza"/>
    <s v="dirinfosyscec@minadef.gov.rw"/>
    <n v="788315241"/>
    <m/>
    <m/>
    <m/>
  </r>
  <r>
    <s v="C001439"/>
    <x v="12"/>
    <s v="Nyamagabe Barracks kf"/>
    <s v="Nyamagabe"/>
    <x v="0"/>
    <x v="3"/>
    <s v="VIP"/>
    <x v="0"/>
    <x v="0"/>
    <n v="1"/>
    <s v="vpn (1mbps)"/>
    <m/>
    <n v="1"/>
    <n v="90000"/>
    <n v="90000"/>
    <s v="Monthly"/>
    <d v="2024-04-01T00:00:00"/>
    <x v="9"/>
    <x v="4"/>
    <n v="-269"/>
    <x v="1"/>
    <x v="4"/>
    <s v="Neza"/>
    <s v="dirinfosyscec@minadef.gov.rw"/>
    <n v="788315241"/>
    <m/>
    <m/>
    <m/>
  </r>
  <r>
    <s v="C001439"/>
    <x v="12"/>
    <s v="Rubavu Div kf"/>
    <s v="Rubavu"/>
    <x v="0"/>
    <x v="3"/>
    <s v="VIP"/>
    <x v="0"/>
    <x v="0"/>
    <n v="1"/>
    <s v="vpn (1mbps)"/>
    <m/>
    <n v="1"/>
    <n v="90000"/>
    <n v="90000"/>
    <s v="Monthly"/>
    <d v="2024-04-01T00:00:00"/>
    <x v="9"/>
    <x v="4"/>
    <n v="-269"/>
    <x v="1"/>
    <x v="4"/>
    <s v="Neza"/>
    <s v="dirinfosyscec@minadef.gov.rw"/>
    <n v="788315241"/>
    <m/>
    <m/>
    <m/>
  </r>
  <r>
    <s v="C001439"/>
    <x v="12"/>
    <s v="Rusizi Barracks kf"/>
    <s v="Rusizi"/>
    <x v="0"/>
    <x v="3"/>
    <s v="VIP"/>
    <x v="0"/>
    <x v="0"/>
    <n v="1"/>
    <s v="vpn (1mbps)"/>
    <m/>
    <n v="1"/>
    <n v="90000"/>
    <n v="90000"/>
    <s v="Monthly"/>
    <d v="2024-04-01T00:00:00"/>
    <x v="9"/>
    <x v="4"/>
    <n v="-269"/>
    <x v="1"/>
    <x v="4"/>
    <s v="Neza"/>
    <s v="dirinfosyscec@minadef.gov.rw"/>
    <n v="788315241"/>
    <m/>
    <m/>
    <m/>
  </r>
  <r>
    <s v="C001439"/>
    <x v="12"/>
    <s v="BDE HQ Military Barracks-Bugesera"/>
    <s v="Bugesera"/>
    <x v="0"/>
    <x v="3"/>
    <s v="VIP"/>
    <x v="0"/>
    <x v="0"/>
    <n v="3"/>
    <s v="VPN (3Mbps)"/>
    <m/>
    <n v="1"/>
    <n v="180000"/>
    <n v="180000"/>
    <s v="Monthly"/>
    <d v="2024-04-01T00:00:00"/>
    <x v="9"/>
    <x v="4"/>
    <n v="-269"/>
    <x v="1"/>
    <x v="4"/>
    <s v="Neza"/>
    <s v="dirinfosyscec@minadef.gov.rw"/>
    <n v="788315241"/>
    <m/>
    <m/>
    <m/>
  </r>
  <r>
    <s v="C001439"/>
    <x v="12"/>
    <s v="Motocloc Kibugabuga"/>
    <s v="Bugesera"/>
    <x v="0"/>
    <x v="3"/>
    <s v="VIP"/>
    <x v="0"/>
    <x v="0"/>
    <n v="1"/>
    <s v="vpn (1mbps)"/>
    <m/>
    <n v="1"/>
    <n v="90000"/>
    <n v="90000"/>
    <s v="Monthly"/>
    <d v="2024-04-01T00:00:00"/>
    <x v="9"/>
    <x v="4"/>
    <n v="-269"/>
    <x v="1"/>
    <x v="4"/>
    <s v="Neza"/>
    <s v="dirinfosyscec@minadef.gov.rw"/>
    <n v="788315241"/>
    <m/>
    <m/>
    <m/>
  </r>
  <r>
    <s v="C001439"/>
    <x v="12"/>
    <s v="HQ-RDF KF"/>
    <s v="Gasabo"/>
    <x v="0"/>
    <x v="3"/>
    <s v="VIP"/>
    <x v="0"/>
    <x v="0"/>
    <n v="1"/>
    <s v="vpn (1mbps)"/>
    <m/>
    <n v="1"/>
    <n v="90000"/>
    <n v="90000"/>
    <s v="Monthly"/>
    <d v="2024-04-01T00:00:00"/>
    <x v="9"/>
    <x v="4"/>
    <n v="-269"/>
    <x v="1"/>
    <x v="4"/>
    <s v="Neza"/>
    <s v="dirinfosyscec@minadef.gov.rw"/>
    <n v="788315241"/>
    <m/>
    <m/>
    <m/>
  </r>
  <r>
    <s v="C001439"/>
    <x v="12"/>
    <s v="Motocloc hq"/>
    <s v="Gasabo"/>
    <x v="0"/>
    <x v="3"/>
    <s v="VIP"/>
    <x v="0"/>
    <x v="0"/>
    <n v="1"/>
    <s v="vpn (1mbps)"/>
    <m/>
    <n v="1"/>
    <n v="90000"/>
    <n v="90000"/>
    <s v="Monthly"/>
    <d v="2024-04-01T00:00:00"/>
    <x v="9"/>
    <x v="4"/>
    <n v="-269"/>
    <x v="1"/>
    <x v="4"/>
    <s v="Neza"/>
    <s v="dirinfosyscec@minadef.gov.rw"/>
    <n v="788315241"/>
    <m/>
    <m/>
    <m/>
  </r>
  <r>
    <s v="C001439"/>
    <x v="12"/>
    <s v="MOD KF"/>
    <s v="Gasabo"/>
    <x v="0"/>
    <x v="3"/>
    <s v="VIP"/>
    <x v="0"/>
    <x v="0"/>
    <n v="1"/>
    <s v="vpn (1mbps)"/>
    <m/>
    <n v="1"/>
    <n v="90000"/>
    <n v="90000"/>
    <s v="Monthly"/>
    <d v="2024-04-01T00:00:00"/>
    <x v="9"/>
    <x v="4"/>
    <n v="-269"/>
    <x v="1"/>
    <x v="4"/>
    <s v="Neza"/>
    <s v="dirinfosyscec@minadef.gov.rw"/>
    <n v="788315241"/>
    <m/>
    <m/>
    <m/>
  </r>
  <r>
    <s v="C001439"/>
    <x v="12"/>
    <s v="MOD AD KF LINK"/>
    <s v="Gasabo"/>
    <x v="0"/>
    <x v="3"/>
    <s v="VIP"/>
    <x v="0"/>
    <x v="0"/>
    <n v="1"/>
    <s v="vpn (1mbps)"/>
    <m/>
    <n v="1"/>
    <n v="90000"/>
    <n v="90000"/>
    <s v="Monthly"/>
    <d v="2024-04-01T00:00:00"/>
    <x v="9"/>
    <x v="4"/>
    <n v="-269"/>
    <x v="1"/>
    <x v="4"/>
    <s v="Neza"/>
    <s v="dirinfosyscec@minadef.gov.rw"/>
    <n v="788315241"/>
    <n v="788315243"/>
    <m/>
    <m/>
  </r>
  <r>
    <s v="C001439"/>
    <x v="12"/>
    <s v="VPN LINK DCIC"/>
    <s v="Gasabo"/>
    <x v="0"/>
    <x v="3"/>
    <s v="VIP"/>
    <x v="0"/>
    <x v="0"/>
    <n v="3"/>
    <s v="VPN (3Mbps)"/>
    <m/>
    <n v="1"/>
    <n v="180000"/>
    <n v="180000"/>
    <s v="Monthly"/>
    <d v="2024-04-01T00:00:00"/>
    <x v="9"/>
    <x v="4"/>
    <n v="-269"/>
    <x v="1"/>
    <x v="4"/>
    <s v="Neza"/>
    <s v="dirinfosyscec@minadef.gov.rw"/>
    <n v="788315241"/>
    <m/>
    <m/>
    <m/>
  </r>
  <r>
    <s v="C001439"/>
    <x v="12"/>
    <s v="Motocloc Republican Guard"/>
    <s v="Gasabo"/>
    <x v="0"/>
    <x v="3"/>
    <s v="VIP"/>
    <x v="0"/>
    <x v="0"/>
    <n v="1"/>
    <s v="vpn (1mbps)"/>
    <m/>
    <n v="1"/>
    <n v="90000"/>
    <n v="90000"/>
    <s v="Monthly"/>
    <d v="2024-04-01T00:00:00"/>
    <x v="9"/>
    <x v="4"/>
    <n v="-269"/>
    <x v="1"/>
    <x v="4"/>
    <s v="Neza"/>
    <s v="dirinfosyscec@minadef.gov.rw"/>
    <n v="788315241"/>
    <m/>
    <m/>
    <m/>
  </r>
  <r>
    <s v="C001439"/>
    <x v="12"/>
    <s v="Motocloc Kami"/>
    <s v="Gasabo"/>
    <x v="0"/>
    <x v="3"/>
    <s v="VIP"/>
    <x v="0"/>
    <x v="0"/>
    <n v="1"/>
    <s v="vpn (1mbps)"/>
    <m/>
    <n v="1"/>
    <n v="90000"/>
    <n v="90000"/>
    <s v="Monthly"/>
    <d v="2024-04-01T00:00:00"/>
    <x v="9"/>
    <x v="4"/>
    <n v="-269"/>
    <x v="1"/>
    <x v="4"/>
    <s v="Neza"/>
    <s v="dirinfosyscec@minadef.gov.rw"/>
    <n v="788315241"/>
    <m/>
    <m/>
    <m/>
  </r>
  <r>
    <s v="C001439"/>
    <x v="12"/>
    <s v="Kibuye Barracks-Karongi"/>
    <s v="Karongi"/>
    <x v="0"/>
    <x v="3"/>
    <s v="VIP"/>
    <x v="0"/>
    <x v="0"/>
    <n v="3"/>
    <s v="VPN (3Mbps)"/>
    <m/>
    <n v="1"/>
    <n v="180000"/>
    <n v="180000"/>
    <s v="Monthly"/>
    <d v="2024-04-01T00:00:00"/>
    <x v="9"/>
    <x v="4"/>
    <n v="-269"/>
    <x v="1"/>
    <x v="4"/>
    <s v="Neza"/>
    <s v="dirinfosyscec@minadef.gov.rw"/>
    <n v="788315241"/>
    <m/>
    <m/>
    <m/>
  </r>
  <r>
    <s v="C001439"/>
    <x v="12"/>
    <s v="Mbare Military Barracks-Muhanga"/>
    <s v="Muhanga"/>
    <x v="0"/>
    <x v="3"/>
    <s v="VIP"/>
    <x v="0"/>
    <x v="0"/>
    <n v="3"/>
    <s v="VPN (3Mbps)"/>
    <m/>
    <n v="1"/>
    <n v="180000"/>
    <n v="180000"/>
    <s v="Monthly"/>
    <d v="2024-04-01T00:00:00"/>
    <x v="9"/>
    <x v="4"/>
    <n v="-269"/>
    <x v="1"/>
    <x v="4"/>
    <s v="Neza"/>
    <s v="dirinfosyscec@minadef.gov.rw"/>
    <n v="788315241"/>
    <m/>
    <m/>
    <m/>
  </r>
  <r>
    <s v="C001439"/>
    <x v="12"/>
    <s v="BDE HQ Military Barracks-Ngoma"/>
    <s v="Ngoma"/>
    <x v="0"/>
    <x v="3"/>
    <s v="VIP"/>
    <x v="0"/>
    <x v="0"/>
    <n v="3"/>
    <s v="VPN (3Mbps)"/>
    <m/>
    <n v="1"/>
    <n v="180000"/>
    <n v="180000"/>
    <s v="Monthly"/>
    <d v="2024-04-01T00:00:00"/>
    <x v="9"/>
    <x v="4"/>
    <n v="-269"/>
    <x v="1"/>
    <x v="4"/>
    <s v="Neza"/>
    <s v="dirinfosyscec@minadef.gov.rw"/>
    <n v="788315241"/>
    <m/>
    <m/>
    <m/>
  </r>
  <r>
    <s v="C001439"/>
    <x v="12"/>
    <s v="Mukamira Barracks-Nyabihu"/>
    <s v="Nyabihu"/>
    <x v="0"/>
    <x v="3"/>
    <s v="VIP"/>
    <x v="0"/>
    <x v="0"/>
    <n v="3"/>
    <s v="VPN (3Mbps)"/>
    <m/>
    <n v="1"/>
    <n v="180000"/>
    <n v="180000"/>
    <s v="Monthly"/>
    <d v="2024-04-01T00:00:00"/>
    <x v="9"/>
    <x v="4"/>
    <n v="-269"/>
    <x v="1"/>
    <x v="4"/>
    <s v="Neza"/>
    <s v="dirinfosyscec@minadef.gov.rw"/>
    <n v="788315241"/>
    <m/>
    <m/>
    <m/>
  </r>
  <r>
    <s v="C001439"/>
    <x v="12"/>
    <s v="Nyagatare Military Barracks"/>
    <s v="Nyagatare"/>
    <x v="0"/>
    <x v="3"/>
    <s v="VIP"/>
    <x v="0"/>
    <x v="0"/>
    <n v="3"/>
    <s v="VPN (3Mbps)"/>
    <m/>
    <n v="1"/>
    <n v="180000"/>
    <n v="180000"/>
    <s v="Monthly"/>
    <d v="2024-04-01T00:00:00"/>
    <x v="9"/>
    <x v="4"/>
    <n v="-269"/>
    <x v="1"/>
    <x v="4"/>
    <s v="Neza"/>
    <s v="dirinfosyscec@minadef.gov.rw"/>
    <n v="788315241"/>
    <m/>
    <m/>
    <m/>
  </r>
  <r>
    <s v="C001439"/>
    <x v="12"/>
    <s v="Military Barracks HQ-Nyamagabe"/>
    <s v="Nyamagabe"/>
    <x v="0"/>
    <x v="3"/>
    <s v="VIP"/>
    <x v="0"/>
    <x v="0"/>
    <n v="3"/>
    <s v="VPN (3Mbps)"/>
    <m/>
    <n v="1"/>
    <n v="180000"/>
    <n v="180000"/>
    <s v="Monthly"/>
    <d v="2024-04-01T00:00:00"/>
    <x v="9"/>
    <x v="4"/>
    <n v="-269"/>
    <x v="1"/>
    <x v="4"/>
    <s v="Neza"/>
    <s v="dirinfosyscec@minadef.gov.rw"/>
    <n v="788315241"/>
    <m/>
    <m/>
    <m/>
  </r>
  <r>
    <s v="C001439"/>
    <x v="12"/>
    <s v="MOD Kiyovu "/>
    <s v="Nyarugenge"/>
    <x v="0"/>
    <x v="3"/>
    <s v="VIP"/>
    <x v="0"/>
    <x v="0"/>
    <n v="3"/>
    <s v="VPN (3Mbps)"/>
    <m/>
    <n v="1"/>
    <n v="180000"/>
    <n v="180000"/>
    <s v="Monthly"/>
    <d v="2024-04-01T00:00:00"/>
    <x v="9"/>
    <x v="4"/>
    <n v="-269"/>
    <x v="1"/>
    <x v="4"/>
    <s v="Neza"/>
    <s v="dirinfosyscec@minadef.gov.rw"/>
    <n v="788315241"/>
    <m/>
    <m/>
    <m/>
  </r>
  <r>
    <s v="C001439"/>
    <x v="12"/>
    <s v="Motocloc Rubavu"/>
    <s v="Rubavu"/>
    <x v="0"/>
    <x v="3"/>
    <s v="VIP"/>
    <x v="0"/>
    <x v="0"/>
    <n v="1"/>
    <s v="vpn (1mbps)"/>
    <m/>
    <n v="1"/>
    <n v="90000"/>
    <n v="90000"/>
    <s v="Monthly"/>
    <d v="2024-04-01T00:00:00"/>
    <x v="9"/>
    <x v="4"/>
    <n v="-269"/>
    <x v="1"/>
    <x v="4"/>
    <s v="Neza"/>
    <s v="dirinfosyscec@minadef.gov.rw"/>
    <n v="788315241"/>
    <m/>
    <m/>
    <m/>
  </r>
  <r>
    <s v="C001439"/>
    <x v="12"/>
    <s v="Military Barracks HQ-Rusizi"/>
    <s v="Rusizi"/>
    <x v="0"/>
    <x v="3"/>
    <s v="VIP"/>
    <x v="0"/>
    <x v="0"/>
    <n v="3"/>
    <s v="VPN (3Mbps)"/>
    <m/>
    <n v="1"/>
    <n v="180000"/>
    <n v="180000"/>
    <s v="Monthly"/>
    <d v="2024-04-01T00:00:00"/>
    <x v="9"/>
    <x v="4"/>
    <n v="-269"/>
    <x v="1"/>
    <x v="4"/>
    <s v="Neza"/>
    <s v="dirinfosyscec@minadef.gov.rw"/>
    <n v="788315241"/>
    <m/>
    <m/>
    <m/>
  </r>
  <r>
    <s v="C001439"/>
    <x v="12"/>
    <s v="VPN Link RF Kacyiru"/>
    <s v="Gasabo"/>
    <x v="0"/>
    <x v="3"/>
    <s v="VIP"/>
    <x v="0"/>
    <x v="0"/>
    <n v="5"/>
    <s v="VPN (5 Mbps)"/>
    <m/>
    <n v="1"/>
    <n v="270000"/>
    <n v="270000"/>
    <s v="Monthly"/>
    <d v="2024-04-01T00:00:00"/>
    <x v="9"/>
    <x v="4"/>
    <n v="-269"/>
    <x v="1"/>
    <x v="4"/>
    <s v="Neza"/>
    <s v="dirinfosyscec@minadef.gov.rw"/>
    <n v="788315241"/>
    <m/>
    <m/>
    <m/>
  </r>
  <r>
    <s v="C001439"/>
    <x v="12"/>
    <s v="MOD (Airforce) -Kimihurura"/>
    <s v="Gasabo"/>
    <x v="0"/>
    <x v="3"/>
    <s v="VIP"/>
    <x v="0"/>
    <x v="0"/>
    <n v="10"/>
    <s v="FIBER VPN 10MBPS"/>
    <m/>
    <n v="1"/>
    <n v="510000"/>
    <n v="510000"/>
    <s v="Monthly"/>
    <d v="2024-04-01T00:00:00"/>
    <x v="9"/>
    <x v="4"/>
    <n v="-269"/>
    <x v="1"/>
    <x v="4"/>
    <s v="Neza"/>
    <s v="dirinfosyscec@minadef.gov.rw"/>
    <n v="788315241"/>
    <m/>
    <m/>
    <m/>
  </r>
  <r>
    <s v="C001439"/>
    <x v="12"/>
    <s v="MOD -Supply Regt"/>
    <s v="Gasabo"/>
    <x v="0"/>
    <x v="3"/>
    <s v="VIP"/>
    <x v="0"/>
    <x v="0"/>
    <n v="5"/>
    <s v="vpn (5mbps)"/>
    <m/>
    <n v="1"/>
    <n v="270000"/>
    <n v="270000"/>
    <s v="Monthly"/>
    <d v="2024-04-01T00:00:00"/>
    <x v="9"/>
    <x v="4"/>
    <n v="-269"/>
    <x v="1"/>
    <x v="4"/>
    <s v="Neza"/>
    <s v="dirinfosyscec@minadef.gov.rw"/>
    <n v="788315241"/>
    <m/>
    <m/>
    <m/>
  </r>
  <r>
    <s v="C001439"/>
    <x v="12"/>
    <s v="IG-RUGANDO"/>
    <s v="Gasabo"/>
    <x v="0"/>
    <x v="3"/>
    <s v="VIP"/>
    <x v="0"/>
    <x v="0"/>
    <n v="5"/>
    <s v="VPN (5MBPS)"/>
    <m/>
    <n v="1"/>
    <n v="270000"/>
    <n v="270000"/>
    <s v="Monthly"/>
    <d v="2024-04-01T00:00:00"/>
    <x v="9"/>
    <x v="4"/>
    <n v="-269"/>
    <x v="1"/>
    <x v="4"/>
    <s v="Neza"/>
    <s v="dirinfosyscec@minadef.gov.rw"/>
    <n v="788315241"/>
    <m/>
    <m/>
    <m/>
  </r>
  <r>
    <s v="C001439"/>
    <x v="12"/>
    <s v="Tumba Military Barracks – Huye"/>
    <s v="Huye"/>
    <x v="0"/>
    <x v="3"/>
    <s v="VIP"/>
    <x v="0"/>
    <x v="0"/>
    <n v="5"/>
    <s v="VPN (5Mbps)"/>
    <m/>
    <n v="1"/>
    <n v="270000"/>
    <n v="270000"/>
    <s v="Monthly"/>
    <d v="2024-04-01T00:00:00"/>
    <x v="9"/>
    <x v="4"/>
    <n v="-269"/>
    <x v="1"/>
    <x v="4"/>
    <s v="Neza"/>
    <s v="dirinfosyscec@minadef.gov.rw"/>
    <n v="788315241"/>
    <m/>
    <m/>
    <m/>
  </r>
  <r>
    <s v="C001439"/>
    <x v="12"/>
    <s v="Kanombe Air Force Base"/>
    <s v="Kicukiro"/>
    <x v="0"/>
    <x v="3"/>
    <s v="VIP"/>
    <x v="0"/>
    <x v="0"/>
    <n v="5"/>
    <s v="VPN (5Mbps)"/>
    <m/>
    <n v="1"/>
    <n v="270000"/>
    <n v="270000"/>
    <s v="Monthly"/>
    <d v="2024-04-01T00:00:00"/>
    <x v="9"/>
    <x v="4"/>
    <n v="-269"/>
    <x v="1"/>
    <x v="4"/>
    <s v="Neza"/>
    <s v="dirinfosyscec@minadef.gov.rw"/>
    <n v="788315241"/>
    <m/>
    <m/>
    <m/>
  </r>
  <r>
    <s v="C001439"/>
    <x v="12"/>
    <s v="Kanombe Airforce Base Office"/>
    <s v="Kicukiro"/>
    <x v="0"/>
    <x v="3"/>
    <s v="VIP"/>
    <x v="0"/>
    <x v="0"/>
    <n v="5"/>
    <s v="vpn (5mbps)"/>
    <m/>
    <n v="1"/>
    <n v="270000"/>
    <n v="270000"/>
    <s v="Monthly"/>
    <d v="2024-04-01T00:00:00"/>
    <x v="9"/>
    <x v="4"/>
    <n v="-269"/>
    <x v="1"/>
    <x v="4"/>
    <s v="Neza"/>
    <s v="dirinfosyscec@minadef.gov.rw"/>
    <n v="788315241"/>
    <m/>
    <m/>
    <m/>
  </r>
  <r>
    <s v="C001439"/>
    <x v="12"/>
    <s v="WB Brigade "/>
    <s v="Kicukiro"/>
    <x v="0"/>
    <x v="3"/>
    <s v="VIP"/>
    <x v="0"/>
    <x v="0"/>
    <n v="5"/>
    <s v="vpn (5mbps)"/>
    <m/>
    <n v="1"/>
    <n v="270000"/>
    <n v="270000"/>
    <s v="Monthly"/>
    <d v="2024-04-01T00:00:00"/>
    <x v="9"/>
    <x v="4"/>
    <n v="-269"/>
    <x v="1"/>
    <x v="4"/>
    <s v="Neza"/>
    <s v="dirinfosyscec@minadef.gov.rw"/>
    <n v="788315241"/>
    <m/>
    <m/>
    <m/>
  </r>
  <r>
    <s v="C001439"/>
    <x v="12"/>
    <s v="Musanze Barracks Div"/>
    <s v="Musanze"/>
    <x v="0"/>
    <x v="3"/>
    <s v="VIP"/>
    <x v="0"/>
    <x v="0"/>
    <n v="5"/>
    <s v="VPN (5Mbps)"/>
    <m/>
    <n v="1"/>
    <n v="270000"/>
    <n v="270000"/>
    <s v="Monthly"/>
    <d v="2024-04-01T00:00:00"/>
    <x v="9"/>
    <x v="4"/>
    <n v="-269"/>
    <x v="1"/>
    <x v="4"/>
    <s v="Neza"/>
    <s v="dirinfosyscec@minadef.gov.rw"/>
    <n v="788315241"/>
    <m/>
    <m/>
    <m/>
  </r>
  <r>
    <s v="C001439"/>
    <x v="12"/>
    <s v="Bigogwe Barracks"/>
    <s v="Nyabihu"/>
    <x v="0"/>
    <x v="3"/>
    <s v="VIP"/>
    <x v="0"/>
    <x v="0"/>
    <n v="5"/>
    <s v="VPN (5Mbps)"/>
    <m/>
    <n v="1"/>
    <n v="270000"/>
    <n v="270000"/>
    <s v="Monthly"/>
    <d v="2024-04-01T00:00:00"/>
    <x v="9"/>
    <x v="4"/>
    <n v="-269"/>
    <x v="1"/>
    <x v="4"/>
    <s v="Neza"/>
    <s v="dirinfosyscec@minadef.gov.rw"/>
    <n v="788315241"/>
    <m/>
    <m/>
    <m/>
  </r>
  <r>
    <s v="C001439"/>
    <x v="12"/>
    <s v="Gabiro Airbase Airport"/>
    <s v="Nyagatare"/>
    <x v="0"/>
    <x v="3"/>
    <s v="VIP"/>
    <x v="0"/>
    <x v="0"/>
    <n v="5"/>
    <s v="FIBER VPN 5MBPS"/>
    <m/>
    <n v="1"/>
    <n v="270000"/>
    <n v="270000"/>
    <s v="Monthly"/>
    <d v="2024-04-01T00:00:00"/>
    <x v="9"/>
    <x v="4"/>
    <n v="-269"/>
    <x v="1"/>
    <x v="4"/>
    <s v="Neza"/>
    <s v="dirinfosyscec@minadef.gov.rw"/>
    <n v="788315241"/>
    <m/>
    <m/>
    <m/>
  </r>
  <r>
    <s v="C001439"/>
    <x v="12"/>
    <s v="Rubavu Barracks (Div HQ)"/>
    <s v="Rubavu"/>
    <x v="0"/>
    <x v="3"/>
    <s v="VIP"/>
    <x v="0"/>
    <x v="0"/>
    <n v="5"/>
    <s v="VPN (5Mbps)"/>
    <m/>
    <n v="1"/>
    <n v="270000"/>
    <n v="270000"/>
    <s v="Monthly"/>
    <d v="2024-04-01T00:00:00"/>
    <x v="9"/>
    <x v="4"/>
    <n v="-269"/>
    <x v="1"/>
    <x v="4"/>
    <s v="Neza"/>
    <s v="dirinfosyscec@minadef.gov.rw"/>
    <n v="788315241"/>
    <m/>
    <m/>
    <m/>
  </r>
  <r>
    <s v="C001439"/>
    <x v="12"/>
    <s v="Mayange Training Center"/>
    <s v="Bugesera"/>
    <x v="0"/>
    <x v="3"/>
    <s v="VIP"/>
    <x v="0"/>
    <x v="0"/>
    <n v="10"/>
    <s v="VPN (10 Mbps)"/>
    <m/>
    <n v="1"/>
    <n v="510000"/>
    <n v="510000"/>
    <s v="Monthly"/>
    <d v="2024-04-01T00:00:00"/>
    <x v="9"/>
    <x v="4"/>
    <n v="-269"/>
    <x v="1"/>
    <x v="4"/>
    <s v="Neza"/>
    <s v="dirinfosyscec@minadef.gov.rw"/>
    <n v="788315241"/>
    <m/>
    <m/>
    <m/>
  </r>
  <r>
    <s v="C001439"/>
    <x v="12"/>
    <s v="Kami Barracks"/>
    <s v="Gasabo"/>
    <x v="0"/>
    <x v="3"/>
    <s v="VIP"/>
    <x v="0"/>
    <x v="0"/>
    <n v="5"/>
    <s v="VPN (5Mbps)"/>
    <m/>
    <n v="1"/>
    <n v="270000"/>
    <n v="270000"/>
    <s v="Monthly"/>
    <d v="2024-04-01T00:00:00"/>
    <x v="9"/>
    <x v="4"/>
    <n v="-269"/>
    <x v="1"/>
    <x v="4"/>
    <s v="Neza"/>
    <s v="dirinfosyscec@minadef.gov.rw"/>
    <n v="788315241"/>
    <m/>
    <m/>
    <m/>
  </r>
  <r>
    <s v="C001439"/>
    <x v="12"/>
    <s v="SOM"/>
    <s v="Gasabo"/>
    <x v="0"/>
    <x v="3"/>
    <s v="VIP"/>
    <x v="0"/>
    <x v="0"/>
    <n v="10"/>
    <s v="VPN (10 Mbps)"/>
    <m/>
    <n v="1"/>
    <n v="510000"/>
    <n v="510000"/>
    <s v="Monthly"/>
    <d v="2024-04-01T00:00:00"/>
    <x v="9"/>
    <x v="4"/>
    <n v="-269"/>
    <x v="1"/>
    <x v="4"/>
    <s v="Neza"/>
    <s v="dirinfosyscec@minadef.gov.rw"/>
    <n v="788315241"/>
    <m/>
    <m/>
    <m/>
  </r>
  <r>
    <s v="C001439"/>
    <x v="12"/>
    <s v="Internet link RF Kacyiru"/>
    <s v="Gasabo"/>
    <x v="0"/>
    <x v="3"/>
    <s v="VIP"/>
    <x v="0"/>
    <x v="0"/>
    <n v="10"/>
    <s v="FIBER VPN 10MBPS"/>
    <m/>
    <n v="1"/>
    <n v="510000"/>
    <n v="510000"/>
    <s v="Monthly"/>
    <d v="2024-04-01T00:00:00"/>
    <x v="9"/>
    <x v="4"/>
    <n v="-269"/>
    <x v="1"/>
    <x v="4"/>
    <s v="Neza"/>
    <s v="dirinfosyscec@minadef.gov.rw"/>
    <n v="788315241"/>
    <m/>
    <m/>
    <m/>
  </r>
  <r>
    <s v="C001439"/>
    <x v="12"/>
    <s v="Telecom to MOD"/>
    <s v="Gasabo"/>
    <x v="0"/>
    <x v="3"/>
    <s v="VIP"/>
    <x v="0"/>
    <x v="0"/>
    <n v="10"/>
    <s v="VPN (10MBPS)"/>
    <m/>
    <n v="1"/>
    <n v="510000"/>
    <n v="510000"/>
    <s v="Monthly"/>
    <d v="2024-04-01T00:00:00"/>
    <x v="9"/>
    <x v="4"/>
    <n v="-269"/>
    <x v="1"/>
    <x v="4"/>
    <s v="Neza"/>
    <s v="dirinfosyscec@minadef.gov.rw"/>
    <n v="788315241"/>
    <m/>
    <m/>
    <m/>
  </r>
  <r>
    <s v="C001439"/>
    <x v="12"/>
    <s v="Military High Court"/>
    <s v="Kicukiro"/>
    <x v="0"/>
    <x v="3"/>
    <s v="VIP"/>
    <x v="0"/>
    <x v="0"/>
    <n v="10"/>
    <s v="vpn (10mbps)"/>
    <m/>
    <n v="1"/>
    <n v="510000"/>
    <n v="510000"/>
    <s v="Monthly"/>
    <d v="2024-04-01T00:00:00"/>
    <x v="9"/>
    <x v="4"/>
    <n v="-269"/>
    <x v="1"/>
    <x v="4"/>
    <s v="Neza"/>
    <s v="dirinfosyscec@minadef.gov.rw"/>
    <n v="788315241"/>
    <m/>
    <m/>
    <m/>
  </r>
  <r>
    <s v="C001439"/>
    <x v="12"/>
    <s v="Kanombe Mech"/>
    <s v="Kicukiro"/>
    <x v="0"/>
    <x v="3"/>
    <s v="VIP"/>
    <x v="0"/>
    <x v="0"/>
    <n v="5"/>
    <s v="vpn (5mbps)"/>
    <m/>
    <n v="1"/>
    <n v="270000"/>
    <n v="270000"/>
    <s v="Monthly"/>
    <d v="2024-04-01T00:00:00"/>
    <x v="9"/>
    <x v="4"/>
    <n v="-269"/>
    <x v="1"/>
    <x v="4"/>
    <s v="Neza"/>
    <s v="dirinfosyscec@minadef.gov.rw"/>
    <n v="788315241"/>
    <m/>
    <m/>
    <m/>
  </r>
  <r>
    <s v="C001439"/>
    <x v="12"/>
    <s v="Rwanda Peace Academy – Nyakinama"/>
    <s v="Musanze"/>
    <x v="0"/>
    <x v="3"/>
    <s v="VIP"/>
    <x v="0"/>
    <x v="0"/>
    <n v="10"/>
    <s v="FIBER VPN 10MBPS"/>
    <m/>
    <n v="1"/>
    <n v="510000"/>
    <n v="510000"/>
    <s v="Monthly"/>
    <d v="2024-04-01T00:00:00"/>
    <x v="9"/>
    <x v="4"/>
    <n v="-269"/>
    <x v="1"/>
    <x v="4"/>
    <s v="Neza"/>
    <s v="dirinfosyscec@minadef.gov.rw"/>
    <n v="788315241"/>
    <m/>
    <m/>
    <m/>
  </r>
  <r>
    <s v="C001439"/>
    <x v="12"/>
    <s v="MOD Nyanza Airforce"/>
    <s v="Nyanza"/>
    <x v="0"/>
    <x v="3"/>
    <s v="VIP"/>
    <x v="0"/>
    <x v="0"/>
    <n v="5"/>
    <s v="FIBER VPN 5MBPS"/>
    <m/>
    <n v="1"/>
    <n v="270000"/>
    <n v="270000"/>
    <s v="Monthly"/>
    <d v="2024-04-01T00:00:00"/>
    <x v="9"/>
    <x v="4"/>
    <n v="-269"/>
    <x v="1"/>
    <x v="4"/>
    <s v="Neza"/>
    <s v="dirinfosyscec@minadef.gov.rw"/>
    <n v="788315241"/>
    <m/>
    <m/>
    <m/>
  </r>
  <r>
    <s v="C001439"/>
    <x v="12"/>
    <s v=" Shyorongi AD"/>
    <s v="Rulindo"/>
    <x v="0"/>
    <x v="3"/>
    <s v="VIP"/>
    <x v="0"/>
    <x v="0"/>
    <n v="5"/>
    <s v="FIBER VPN 5MBPS"/>
    <m/>
    <n v="1"/>
    <n v="270000"/>
    <n v="270000"/>
    <s v="Monthly"/>
    <d v="2024-04-01T00:00:00"/>
    <x v="9"/>
    <x v="4"/>
    <n v="-269"/>
    <x v="1"/>
    <x v="4"/>
    <s v="Neza"/>
    <s v="dirinfosyscec@minadef.gov.rw"/>
    <n v="788315241"/>
    <m/>
    <m/>
    <m/>
  </r>
  <r>
    <s v="C001439"/>
    <x v="12"/>
    <s v="Gabiro Airbase-Accommodation"/>
    <s v="Gatsibo"/>
    <x v="0"/>
    <x v="3"/>
    <s v="VIP"/>
    <x v="0"/>
    <x v="0"/>
    <n v="15"/>
    <s v="vpn (15mbps)"/>
    <m/>
    <n v="1"/>
    <n v="720000"/>
    <n v="720000"/>
    <s v="Monthly"/>
    <d v="2024-04-01T00:00:00"/>
    <x v="9"/>
    <x v="4"/>
    <n v="-269"/>
    <x v="1"/>
    <x v="4"/>
    <s v="Neza"/>
    <s v="dirinfosyscec@minadef.gov.rw"/>
    <n v="788315241"/>
    <m/>
    <m/>
    <m/>
  </r>
  <r>
    <s v="C001439"/>
    <x v="12"/>
    <s v="Engineering HQ-Rebero"/>
    <s v="Kicukiro"/>
    <x v="0"/>
    <x v="3"/>
    <s v="VIP"/>
    <x v="0"/>
    <x v="0"/>
    <n v="30"/>
    <s v="VPN (30Mbps)"/>
    <m/>
    <n v="1"/>
    <n v="1260000"/>
    <n v="1260000"/>
    <s v="Monthly"/>
    <d v="2024-04-01T00:00:00"/>
    <x v="9"/>
    <x v="4"/>
    <n v="-269"/>
    <x v="1"/>
    <x v="4"/>
    <s v="Neza"/>
    <s v="dirinfosyscec@minadef.gov.rw"/>
    <n v="788315241"/>
    <m/>
    <m/>
    <m/>
  </r>
  <r>
    <s v="C001439"/>
    <x v="12"/>
    <s v="BMTC NASHO"/>
    <s v="Kirehe"/>
    <x v="0"/>
    <x v="3"/>
    <s v="VIP"/>
    <x v="0"/>
    <x v="0"/>
    <n v="15"/>
    <s v="VPN (15Mbps) "/>
    <m/>
    <n v="1"/>
    <n v="720000"/>
    <n v="720000"/>
    <s v="Monthly"/>
    <d v="2024-04-01T00:00:00"/>
    <x v="9"/>
    <x v="4"/>
    <n v="-269"/>
    <x v="1"/>
    <x v="4"/>
    <s v="Neza"/>
    <s v="dirinfosyscec@minadef.gov.rw"/>
    <n v="788315241"/>
    <m/>
    <m/>
    <m/>
  </r>
  <r>
    <s v="C001439"/>
    <x v="12"/>
    <s v="MOD-Separate Link"/>
    <s v="Gasabo"/>
    <x v="0"/>
    <x v="3"/>
    <s v="VIP"/>
    <x v="0"/>
    <x v="0"/>
    <n v="20"/>
    <s v="VPN (20Mbps)"/>
    <m/>
    <n v="1"/>
    <n v="900000"/>
    <n v="900000"/>
    <s v="Monthly"/>
    <d v="2024-04-01T00:00:00"/>
    <x v="9"/>
    <x v="4"/>
    <n v="-269"/>
    <x v="1"/>
    <x v="4"/>
    <s v="Neza"/>
    <s v="dirinfosyscec@minadef.gov.rw"/>
    <n v="788315241"/>
    <m/>
    <m/>
    <m/>
  </r>
  <r>
    <s v="C001439"/>
    <x v="12"/>
    <s v="Republican Guard "/>
    <s v="Gasabo"/>
    <x v="0"/>
    <x v="3"/>
    <s v="VIP"/>
    <x v="0"/>
    <x v="0"/>
    <n v="30"/>
    <s v="VPN (30Mbps)"/>
    <m/>
    <n v="1"/>
    <n v="1260000"/>
    <n v="1260000"/>
    <s v="Monthly"/>
    <d v="2024-04-01T00:00:00"/>
    <x v="9"/>
    <x v="4"/>
    <n v="-269"/>
    <x v="1"/>
    <x v="4"/>
    <s v="Neza"/>
    <s v="dirinfosyscec@minadef.gov.rw"/>
    <n v="788315241"/>
    <m/>
    <m/>
    <m/>
  </r>
  <r>
    <s v="C001439"/>
    <x v="12"/>
    <s v="Rebero DRD"/>
    <s v="Kicukiro"/>
    <x v="0"/>
    <x v="3"/>
    <s v="VIP"/>
    <x v="0"/>
    <x v="0"/>
    <n v="30"/>
    <s v="VPN (30MBPS)"/>
    <m/>
    <n v="1"/>
    <n v="1260000"/>
    <n v="1260000"/>
    <s v="Monthly"/>
    <d v="2024-04-01T00:00:00"/>
    <x v="9"/>
    <x v="4"/>
    <n v="-269"/>
    <x v="1"/>
    <x v="4"/>
    <s v="Neza"/>
    <s v="dirinfosyscec@minadef.gov.rw"/>
    <n v="788315241"/>
    <m/>
    <m/>
    <m/>
  </r>
  <r>
    <s v="C001439"/>
    <x v="12"/>
    <s v="CTC Gabiro"/>
    <s v="Nyagatare"/>
    <x v="0"/>
    <x v="3"/>
    <s v="VIP"/>
    <x v="0"/>
    <x v="0"/>
    <n v="80"/>
    <s v="FIBER VPN 80MBPS"/>
    <m/>
    <n v="1"/>
    <n v="2199576"/>
    <n v="2199576"/>
    <s v="Monthly"/>
    <d v="2024-04-01T00:00:00"/>
    <x v="9"/>
    <x v="4"/>
    <n v="-269"/>
    <x v="1"/>
    <x v="4"/>
    <s v="Neza"/>
    <s v="dirinfosyscec@minadef.gov.rw"/>
    <n v="788315241"/>
    <m/>
    <m/>
    <m/>
  </r>
  <r>
    <s v="C001439"/>
    <x v="12"/>
    <s v="Nyakinama Military Academy-Musanze"/>
    <s v="Musanze"/>
    <x v="0"/>
    <x v="3"/>
    <s v="VIP"/>
    <x v="0"/>
    <x v="0"/>
    <n v="50"/>
    <s v="VPN (50Mbps)"/>
    <m/>
    <n v="1"/>
    <n v="1800000"/>
    <n v="1800000"/>
    <s v="Monthly"/>
    <d v="2024-04-01T00:00:00"/>
    <x v="9"/>
    <x v="4"/>
    <n v="-269"/>
    <x v="1"/>
    <x v="4"/>
    <s v="Neza"/>
    <s v="dirinfosyscec@minadef.gov.rw"/>
    <n v="788315241"/>
    <m/>
    <m/>
    <m/>
  </r>
  <r>
    <s v="C001439"/>
    <x v="12"/>
    <s v="MOD HQ"/>
    <s v="Gasabo"/>
    <x v="0"/>
    <x v="3"/>
    <s v="VIP"/>
    <x v="0"/>
    <x v="0"/>
    <n v="200"/>
    <s v="VPN (200Mbps)"/>
    <m/>
    <n v="1"/>
    <n v="7178000"/>
    <n v="7178000"/>
    <s v="Monthly"/>
    <d v="2024-04-01T00:00:00"/>
    <x v="9"/>
    <x v="4"/>
    <n v="-269"/>
    <x v="1"/>
    <x v="4"/>
    <s v="Neza"/>
    <s v="dirinfosyscec@minadef.gov.rw"/>
    <n v="788315241"/>
    <m/>
    <m/>
    <m/>
  </r>
  <r>
    <s v="C001439"/>
    <x v="12"/>
    <s v="Rwanda Military Academy-Bugesera"/>
    <s v="Bugesera"/>
    <x v="0"/>
    <x v="3"/>
    <s v="VIP"/>
    <x v="0"/>
    <x v="0"/>
    <n v="180"/>
    <s v="VPN (180Mbps)"/>
    <m/>
    <n v="1"/>
    <n v="6660000"/>
    <n v="6660000"/>
    <s v="Monthly"/>
    <d v="2024-04-01T00:00:00"/>
    <x v="9"/>
    <x v="4"/>
    <n v="-269"/>
    <x v="1"/>
    <x v="4"/>
    <s v="Neza"/>
    <s v="dirinfosyscec@minadef.gov.rw"/>
    <n v="788315241"/>
    <m/>
    <m/>
    <m/>
  </r>
  <r>
    <s v="C001439"/>
    <x v="12"/>
    <s v="Video Conference service"/>
    <s v="Gasabo"/>
    <x v="0"/>
    <x v="3"/>
    <s v="VIP"/>
    <x v="1"/>
    <x v="10"/>
    <m/>
    <s v="vc"/>
    <m/>
    <n v="1"/>
    <n v="258044.9152542373"/>
    <n v="258044.9152542373"/>
    <s v="Monthly"/>
    <d v="2024-04-01T00:00:00"/>
    <x v="9"/>
    <x v="4"/>
    <n v="-269"/>
    <x v="1"/>
    <x v="4"/>
    <s v="Neza"/>
    <s v="dirinfosyscec@minadef.gov.rw"/>
    <n v="788315241"/>
    <m/>
    <m/>
    <m/>
  </r>
  <r>
    <s v="C001439"/>
    <x v="12"/>
    <s v="Rebero-Kacyiru-Dark Fiber"/>
    <s v="Kicukiro"/>
    <x v="0"/>
    <x v="3"/>
    <s v="VIP"/>
    <x v="0"/>
    <x v="2"/>
    <m/>
    <s v="Dark Fiber Lease  "/>
    <n v="14.11"/>
    <n v="1"/>
    <m/>
    <m/>
    <s v="Monthly"/>
    <d v="2024-04-01T00:00:00"/>
    <x v="9"/>
    <x v="4"/>
    <n v="-269"/>
    <x v="1"/>
    <x v="4"/>
    <s v="Neza"/>
    <s v="dirinfosyscec@minadef.gov.rw"/>
    <n v="788315241"/>
    <m/>
    <m/>
    <m/>
  </r>
  <r>
    <s v="C001439"/>
    <x v="12"/>
    <s v="Airforce Busanza"/>
    <s v="Kicukiro"/>
    <x v="0"/>
    <x v="3"/>
    <s v="VIP"/>
    <x v="0"/>
    <x v="0"/>
    <n v="5"/>
    <s v="VPN (5Mbps)"/>
    <m/>
    <n v="1"/>
    <n v="270000"/>
    <n v="270000"/>
    <s v="Monthly"/>
    <d v="2024-04-01T00:00:00"/>
    <x v="9"/>
    <x v="4"/>
    <n v="-269"/>
    <x v="1"/>
    <x v="4"/>
    <s v="Neza"/>
    <s v="dirinfosyscec@minadef.gov.rw"/>
    <n v="788315241"/>
    <m/>
    <m/>
    <m/>
  </r>
  <r>
    <s v="C001439"/>
    <x v="12"/>
    <s v="Motocloc Kacyiru"/>
    <s v="Gasabo"/>
    <x v="0"/>
    <x v="3"/>
    <s v="VIP"/>
    <x v="0"/>
    <x v="0"/>
    <n v="1"/>
    <s v="VPN (1Mbps)"/>
    <m/>
    <n v="1"/>
    <n v="90000"/>
    <n v="90000"/>
    <s v="Monthly"/>
    <d v="2024-04-01T00:00:00"/>
    <x v="9"/>
    <x v="4"/>
    <n v="-269"/>
    <x v="1"/>
    <x v="4"/>
    <s v="Neza"/>
    <s v="dirinfosyscec@minadef.gov.rw"/>
    <n v="788315241"/>
    <m/>
    <m/>
    <m/>
  </r>
  <r>
    <s v="C001439"/>
    <x v="12"/>
    <s v="Kanombe Military Police"/>
    <s v="Kicukiro"/>
    <x v="0"/>
    <x v="3"/>
    <s v="VIP"/>
    <x v="0"/>
    <x v="0"/>
    <n v="5"/>
    <s v="VPN (5Mbps)"/>
    <m/>
    <n v="1"/>
    <n v="270000"/>
    <n v="270000"/>
    <s v="Monthly"/>
    <d v="2024-04-01T00:00:00"/>
    <x v="9"/>
    <x v="4"/>
    <n v="-269"/>
    <x v="1"/>
    <x v="4"/>
    <s v="Neza"/>
    <s v="dirinfosyscec@minadef.gov.rw"/>
    <n v="788315241"/>
    <m/>
    <m/>
    <m/>
  </r>
  <r>
    <s v="C001439"/>
    <x v="12"/>
    <s v="Engineering HQ kf"/>
    <s v="Kicukiro"/>
    <x v="0"/>
    <x v="3"/>
    <s v="VIP"/>
    <x v="0"/>
    <x v="0"/>
    <n v="1"/>
    <s v="VPN (1Mbps)"/>
    <m/>
    <n v="1"/>
    <n v="90000"/>
    <n v="90000"/>
    <s v="Monthly"/>
    <d v="2024-04-01T00:00:00"/>
    <x v="9"/>
    <x v="4"/>
    <n v="-269"/>
    <x v="1"/>
    <x v="4"/>
    <s v="Neza"/>
    <s v="dirinfosyscec@minadef.gov.rw"/>
    <n v="788315241"/>
    <m/>
    <m/>
    <m/>
  </r>
  <r>
    <s v="C001439"/>
    <x v="12"/>
    <s v="Rebero DRD VOIP"/>
    <s v="Kicukiro"/>
    <x v="0"/>
    <x v="3"/>
    <s v="VIP"/>
    <x v="0"/>
    <x v="0"/>
    <n v="3"/>
    <s v="VPN (3Mbps)"/>
    <m/>
    <n v="1"/>
    <n v="180000"/>
    <n v="180000"/>
    <s v="Monthly"/>
    <d v="2024-04-01T00:00:00"/>
    <x v="9"/>
    <x v="4"/>
    <n v="-269"/>
    <x v="1"/>
    <x v="4"/>
    <s v="Neza"/>
    <s v="dirinfosyscec@minadef.gov.rw"/>
    <n v="788315241"/>
    <m/>
    <m/>
    <m/>
  </r>
  <r>
    <s v="C001439"/>
    <x v="12"/>
    <s v="Gicumbi Barracks"/>
    <s v="Gicumbi"/>
    <x v="0"/>
    <x v="3"/>
    <s v="VIP"/>
    <x v="0"/>
    <x v="0"/>
    <n v="3"/>
    <s v="VPN (3Mbps)"/>
    <m/>
    <n v="1"/>
    <n v="180000"/>
    <n v="180000"/>
    <s v="Monthly"/>
    <d v="2024-04-01T00:00:00"/>
    <x v="9"/>
    <x v="4"/>
    <n v="-269"/>
    <x v="1"/>
    <x v="4"/>
    <s v="Neza"/>
    <s v="dirinfosyscec@minadef.gov.rw"/>
    <n v="788315241"/>
    <m/>
    <m/>
    <m/>
  </r>
  <r>
    <s v="C001439"/>
    <x v="12"/>
    <s v="Rubavu Bde kf"/>
    <s v="Rubavu"/>
    <x v="0"/>
    <x v="3"/>
    <s v="VIP"/>
    <x v="0"/>
    <x v="0"/>
    <n v="1"/>
    <s v="VPN (1Mbps)"/>
    <m/>
    <n v="1"/>
    <n v="90000"/>
    <n v="90000"/>
    <s v="Monthly"/>
    <d v="2024-04-01T00:00:00"/>
    <x v="9"/>
    <x v="4"/>
    <n v="-269"/>
    <x v="1"/>
    <x v="4"/>
    <s v="Neza"/>
    <s v="dirinfosyscec@minadef.gov.rw"/>
    <n v="788315241"/>
    <m/>
    <m/>
    <m/>
  </r>
  <r>
    <s v="C001439"/>
    <x v="12"/>
    <s v="Motocloc Rubavu"/>
    <s v="Rubavu"/>
    <x v="0"/>
    <x v="3"/>
    <s v="VIP"/>
    <x v="0"/>
    <x v="0"/>
    <n v="1"/>
    <s v="VPN (1Mbps)"/>
    <m/>
    <n v="1"/>
    <n v="90000"/>
    <n v="90000"/>
    <s v="Monthly"/>
    <d v="2024-04-01T00:00:00"/>
    <x v="9"/>
    <x v="4"/>
    <n v="-269"/>
    <x v="1"/>
    <x v="4"/>
    <s v="Neza"/>
    <s v="dirinfosyscec@minadef.gov.rw"/>
    <n v="788315241"/>
    <m/>
    <m/>
    <m/>
  </r>
  <r>
    <s v="C001439"/>
    <x v="12"/>
    <s v="CSC VOIP Nyakinama"/>
    <s v="Musanze"/>
    <x v="0"/>
    <x v="3"/>
    <s v="VIP"/>
    <x v="0"/>
    <x v="0"/>
    <n v="5"/>
    <s v="VPN (5Mbps)"/>
    <m/>
    <n v="1"/>
    <n v="270000"/>
    <n v="270000"/>
    <s v="Monthly"/>
    <d v="2024-04-01T00:00:00"/>
    <x v="9"/>
    <x v="4"/>
    <n v="-269"/>
    <x v="1"/>
    <x v="4"/>
    <s v="Neza"/>
    <s v="dirinfosyscec@minadef.gov.rw"/>
    <n v="788315241"/>
    <m/>
    <m/>
    <m/>
  </r>
  <r>
    <s v="C001439"/>
    <x v="12"/>
    <s v="Rwamagana Reserve Force"/>
    <s v="Rwamagana  "/>
    <x v="0"/>
    <x v="3"/>
    <s v="VIP"/>
    <x v="0"/>
    <x v="0"/>
    <n v="5"/>
    <s v="VPN (5Mbps)"/>
    <m/>
    <n v="1"/>
    <n v="270000"/>
    <n v="270000"/>
    <s v="Monthly"/>
    <d v="2024-04-01T00:00:00"/>
    <x v="9"/>
    <x v="4"/>
    <n v="-269"/>
    <x v="1"/>
    <x v="4"/>
    <s v="Neza"/>
    <s v="dirinfosyscec@minadef.gov.rw"/>
    <n v="788315241"/>
    <m/>
    <m/>
    <m/>
  </r>
  <r>
    <s v="C001439"/>
    <x v="12"/>
    <s v="Gacurabwenge"/>
    <s v="Kamonyi"/>
    <x v="0"/>
    <x v="3"/>
    <s v="VIP"/>
    <x v="0"/>
    <x v="0"/>
    <n v="5"/>
    <s v="VPN (5Mbps)"/>
    <m/>
    <n v="1"/>
    <n v="270000"/>
    <n v="270000"/>
    <s v="Monthly"/>
    <d v="2024-04-01T00:00:00"/>
    <x v="9"/>
    <x v="4"/>
    <n v="-269"/>
    <x v="1"/>
    <x v="4"/>
    <s v="Neza"/>
    <s v="dirinfosyscec@minadef.gov.rw"/>
    <n v="788315241"/>
    <m/>
    <m/>
    <m/>
  </r>
  <r>
    <s v="C001439"/>
    <x v="12"/>
    <s v="Nyarupfubire T"/>
    <s v="Nyagatare"/>
    <x v="0"/>
    <x v="3"/>
    <s v="VIP"/>
    <x v="0"/>
    <x v="0"/>
    <n v="5"/>
    <s v="VPN (5Mbps)"/>
    <m/>
    <n v="1"/>
    <n v="270000"/>
    <n v="270000"/>
    <s v="Monthly"/>
    <d v="2024-04-01T00:00:00"/>
    <x v="9"/>
    <x v="4"/>
    <n v="-269"/>
    <x v="1"/>
    <x v="4"/>
    <s v="Neza"/>
    <s v="dirinfosyscec@minadef.gov.rw"/>
    <n v="788315241"/>
    <m/>
    <m/>
    <m/>
  </r>
  <r>
    <s v="C001439"/>
    <x v="12"/>
    <s v="Gabiro Airbase T"/>
    <s v="Nyagatare"/>
    <x v="0"/>
    <x v="3"/>
    <s v="VIP"/>
    <x v="0"/>
    <x v="0"/>
    <n v="20"/>
    <s v="VPN (20Mbps)"/>
    <m/>
    <n v="1"/>
    <n v="900000"/>
    <n v="900000"/>
    <s v="Monthly"/>
    <d v="2024-04-01T00:00:00"/>
    <x v="9"/>
    <x v="4"/>
    <n v="-269"/>
    <x v="1"/>
    <x v="4"/>
    <s v="Neza"/>
    <s v="dirinfosyscec@minadef.gov.rw"/>
    <n v="788315241"/>
    <m/>
    <m/>
    <m/>
  </r>
  <r>
    <s v="C001439"/>
    <x v="12"/>
    <s v="Kamembe T"/>
    <s v="Rusizi"/>
    <x v="0"/>
    <x v="3"/>
    <s v="VIP"/>
    <x v="0"/>
    <x v="0"/>
    <n v="20"/>
    <s v="VPN (20Mbps)"/>
    <m/>
    <n v="1"/>
    <n v="900000"/>
    <n v="900000"/>
    <s v="Monthly"/>
    <d v="2024-04-01T00:00:00"/>
    <x v="9"/>
    <x v="4"/>
    <n v="-269"/>
    <x v="1"/>
    <x v="4"/>
    <s v="Neza"/>
    <s v="dirinfosyscec@minadef.gov.rw"/>
    <n v="788315241"/>
    <m/>
    <m/>
    <m/>
  </r>
  <r>
    <s v="C001439"/>
    <x v="12"/>
    <s v="Huye T"/>
    <s v="Huye"/>
    <x v="0"/>
    <x v="3"/>
    <s v="VIP"/>
    <x v="0"/>
    <x v="0"/>
    <n v="5"/>
    <s v="VPN (5Mbps)"/>
    <m/>
    <n v="1"/>
    <n v="270000"/>
    <n v="270000"/>
    <s v="Monthly"/>
    <d v="2024-04-01T00:00:00"/>
    <x v="9"/>
    <x v="4"/>
    <n v="-269"/>
    <x v="1"/>
    <x v="4"/>
    <s v="Neza"/>
    <s v="dirinfosyscec@minadef.gov.rw"/>
    <n v="788315241"/>
    <m/>
    <m/>
    <m/>
  </r>
  <r>
    <s v="C001439"/>
    <x v="12"/>
    <s v="HQ T"/>
    <s v="Gasabo"/>
    <x v="0"/>
    <x v="3"/>
    <s v="VIP"/>
    <x v="0"/>
    <x v="0"/>
    <n v="20"/>
    <s v="VPN (20Mbps)"/>
    <m/>
    <n v="1"/>
    <n v="900000"/>
    <n v="900000"/>
    <s v="Monthly"/>
    <d v="2024-04-01T00:00:00"/>
    <x v="9"/>
    <x v="4"/>
    <n v="-269"/>
    <x v="1"/>
    <x v="4"/>
    <s v="Neza"/>
    <s v="dirinfosyscec@minadef.gov.rw"/>
    <n v="788315241"/>
    <m/>
    <m/>
    <m/>
  </r>
  <r>
    <s v="C001194"/>
    <x v="222"/>
    <s v="KFH-MAIN BRANCH"/>
    <s v="Gasabo"/>
    <x v="0"/>
    <x v="6"/>
    <s v="VIP"/>
    <x v="0"/>
    <x v="0"/>
    <n v="150"/>
    <s v="FIBER VPN 150MBPS"/>
    <m/>
    <n v="1"/>
    <n v="4500000"/>
    <n v="4500000"/>
    <s v="Monthly"/>
    <d v="2024-04-10T00:00:00"/>
    <x v="9"/>
    <x v="4"/>
    <n v="-278"/>
    <x v="1"/>
    <x v="6"/>
    <s v="MUHIRE Ali"/>
    <s v="ali.muhire@kfhkigali.com"/>
    <n v="788447853"/>
    <m/>
    <m/>
    <m/>
  </r>
  <r>
    <s v="C001194"/>
    <x v="222"/>
    <s v="KFH-MAIN BRANCH"/>
    <s v="Gasabo"/>
    <x v="0"/>
    <x v="6"/>
    <s v="VIP"/>
    <x v="1"/>
    <x v="10"/>
    <m/>
    <s v="1 UNIT"/>
    <m/>
    <n v="1"/>
    <n v="258045"/>
    <n v="258045"/>
    <s v="Monthly"/>
    <d v="2024-04-10T00:00:00"/>
    <x v="9"/>
    <x v="4"/>
    <n v="-278"/>
    <x v="1"/>
    <x v="6"/>
    <s v="MUHIRE Ali"/>
    <s v="ali.muhire@kfhkigali.com"/>
    <n v="788447853"/>
    <m/>
    <m/>
    <m/>
  </r>
  <r>
    <s v="C001194"/>
    <x v="222"/>
    <s v="KFH-MAIN BRANCH"/>
    <s v="Gasabo"/>
    <x v="0"/>
    <x v="6"/>
    <s v="VIP"/>
    <x v="0"/>
    <x v="6"/>
    <m/>
    <s v="4G MUP 2GB/DAY PRIV"/>
    <m/>
    <n v="1"/>
    <n v="28305.084745762713"/>
    <n v="28305.084745762713"/>
    <s v="Monthly"/>
    <d v="2024-04-10T00:00:00"/>
    <x v="9"/>
    <x v="4"/>
    <n v="-278"/>
    <x v="1"/>
    <x v="6"/>
    <s v="MUHIRE Ali"/>
    <s v="ali.muhire@kfhkigali.com"/>
    <n v="788447853"/>
    <m/>
    <m/>
    <m/>
  </r>
  <r>
    <s v="C001194"/>
    <x v="222"/>
    <s v="KFH-MAIN BRANCH"/>
    <s v="Gasabo"/>
    <x v="0"/>
    <x v="6"/>
    <s v="VIP"/>
    <x v="0"/>
    <x v="6"/>
    <m/>
    <s v="4G MUP 1GB/DAY"/>
    <m/>
    <n v="3"/>
    <n v="19491.53"/>
    <n v="58474.59"/>
    <s v="Monthly"/>
    <d v="2024-04-10T00:00:00"/>
    <x v="9"/>
    <x v="4"/>
    <n v="-278"/>
    <x v="1"/>
    <x v="6"/>
    <s v="MUHIRE Ali"/>
    <s v="ali.muhire@kfhkigali.com"/>
    <n v="788447853"/>
    <m/>
    <m/>
    <m/>
  </r>
  <r>
    <s v="C000057"/>
    <x v="223"/>
    <s v="AGAHOZO SHALOM YOUTH"/>
    <s v="Rwamagana  "/>
    <x v="0"/>
    <x v="4"/>
    <s v="VIP"/>
    <x v="1"/>
    <x v="0"/>
    <n v="60"/>
    <s v="fiber vpn 60mbps"/>
    <m/>
    <n v="1"/>
    <n v="2088000"/>
    <n v="2088000"/>
    <s v="Monthly"/>
    <d v="2024-04-18T00:00:00"/>
    <x v="9"/>
    <x v="4"/>
    <n v="-286"/>
    <x v="1"/>
    <x v="4"/>
    <s v="Deo"/>
    <s v="deo@asyv.org;christine@asyv.org"/>
    <n v="788840651"/>
    <m/>
    <m/>
    <m/>
  </r>
  <r>
    <s v="C001467"/>
    <x v="18"/>
    <s v="Ministry of Environment"/>
    <s v="Nyarugenge"/>
    <x v="0"/>
    <x v="0"/>
    <s v="Standard"/>
    <x v="0"/>
    <x v="7"/>
    <m/>
    <s v="MSS-Gold"/>
    <m/>
    <n v="1"/>
    <n v="369325"/>
    <n v="369325"/>
    <s v="Monthly"/>
    <d v="2024-04-19T00:00:00"/>
    <x v="9"/>
    <x v="4"/>
    <n v="-287"/>
    <x v="1"/>
    <x v="5"/>
    <s v="Jeanne Mukamana"/>
    <s v="eharerimana@environment.gov.rw"/>
    <n v="788313458"/>
    <m/>
    <m/>
    <m/>
  </r>
  <r>
    <s v="C004169"/>
    <x v="224"/>
    <s v="Blackstone"/>
    <s v="Gasabo"/>
    <x v="1"/>
    <x v="2"/>
    <s v="Standard"/>
    <x v="1"/>
    <x v="12"/>
    <m/>
    <s v="Flex-internet"/>
    <m/>
    <n v="1"/>
    <n v="101694.91525423729"/>
    <n v="101694.91525423729"/>
    <s v="Monthly"/>
    <d v="2024-04-30T00:00:00"/>
    <x v="9"/>
    <x v="4"/>
    <n v="-298"/>
    <x v="1"/>
    <x v="4"/>
    <s v="Benjamin"/>
    <s v="manzibenjamin2018@gmail.com"/>
    <n v="789938585"/>
    <m/>
    <m/>
    <m/>
  </r>
  <r>
    <s v="C002016"/>
    <x v="225"/>
    <s v="BUSHENGE- MAIN BRANCH"/>
    <s v="Nyamasheke"/>
    <x v="0"/>
    <x v="6"/>
    <s v="Standard"/>
    <x v="0"/>
    <x v="0"/>
    <n v="5"/>
    <s v="FIBER VPN 5MBPS"/>
    <m/>
    <n v="1"/>
    <n v="270000"/>
    <n v="270000"/>
    <s v="Monthly"/>
    <d v="2024-04-30T00:00:00"/>
    <x v="9"/>
    <x v="4"/>
    <n v="-298"/>
    <x v="1"/>
    <x v="6"/>
    <s v="Donat NDAHAYO"/>
    <s v="info@bushengehospital.gov.rw"/>
    <n v="788626468"/>
    <m/>
    <m/>
    <m/>
  </r>
  <r>
    <s v="C002016"/>
    <x v="225"/>
    <s v="BUSHENGE -MAIN BRANCH"/>
    <s v="Nyamasheke"/>
    <x v="0"/>
    <x v="6"/>
    <s v="Standard"/>
    <x v="3"/>
    <x v="7"/>
    <m/>
    <s v="MSS GOLD"/>
    <m/>
    <n v="1"/>
    <n v="369325"/>
    <n v="369325"/>
    <s v="Monthly"/>
    <d v="2024-04-30T00:00:00"/>
    <x v="9"/>
    <x v="4"/>
    <n v="-298"/>
    <x v="1"/>
    <x v="6"/>
    <s v="Donat NDAHAYO"/>
    <s v="info@bushengehospital.gov.rw"/>
    <n v="788626468"/>
    <m/>
    <m/>
    <m/>
  </r>
  <r>
    <s v="C000567"/>
    <x v="226"/>
    <s v="ECOLE DE SCIENCES DE BYIMANA"/>
    <s v="Nyanza"/>
    <x v="0"/>
    <x v="4"/>
    <s v="Standard"/>
    <x v="0"/>
    <x v="0"/>
    <n v="5"/>
    <s v="fiber vpn 5mbps"/>
    <m/>
    <n v="1"/>
    <n v="270000"/>
    <n v="270000"/>
    <s v="Monthly"/>
    <d v="2024-04-30T00:00:00"/>
    <x v="9"/>
    <x v="4"/>
    <n v="-298"/>
    <x v="1"/>
    <x v="4"/>
    <s v="karerangabo"/>
    <s v="esc.byimana@yahoo.com;crekafms@gmail.com"/>
    <s v="788996374/0788316663"/>
    <m/>
    <m/>
    <m/>
  </r>
  <r>
    <s v="C000621"/>
    <x v="227"/>
    <s v="ES GISHOMA"/>
    <s v="Rusizi"/>
    <x v="0"/>
    <x v="4"/>
    <s v="Standard"/>
    <x v="0"/>
    <x v="0"/>
    <n v="1"/>
    <s v="fiber vpn 1mbps"/>
    <m/>
    <n v="1"/>
    <n v="90000"/>
    <n v="90000"/>
    <s v="Monthly"/>
    <d v="2024-04-30T00:00:00"/>
    <x v="9"/>
    <x v="4"/>
    <n v="-298"/>
    <x v="1"/>
    <x v="4"/>
    <s v="Anaclet"/>
    <s v="egishoma@yahoo.fr/amwitaba@yahoo.fr"/>
    <s v="0788458307/0726203704"/>
    <m/>
    <m/>
    <m/>
  </r>
  <r>
    <s v="C000633"/>
    <x v="228"/>
    <s v="ESC LOUIS DE MONT FORT NYANZA"/>
    <s v="Nyanza"/>
    <x v="0"/>
    <x v="4"/>
    <s v="Standard"/>
    <x v="0"/>
    <x v="0"/>
    <n v="3"/>
    <s v="fiber vpn 3mbps"/>
    <m/>
    <n v="1"/>
    <n v="180000"/>
    <n v="180000"/>
    <s v="Monthly"/>
    <d v="2024-04-30T00:00:00"/>
    <x v="9"/>
    <x v="4"/>
    <n v="-298"/>
    <x v="1"/>
    <x v="4"/>
    <s v="Clement"/>
    <s v="jhanclement@gmail.com/'esclmnyanza@gmail.com'"/>
    <n v="788645555"/>
    <m/>
    <m/>
    <m/>
  </r>
  <r>
    <s v="C000707"/>
    <x v="198"/>
    <s v="GAHINI-MAIN BRANCH"/>
    <s v="Kayonza"/>
    <x v="0"/>
    <x v="6"/>
    <s v="Standard"/>
    <x v="0"/>
    <x v="0"/>
    <n v="5"/>
    <s v="FIBER VPN 5MBPS"/>
    <m/>
    <n v="1"/>
    <n v="270000"/>
    <n v="270000"/>
    <s v="Monthly"/>
    <d v="2024-04-30T00:00:00"/>
    <x v="9"/>
    <x v="4"/>
    <n v="-298"/>
    <x v="1"/>
    <x v="6"/>
    <s v="Eugene "/>
    <s v="gahini.hospital@moh.gov.rw"/>
    <n v="786274819"/>
    <m/>
    <m/>
    <m/>
  </r>
  <r>
    <s v="C000707"/>
    <x v="198"/>
    <s v="GAHINI-MAIN BRANCH"/>
    <s v="Kayonza"/>
    <x v="0"/>
    <x v="6"/>
    <s v="Standard"/>
    <x v="3"/>
    <x v="7"/>
    <m/>
    <s v="MSS GOLD"/>
    <m/>
    <n v="1"/>
    <n v="369325"/>
    <n v="369325"/>
    <s v="Monthly"/>
    <d v="2024-04-30T00:00:00"/>
    <x v="9"/>
    <x v="4"/>
    <n v="-298"/>
    <x v="1"/>
    <x v="6"/>
    <s v="Eugene "/>
    <s v="gahini.hospital@moh.gov.rw"/>
    <n v="786274819"/>
    <m/>
    <m/>
    <m/>
  </r>
  <r>
    <s v="C000774"/>
    <x v="229"/>
    <s v="GITWE-MAIN BRANCH"/>
    <s v="Ruhango"/>
    <x v="0"/>
    <x v="6"/>
    <s v="Standard"/>
    <x v="0"/>
    <x v="0"/>
    <n v="5"/>
    <s v="FIBER VPN 5MBPS"/>
    <m/>
    <n v="1"/>
    <n v="270000"/>
    <n v="270000"/>
    <s v="Monthly"/>
    <d v="2024-04-30T00:00:00"/>
    <x v="9"/>
    <x v="4"/>
    <n v="-298"/>
    <x v="1"/>
    <x v="6"/>
    <s v="Vedaste"/>
    <s v="ggitwehospital@gmail.com"/>
    <n v="788424624"/>
    <m/>
    <m/>
    <m/>
  </r>
  <r>
    <s v="C000774"/>
    <x v="229"/>
    <s v="GITWE-MAIN BRANCH"/>
    <s v="Ruhango"/>
    <x v="0"/>
    <x v="6"/>
    <s v="Standard"/>
    <x v="3"/>
    <x v="7"/>
    <m/>
    <s v="MSS GOLD"/>
    <m/>
    <n v="1"/>
    <n v="369325"/>
    <n v="369325"/>
    <s v="Monthly"/>
    <d v="2024-04-30T00:00:00"/>
    <x v="9"/>
    <x v="4"/>
    <n v="-298"/>
    <x v="1"/>
    <x v="6"/>
    <s v="Vedaste"/>
    <s v="ggitwehospital@gmail.com"/>
    <n v="788424624"/>
    <m/>
    <m/>
    <m/>
  </r>
  <r>
    <s v="C001070"/>
    <x v="199"/>
    <s v="KADUHA-MAIN BRANCH"/>
    <s v="Nyamagabe"/>
    <x v="0"/>
    <x v="6"/>
    <s v="Standard"/>
    <x v="0"/>
    <x v="0"/>
    <n v="5"/>
    <s v="FIBER VPN 5MBPS"/>
    <m/>
    <n v="1"/>
    <n v="270000"/>
    <n v="270000"/>
    <s v="Monthly"/>
    <d v="2024-04-30T00:00:00"/>
    <x v="9"/>
    <x v="4"/>
    <n v="-298"/>
    <x v="1"/>
    <x v="6"/>
    <s v="NGABOYAMAHINA Faustin"/>
    <s v="ngaboyamahinafaustin77@gmail.com"/>
    <n v="788989730"/>
    <m/>
    <m/>
    <m/>
  </r>
  <r>
    <s v="C001070"/>
    <x v="199"/>
    <s v="KADUHA-MAIN BRANCH"/>
    <s v="Nyamagabe"/>
    <x v="0"/>
    <x v="6"/>
    <s v="Standard"/>
    <x v="3"/>
    <x v="7"/>
    <m/>
    <s v="MSS GOLD"/>
    <m/>
    <n v="1"/>
    <n v="369325"/>
    <n v="369325"/>
    <s v="Monthly"/>
    <d v="2024-04-30T00:00:00"/>
    <x v="9"/>
    <x v="4"/>
    <n v="-298"/>
    <x v="1"/>
    <x v="6"/>
    <s v="NGABOYAMAHINA Faustin"/>
    <s v="ngaboyamahinafaustin77@gmail.com"/>
    <n v="788989730"/>
    <m/>
    <m/>
    <m/>
  </r>
  <r>
    <s v="C001076"/>
    <x v="230"/>
    <s v="KAGARAMA SECONDARY SCHOOL"/>
    <s v="Kicukiro"/>
    <x v="0"/>
    <x v="4"/>
    <s v="Standard"/>
    <x v="0"/>
    <x v="0"/>
    <n v="3"/>
    <s v="fiber vpn 3mbps"/>
    <m/>
    <n v="1"/>
    <n v="180000"/>
    <n v="180000"/>
    <s v="Monthly"/>
    <d v="2024-04-30T00:00:00"/>
    <x v="9"/>
    <x v="4"/>
    <n v="-298"/>
    <x v="1"/>
    <x v="4"/>
    <s v="Samweul"/>
    <s v="samnkuru1975@gmail.com/kagaramasec@yahoo.com"/>
    <n v="788566707"/>
    <m/>
    <m/>
    <m/>
  </r>
  <r>
    <s v="C001165"/>
    <x v="231"/>
    <s v="KIBAGABAGA-MAIN BRANCH"/>
    <s v="Gasabo"/>
    <x v="0"/>
    <x v="6"/>
    <s v="Standard"/>
    <x v="0"/>
    <x v="0"/>
    <n v="5"/>
    <s v="FIBER VPN 5MBPS"/>
    <m/>
    <n v="1"/>
    <n v="270000"/>
    <n v="270000"/>
    <s v="Monthly"/>
    <d v="2024-04-30T00:00:00"/>
    <x v="9"/>
    <x v="4"/>
    <n v="-298"/>
    <x v="1"/>
    <x v="6"/>
    <s v="NSENGIMANA Isidore"/>
    <s v="nsenga1@gmail.com/kibagaba.hospital@moh.gov.rw"/>
    <n v="788718169"/>
    <m/>
    <m/>
    <m/>
  </r>
  <r>
    <s v="C001165"/>
    <x v="231"/>
    <s v="KIBAGABAGA-MAIN BRANCH"/>
    <s v="Gasabo"/>
    <x v="0"/>
    <x v="6"/>
    <s v="Standard"/>
    <x v="3"/>
    <x v="7"/>
    <m/>
    <s v="MSS GOLD"/>
    <m/>
    <n v="1"/>
    <n v="369325"/>
    <n v="369325"/>
    <s v="Monthly"/>
    <d v="2024-04-30T00:00:00"/>
    <x v="9"/>
    <x v="4"/>
    <n v="-298"/>
    <x v="1"/>
    <x v="6"/>
    <s v="NSENGIMANA Isidore"/>
    <s v="nsenga1@gmail.com/kibagaba.hospital@moh.gov.rw"/>
    <n v="788718169"/>
    <m/>
    <m/>
    <m/>
  </r>
  <r>
    <s v="C001168"/>
    <x v="232"/>
    <s v="KIBOGORA-MAIN BRANCH"/>
    <s v="Nyamasheke"/>
    <x v="0"/>
    <x v="6"/>
    <s v="Standard"/>
    <x v="0"/>
    <x v="0"/>
    <n v="5"/>
    <s v="FIBER VPN 5MBPS"/>
    <m/>
    <n v="1"/>
    <n v="270000"/>
    <n v="270000"/>
    <s v="Monthly"/>
    <d v="2024-04-30T00:00:00"/>
    <x v="9"/>
    <x v="4"/>
    <n v="-298"/>
    <x v="1"/>
    <x v="6"/>
    <s v="MUHIRE Francis"/>
    <s v="francismuhire1@gmail.com/kibogorahospital@gmail.com/kibogora.hospital@moh.gov.rw"/>
    <s v="0789739401/0788845007"/>
    <m/>
    <m/>
    <m/>
  </r>
  <r>
    <s v="C001168"/>
    <x v="232"/>
    <s v="KIBOGORA-MAIN BRANCH"/>
    <s v="Nyamasheke"/>
    <x v="0"/>
    <x v="6"/>
    <s v="Standard"/>
    <x v="3"/>
    <x v="7"/>
    <m/>
    <s v="MSS GOLD"/>
    <m/>
    <n v="1"/>
    <n v="369325"/>
    <n v="369325"/>
    <s v="Monthly"/>
    <d v="2024-04-30T00:00:00"/>
    <x v="9"/>
    <x v="4"/>
    <n v="-298"/>
    <x v="1"/>
    <x v="6"/>
    <s v="MUHIRE Francis"/>
    <s v="francismuhire1@gmail.com/kibogorahospital@gmail.com/kibogora.hospital@moh.gov.rw"/>
    <s v="0789739401/0788845007"/>
    <m/>
    <m/>
    <m/>
  </r>
  <r>
    <s v="C001174"/>
    <x v="201"/>
    <s v="KIBUYE-MAIN BRANCH"/>
    <s v="Karongi"/>
    <x v="0"/>
    <x v="6"/>
    <s v="Standard"/>
    <x v="0"/>
    <x v="0"/>
    <n v="5"/>
    <s v="FIBER VPN 5MBPS"/>
    <m/>
    <n v="1"/>
    <n v="270000"/>
    <n v="270000"/>
    <s v="Monthly"/>
    <d v="2024-04-30T00:00:00"/>
    <x v="9"/>
    <x v="4"/>
    <n v="-298"/>
    <x v="1"/>
    <x v="6"/>
    <s v="TUYISHIME Fortunatus"/>
    <s v="tuyishimefortunatus@gmail.com"/>
    <n v="788984855"/>
    <m/>
    <m/>
    <m/>
  </r>
  <r>
    <s v="C001174"/>
    <x v="201"/>
    <s v="KIBUYE-MAIN BRANCH"/>
    <s v="Karongi"/>
    <x v="0"/>
    <x v="6"/>
    <s v="Standard"/>
    <x v="3"/>
    <x v="7"/>
    <m/>
    <s v="MSS GOLD"/>
    <m/>
    <n v="1"/>
    <n v="369325"/>
    <n v="369325"/>
    <s v="Monthly"/>
    <d v="2024-04-30T00:00:00"/>
    <x v="9"/>
    <x v="4"/>
    <n v="-298"/>
    <x v="1"/>
    <x v="6"/>
    <s v="TUYISHIME Fortunatus"/>
    <s v="tuyishimefortunatus@gmail.com"/>
    <n v="788984855"/>
    <m/>
    <m/>
    <m/>
  </r>
  <r>
    <s v="C003418"/>
    <x v="233"/>
    <s v="KINIHIRA-MAIN BRANCH"/>
    <s v="Rulindo"/>
    <x v="0"/>
    <x v="6"/>
    <s v="Standard"/>
    <x v="0"/>
    <x v="0"/>
    <n v="10"/>
    <s v="FIBER VPN 10MBPS"/>
    <m/>
    <n v="1"/>
    <n v="510000"/>
    <n v="510000"/>
    <s v="Monthly"/>
    <d v="2024-04-30T00:00:00"/>
    <x v="9"/>
    <x v="4"/>
    <n v="-298"/>
    <x v="1"/>
    <x v="6"/>
    <s v="KAMANAYO Anananie"/>
    <s v="kinihira.hospital@moh.gov.rw"/>
    <n v="788937001"/>
    <m/>
    <m/>
    <m/>
  </r>
  <r>
    <s v="C003418"/>
    <x v="233"/>
    <s v="KINIHIRA-MAIN BRANCH"/>
    <s v="Rulindo"/>
    <x v="0"/>
    <x v="6"/>
    <s v="Standard"/>
    <x v="3"/>
    <x v="7"/>
    <m/>
    <s v="MSS GOLD"/>
    <m/>
    <n v="1"/>
    <n v="369325"/>
    <n v="369325"/>
    <s v="Monthly"/>
    <d v="2024-04-30T00:00:00"/>
    <x v="9"/>
    <x v="4"/>
    <n v="-298"/>
    <x v="1"/>
    <x v="6"/>
    <s v="KAMANAYO Anananie"/>
    <s v="kinihira.hospital@moh.gov.rw"/>
    <n v="788937001"/>
    <m/>
    <m/>
    <m/>
  </r>
  <r>
    <s v="C001210"/>
    <x v="58"/>
    <s v="KIZIGURO-MAIN BRANCH"/>
    <s v="Gatsibo"/>
    <x v="0"/>
    <x v="6"/>
    <s v="Standard"/>
    <x v="3"/>
    <x v="7"/>
    <m/>
    <s v="MSS GOLD"/>
    <m/>
    <n v="1"/>
    <n v="369325"/>
    <n v="369325"/>
    <s v="Monthly"/>
    <d v="2024-04-30T00:00:00"/>
    <x v="9"/>
    <x v="4"/>
    <n v="-298"/>
    <x v="1"/>
    <x v="6"/>
    <s v="NSANZINEZA Theodore"/>
    <s v="kiziguro.hospital@moh.gov.rw"/>
    <n v="785658392"/>
    <m/>
    <m/>
    <m/>
  </r>
  <r>
    <s v="C001210"/>
    <x v="58"/>
    <s v="KIZIGURO-MAIN BRANCH"/>
    <s v="Gatsibo"/>
    <x v="0"/>
    <x v="6"/>
    <s v="Standard"/>
    <x v="0"/>
    <x v="0"/>
    <n v="5"/>
    <s v="FIBER VPN 5MBPS"/>
    <m/>
    <n v="1"/>
    <n v="270000"/>
    <n v="270000"/>
    <s v="Monthly"/>
    <d v="2024-04-30T00:00:00"/>
    <x v="9"/>
    <x v="4"/>
    <n v="-298"/>
    <x v="1"/>
    <x v="6"/>
    <s v="NSANZINEZA Theodore"/>
    <s v="kiziguro.hospital@moh.gov.rw"/>
    <n v="785658392"/>
    <m/>
    <m/>
    <m/>
  </r>
  <r>
    <s v="C001519"/>
    <x v="234"/>
    <s v="MUGONERO-MAIN BRANCH"/>
    <s v="Karongi"/>
    <x v="0"/>
    <x v="6"/>
    <s v="Standard"/>
    <x v="0"/>
    <x v="0"/>
    <n v="5"/>
    <s v="FIBER VPN 5MBPS"/>
    <m/>
    <n v="1"/>
    <n v="270000"/>
    <n v="270000"/>
    <s v="Monthly"/>
    <d v="2024-04-30T00:00:00"/>
    <x v="9"/>
    <x v="4"/>
    <n v="-298"/>
    <x v="1"/>
    <x v="6"/>
    <s v="KAYIBANDA Erneste"/>
    <s v="mugonero.hospital@moh.gov.rw"/>
    <n v="782165443"/>
    <m/>
    <m/>
    <m/>
  </r>
  <r>
    <s v="C001519"/>
    <x v="234"/>
    <s v="MUGONERO-MAIN BRANCH"/>
    <s v="Karongi"/>
    <x v="0"/>
    <x v="6"/>
    <s v="Standard"/>
    <x v="3"/>
    <x v="7"/>
    <m/>
    <s v="MSS GOLD"/>
    <m/>
    <n v="1"/>
    <n v="369325"/>
    <n v="369325"/>
    <s v="Monthly"/>
    <d v="2024-04-30T00:00:00"/>
    <x v="9"/>
    <x v="4"/>
    <n v="-298"/>
    <x v="1"/>
    <x v="6"/>
    <s v="KAYIBANDA Erneste"/>
    <s v="mugonero.hospital@moh.gov.rw"/>
    <n v="782165443"/>
    <m/>
    <m/>
    <m/>
  </r>
  <r>
    <s v="C001527"/>
    <x v="235"/>
    <s v="MUHIMA HOSPITAL"/>
    <s v="Nyarugenge"/>
    <x v="0"/>
    <x v="6"/>
    <s v="Standard"/>
    <x v="0"/>
    <x v="0"/>
    <n v="5"/>
    <s v="FIBER VPN 5"/>
    <m/>
    <n v="1"/>
    <n v="270000"/>
    <n v="270000"/>
    <s v="Monthly"/>
    <d v="2024-04-30T00:00:00"/>
    <x v="9"/>
    <x v="4"/>
    <n v="-298"/>
    <x v="1"/>
    <x v="6"/>
    <s v="NKUNDIMANA Xavier"/>
    <s v="muhima.hospital@moh.gov.rw"/>
    <n v="786615217"/>
    <m/>
    <m/>
    <m/>
  </r>
  <r>
    <s v="C001527"/>
    <x v="235"/>
    <s v="MUHIMA HOSPITAL"/>
    <s v="Nyarugenge"/>
    <x v="0"/>
    <x v="6"/>
    <s v="Standard"/>
    <x v="3"/>
    <x v="7"/>
    <m/>
    <s v="MSS GOLD"/>
    <m/>
    <n v="1"/>
    <n v="369325"/>
    <n v="369325"/>
    <s v="Monthly"/>
    <d v="2024-04-30T00:00:00"/>
    <x v="9"/>
    <x v="4"/>
    <n v="-298"/>
    <x v="1"/>
    <x v="6"/>
    <s v="NKUNDIMANA Xavier"/>
    <s v="muhima.hospital@moh.gov.rw"/>
    <n v="786615217"/>
    <m/>
    <m/>
    <m/>
  </r>
  <r>
    <s v="C001535"/>
    <x v="236"/>
    <s v="MUHORORORO-MAIN BRANCH"/>
    <s v="Ngororero"/>
    <x v="0"/>
    <x v="6"/>
    <s v="Standard"/>
    <x v="0"/>
    <x v="0"/>
    <n v="5"/>
    <s v="FIBER VPN 5MBPS"/>
    <m/>
    <n v="1"/>
    <n v="270000"/>
    <n v="270000"/>
    <s v="Monthly"/>
    <d v="2024-04-30T00:00:00"/>
    <x v="9"/>
    <x v="4"/>
    <n v="-298"/>
    <x v="1"/>
    <x v="6"/>
    <s v="BIZIMANA PHOCAS"/>
    <s v="muhororohospital@gmail.com"/>
    <n v="788655836"/>
    <m/>
    <m/>
    <m/>
  </r>
  <r>
    <s v="C001535"/>
    <x v="236"/>
    <s v="MUHORORORO-MAIN BRANCH"/>
    <s v="Ngororero"/>
    <x v="0"/>
    <x v="6"/>
    <s v="Standard"/>
    <x v="3"/>
    <x v="7"/>
    <m/>
    <s v="MSS GOLD"/>
    <m/>
    <n v="1"/>
    <n v="369325"/>
    <n v="369325"/>
    <s v="Monthly"/>
    <d v="2024-04-30T00:00:00"/>
    <x v="9"/>
    <x v="4"/>
    <n v="-298"/>
    <x v="1"/>
    <x v="6"/>
    <s v="BIZIMANA PHOCAS"/>
    <s v="muhororohospital@gmail.com"/>
    <n v="788655836"/>
    <m/>
    <m/>
    <m/>
  </r>
  <r>
    <s v="C001587"/>
    <x v="184"/>
    <s v="MURUNDA-MAIN BRANCH"/>
    <s v="Rutsiro"/>
    <x v="0"/>
    <x v="6"/>
    <s v="Standard"/>
    <x v="0"/>
    <x v="0"/>
    <n v="5"/>
    <s v="FIBER VPN 5MBPS"/>
    <m/>
    <n v="1"/>
    <n v="270000"/>
    <n v="270000"/>
    <s v="Monthly"/>
    <d v="2024-04-30T00:00:00"/>
    <x v="9"/>
    <x v="4"/>
    <n v="-298"/>
    <x v="1"/>
    <x v="6"/>
    <s v="MUKESHIMANA Rosalie"/>
    <s v="murunda.hospital@moh.gov.rw"/>
    <n v="788855310"/>
    <m/>
    <m/>
    <m/>
  </r>
  <r>
    <s v="C001587"/>
    <x v="184"/>
    <s v="MURUNDA-MAIN BRANCH"/>
    <s v="Rutsiro"/>
    <x v="0"/>
    <x v="6"/>
    <s v="Standard"/>
    <x v="3"/>
    <x v="7"/>
    <m/>
    <s v="MSS GOLD"/>
    <m/>
    <n v="1"/>
    <n v="369325"/>
    <n v="369325"/>
    <s v="Monthly"/>
    <d v="2024-04-30T00:00:00"/>
    <x v="9"/>
    <x v="4"/>
    <n v="-298"/>
    <x v="1"/>
    <x v="6"/>
    <s v="MUKESHIMANA Rosalie"/>
    <s v="murunda.hospital@moh.gov.rw"/>
    <n v="788855310"/>
    <m/>
    <m/>
    <m/>
  </r>
  <r>
    <s v="C001597"/>
    <x v="237"/>
    <s v="MUSANZE District HQ - VPN LAIS."/>
    <s v="Musanze"/>
    <x v="0"/>
    <x v="0"/>
    <s v="Standard"/>
    <x v="0"/>
    <x v="0"/>
    <n v="3"/>
    <s v="FIBER VPN 3MBPS"/>
    <m/>
    <n v="1"/>
    <n v="180000"/>
    <n v="180000"/>
    <s v="Monthly"/>
    <d v="2024-04-30T00:00:00"/>
    <x v="9"/>
    <x v="4"/>
    <n v="-298"/>
    <x v="1"/>
    <x v="2"/>
    <s v="Gady"/>
    <s v="ictmusanze@musanze.gov.rw"/>
    <s v="0788-537-860"/>
    <m/>
    <m/>
    <m/>
  </r>
  <r>
    <s v="C001597"/>
    <x v="237"/>
    <s v="MUSANZE District HQ"/>
    <s v="Musanze"/>
    <x v="0"/>
    <x v="0"/>
    <s v="Standard"/>
    <x v="0"/>
    <x v="0"/>
    <n v="10"/>
    <s v="FIBER VPN 10MBPS"/>
    <m/>
    <n v="1"/>
    <n v="510000"/>
    <n v="510000"/>
    <s v="Monthly"/>
    <d v="2024-04-30T00:00:00"/>
    <x v="9"/>
    <x v="4"/>
    <n v="-298"/>
    <x v="1"/>
    <x v="2"/>
    <s v="Gady"/>
    <s v="ictmusanze@musanze.gov.rw"/>
    <s v="0788-537-860"/>
    <m/>
    <m/>
    <m/>
  </r>
  <r>
    <s v="C001597"/>
    <x v="237"/>
    <s v="MUSANZE District HQ"/>
    <s v="Musanze"/>
    <x v="0"/>
    <x v="0"/>
    <s v="Standard"/>
    <x v="1"/>
    <x v="10"/>
    <m/>
    <s v="VIDEO CONFERENCE"/>
    <m/>
    <n v="1"/>
    <n v="258045"/>
    <n v="258045"/>
    <s v="Monthly"/>
    <d v="2024-04-30T00:00:00"/>
    <x v="9"/>
    <x v="4"/>
    <n v="-298"/>
    <x v="1"/>
    <x v="2"/>
    <s v="Gady"/>
    <s v="ictmusanze@musanze.gov.rw"/>
    <s v="0788-537-860"/>
    <m/>
    <m/>
    <m/>
  </r>
  <r>
    <s v="C001597"/>
    <x v="237"/>
    <s v="MUSANZE District"/>
    <s v="Musanze"/>
    <x v="0"/>
    <x v="0"/>
    <s v="Standard"/>
    <x v="0"/>
    <x v="6"/>
    <m/>
    <s v="4G MUP 2GB/DAY"/>
    <m/>
    <n v="1"/>
    <n v="19491.53"/>
    <n v="19491.53"/>
    <s v="Monthly"/>
    <d v="2024-04-30T00:00:00"/>
    <x v="9"/>
    <x v="4"/>
    <n v="-298"/>
    <x v="1"/>
    <x v="2"/>
    <s v="Gady"/>
    <s v="ictmusanze@musanze.gov.rw"/>
    <s v="0788-537-860"/>
    <m/>
    <m/>
    <m/>
  </r>
  <r>
    <s v="C001597"/>
    <x v="237"/>
    <s v="MUSANZE District HQ"/>
    <s v="Musanze"/>
    <x v="0"/>
    <x v="0"/>
    <s v="Standard"/>
    <x v="3"/>
    <x v="7"/>
    <m/>
    <s v="MSS GOLD"/>
    <m/>
    <n v="1"/>
    <n v="369325.42"/>
    <n v="369325.42"/>
    <s v="Monthly"/>
    <d v="2024-04-30T00:00:00"/>
    <x v="9"/>
    <x v="4"/>
    <n v="-298"/>
    <x v="1"/>
    <x v="2"/>
    <s v="Gady"/>
    <s v="ictmusanze@musanze.gov.rw"/>
    <s v="0788-537-860"/>
    <m/>
    <m/>
    <m/>
  </r>
  <r>
    <s v="C001597"/>
    <x v="237"/>
    <s v="MUSANZE District"/>
    <s v="Musanze"/>
    <x v="0"/>
    <x v="0"/>
    <s v="Standard"/>
    <x v="0"/>
    <x v="6"/>
    <m/>
    <s v=" 4G MUP 4GB/DAY "/>
    <m/>
    <n v="2"/>
    <n v="45338.98"/>
    <n v="90677.96"/>
    <s v="Monthly"/>
    <d v="2024-04-30T00:00:00"/>
    <x v="9"/>
    <x v="4"/>
    <n v="-298"/>
    <x v="1"/>
    <x v="2"/>
    <s v="Gady"/>
    <s v="ictmusanze@musanze.gov.rw"/>
    <s v="0788-537-860"/>
    <m/>
    <m/>
    <m/>
  </r>
  <r>
    <s v="C001597"/>
    <x v="237"/>
    <s v="MUSANZE District"/>
    <s v="Musanze"/>
    <x v="0"/>
    <x v="0"/>
    <s v="Standard"/>
    <x v="0"/>
    <x v="6"/>
    <m/>
    <s v="4G ONE NETWORK 5MBPS"/>
    <m/>
    <n v="15"/>
    <n v="101694.92"/>
    <n v="1525423.8"/>
    <s v="Monthly"/>
    <d v="2024-04-30T00:00:00"/>
    <x v="9"/>
    <x v="4"/>
    <n v="-298"/>
    <x v="1"/>
    <x v="2"/>
    <s v="Gady"/>
    <s v="ictmusanze@musanze.gov.rw"/>
    <s v="0788-537-860"/>
    <m/>
    <m/>
    <m/>
  </r>
  <r>
    <s v="C001597"/>
    <x v="237"/>
    <s v="MUSANZE District"/>
    <s v="Musanze"/>
    <x v="0"/>
    <x v="0"/>
    <s v="Standard"/>
    <x v="0"/>
    <x v="6"/>
    <m/>
    <s v="4G MUP 1GB/DAY"/>
    <m/>
    <n v="53"/>
    <n v="19491.53"/>
    <n v="1033051.09"/>
    <s v="Monthly"/>
    <d v="2024-04-30T00:00:00"/>
    <x v="9"/>
    <x v="4"/>
    <n v="-298"/>
    <x v="1"/>
    <x v="2"/>
    <s v="Gady"/>
    <s v="ictmusanze@musanze.gov.rw"/>
    <s v="0788-537-860"/>
    <m/>
    <m/>
    <m/>
  </r>
  <r>
    <s v="C001654"/>
    <x v="238"/>
    <s v="NAEB"/>
    <s v="Nyarugenge"/>
    <x v="0"/>
    <x v="0"/>
    <s v="Standard"/>
    <x v="0"/>
    <x v="0"/>
    <n v="20"/>
    <s v="Fiber VPN 20MBPS"/>
    <m/>
    <n v="1"/>
    <n v="900000"/>
    <n v="900000"/>
    <s v="Monthly"/>
    <d v="2024-04-30T00:00:00"/>
    <x v="9"/>
    <x v="4"/>
    <n v="-298"/>
    <x v="1"/>
    <x v="5"/>
    <s v="Uwizeyimana Leonille"/>
    <s v="m.mediatrice@naeb.gov.rw"/>
    <n v="788352491"/>
    <m/>
    <m/>
    <m/>
  </r>
  <r>
    <s v="C001654"/>
    <x v="238"/>
    <s v="NAEB"/>
    <s v="Nyarugenge"/>
    <x v="0"/>
    <x v="0"/>
    <s v="Standard"/>
    <x v="0"/>
    <x v="3"/>
    <m/>
    <s v="VoIP PHONES 41-70"/>
    <m/>
    <n v="1"/>
    <n v="189000"/>
    <n v="189000"/>
    <s v="Monthly"/>
    <d v="2024-04-30T00:00:00"/>
    <x v="9"/>
    <x v="4"/>
    <n v="-298"/>
    <x v="1"/>
    <x v="5"/>
    <s v="Uwizeyimana Leonille"/>
    <s v="m.mediatrice@naeb.gov.rw"/>
    <n v="788352491"/>
    <m/>
    <m/>
    <m/>
  </r>
  <r>
    <s v="C001895"/>
    <x v="208"/>
    <s v="NYAGATARE-MAIN BRANCH"/>
    <s v="Nyagatare"/>
    <x v="0"/>
    <x v="6"/>
    <s v="Standard"/>
    <x v="0"/>
    <x v="0"/>
    <n v="5"/>
    <s v="FIBER VPN 5MBPS"/>
    <m/>
    <n v="1"/>
    <n v="270000"/>
    <n v="270000"/>
    <s v="Monthly"/>
    <d v="2024-04-30T00:00:00"/>
    <x v="9"/>
    <x v="4"/>
    <n v="-298"/>
    <x v="1"/>
    <x v="6"/>
    <s v="Evode BYARUGABA"/>
    <s v="nyagatare.hospital@moh.gov.rw"/>
    <n v="784893270"/>
    <m/>
    <m/>
    <m/>
  </r>
  <r>
    <s v="C001895"/>
    <x v="208"/>
    <s v="NYAGATARE-MAIN BRANCH"/>
    <s v="Nyagatare"/>
    <x v="0"/>
    <x v="6"/>
    <s v="Standard"/>
    <x v="3"/>
    <x v="7"/>
    <m/>
    <s v="MSS GOLD"/>
    <m/>
    <n v="1"/>
    <n v="369325"/>
    <n v="369325"/>
    <s v="Monthly"/>
    <d v="2024-04-30T00:00:00"/>
    <x v="9"/>
    <x v="4"/>
    <n v="-298"/>
    <x v="1"/>
    <x v="6"/>
    <s v="Evode BYARUGABA"/>
    <s v="nyagatare.hospital@moh.gov.rw"/>
    <n v="784893270"/>
    <m/>
    <m/>
    <m/>
  </r>
  <r>
    <s v="C002084"/>
    <x v="239"/>
    <s v="REMERA RUKOMA"/>
    <s v="Kamonyi"/>
    <x v="0"/>
    <x v="4"/>
    <s v="Standard"/>
    <x v="0"/>
    <x v="0"/>
    <n v="3"/>
    <s v="fiber vpn 3mbps"/>
    <m/>
    <n v="1"/>
    <n v="180000"/>
    <n v="180000"/>
    <s v="Monthly"/>
    <d v="2024-04-30T00:00:00"/>
    <x v="9"/>
    <x v="4"/>
    <n v="-298"/>
    <x v="1"/>
    <x v="4"/>
    <s v="Alone Ruhigande"/>
    <s v="gsrr02@gmail.com"/>
    <n v="788410325"/>
    <m/>
    <m/>
    <m/>
  </r>
  <r>
    <s v="C003181"/>
    <x v="194"/>
    <s v="RDH-MAIN BRANCH"/>
    <s v="Ruhango"/>
    <x v="0"/>
    <x v="6"/>
    <s v="Standard"/>
    <x v="0"/>
    <x v="6"/>
    <m/>
    <s v="4G ONE NETWORK 5MBPS"/>
    <m/>
    <n v="1"/>
    <n v="101694.92"/>
    <n v="101694.92"/>
    <s v="Monthly"/>
    <d v="2024-04-30T00:00:00"/>
    <x v="9"/>
    <x v="4"/>
    <n v="-298"/>
    <x v="1"/>
    <x v="6"/>
    <s v="Edmond"/>
    <s v="ruhango.hospital@moh.gov.rw"/>
    <n v="788359272"/>
    <m/>
    <m/>
    <m/>
  </r>
  <r>
    <s v="C002643"/>
    <x v="240"/>
    <s v="Special Gaurantie Fund (SGF) HQ."/>
    <s v="Gasabo"/>
    <x v="0"/>
    <x v="0"/>
    <s v="Standard"/>
    <x v="1"/>
    <x v="0"/>
    <n v="10"/>
    <s v="FIBER VPN 10MBPS"/>
    <m/>
    <n v="1"/>
    <n v="510000"/>
    <n v="510000"/>
    <s v="Monthly"/>
    <d v="2024-04-30T00:00:00"/>
    <x v="9"/>
    <x v="4"/>
    <n v="-298"/>
    <x v="1"/>
    <x v="2"/>
    <s v="Joseph NIYITANGA"/>
    <s v="jniyitanga@ikigega.rw"/>
    <s v="0788-239-930"/>
    <m/>
    <m/>
    <m/>
  </r>
  <r>
    <s v="C002643"/>
    <x v="240"/>
    <s v="Special Gaurantie Fund (SGF) HQ."/>
    <s v="Gasabo"/>
    <x v="0"/>
    <x v="0"/>
    <s v="Standard"/>
    <x v="3"/>
    <x v="7"/>
    <m/>
    <s v="MSS GOLD"/>
    <m/>
    <n v="1"/>
    <n v="369325"/>
    <n v="369325"/>
    <s v="Monthly"/>
    <d v="2024-04-30T00:00:00"/>
    <x v="9"/>
    <x v="4"/>
    <n v="-298"/>
    <x v="1"/>
    <x v="2"/>
    <s v="Joseph NIYITANGA"/>
    <s v="jniyitanga@ikigega.rw"/>
    <s v="0788-239-930"/>
    <m/>
    <m/>
    <m/>
  </r>
  <r>
    <s v="C002989"/>
    <x v="241"/>
    <s v="CSS VPN"/>
    <s v="Gasabo"/>
    <x v="0"/>
    <x v="12"/>
    <s v="Standard"/>
    <x v="0"/>
    <x v="0"/>
    <n v="1"/>
    <s v="Fiber VPN 1MBPS"/>
    <m/>
    <n v="1"/>
    <n v="90000"/>
    <n v="90000"/>
    <s v="Monthly"/>
    <d v="2024-04-30T00:00:00"/>
    <x v="9"/>
    <x v="4"/>
    <n v="-298"/>
    <x v="1"/>
    <x v="5"/>
    <s v="Kamanzi Jean d'Amour"/>
    <s v="mboneza@zigamacss.rw"/>
    <n v="788317654"/>
    <m/>
    <m/>
    <m/>
  </r>
  <r>
    <s v="C002989"/>
    <x v="241"/>
    <s v="CSS musanze"/>
    <s v="Musanze"/>
    <x v="0"/>
    <x v="12"/>
    <s v="Standard"/>
    <x v="0"/>
    <x v="0"/>
    <n v="3"/>
    <s v="Fiber VPN 3MBPS"/>
    <m/>
    <n v="1"/>
    <n v="180000"/>
    <n v="180000"/>
    <s v="Monthly"/>
    <d v="2024-04-30T00:00:00"/>
    <x v="9"/>
    <x v="4"/>
    <n v="-298"/>
    <x v="1"/>
    <x v="5"/>
    <s v="Kamanzi Jean d'Amour"/>
    <s v="mboneza@zigamacss.rw"/>
    <n v="788317654"/>
    <m/>
    <m/>
    <m/>
  </r>
  <r>
    <s v="C002989"/>
    <x v="241"/>
    <s v="CSS Bigogwe"/>
    <s v="Musanze"/>
    <x v="0"/>
    <x v="12"/>
    <s v="Standard"/>
    <x v="0"/>
    <x v="0"/>
    <n v="3"/>
    <s v="Fiber VPN 3MBPS"/>
    <m/>
    <n v="1"/>
    <n v="180000"/>
    <n v="180000"/>
    <s v="Monthly"/>
    <d v="2024-04-30T00:00:00"/>
    <x v="9"/>
    <x v="4"/>
    <n v="-298"/>
    <x v="1"/>
    <x v="5"/>
    <s v="Kamanzi Jean d'Amour"/>
    <s v="mboneza@zigamacss.rw"/>
    <n v="788317654"/>
    <m/>
    <m/>
    <m/>
  </r>
  <r>
    <s v="C002989"/>
    <x v="241"/>
    <s v="CSS Gicumbi"/>
    <s v="Gicumbi"/>
    <x v="0"/>
    <x v="12"/>
    <s v="Standard"/>
    <x v="0"/>
    <x v="0"/>
    <n v="3"/>
    <s v="Fiber VPN 3MBPS"/>
    <m/>
    <n v="1"/>
    <n v="180000"/>
    <n v="180000"/>
    <s v="Monthly"/>
    <d v="2024-04-30T00:00:00"/>
    <x v="9"/>
    <x v="4"/>
    <n v="-298"/>
    <x v="1"/>
    <x v="5"/>
    <s v="Kamanzi Jean d'Amour"/>
    <s v="mboneza@zigamacss.rw"/>
    <n v="788317654"/>
    <m/>
    <m/>
    <m/>
  </r>
  <r>
    <s v="C002989"/>
    <x v="241"/>
    <s v="CSS kayonza"/>
    <s v="Kayonza"/>
    <x v="0"/>
    <x v="12"/>
    <s v="Standard"/>
    <x v="0"/>
    <x v="0"/>
    <n v="3"/>
    <s v="Fiber VPN 3MBPS"/>
    <m/>
    <n v="1"/>
    <n v="180000"/>
    <n v="180000"/>
    <s v="Monthly"/>
    <d v="2024-04-30T00:00:00"/>
    <x v="9"/>
    <x v="4"/>
    <n v="-298"/>
    <x v="1"/>
    <x v="5"/>
    <s v="Kamanzi Jean d'Amour"/>
    <s v="mboneza@zigamacss.rw"/>
    <n v="788317654"/>
    <m/>
    <m/>
    <m/>
  </r>
  <r>
    <s v="C002989"/>
    <x v="241"/>
    <s v="CSS Gishali"/>
    <s v="Rwamagana  "/>
    <x v="0"/>
    <x v="12"/>
    <s v="Standard"/>
    <x v="0"/>
    <x v="0"/>
    <n v="3"/>
    <s v="Fiber VPN 3MBPS"/>
    <m/>
    <n v="1"/>
    <n v="180000"/>
    <n v="180000"/>
    <s v="Monthly"/>
    <d v="2024-04-30T00:00:00"/>
    <x v="9"/>
    <x v="4"/>
    <n v="-298"/>
    <x v="1"/>
    <x v="5"/>
    <s v="Kamanzi Jean d'Amour"/>
    <s v="mboneza@zigamacss.rw"/>
    <n v="788317654"/>
    <m/>
    <m/>
    <m/>
  </r>
  <r>
    <s v="C002989"/>
    <x v="241"/>
    <s v="CSS Huye"/>
    <s v="Huye"/>
    <x v="0"/>
    <x v="12"/>
    <s v="Standard"/>
    <x v="0"/>
    <x v="0"/>
    <n v="3"/>
    <s v="Fiber VPN 3MBPS"/>
    <m/>
    <n v="1"/>
    <n v="180000"/>
    <n v="180000"/>
    <s v="Monthly"/>
    <d v="2024-04-30T00:00:00"/>
    <x v="9"/>
    <x v="4"/>
    <n v="-298"/>
    <x v="1"/>
    <x v="5"/>
    <s v="Kamanzi Jean d'Amour"/>
    <s v="mboneza@zigamacss.rw"/>
    <n v="788317654"/>
    <m/>
    <m/>
    <m/>
  </r>
  <r>
    <s v="C002989"/>
    <x v="241"/>
    <s v="CSS Kacyiru"/>
    <s v="Gasabo"/>
    <x v="0"/>
    <x v="12"/>
    <s v="Standard"/>
    <x v="0"/>
    <x v="0"/>
    <n v="3"/>
    <s v="Fiber VPN 3MBPS"/>
    <m/>
    <n v="1"/>
    <n v="180000"/>
    <n v="180000"/>
    <s v="Monthly"/>
    <d v="2024-04-30T00:00:00"/>
    <x v="9"/>
    <x v="4"/>
    <n v="-298"/>
    <x v="1"/>
    <x v="5"/>
    <s v="Kamanzi Jean d'Amour"/>
    <s v="mboneza@zigamacss.rw"/>
    <n v="788317654"/>
    <m/>
    <m/>
    <m/>
  </r>
  <r>
    <s v="C002989"/>
    <x v="241"/>
    <s v="CSS Kanombe"/>
    <s v="Kicukiro"/>
    <x v="0"/>
    <x v="12"/>
    <s v="Standard"/>
    <x v="0"/>
    <x v="0"/>
    <n v="3"/>
    <s v="Fiber VPN 3MBPS"/>
    <m/>
    <n v="1"/>
    <n v="180000"/>
    <n v="180000"/>
    <s v="Monthly"/>
    <d v="2024-04-30T00:00:00"/>
    <x v="9"/>
    <x v="4"/>
    <n v="-298"/>
    <x v="1"/>
    <x v="5"/>
    <s v="Kamanzi Jean d'Amour"/>
    <s v="mboneza@zigamacss.rw"/>
    <n v="788317654"/>
    <m/>
    <m/>
    <m/>
  </r>
  <r>
    <s v="C002989"/>
    <x v="241"/>
    <s v="CSS Karongi"/>
    <s v="Karongi"/>
    <x v="0"/>
    <x v="12"/>
    <s v="Standard"/>
    <x v="0"/>
    <x v="0"/>
    <n v="3"/>
    <s v="Fiber VPN 3MBPS"/>
    <m/>
    <n v="1"/>
    <n v="180000"/>
    <n v="180000"/>
    <s v="Monthly"/>
    <d v="2024-04-30T00:00:00"/>
    <x v="9"/>
    <x v="4"/>
    <n v="-298"/>
    <x v="1"/>
    <x v="5"/>
    <s v="Kamanzi Jean d'Amour"/>
    <s v="mboneza@zigamacss.rw"/>
    <n v="788317654"/>
    <m/>
    <m/>
    <m/>
  </r>
  <r>
    <s v="C002989"/>
    <x v="241"/>
    <s v="CSS Kibungo"/>
    <s v="Ngoma"/>
    <x v="0"/>
    <x v="12"/>
    <s v="Standard"/>
    <x v="0"/>
    <x v="0"/>
    <n v="3"/>
    <s v="Fiber VPN 3MBPS"/>
    <m/>
    <n v="1"/>
    <n v="180000"/>
    <n v="180000"/>
    <s v="Monthly"/>
    <d v="2024-04-30T00:00:00"/>
    <x v="9"/>
    <x v="4"/>
    <n v="-298"/>
    <x v="1"/>
    <x v="5"/>
    <s v="Kamanzi Jean d'Amour"/>
    <s v="mboneza@zigamacss.rw"/>
    <n v="788317654"/>
    <m/>
    <m/>
    <m/>
  </r>
  <r>
    <s v="C002989"/>
    <x v="241"/>
    <s v="CSS MOD"/>
    <s v="Gasabo"/>
    <x v="0"/>
    <x v="12"/>
    <s v="Standard"/>
    <x v="0"/>
    <x v="0"/>
    <n v="3"/>
    <s v="Fiber VPN 3MBPS"/>
    <m/>
    <n v="1"/>
    <n v="180000"/>
    <n v="180000"/>
    <s v="Monthly"/>
    <d v="2024-04-30T00:00:00"/>
    <x v="9"/>
    <x v="4"/>
    <n v="-298"/>
    <x v="1"/>
    <x v="5"/>
    <s v="Kamanzi Jean d'Amour"/>
    <s v="mboneza@zigamacss.rw"/>
    <n v="788317654"/>
    <m/>
    <m/>
    <m/>
  </r>
  <r>
    <s v="C002989"/>
    <x v="241"/>
    <s v="CSS Muhanga"/>
    <s v="Muhanga"/>
    <x v="0"/>
    <x v="12"/>
    <s v="Standard"/>
    <x v="0"/>
    <x v="0"/>
    <n v="3"/>
    <s v="Fiber VPN 3MBPS"/>
    <m/>
    <n v="1"/>
    <n v="180000"/>
    <n v="180000"/>
    <s v="Monthly"/>
    <d v="2024-04-30T00:00:00"/>
    <x v="9"/>
    <x v="4"/>
    <n v="-298"/>
    <x v="1"/>
    <x v="5"/>
    <s v="Kamanzi Jean d'Amour"/>
    <s v="mboneza@zigamacss.rw"/>
    <n v="788317654"/>
    <m/>
    <m/>
    <m/>
  </r>
  <r>
    <s v="C002989"/>
    <x v="241"/>
    <s v="CSS Muhima"/>
    <s v="Nyarugenge"/>
    <x v="0"/>
    <x v="12"/>
    <s v="Standard"/>
    <x v="0"/>
    <x v="0"/>
    <n v="3"/>
    <s v="Fiber VPN 3MBPS"/>
    <m/>
    <n v="1"/>
    <n v="180000"/>
    <n v="180000"/>
    <s v="Monthly"/>
    <d v="2024-04-30T00:00:00"/>
    <x v="9"/>
    <x v="4"/>
    <n v="-298"/>
    <x v="1"/>
    <x v="5"/>
    <s v="Kamanzi Jean d'Amour"/>
    <s v="mboneza@zigamacss.rw"/>
    <n v="788317654"/>
    <m/>
    <m/>
    <m/>
  </r>
  <r>
    <s v="C002989"/>
    <x v="241"/>
    <s v="CSS Nyagatare"/>
    <s v="Nyagatare"/>
    <x v="0"/>
    <x v="12"/>
    <s v="Standard"/>
    <x v="0"/>
    <x v="0"/>
    <n v="3"/>
    <s v="Fiber VPN 3MBPS"/>
    <m/>
    <n v="1"/>
    <n v="180000"/>
    <n v="180000"/>
    <s v="Monthly"/>
    <d v="2024-04-30T00:00:00"/>
    <x v="9"/>
    <x v="4"/>
    <n v="-298"/>
    <x v="1"/>
    <x v="5"/>
    <s v="Kamanzi Jean d'Amour"/>
    <s v="mboneza@zigamacss.rw"/>
    <n v="788317654"/>
    <m/>
    <m/>
    <m/>
  </r>
  <r>
    <s v="C002989"/>
    <x v="241"/>
    <s v="CSS Nyamagabe"/>
    <s v="Nyamagabe"/>
    <x v="0"/>
    <x v="12"/>
    <s v="Standard"/>
    <x v="0"/>
    <x v="0"/>
    <n v="3"/>
    <s v="Fiber VPN 3MBPS"/>
    <m/>
    <n v="1"/>
    <n v="180000"/>
    <n v="180000"/>
    <s v="Monthly"/>
    <d v="2024-04-30T00:00:00"/>
    <x v="9"/>
    <x v="4"/>
    <n v="-298"/>
    <x v="1"/>
    <x v="5"/>
    <s v="Kamanzi Jean d'Amour"/>
    <s v="mboneza@zigamacss.rw"/>
    <n v="788317654"/>
    <m/>
    <m/>
    <m/>
  </r>
  <r>
    <s v="C002989"/>
    <x v="241"/>
    <s v="CSS Nyamata"/>
    <s v="Bugesera"/>
    <x v="0"/>
    <x v="12"/>
    <s v="Standard"/>
    <x v="0"/>
    <x v="0"/>
    <n v="3"/>
    <s v="Fiber VPN 3MBPS"/>
    <m/>
    <n v="1"/>
    <n v="180000"/>
    <n v="180000"/>
    <s v="Monthly"/>
    <d v="2024-04-30T00:00:00"/>
    <x v="9"/>
    <x v="4"/>
    <n v="-298"/>
    <x v="1"/>
    <x v="5"/>
    <s v="Kamanzi Jean d'Amour"/>
    <s v="mboneza@zigamacss.rw"/>
    <n v="788317654"/>
    <m/>
    <m/>
    <m/>
  </r>
  <r>
    <s v="C002989"/>
    <x v="241"/>
    <s v="CSS Nyarugenge"/>
    <s v="Nyarugenge"/>
    <x v="0"/>
    <x v="12"/>
    <s v="Standard"/>
    <x v="0"/>
    <x v="0"/>
    <n v="3"/>
    <s v="Fiber VPN 3MBPS"/>
    <m/>
    <n v="1"/>
    <n v="180000"/>
    <n v="180000"/>
    <s v="Monthly"/>
    <d v="2024-04-30T00:00:00"/>
    <x v="9"/>
    <x v="4"/>
    <n v="-298"/>
    <x v="1"/>
    <x v="5"/>
    <s v="Kamanzi Jean d'Amour"/>
    <s v="mboneza@zigamacss.rw"/>
    <n v="788317654"/>
    <m/>
    <m/>
    <m/>
  </r>
  <r>
    <s v="C002989"/>
    <x v="241"/>
    <s v="CSS RSWITCH VPN"/>
    <s v="Gasabo"/>
    <x v="0"/>
    <x v="12"/>
    <s v="Standard"/>
    <x v="0"/>
    <x v="0"/>
    <n v="3"/>
    <s v="Fiber VPN 3MBPS"/>
    <m/>
    <n v="1"/>
    <n v="180000"/>
    <n v="180000"/>
    <s v="Monthly"/>
    <d v="2024-04-30T00:00:00"/>
    <x v="9"/>
    <x v="4"/>
    <n v="-298"/>
    <x v="1"/>
    <x v="5"/>
    <s v="Kamanzi Jean d'Amour"/>
    <s v="mboneza@zigamacss.rw"/>
    <n v="788317654"/>
    <m/>
    <m/>
    <m/>
  </r>
  <r>
    <s v="C002989"/>
    <x v="241"/>
    <s v="CSS Ruhengeri"/>
    <s v="Musanze"/>
    <x v="0"/>
    <x v="12"/>
    <s v="Standard"/>
    <x v="0"/>
    <x v="0"/>
    <n v="3"/>
    <s v="Fiber VPN 3MBPS"/>
    <m/>
    <n v="1"/>
    <n v="180000"/>
    <n v="180000"/>
    <s v="Monthly"/>
    <d v="2024-04-30T00:00:00"/>
    <x v="9"/>
    <x v="4"/>
    <n v="-298"/>
    <x v="1"/>
    <x v="5"/>
    <s v="Kamanzi Jean d'Amour"/>
    <s v="mboneza@zigamacss.rw"/>
    <n v="788317654"/>
    <m/>
    <m/>
    <m/>
  </r>
  <r>
    <s v="C002989"/>
    <x v="241"/>
    <s v="CSS Rusizi"/>
    <s v="Rusizi"/>
    <x v="0"/>
    <x v="12"/>
    <s v="Standard"/>
    <x v="0"/>
    <x v="0"/>
    <n v="3"/>
    <s v="Fiber VPN 3MBPS"/>
    <m/>
    <n v="1"/>
    <n v="180000"/>
    <n v="180000"/>
    <s v="Monthly"/>
    <d v="2024-04-30T00:00:00"/>
    <x v="9"/>
    <x v="4"/>
    <n v="-298"/>
    <x v="1"/>
    <x v="5"/>
    <s v="Kamanzi Jean d'Amour"/>
    <s v="mboneza@zigamacss.rw"/>
    <n v="788317654"/>
    <m/>
    <m/>
    <m/>
  </r>
  <r>
    <s v="C002989"/>
    <x v="241"/>
    <s v="CSS Rwamagana"/>
    <s v="Rwamagana  "/>
    <x v="0"/>
    <x v="12"/>
    <s v="Standard"/>
    <x v="0"/>
    <x v="0"/>
    <n v="3"/>
    <s v="Fiber VPN 3MBPS"/>
    <m/>
    <n v="1"/>
    <n v="180000"/>
    <n v="180000"/>
    <s v="Monthly"/>
    <d v="2024-04-30T00:00:00"/>
    <x v="9"/>
    <x v="4"/>
    <n v="-298"/>
    <x v="1"/>
    <x v="5"/>
    <s v="Kamanzi Jean d'Amour"/>
    <s v="mboneza@zigamacss.rw"/>
    <n v="788317654"/>
    <m/>
    <m/>
    <m/>
  </r>
  <r>
    <s v="C002989"/>
    <x v="241"/>
    <s v="Primature ATM"/>
    <s v="Gasabo"/>
    <x v="0"/>
    <x v="12"/>
    <s v="Standard"/>
    <x v="0"/>
    <x v="0"/>
    <n v="3"/>
    <s v="Fiber VPN 3MBPS"/>
    <m/>
    <n v="1"/>
    <n v="180000"/>
    <n v="180000"/>
    <s v="Monthly"/>
    <d v="2024-04-30T00:00:00"/>
    <x v="9"/>
    <x v="4"/>
    <n v="-298"/>
    <x v="1"/>
    <x v="5"/>
    <s v="Kamanzi Jean d'Amour"/>
    <s v="mboneza@zigamacss.rw"/>
    <n v="788317654"/>
    <m/>
    <m/>
    <m/>
  </r>
  <r>
    <s v="C002989"/>
    <x v="241"/>
    <s v="Kacyiru ATM"/>
    <s v="Gasabo"/>
    <x v="0"/>
    <x v="12"/>
    <s v="Standard"/>
    <x v="0"/>
    <x v="0"/>
    <n v="3"/>
    <s v="Fiber VPN 3MBPS"/>
    <m/>
    <n v="1"/>
    <n v="180000"/>
    <n v="180000"/>
    <s v="Monthly"/>
    <d v="2024-04-30T00:00:00"/>
    <x v="9"/>
    <x v="4"/>
    <n v="-298"/>
    <x v="1"/>
    <x v="5"/>
    <s v="Kamanzi Jean d'Amour"/>
    <s v="mboneza@zigamacss.rw"/>
    <n v="788317654"/>
    <m/>
    <m/>
    <m/>
  </r>
  <r>
    <s v="C002989"/>
    <x v="241"/>
    <s v="Gabiro ATM"/>
    <s v="Nyagatare"/>
    <x v="0"/>
    <x v="12"/>
    <s v="Standard"/>
    <x v="0"/>
    <x v="0"/>
    <n v="3"/>
    <s v="Fiber VPN 3MBPS"/>
    <m/>
    <n v="1"/>
    <n v="180000"/>
    <n v="180000"/>
    <s v="Monthly"/>
    <d v="2024-04-30T00:00:00"/>
    <x v="9"/>
    <x v="4"/>
    <n v="-298"/>
    <x v="1"/>
    <x v="5"/>
    <s v="Kamanzi Jean d'Amour"/>
    <s v="mboneza@zigamacss.rw"/>
    <n v="788317654"/>
    <m/>
    <m/>
    <m/>
  </r>
  <r>
    <s v="C002989"/>
    <x v="241"/>
    <s v="Gako ATM"/>
    <s v="Bugesera"/>
    <x v="0"/>
    <x v="12"/>
    <s v="Standard"/>
    <x v="0"/>
    <x v="0"/>
    <n v="3"/>
    <s v="Fiber VPN 3MBPS"/>
    <m/>
    <n v="1"/>
    <n v="180000"/>
    <n v="180000"/>
    <s v="Monthly"/>
    <d v="2024-04-30T00:00:00"/>
    <x v="9"/>
    <x v="4"/>
    <n v="-298"/>
    <x v="1"/>
    <x v="5"/>
    <s v="Kamanzi Jean d'Amour"/>
    <s v="mboneza@zigamacss.rw"/>
    <n v="788317654"/>
    <m/>
    <m/>
    <m/>
  </r>
  <r>
    <s v="C002989"/>
    <x v="241"/>
    <s v="Kanombe ATM"/>
    <s v="Gasabo"/>
    <x v="0"/>
    <x v="12"/>
    <s v="Standard"/>
    <x v="0"/>
    <x v="0"/>
    <n v="3"/>
    <s v="Fiber VPN 3MBPS"/>
    <m/>
    <n v="1"/>
    <n v="180000"/>
    <n v="180000"/>
    <s v="Monthly"/>
    <d v="2024-04-30T00:00:00"/>
    <x v="9"/>
    <x v="4"/>
    <n v="-298"/>
    <x v="1"/>
    <x v="5"/>
    <s v="Kamanzi Jean d'Amour"/>
    <s v="mboneza@zigamacss.rw"/>
    <n v="788317654"/>
    <m/>
    <m/>
    <m/>
  </r>
  <r>
    <s v="C002989"/>
    <x v="241"/>
    <s v="Kimihurura ATM"/>
    <s v="Gasabo"/>
    <x v="0"/>
    <x v="12"/>
    <s v="Standard"/>
    <x v="0"/>
    <x v="0"/>
    <n v="3"/>
    <s v="Fiber VPN 3MBPS"/>
    <m/>
    <n v="1"/>
    <n v="180000"/>
    <n v="180000"/>
    <s v="Monthly"/>
    <d v="2024-04-30T00:00:00"/>
    <x v="9"/>
    <x v="4"/>
    <n v="-298"/>
    <x v="1"/>
    <x v="5"/>
    <s v="Kamanzi Jean d'Amour"/>
    <s v="mboneza@zigamacss.rw"/>
    <n v="788317654"/>
    <m/>
    <m/>
    <m/>
  </r>
  <r>
    <s v="C002989"/>
    <x v="241"/>
    <s v="Mukamira ATM"/>
    <s v="Nyabihu"/>
    <x v="0"/>
    <x v="12"/>
    <s v="Standard"/>
    <x v="0"/>
    <x v="0"/>
    <n v="3"/>
    <s v="Fiber VPN 3MBPS"/>
    <m/>
    <n v="1"/>
    <n v="180000"/>
    <n v="180000"/>
    <s v="Monthly"/>
    <d v="2024-04-30T00:00:00"/>
    <x v="9"/>
    <x v="4"/>
    <n v="-298"/>
    <x v="1"/>
    <x v="5"/>
    <s v="Kamanzi Jean d'Amour"/>
    <s v="mboneza@zigamacss.rw"/>
    <n v="788317654"/>
    <m/>
    <m/>
    <m/>
  </r>
  <r>
    <s v="C002989"/>
    <x v="241"/>
    <s v="CSS Kacyiru fiber internet"/>
    <s v="Gasabo"/>
    <x v="0"/>
    <x v="12"/>
    <s v="Standard"/>
    <x v="0"/>
    <x v="0"/>
    <n v="10"/>
    <s v="Fiber VPN 10MBPS "/>
    <m/>
    <n v="1"/>
    <n v="510000"/>
    <n v="510000"/>
    <s v="Monthly"/>
    <d v="2024-04-30T00:00:00"/>
    <x v="9"/>
    <x v="4"/>
    <n v="-298"/>
    <x v="1"/>
    <x v="5"/>
    <s v="Kamanzi Jean d'Amour"/>
    <s v="mboneza@zigamacss.rw"/>
    <n v="788317654"/>
    <m/>
    <m/>
    <m/>
  </r>
  <r>
    <s v="C002989"/>
    <x v="241"/>
    <s v="CSS VPN"/>
    <s v="Gasabo"/>
    <x v="0"/>
    <x v="12"/>
    <s v="Standard"/>
    <x v="0"/>
    <x v="0"/>
    <n v="20"/>
    <s v="Fiber VPN 20MBPS"/>
    <m/>
    <n v="1"/>
    <n v="900000"/>
    <n v="900000"/>
    <s v="Monthly"/>
    <d v="2024-04-30T00:00:00"/>
    <x v="9"/>
    <x v="4"/>
    <n v="-298"/>
    <x v="1"/>
    <x v="5"/>
    <s v="Kamanzi Jean d'Amour"/>
    <s v="mboneza@zigamacss.rw"/>
    <n v="788317654"/>
    <m/>
    <m/>
    <m/>
  </r>
  <r>
    <s v="C002989"/>
    <x v="241"/>
    <s v="CSS HQ"/>
    <s v="Gasabo"/>
    <x v="0"/>
    <x v="12"/>
    <s v="Standard"/>
    <x v="0"/>
    <x v="0"/>
    <n v="30"/>
    <s v="Fiber VPN 30MBPS"/>
    <m/>
    <n v="1"/>
    <n v="1260000"/>
    <n v="1260000"/>
    <s v="Monthly"/>
    <d v="2024-04-30T00:00:00"/>
    <x v="9"/>
    <x v="4"/>
    <n v="-298"/>
    <x v="1"/>
    <x v="5"/>
    <s v="Kamanzi Jean d'Amour"/>
    <s v="mboneza@zigamacss.rw"/>
    <n v="788317654"/>
    <m/>
    <m/>
    <m/>
  </r>
  <r>
    <s v="C002989"/>
    <x v="241"/>
    <s v="ZIGAMA CSS HQ"/>
    <s v="Gasabo"/>
    <x v="0"/>
    <x v="12"/>
    <s v="Standard"/>
    <x v="0"/>
    <x v="2"/>
    <m/>
    <s v="Dark Fiber Lease  "/>
    <n v="19"/>
    <n v="1"/>
    <n v="999701.69491525425"/>
    <n v="999701.69491525425"/>
    <s v="Monthly"/>
    <d v="2024-04-30T00:00:00"/>
    <x v="9"/>
    <x v="4"/>
    <n v="-298"/>
    <x v="1"/>
    <x v="5"/>
    <s v="Kamanzi Jean d'Amour"/>
    <s v="mboneza@zigamacss.rw"/>
    <n v="788317654"/>
    <m/>
    <m/>
    <m/>
  </r>
  <r>
    <s v="C002942"/>
    <x v="242"/>
    <s v="West HQ"/>
    <s v="Rulindo"/>
    <x v="0"/>
    <x v="0"/>
    <s v="VIP"/>
    <x v="0"/>
    <x v="0"/>
    <n v="5"/>
    <s v="FIBER VPN 5MBPS"/>
    <m/>
    <n v="1"/>
    <n v="270000"/>
    <n v="270000"/>
    <s v="Monthly"/>
    <d v="2024-05-01T00:00:00"/>
    <x v="10"/>
    <x v="4"/>
    <n v="-299"/>
    <x v="1"/>
    <x v="5"/>
    <s v="steven"/>
    <s v="info@westernprovince.gov.rw"/>
    <n v="783137224"/>
    <m/>
    <m/>
    <m/>
  </r>
  <r>
    <s v="C002942"/>
    <x v="242"/>
    <s v="West HQ"/>
    <s v="Rulindo"/>
    <x v="0"/>
    <x v="0"/>
    <s v="VIP"/>
    <x v="1"/>
    <x v="10"/>
    <m/>
    <s v="VIDEO CONFERENCE"/>
    <m/>
    <n v="1"/>
    <n v="258044"/>
    <n v="258044"/>
    <s v="Monthly"/>
    <d v="2024-05-01T00:00:00"/>
    <x v="10"/>
    <x v="4"/>
    <n v="-299"/>
    <x v="1"/>
    <x v="5"/>
    <s v="Bosco"/>
    <s v="info@westernprovince.gov.rw"/>
    <n v="783137224"/>
    <m/>
    <m/>
    <m/>
  </r>
  <r>
    <s v="C002942"/>
    <x v="242"/>
    <s v="West HQ"/>
    <s v="Rulindo"/>
    <x v="0"/>
    <x v="0"/>
    <s v="VIP"/>
    <x v="3"/>
    <x v="7"/>
    <m/>
    <s v="MSS SECURE BROWSING"/>
    <m/>
    <n v="1"/>
    <n v="86130"/>
    <n v="86130"/>
    <s v="Monthly"/>
    <d v="2024-05-01T00:00:00"/>
    <x v="10"/>
    <x v="4"/>
    <n v="-299"/>
    <x v="1"/>
    <x v="5"/>
    <s v="Bosco"/>
    <s v="info@westernprovince.gov.rw"/>
    <n v="783137224"/>
    <m/>
    <m/>
    <m/>
  </r>
  <r>
    <s v="C002263"/>
    <x v="137"/>
    <s v="Rwanda Cooperative Agency (RCA)"/>
    <s v="Musanze"/>
    <x v="0"/>
    <x v="0"/>
    <s v="Standard"/>
    <x v="0"/>
    <x v="0"/>
    <n v="15"/>
    <s v="Fiber VPN 15MBPS "/>
    <m/>
    <n v="1"/>
    <n v="720000"/>
    <n v="720000"/>
    <s v="Monthly"/>
    <d v="2024-05-02T00:00:00"/>
    <x v="10"/>
    <x v="4"/>
    <n v="-300"/>
    <x v="1"/>
    <x v="5"/>
    <s v="UWIZEYE"/>
    <s v="jfuwizeye@rca.gov.rw"/>
    <n v="788512166"/>
    <m/>
    <m/>
    <m/>
  </r>
  <r>
    <s v="C003344"/>
    <x v="243"/>
    <s v="British High Commission"/>
    <s v="Gasabo"/>
    <x v="1"/>
    <x v="1"/>
    <s v="Standard"/>
    <x v="1"/>
    <x v="5"/>
    <n v="100"/>
    <s v="Fiber Broadband Internet 100Mbps"/>
    <m/>
    <n v="1"/>
    <n v="1800000"/>
    <n v="1800000"/>
    <s v="Monthly"/>
    <d v="2024-05-02T00:00:00"/>
    <x v="10"/>
    <x v="4"/>
    <n v="-300"/>
    <x v="1"/>
    <x v="1"/>
    <s v="Andrew Tuitoek"/>
    <s v="andrew.tuitoek@seacom.com"/>
    <s v="00 254 72 0934657"/>
    <m/>
    <m/>
    <m/>
  </r>
  <r>
    <s v="C001409"/>
    <x v="118"/>
    <s v="MINAGRI - SPIU IFAD FUNDED PROJECT"/>
    <s v="Gasabo"/>
    <x v="0"/>
    <x v="0"/>
    <s v="Standard"/>
    <x v="3"/>
    <x v="7"/>
    <m/>
    <s v="MSS GOLD"/>
    <m/>
    <n v="1"/>
    <n v="369325.42"/>
    <n v="369325.42"/>
    <s v="Monthly"/>
    <d v="2024-05-03T00:00:00"/>
    <x v="10"/>
    <x v="4"/>
    <n v="-301"/>
    <x v="1"/>
    <x v="2"/>
    <s v="Kaberuka Jean de Dieu"/>
    <s v="infospiu@minagri.gov.rw"/>
    <s v="0788-641-820"/>
    <s v="Under Renewal"/>
    <m/>
    <m/>
  </r>
  <r>
    <s v="C001419"/>
    <x v="183"/>
    <s v="Fiber Service: Minecofin HQ"/>
    <s v="Nyarugenge"/>
    <x v="0"/>
    <x v="0"/>
    <s v="Standard"/>
    <x v="0"/>
    <x v="0"/>
    <n v="80"/>
    <s v="Fiber Broadband Internet 80Mbps"/>
    <m/>
    <n v="1"/>
    <n v="2595500"/>
    <n v="2595500"/>
    <s v="Monthly"/>
    <d v="2024-05-03T00:00:00"/>
    <x v="10"/>
    <x v="4"/>
    <n v="-301"/>
    <x v="1"/>
    <x v="1"/>
    <s v="Florent Kwizera"/>
    <s v="florent.kwizera@minecofin.gov.rw"/>
    <s v="0 788 599711"/>
    <m/>
    <m/>
    <m/>
  </r>
  <r>
    <s v="C001419"/>
    <x v="183"/>
    <s v="VC Service"/>
    <s v="Nyarugenge"/>
    <x v="0"/>
    <x v="0"/>
    <s v="Standard"/>
    <x v="1"/>
    <x v="10"/>
    <m/>
    <s v="Videoconferencing Services: 1 Unit"/>
    <m/>
    <n v="1"/>
    <n v="258044.9152542373"/>
    <n v="258044.9152542373"/>
    <s v="Monthly"/>
    <d v="2024-05-03T00:00:00"/>
    <x v="10"/>
    <x v="4"/>
    <n v="-301"/>
    <x v="1"/>
    <x v="1"/>
    <s v="Florent Kwizera"/>
    <s v="florent.kwizera@minecofin.gov.rw"/>
    <s v="0 788 599711"/>
    <m/>
    <m/>
    <m/>
  </r>
  <r>
    <s v="C001419"/>
    <x v="183"/>
    <s v="DFL: AOS TH-Minecofin"/>
    <s v="Nyarugenge"/>
    <x v="0"/>
    <x v="0"/>
    <s v="Standard"/>
    <x v="2"/>
    <x v="2"/>
    <m/>
    <s v="Dark Fiber Lease  "/>
    <n v="11"/>
    <n v="1"/>
    <n v="847457.62711864407"/>
    <n v="847457.62711864407"/>
    <s v="Monthly"/>
    <d v="2024-05-03T00:00:00"/>
    <x v="10"/>
    <x v="4"/>
    <n v="-301"/>
    <x v="1"/>
    <x v="1"/>
    <s v="Florent Kwizera"/>
    <s v="florent.kwizera@minecofin.gov.rw"/>
    <s v="0 788 599711"/>
    <m/>
    <m/>
    <m/>
  </r>
  <r>
    <s v="C001419"/>
    <x v="183"/>
    <s v="DFL: AOS TH-Minecofin"/>
    <s v="Nyarugenge"/>
    <x v="0"/>
    <x v="0"/>
    <s v="Standard"/>
    <x v="2"/>
    <x v="2"/>
    <m/>
    <s v="Dark Fiber Lease  "/>
    <n v="11"/>
    <n v="1"/>
    <n v="847457.62711864407"/>
    <n v="847457.62711864407"/>
    <s v="Monthly"/>
    <d v="2024-05-03T00:00:00"/>
    <x v="10"/>
    <x v="4"/>
    <n v="-301"/>
    <x v="1"/>
    <x v="1"/>
    <s v="Florent Kwizera"/>
    <s v="florent.kwizera@minecofin.gov.rw"/>
    <s v="0 788 599711"/>
    <m/>
    <m/>
    <m/>
  </r>
  <r>
    <s v="C002246"/>
    <x v="106"/>
    <s v="MCCH-ECONOMIC ZONE"/>
    <s v="Gasabo"/>
    <x v="0"/>
    <x v="6"/>
    <s v="VIP"/>
    <x v="0"/>
    <x v="0"/>
    <n v="5"/>
    <s v="FIBER VPN 5MBPS"/>
    <m/>
    <n v="1"/>
    <n v="270000"/>
    <n v="270000"/>
    <s v="Monthly"/>
    <d v="2024-05-06T00:00:00"/>
    <x v="10"/>
    <x v="4"/>
    <n v="-304"/>
    <x v="1"/>
    <x v="6"/>
    <s v="KAGIRANEZA Samuel"/>
    <s v="samuel.kagiraneza@rbc.gov.rw"/>
    <n v="788512162"/>
    <m/>
    <m/>
    <m/>
  </r>
  <r>
    <s v="C002246"/>
    <x v="106"/>
    <s v="RCBT-HUYE"/>
    <s v="Huye"/>
    <x v="0"/>
    <x v="6"/>
    <s v="VIP"/>
    <x v="0"/>
    <x v="0"/>
    <n v="5"/>
    <s v="FIBER VPN 5MBPS"/>
    <m/>
    <n v="1"/>
    <n v="270000"/>
    <n v="270000"/>
    <s v="Monthly"/>
    <d v="2024-05-06T00:00:00"/>
    <x v="10"/>
    <x v="4"/>
    <n v="-304"/>
    <x v="1"/>
    <x v="6"/>
    <s v="KAGIRANEZA Samuel"/>
    <s v="samuel.kagiraneza@rbc.gov.rw"/>
    <n v="788512162"/>
    <m/>
    <m/>
    <m/>
  </r>
  <r>
    <s v="C002246"/>
    <x v="106"/>
    <s v="RCBT-KARONGI"/>
    <s v="Karongi"/>
    <x v="0"/>
    <x v="6"/>
    <s v="VIP"/>
    <x v="0"/>
    <x v="0"/>
    <n v="5"/>
    <s v="FIBER VPN 5MBPS"/>
    <m/>
    <n v="1"/>
    <n v="270000"/>
    <n v="270000"/>
    <s v="Monthly"/>
    <d v="2024-05-06T00:00:00"/>
    <x v="10"/>
    <x v="4"/>
    <n v="-304"/>
    <x v="1"/>
    <x v="6"/>
    <s v="KAGIRANEZA Samuel"/>
    <s v="samuel.kagiraneza@rbc.gov.rw"/>
    <n v="788512162"/>
    <m/>
    <m/>
    <m/>
  </r>
  <r>
    <s v="C002246"/>
    <x v="106"/>
    <s v="RCBT-MUSANZE"/>
    <s v="Musanze"/>
    <x v="0"/>
    <x v="6"/>
    <s v="VIP"/>
    <x v="0"/>
    <x v="0"/>
    <n v="5"/>
    <s v="FIBER VPN 5MBPS"/>
    <m/>
    <n v="1"/>
    <n v="270000"/>
    <n v="270000"/>
    <s v="Monthly"/>
    <d v="2024-05-06T00:00:00"/>
    <x v="10"/>
    <x v="4"/>
    <n v="-304"/>
    <x v="1"/>
    <x v="6"/>
    <s v="KAGIRANEZA Samuel"/>
    <s v="samuel.kagiraneza@rbc.gov.rw"/>
    <n v="788512162"/>
    <m/>
    <m/>
    <m/>
  </r>
  <r>
    <s v="C002246"/>
    <x v="106"/>
    <s v="RCBT-RWAMAGANA"/>
    <s v="Rwamagana  "/>
    <x v="0"/>
    <x v="6"/>
    <s v="VIP"/>
    <x v="0"/>
    <x v="0"/>
    <n v="5"/>
    <s v="FIBER VPN 5MBPS"/>
    <m/>
    <n v="1"/>
    <n v="270000"/>
    <n v="270000"/>
    <s v="Monthly"/>
    <d v="2024-05-06T00:00:00"/>
    <x v="10"/>
    <x v="4"/>
    <n v="-304"/>
    <x v="1"/>
    <x v="6"/>
    <s v="KAGIRANEZA Samuel"/>
    <s v="samuel.kagiraneza@rbc.gov.rw"/>
    <n v="788512162"/>
    <m/>
    <m/>
    <m/>
  </r>
  <r>
    <s v="C002246"/>
    <x v="106"/>
    <s v="MCCH-FREEZONE"/>
    <s v="Kicukiro"/>
    <x v="0"/>
    <x v="6"/>
    <s v="VIP"/>
    <x v="0"/>
    <x v="0"/>
    <n v="10"/>
    <s v="FIBER VPN 10MBPS"/>
    <m/>
    <n v="1"/>
    <n v="510000"/>
    <n v="510000"/>
    <s v="Monthly"/>
    <d v="2024-05-06T00:00:00"/>
    <x v="10"/>
    <x v="4"/>
    <n v="-304"/>
    <x v="1"/>
    <x v="6"/>
    <s v="KAGIRANEZA Samuel"/>
    <s v="samuel.kagiraneza@rbc.gov.rw"/>
    <n v="788512162"/>
    <m/>
    <m/>
    <m/>
  </r>
  <r>
    <s v="C002246"/>
    <x v="106"/>
    <s v="RBC-HQ"/>
    <s v="Gasabo"/>
    <x v="0"/>
    <x v="6"/>
    <s v="VIP"/>
    <x v="0"/>
    <x v="0"/>
    <n v="50"/>
    <s v="FIBER VPN 50MBPS"/>
    <m/>
    <n v="1"/>
    <n v="1800000"/>
    <n v="1800000"/>
    <s v="Monthly"/>
    <d v="2024-05-06T00:00:00"/>
    <x v="10"/>
    <x v="4"/>
    <n v="-304"/>
    <x v="1"/>
    <x v="6"/>
    <s v="KAGIRANEZA Samuel"/>
    <s v="samuel.kagiraneza@rbc.gov.rw"/>
    <n v="788512162"/>
    <m/>
    <m/>
    <m/>
  </r>
  <r>
    <s v="C002246"/>
    <x v="106"/>
    <s v="NRL-NCBT"/>
    <s v="Nyarugenge"/>
    <x v="0"/>
    <x v="6"/>
    <s v="VIP"/>
    <x v="0"/>
    <x v="0"/>
    <n v="60"/>
    <s v="FIBER VPN 60MBPS"/>
    <m/>
    <n v="1"/>
    <n v="2463840"/>
    <n v="2463840"/>
    <s v="Monthly"/>
    <d v="2024-05-06T00:00:00"/>
    <x v="10"/>
    <x v="4"/>
    <n v="-304"/>
    <x v="1"/>
    <x v="6"/>
    <s v="KAGIRANEZA Samuel"/>
    <s v="samuel.kagiraneza@rbc.gov.rw"/>
    <n v="788512162"/>
    <m/>
    <m/>
    <m/>
  </r>
  <r>
    <s v="C004151"/>
    <x v="244"/>
    <s v="HQ"/>
    <s v="Gasabo"/>
    <x v="1"/>
    <x v="14"/>
    <s v="Standard"/>
    <x v="1"/>
    <x v="5"/>
    <n v="10"/>
    <s v="Fiber Internet 10Mbps"/>
    <m/>
    <n v="1"/>
    <n v="570000"/>
    <n v="570000"/>
    <s v="Monthly"/>
    <d v="2024-05-09T00:00:00"/>
    <x v="10"/>
    <x v="4"/>
    <n v="-307"/>
    <x v="1"/>
    <x v="0"/>
    <s v="Ariane Uwiturije"/>
    <s v="ariane.uwiturije@ruzizienergy.com"/>
    <s v="0788683262"/>
    <m/>
    <m/>
    <m/>
  </r>
  <r>
    <s v="C001267"/>
    <x v="245"/>
    <s v="Colocation Service: VLP"/>
    <s v="Gasabo"/>
    <x v="1"/>
    <x v="1"/>
    <s v="VIP"/>
    <x v="1"/>
    <x v="1"/>
    <m/>
    <s v="Colocation Service: 1/4U"/>
    <m/>
    <n v="1"/>
    <n v="501600"/>
    <n v="501600"/>
    <s v="Monthly"/>
    <d v="2024-05-23T00:00:00"/>
    <x v="10"/>
    <x v="4"/>
    <n v="-321"/>
    <x v="1"/>
    <x v="1"/>
    <s v="Ramadhani Nshakabatenda"/>
    <s v="ramadhani.nshaka@liquid.tech"/>
    <s v="0788 629 054 "/>
    <m/>
    <m/>
    <m/>
  </r>
  <r>
    <s v="C001427"/>
    <x v="205"/>
    <s v="MINISTRY OF SPORTS"/>
    <s v="Gasabo"/>
    <x v="0"/>
    <x v="0"/>
    <s v="Standard"/>
    <x v="0"/>
    <x v="6"/>
    <m/>
    <s v="4G MUP 1GB/DAY"/>
    <m/>
    <n v="1"/>
    <n v="19491.525423728814"/>
    <n v="19491.525423728814"/>
    <s v="Monthly"/>
    <d v="2024-05-30T00:00:00"/>
    <x v="10"/>
    <x v="4"/>
    <n v="-328"/>
    <x v="1"/>
    <x v="2"/>
    <s v="Florian IRUTABAMI"/>
    <s v="it@minisports.gov.rw"/>
    <s v="0788-738-798"/>
    <m/>
    <m/>
    <m/>
  </r>
  <r>
    <s v="C001427"/>
    <x v="205"/>
    <s v="MINISTRY OF SPORTS"/>
    <s v="Gasabo"/>
    <x v="0"/>
    <x v="0"/>
    <s v="Standard"/>
    <x v="0"/>
    <x v="6"/>
    <m/>
    <s v="4G MUP 2GB/DAY"/>
    <m/>
    <n v="2"/>
    <n v="28305.08"/>
    <n v="56610.16"/>
    <s v="Monthly"/>
    <d v="2024-05-30T00:00:00"/>
    <x v="10"/>
    <x v="4"/>
    <n v="-328"/>
    <x v="1"/>
    <x v="2"/>
    <s v="Florian IRUTABAMI"/>
    <s v="it@minisports.gov.rw"/>
    <s v="0788-738-798"/>
    <m/>
    <m/>
    <m/>
  </r>
  <r>
    <s v="C001427"/>
    <x v="205"/>
    <s v="MINISTRY OF SPORTS"/>
    <s v="Gasabo"/>
    <x v="0"/>
    <x v="0"/>
    <s v="Standard"/>
    <x v="0"/>
    <x v="6"/>
    <m/>
    <s v=" 4G MUP 4GB/DAY "/>
    <m/>
    <n v="8"/>
    <n v="45338.98"/>
    <n v="362711.84"/>
    <s v="Monthly"/>
    <d v="2024-05-30T00:00:00"/>
    <x v="10"/>
    <x v="4"/>
    <n v="-328"/>
    <x v="1"/>
    <x v="2"/>
    <s v="Florian IRUTABAMI"/>
    <s v="it@minisports.gov.rw"/>
    <s v="0788-738-798"/>
    <m/>
    <m/>
    <m/>
  </r>
  <r>
    <s v="C001427"/>
    <x v="205"/>
    <s v="MINISTRY OF SPORTS"/>
    <s v="Gasabo"/>
    <x v="0"/>
    <x v="0"/>
    <s v="Standard"/>
    <x v="0"/>
    <x v="6"/>
    <m/>
    <s v="4G ONE NETWORK 3MBPS"/>
    <m/>
    <n v="22"/>
    <n v="81355.932203389835"/>
    <n v="1789830.5084745763"/>
    <s v="Monthly"/>
    <d v="2024-05-30T00:00:00"/>
    <x v="10"/>
    <x v="4"/>
    <n v="-328"/>
    <x v="1"/>
    <x v="2"/>
    <s v="Florian IRUTABAMI"/>
    <s v="it@minisports.gov.rw"/>
    <s v="0788-738-798"/>
    <m/>
    <m/>
    <m/>
  </r>
  <r>
    <s v="C001441"/>
    <x v="12"/>
    <s v="VSAT: Battle Group A-Coy Bria"/>
    <s v="Central Africa"/>
    <x v="0"/>
    <x v="3"/>
    <s v="VIP"/>
    <x v="1"/>
    <x v="8"/>
    <n v="1"/>
    <s v="VSAT Internet 1Mbps"/>
    <m/>
    <n v="1"/>
    <n v="1030928"/>
    <n v="1030928"/>
    <s v="Monthly"/>
    <d v="2024-05-31T00:00:00"/>
    <x v="10"/>
    <x v="4"/>
    <n v="-329"/>
    <x v="1"/>
    <x v="1"/>
    <s v="Jean de Dieu MUGAMBWA_x000a_Lt Col_x000a_Ag. H/CEC"/>
    <s v="headcec@minadef.gov.rw    "/>
    <s v="0 78 831 4513"/>
    <m/>
    <m/>
    <m/>
  </r>
  <r>
    <s v="C001441"/>
    <x v="12"/>
    <s v="VSAT A-Coy (4eme Arrondissement)"/>
    <s v="Central Africa"/>
    <x v="0"/>
    <x v="3"/>
    <s v="VIP"/>
    <x v="1"/>
    <x v="8"/>
    <n v="3"/>
    <s v="VSAT Internet 3Mbps"/>
    <m/>
    <n v="1"/>
    <n v="2947241"/>
    <n v="2947241"/>
    <s v="Monthly"/>
    <d v="2024-05-31T00:00:00"/>
    <x v="10"/>
    <x v="4"/>
    <n v="-329"/>
    <x v="1"/>
    <x v="1"/>
    <s v="Jean de Dieu MUGAMBWA_x000a_Lt Col_x000a_Ag. H/CEC"/>
    <s v="headcec@minadef.gov.rw    "/>
    <s v="0 78 831 4513"/>
    <m/>
    <m/>
    <m/>
  </r>
  <r>
    <s v="C001441"/>
    <x v="12"/>
    <s v="VSAT B-Coy (7eme Arrondissement)"/>
    <s v="Central Africa"/>
    <x v="0"/>
    <x v="3"/>
    <s v="VIP"/>
    <x v="1"/>
    <x v="8"/>
    <n v="3"/>
    <s v="VSAT Internet 3Mbps"/>
    <m/>
    <n v="1"/>
    <n v="2947241"/>
    <n v="2947241"/>
    <s v="Monthly"/>
    <d v="2024-05-31T00:00:00"/>
    <x v="10"/>
    <x v="4"/>
    <n v="-329"/>
    <x v="1"/>
    <x v="1"/>
    <s v="Jean de Dieu MUGAMBWA_x000a_Lt Col_x000a_Ag. H/CEC"/>
    <s v="headcec@minadef.gov.rw    "/>
    <s v="0 78 831 4513"/>
    <m/>
    <m/>
    <m/>
  </r>
  <r>
    <s v="C001441"/>
    <x v="12"/>
    <s v="VSAT: Battle Group Bria HQ"/>
    <s v="Central Africa"/>
    <x v="0"/>
    <x v="3"/>
    <s v="VIP"/>
    <x v="1"/>
    <x v="8"/>
    <n v="3"/>
    <s v="VSAT Internet 3Mbps"/>
    <m/>
    <n v="1"/>
    <n v="2947241"/>
    <n v="2947241"/>
    <s v="Monthly"/>
    <d v="2024-05-31T00:00:00"/>
    <x v="10"/>
    <x v="4"/>
    <n v="-329"/>
    <x v="1"/>
    <x v="1"/>
    <s v="Jean de Dieu MUGAMBWA_x000a_Lt Col_x000a_Ag. H/CEC"/>
    <s v="headcec@minadef.gov.rw    "/>
    <s v="0 78 831 4513"/>
    <m/>
    <m/>
    <m/>
  </r>
  <r>
    <s v="C001441"/>
    <x v="12"/>
    <s v="VSAT: Battle Group Bria Base Camp"/>
    <s v="Central Africa"/>
    <x v="0"/>
    <x v="3"/>
    <s v="VIP"/>
    <x v="1"/>
    <x v="8"/>
    <n v="3"/>
    <s v="VSAT Internet 3Mbps"/>
    <m/>
    <n v="1"/>
    <n v="2947241"/>
    <n v="2947241"/>
    <s v="Monthly"/>
    <d v="2024-05-31T00:00:00"/>
    <x v="10"/>
    <x v="4"/>
    <n v="-329"/>
    <x v="1"/>
    <x v="1"/>
    <s v="Jean de Dieu MUGAMBWA_x000a_Lt Col_x000a_Ag. H/CEC"/>
    <s v="headcec@minadef.gov.rw    "/>
    <s v="0 78 831 4513"/>
    <m/>
    <m/>
    <m/>
  </r>
  <r>
    <s v="C001441"/>
    <x v="12"/>
    <s v="VSAT: Battle Group Bambari"/>
    <s v="Central Africa"/>
    <x v="0"/>
    <x v="3"/>
    <s v="VIP"/>
    <x v="1"/>
    <x v="8"/>
    <n v="3"/>
    <s v="VSAT Internet 3Mbps"/>
    <m/>
    <n v="1"/>
    <n v="2947241"/>
    <n v="2947241"/>
    <s v="Monthly"/>
    <d v="2024-05-31T00:00:00"/>
    <x v="10"/>
    <x v="4"/>
    <n v="-329"/>
    <x v="1"/>
    <x v="1"/>
    <s v="Jean de Dieu MUGAMBWA_x000a_Lt Col_x000a_Ag. H/CEC"/>
    <s v="headcec@minadef.gov.rw    "/>
    <s v="0 78 831 4513"/>
    <m/>
    <m/>
    <m/>
  </r>
  <r>
    <s v="C001441"/>
    <x v="12"/>
    <s v="VSAT: Damara 1"/>
    <s v="Central Africa"/>
    <x v="0"/>
    <x v="3"/>
    <s v="VIP"/>
    <x v="1"/>
    <x v="8"/>
    <n v="3"/>
    <s v="VSAT Internet 3Mbps"/>
    <m/>
    <n v="1"/>
    <n v="2947241"/>
    <n v="2947241"/>
    <s v="Monthly"/>
    <d v="2024-05-31T00:00:00"/>
    <x v="10"/>
    <x v="4"/>
    <n v="-329"/>
    <x v="1"/>
    <x v="1"/>
    <s v="Jean de Dieu MUGAMBWA_x000a_Lt Col_x000a_Ag. H/CEC"/>
    <s v="headcec@minadef.gov.rw    "/>
    <s v="0 78 831 4513"/>
    <m/>
    <m/>
    <m/>
  </r>
  <r>
    <s v="C001441"/>
    <x v="12"/>
    <s v="VSAT: Damara 2"/>
    <s v="Central Africa"/>
    <x v="0"/>
    <x v="3"/>
    <s v="VIP"/>
    <x v="1"/>
    <x v="8"/>
    <n v="3"/>
    <s v="VSAT Internet 3Mbps"/>
    <m/>
    <n v="1"/>
    <n v="2947241"/>
    <n v="2947241"/>
    <s v="Monthly"/>
    <d v="2024-05-31T00:00:00"/>
    <x v="10"/>
    <x v="4"/>
    <n v="-329"/>
    <x v="1"/>
    <x v="1"/>
    <s v="Jean de Dieu MUGAMBWA_x000a_Lt Col_x000a_Ag. H/CEC"/>
    <s v="headcec@minadef.gov.rw    "/>
    <s v="0 78 831 4513"/>
    <m/>
    <m/>
    <m/>
  </r>
  <r>
    <s v="C001440"/>
    <x v="12"/>
    <s v="VSAT: Juba Airforce HQ"/>
    <s v="South Sudan"/>
    <x v="0"/>
    <x v="3"/>
    <s v="VIP"/>
    <x v="1"/>
    <x v="8"/>
    <n v="3"/>
    <s v="VSAT Internet 3Mbps"/>
    <m/>
    <n v="1"/>
    <n v="2947241"/>
    <n v="2947241"/>
    <s v="Monthly"/>
    <d v="2024-05-31T00:00:00"/>
    <x v="10"/>
    <x v="4"/>
    <n v="-329"/>
    <x v="1"/>
    <x v="1"/>
    <s v="Jean de Dieu MUGAMBWA_x000a_Lt Col_x000a_Ag. H/CEC"/>
    <s v="headcec@minadef.gov.rw    "/>
    <s v="0 78 831 4513"/>
    <m/>
    <m/>
    <m/>
  </r>
  <r>
    <s v="C001440"/>
    <x v="12"/>
    <s v="VSAT: Malakal RAF"/>
    <s v="South Sudan"/>
    <x v="0"/>
    <x v="3"/>
    <s v="VIP"/>
    <x v="1"/>
    <x v="8"/>
    <n v="3"/>
    <s v="VSAT Internet 3Mbps"/>
    <m/>
    <n v="1"/>
    <n v="2947241"/>
    <n v="2947241"/>
    <s v="Monthly"/>
    <d v="2024-05-31T00:00:00"/>
    <x v="10"/>
    <x v="4"/>
    <n v="-329"/>
    <x v="1"/>
    <x v="1"/>
    <s v="Jean de Dieu MUGAMBWA_x000a_Lt Col_x000a_Ag. H/CEC"/>
    <s v="headcec@minadef.gov.rw    "/>
    <s v="0 78 831 4513"/>
    <m/>
    <m/>
    <m/>
  </r>
  <r>
    <s v="C001440"/>
    <x v="12"/>
    <s v="VSAT: Malakal Log Base"/>
    <s v="South Sudan"/>
    <x v="0"/>
    <x v="3"/>
    <s v="VIP"/>
    <x v="1"/>
    <x v="8"/>
    <n v="3"/>
    <s v="VSAT Internet 3Mbps"/>
    <m/>
    <n v="1"/>
    <n v="2947241"/>
    <n v="2947241"/>
    <s v="Monthly"/>
    <d v="2024-05-31T00:00:00"/>
    <x v="10"/>
    <x v="4"/>
    <n v="-329"/>
    <x v="1"/>
    <x v="1"/>
    <s v="Jean de Dieu MUGAMBWA_x000a_Lt Col_x000a_Ag. H/CEC"/>
    <s v="headcec@minadef.gov.rw    "/>
    <s v="0 78 831 4513"/>
    <m/>
    <m/>
    <m/>
  </r>
  <r>
    <s v="C001440"/>
    <x v="12"/>
    <s v="VSAT: Bunj"/>
    <s v="South Sudan"/>
    <x v="0"/>
    <x v="3"/>
    <s v="VIP"/>
    <x v="1"/>
    <x v="8"/>
    <n v="3"/>
    <s v="VSAT Internet 3Mbps"/>
    <m/>
    <n v="1"/>
    <n v="2947241"/>
    <n v="2947241"/>
    <s v="Monthly"/>
    <d v="2024-05-31T00:00:00"/>
    <x v="10"/>
    <x v="4"/>
    <n v="-329"/>
    <x v="1"/>
    <x v="1"/>
    <s v="Jean de Dieu MUGAMBWA_x000a_Lt Col_x000a_Ag. H/CEC"/>
    <s v="headcec@minadef.gov.rw    "/>
    <s v="0 78 831 4513"/>
    <m/>
    <m/>
    <m/>
  </r>
  <r>
    <s v="C001441"/>
    <x v="12"/>
    <s v="VSAT: CAR HQ (Mpoko)"/>
    <s v="Central Africa"/>
    <x v="0"/>
    <x v="3"/>
    <s v="VIP"/>
    <x v="1"/>
    <x v="8"/>
    <n v="4"/>
    <s v="VSAT Internet 4Mbps"/>
    <m/>
    <n v="1"/>
    <n v="3784112"/>
    <n v="3784112"/>
    <s v="Monthly"/>
    <d v="2024-05-31T00:00:00"/>
    <x v="10"/>
    <x v="4"/>
    <n v="-329"/>
    <x v="1"/>
    <x v="1"/>
    <s v="Jean de Dieu MUGAMBWA_x000a_Lt Col_x000a_Ag. H/CEC"/>
    <s v="headcec@minadef.gov.rw    "/>
    <s v="0 78 831 4513"/>
    <m/>
    <m/>
    <m/>
  </r>
  <r>
    <s v="C001441"/>
    <x v="12"/>
    <s v="VSAT: Bimbo"/>
    <s v="Central Africa"/>
    <x v="0"/>
    <x v="3"/>
    <s v="VIP"/>
    <x v="1"/>
    <x v="8"/>
    <n v="4"/>
    <s v="VSAT Internet 4Mbps"/>
    <m/>
    <n v="1"/>
    <n v="3784112"/>
    <n v="3784112"/>
    <s v="Monthly"/>
    <d v="2024-05-31T00:00:00"/>
    <x v="10"/>
    <x v="4"/>
    <n v="-329"/>
    <x v="1"/>
    <x v="1"/>
    <s v="Jean de Dieu MUGAMBWA_x000a_Lt Col_x000a_Ag. H/CEC"/>
    <s v="headcec@minadef.gov.rw    "/>
    <s v="0 78 831 4513"/>
    <m/>
    <m/>
    <m/>
  </r>
  <r>
    <s v="C001440"/>
    <x v="12"/>
    <s v="VSAT: Rwambatt Juba HQ"/>
    <s v="South Sudan"/>
    <x v="0"/>
    <x v="3"/>
    <s v="VIP"/>
    <x v="1"/>
    <x v="8"/>
    <n v="4"/>
    <s v="VSAT Internet 4Mbps"/>
    <m/>
    <n v="1"/>
    <n v="3784112"/>
    <n v="3784112"/>
    <s v="Monthly"/>
    <d v="2024-05-31T00:00:00"/>
    <x v="10"/>
    <x v="4"/>
    <n v="-329"/>
    <x v="1"/>
    <x v="1"/>
    <s v="Jean de Dieu MUGAMBWA_x000a_Lt Col_x000a_Ag. H/CEC"/>
    <s v="headcec@minadef.gov.rw    "/>
    <s v="0 78 831 4513"/>
    <m/>
    <m/>
    <m/>
  </r>
  <r>
    <s v="C001440"/>
    <x v="12"/>
    <s v="VSAT: Torit"/>
    <s v="South Sudan"/>
    <x v="0"/>
    <x v="3"/>
    <s v="VIP"/>
    <x v="1"/>
    <x v="8"/>
    <n v="4"/>
    <s v="VSAT Internet 4Mbps"/>
    <m/>
    <n v="1"/>
    <n v="3784112"/>
    <n v="3784112"/>
    <s v="Monthly"/>
    <d v="2024-05-31T00:00:00"/>
    <x v="10"/>
    <x v="4"/>
    <n v="-329"/>
    <x v="1"/>
    <x v="1"/>
    <s v="Jean de Dieu MUGAMBWA_x000a_Lt Col_x000a_Ag. H/CEC"/>
    <s v="headcec@minadef.gov.rw    "/>
    <s v="0 78 831 4513"/>
    <m/>
    <m/>
    <m/>
  </r>
  <r>
    <s v="C001440"/>
    <x v="12"/>
    <s v="VSAT: Malakal HQ"/>
    <s v="South Sudan"/>
    <x v="0"/>
    <x v="3"/>
    <s v="VIP"/>
    <x v="1"/>
    <x v="8"/>
    <n v="5"/>
    <s v="VSAT Internet 5Mbps"/>
    <m/>
    <n v="1"/>
    <n v="4548300"/>
    <n v="4548300"/>
    <s v="Monthly"/>
    <d v="2024-05-31T00:00:00"/>
    <x v="10"/>
    <x v="4"/>
    <n v="-329"/>
    <x v="1"/>
    <x v="1"/>
    <s v="Jean de Dieu MUGAMBWA_x000a_Lt Col_x000a_Ag. H/CEC"/>
    <s v="headcec@minadef.gov.rw    "/>
    <s v="0 78 831 4513"/>
    <m/>
    <m/>
    <m/>
  </r>
  <r>
    <s v="C001440"/>
    <x v="12"/>
    <s v="VSAT: Durupi"/>
    <s v="South Sudan"/>
    <x v="0"/>
    <x v="3"/>
    <s v="VIP"/>
    <x v="1"/>
    <x v="8"/>
    <n v="5"/>
    <s v="VSAT Internet 5Mbps"/>
    <m/>
    <n v="1"/>
    <n v="4548300"/>
    <n v="4548300"/>
    <s v="Monthly"/>
    <d v="2024-05-31T00:00:00"/>
    <x v="10"/>
    <x v="4"/>
    <n v="-329"/>
    <x v="1"/>
    <x v="1"/>
    <s v="Jean de Dieu MUGAMBWA_x000a_Lt Col_x000a_Ag. H/CEC"/>
    <s v="headcec@minadef.gov.rw    "/>
    <s v="0 78 831 4513"/>
    <m/>
    <m/>
    <m/>
  </r>
  <r>
    <s v="C001446"/>
    <x v="12"/>
    <s v="VSAT: Level 2 Hospital in MINUSCA"/>
    <s v="Central Africa"/>
    <x v="0"/>
    <x v="3"/>
    <s v="VIP"/>
    <x v="1"/>
    <x v="8"/>
    <n v="6"/>
    <s v="VSAT Internet 6Mbps"/>
    <m/>
    <n v="1"/>
    <n v="5421468"/>
    <n v="5421468"/>
    <s v="Monthly"/>
    <d v="2024-05-31T00:00:00"/>
    <x v="10"/>
    <x v="4"/>
    <n v="-329"/>
    <x v="1"/>
    <x v="1"/>
    <s v="Jean de Dieu MUGAMBWA_x000a_Lt Col_x000a_Ag. H/CEC"/>
    <s v="headcec@minadef.gov.rw    "/>
    <s v="0 78 831 4513"/>
    <m/>
    <m/>
    <m/>
  </r>
  <r>
    <s v="C001446"/>
    <x v="12"/>
    <s v="VSAT: Maintenance of 22 sites"/>
    <s v="South Sudan"/>
    <x v="0"/>
    <x v="3"/>
    <s v="VIP"/>
    <x v="1"/>
    <x v="8"/>
    <m/>
    <s v="VSAT Maintenance"/>
    <m/>
    <n v="1"/>
    <n v="15460388.135593221"/>
    <n v="15460388.135593221"/>
    <s v="Monthly"/>
    <d v="2024-05-31T00:00:00"/>
    <x v="10"/>
    <x v="4"/>
    <n v="-329"/>
    <x v="1"/>
    <x v="1"/>
    <s v="Jean de Dieu MUGAMBWA_x000a_Lt Col_x000a_Ag. H/CEC"/>
    <s v="headcec@minadef.gov.rw    "/>
    <s v="0 78 831 4513"/>
    <m/>
    <m/>
    <m/>
  </r>
  <r>
    <s v="C001697"/>
    <x v="246"/>
    <s v="Fiber Internet: NRS HQ"/>
    <s v="Karongi"/>
    <x v="0"/>
    <x v="0"/>
    <s v="Standard"/>
    <x v="0"/>
    <x v="0"/>
    <n v="8"/>
    <s v="Fiber Broadband Internet 8Mbps"/>
    <m/>
    <n v="1"/>
    <n v="416000"/>
    <n v="416000"/>
    <s v="Monthly"/>
    <d v="2024-05-31T00:00:00"/>
    <x v="10"/>
    <x v="4"/>
    <n v="-329"/>
    <x v="1"/>
    <x v="1"/>
    <s v="Jean Bosco Dusabimana"/>
    <s v="jbosco.dusabimana@nrs.gov.rw"/>
    <s v="0 789 052 115  "/>
    <m/>
    <m/>
    <m/>
  </r>
  <r>
    <s v="C001697"/>
    <x v="246"/>
    <s v="MSS Gold"/>
    <s v="Karongi"/>
    <x v="0"/>
    <x v="0"/>
    <s v="Standard"/>
    <x v="1"/>
    <x v="7"/>
    <m/>
    <s v="MSS Gold Package"/>
    <m/>
    <n v="1"/>
    <n v="369325"/>
    <n v="369325"/>
    <s v="Monthly"/>
    <d v="2024-05-31T00:00:00"/>
    <x v="10"/>
    <x v="4"/>
    <n v="-329"/>
    <x v="1"/>
    <x v="1"/>
    <s v="Jean Bosco Dusabimana"/>
    <s v="jbosco.dusabimana@nrs.gov.rw"/>
    <s v="0 789 052 115  "/>
    <m/>
    <m/>
    <m/>
  </r>
  <r>
    <s v="C001697"/>
    <x v="246"/>
    <s v="Karongi"/>
    <s v="Karongi"/>
    <x v="0"/>
    <x v="0"/>
    <s v="Standard"/>
    <x v="0"/>
    <x v="6"/>
    <m/>
    <s v="4G ONE NETWORK 5MBPS"/>
    <m/>
    <n v="1"/>
    <n v="101694.91525400001"/>
    <n v="101694.91525400001"/>
    <s v="Monthly"/>
    <d v="2024-05-31T00:00:00"/>
    <x v="10"/>
    <x v="4"/>
    <n v="-329"/>
    <x v="1"/>
    <x v="1"/>
    <s v="Jean Bosco Dusabimana"/>
    <s v="jbosco.dusabimana@nrs.gov.rw"/>
    <s v="0 789 052 115  "/>
    <m/>
    <m/>
    <m/>
  </r>
  <r>
    <s v="C001697"/>
    <x v="246"/>
    <s v="Karongi"/>
    <s v="Karongi"/>
    <x v="0"/>
    <x v="0"/>
    <s v="Standard"/>
    <x v="0"/>
    <x v="6"/>
    <m/>
    <s v="4G ONE NETWORK 5MBPS"/>
    <m/>
    <n v="1"/>
    <n v="101694.91525400001"/>
    <n v="101694.91525400001"/>
    <s v="Monthly"/>
    <d v="2024-05-31T00:00:00"/>
    <x v="10"/>
    <x v="4"/>
    <n v="-329"/>
    <x v="1"/>
    <x v="1"/>
    <s v="Jean Bosco Dusabimana"/>
    <s v="jbosco.dusabimana@nrs.gov.rw"/>
    <s v="0 789 052 115  "/>
    <m/>
    <m/>
    <m/>
  </r>
  <r>
    <s v="C001697"/>
    <x v="246"/>
    <s v="Karongi"/>
    <s v="Karongi"/>
    <x v="0"/>
    <x v="0"/>
    <s v="Standard"/>
    <x v="0"/>
    <x v="6"/>
    <m/>
    <s v="4G ONE NETWORK 5MBPS"/>
    <m/>
    <n v="1"/>
    <n v="101694.91525400001"/>
    <n v="101694.91525400001"/>
    <s v="Monthly"/>
    <d v="2024-05-31T00:00:00"/>
    <x v="10"/>
    <x v="4"/>
    <n v="-329"/>
    <x v="1"/>
    <x v="1"/>
    <s v="Jean Bosco Dusabimana"/>
    <s v="jbosco.dusabimana@nrs.gov.rw"/>
    <s v="0 789 052 115  "/>
    <m/>
    <m/>
    <m/>
  </r>
  <r>
    <s v="C001697"/>
    <x v="246"/>
    <s v="Karongi"/>
    <s v="Karongi"/>
    <x v="0"/>
    <x v="0"/>
    <s v="Standard"/>
    <x v="0"/>
    <x v="6"/>
    <m/>
    <s v="4G ONE NETWORK 5MBPS"/>
    <m/>
    <n v="1"/>
    <n v="101694.91525400001"/>
    <n v="101694.91525400001"/>
    <s v="Monthly"/>
    <d v="2024-05-31T00:00:00"/>
    <x v="10"/>
    <x v="4"/>
    <n v="-329"/>
    <x v="1"/>
    <x v="1"/>
    <s v="Jean Bosco Dusabimana"/>
    <s v="jbosco.dusabimana@nrs.gov.rw"/>
    <s v="0 789 052 115  "/>
    <m/>
    <m/>
    <m/>
  </r>
  <r>
    <s v="C001697"/>
    <x v="246"/>
    <s v="NRS 4G Service"/>
    <s v="Karongi"/>
    <x v="0"/>
    <x v="0"/>
    <s v="Standard"/>
    <x v="0"/>
    <x v="6"/>
    <m/>
    <s v="4G MUP 2GB/DAY"/>
    <m/>
    <n v="13"/>
    <n v="28305.08"/>
    <n v="367966.04000000004"/>
    <s v="Monthly"/>
    <d v="2024-05-31T00:00:00"/>
    <x v="10"/>
    <x v="4"/>
    <n v="-329"/>
    <x v="1"/>
    <x v="1"/>
    <s v="Jean Bosco Dusabimana"/>
    <s v="jbosco.dusabimana@nrs.gov.rw"/>
    <s v="0 789 052 115  "/>
    <m/>
    <m/>
    <m/>
  </r>
  <r>
    <s v="C000661"/>
    <x v="247"/>
    <s v="FAWE GIRLS SCHOOL"/>
    <s v="Nyarugenge"/>
    <x v="0"/>
    <x v="4"/>
    <s v="Standard"/>
    <x v="0"/>
    <x v="0"/>
    <n v="3"/>
    <s v="fiber vpn 3mbps"/>
    <m/>
    <n v="1"/>
    <n v="180000"/>
    <n v="180000"/>
    <s v="Monthly"/>
    <d v="2024-05-31T00:00:00"/>
    <x v="10"/>
    <x v="4"/>
    <n v="-329"/>
    <x v="1"/>
    <x v="4"/>
    <s v="Eugenia"/>
    <s v="fawe.girls@yahoo.com"/>
    <s v="788452604/0784291501"/>
    <m/>
    <m/>
    <m/>
  </r>
  <r>
    <s v="C000925"/>
    <x v="102"/>
    <s v="ILPD 4G Service"/>
    <s v="Nyanza"/>
    <x v="0"/>
    <x v="4"/>
    <s v="Standard"/>
    <x v="0"/>
    <x v="6"/>
    <m/>
    <s v="4G MUP 1GB/DAY"/>
    <m/>
    <n v="3"/>
    <n v="19491.525423999999"/>
    <n v="58474.576271999998"/>
    <s v="Monthly"/>
    <d v="2024-05-31T00:00:00"/>
    <x v="10"/>
    <x v="4"/>
    <n v="-329"/>
    <x v="1"/>
    <x v="1"/>
    <s v="Ngango Jean Baptiste"/>
    <s v="ngango@ilpd.ac.rw"/>
    <s v="0 784 216484"/>
    <m/>
    <m/>
    <m/>
  </r>
  <r>
    <s v="C000925"/>
    <x v="102"/>
    <s v="ILPD 4G Service"/>
    <s v="Nyanza"/>
    <x v="0"/>
    <x v="4"/>
    <s v="Standard"/>
    <x v="0"/>
    <x v="6"/>
    <m/>
    <s v="4G MUP 2GB/DAY"/>
    <m/>
    <n v="4"/>
    <n v="28305.084746"/>
    <n v="113220.338984"/>
    <s v="Monthly"/>
    <d v="2024-05-31T00:00:00"/>
    <x v="10"/>
    <x v="4"/>
    <n v="-329"/>
    <x v="1"/>
    <x v="1"/>
    <s v="Ngango Jean Baptiste"/>
    <s v="ngango@ilpd.ac.rw"/>
    <s v="0 784 216484"/>
    <m/>
    <m/>
    <m/>
  </r>
  <r>
    <s v="C001521"/>
    <x v="248"/>
    <s v="HQ"/>
    <s v="Muhanga"/>
    <x v="0"/>
    <x v="0"/>
    <s v="Standard"/>
    <x v="0"/>
    <x v="0"/>
    <n v="3"/>
    <s v="FIBER VPN 3MBPS"/>
    <m/>
    <n v="1"/>
    <n v="180000"/>
    <n v="180000"/>
    <s v="Monthly"/>
    <d v="2024-05-31T00:00:00"/>
    <x v="10"/>
    <x v="4"/>
    <n v="-329"/>
    <x v="1"/>
    <x v="5"/>
    <s v="Innocent"/>
    <s v="info@muhanga.gov.rw"/>
    <n v="788582292"/>
    <m/>
    <m/>
    <m/>
  </r>
  <r>
    <s v="C001521"/>
    <x v="248"/>
    <s v="HQ"/>
    <s v="Muhanga"/>
    <x v="0"/>
    <x v="0"/>
    <s v="Standard"/>
    <x v="0"/>
    <x v="0"/>
    <n v="15"/>
    <s v="FIBER VPN 15MBPS"/>
    <m/>
    <n v="1"/>
    <n v="720000"/>
    <n v="720000"/>
    <s v="Monthly"/>
    <d v="2024-05-31T00:00:00"/>
    <x v="10"/>
    <x v="4"/>
    <n v="-329"/>
    <x v="1"/>
    <x v="5"/>
    <s v="Innocent"/>
    <s v="info@muhanga.gov.rw"/>
    <n v="788582292"/>
    <m/>
    <m/>
    <m/>
  </r>
  <r>
    <s v="C001521"/>
    <x v="248"/>
    <s v="HQ"/>
    <s v="Muhanga"/>
    <x v="0"/>
    <x v="0"/>
    <s v="Standard"/>
    <x v="1"/>
    <x v="10"/>
    <m/>
    <s v="VIDEO CONFERENCE"/>
    <m/>
    <n v="1"/>
    <n v="258044.92"/>
    <n v="258044.92"/>
    <s v="Monthly"/>
    <d v="2024-05-31T00:00:00"/>
    <x v="10"/>
    <x v="4"/>
    <n v="-329"/>
    <x v="1"/>
    <x v="5"/>
    <s v="Innocent"/>
    <s v="info@muhanga.gov.rw"/>
    <n v="788582292"/>
    <m/>
    <m/>
    <m/>
  </r>
  <r>
    <s v="C001521"/>
    <x v="248"/>
    <s v="HQ"/>
    <s v="Muhanga"/>
    <x v="0"/>
    <x v="0"/>
    <s v="Standard"/>
    <x v="3"/>
    <x v="7"/>
    <m/>
    <s v="MSS GOLD"/>
    <m/>
    <n v="1"/>
    <n v="369325.42"/>
    <n v="369325.42"/>
    <s v="Monthly"/>
    <d v="2024-05-31T00:00:00"/>
    <x v="10"/>
    <x v="4"/>
    <n v="-329"/>
    <x v="1"/>
    <x v="5"/>
    <s v="Innocent"/>
    <s v="info@muhanga.gov.rw"/>
    <n v="788582292"/>
    <m/>
    <m/>
    <m/>
  </r>
  <r>
    <s v="C001521"/>
    <x v="248"/>
    <s v="CELL"/>
    <s v="Muhanga"/>
    <x v="0"/>
    <x v="0"/>
    <s v="Standard"/>
    <x v="0"/>
    <x v="6"/>
    <m/>
    <s v=" 4G MUP 4GB/DAY "/>
    <m/>
    <n v="2"/>
    <n v="45338.98"/>
    <n v="90677.96"/>
    <s v="Monthly"/>
    <d v="2024-05-31T00:00:00"/>
    <x v="10"/>
    <x v="4"/>
    <n v="-329"/>
    <x v="1"/>
    <x v="5"/>
    <s v="Innocent"/>
    <s v="info@muhanga.gov.rw"/>
    <n v="788582292"/>
    <m/>
    <m/>
    <m/>
  </r>
  <r>
    <s v="C001521"/>
    <x v="248"/>
    <s v="HQ"/>
    <s v="Muhanga"/>
    <x v="0"/>
    <x v="0"/>
    <s v="Standard"/>
    <x v="0"/>
    <x v="6"/>
    <m/>
    <s v="4G ONE NETWORK 3MBPS"/>
    <m/>
    <n v="3"/>
    <n v="81355.932203389835"/>
    <n v="244067.79661016952"/>
    <s v="Monthly"/>
    <d v="2024-05-31T00:00:00"/>
    <x v="10"/>
    <x v="4"/>
    <n v="-329"/>
    <x v="1"/>
    <x v="5"/>
    <s v="Innocent"/>
    <s v="info@muhanga.gov.rw"/>
    <n v="788582292"/>
    <m/>
    <m/>
    <m/>
  </r>
  <r>
    <s v="C001521"/>
    <x v="248"/>
    <s v="CELL"/>
    <s v="Muhanga"/>
    <x v="0"/>
    <x v="0"/>
    <s v="Standard"/>
    <x v="0"/>
    <x v="6"/>
    <m/>
    <s v="4G MUP 2GB/DAY"/>
    <m/>
    <n v="5"/>
    <n v="28305.08"/>
    <n v="141525.40000000002"/>
    <s v="Monthly"/>
    <d v="2024-05-31T00:00:00"/>
    <x v="10"/>
    <x v="4"/>
    <n v="-329"/>
    <x v="1"/>
    <x v="5"/>
    <s v="Innocent"/>
    <s v="info@muhanga.gov.rw"/>
    <n v="788582292"/>
    <m/>
    <m/>
    <m/>
  </r>
  <r>
    <s v="C001521"/>
    <x v="248"/>
    <s v="CELL"/>
    <s v="Muhanga"/>
    <x v="0"/>
    <x v="0"/>
    <s v="Standard"/>
    <x v="0"/>
    <x v="6"/>
    <m/>
    <s v="4G ONE NETWORK 3MBPS"/>
    <m/>
    <n v="13"/>
    <n v="81355.932203389835"/>
    <n v="1057627.1186440678"/>
    <s v="Monthly"/>
    <d v="2024-05-31T00:00:00"/>
    <x v="10"/>
    <x v="4"/>
    <n v="-329"/>
    <x v="1"/>
    <x v="5"/>
    <s v="Innocent"/>
    <s v="info@muhanga.gov.rw"/>
    <n v="788582292"/>
    <m/>
    <m/>
    <m/>
  </r>
  <r>
    <s v="C001521"/>
    <x v="248"/>
    <s v="CELL"/>
    <s v="Muhanga"/>
    <x v="0"/>
    <x v="0"/>
    <s v="Standard"/>
    <x v="0"/>
    <x v="6"/>
    <m/>
    <s v="4G MUP 2GB/DAY"/>
    <m/>
    <n v="15"/>
    <n v="28305.08"/>
    <n v="424576.2"/>
    <s v="Monthly"/>
    <d v="2024-05-31T00:00:00"/>
    <x v="10"/>
    <x v="4"/>
    <n v="-329"/>
    <x v="1"/>
    <x v="5"/>
    <s v="Innocent"/>
    <s v="info@muhanga.gov.rw"/>
    <n v="788582292"/>
    <m/>
    <m/>
    <m/>
  </r>
  <r>
    <s v="C001521"/>
    <x v="248"/>
    <s v="CELL"/>
    <s v="Muhanga"/>
    <x v="0"/>
    <x v="0"/>
    <s v="Standard"/>
    <x v="0"/>
    <x v="6"/>
    <m/>
    <s v="4G MUP 2GB/DAY"/>
    <m/>
    <n v="29"/>
    <n v="28305.08"/>
    <n v="820847.32000000007"/>
    <s v="Monthly"/>
    <d v="2024-05-31T00:00:00"/>
    <x v="10"/>
    <x v="4"/>
    <n v="-329"/>
    <x v="1"/>
    <x v="5"/>
    <s v="Innocent"/>
    <s v="info@muhanga.gov.rw"/>
    <n v="788582292"/>
    <m/>
    <m/>
    <m/>
  </r>
  <r>
    <s v="C001689"/>
    <x v="249"/>
    <s v="HQ"/>
    <s v="Gasabo"/>
    <x v="0"/>
    <x v="0"/>
    <s v="Standard"/>
    <x v="0"/>
    <x v="6"/>
    <m/>
    <s v="4G MUP 2GB/DAY"/>
    <m/>
    <n v="4"/>
    <n v="28305.08"/>
    <n v="113220.32"/>
    <s v="Monthly"/>
    <d v="2024-05-31T00:00:00"/>
    <x v="10"/>
    <x v="4"/>
    <n v="-329"/>
    <x v="1"/>
    <x v="7"/>
    <s v="Claude Busogi"/>
    <s v="cbusogi@nec.gov.rw"/>
    <n v="788699349"/>
    <m/>
    <m/>
    <m/>
  </r>
  <r>
    <s v="C002142"/>
    <x v="250"/>
    <s v="HQ"/>
    <s v="Gasabo"/>
    <x v="1"/>
    <x v="1"/>
    <s v="Standard"/>
    <x v="1"/>
    <x v="5"/>
    <n v="15"/>
    <s v="FIBER INTERNET 15MBPS"/>
    <m/>
    <n v="1"/>
    <n v="938983"/>
    <n v="938983"/>
    <s v="Monthly"/>
    <d v="2024-05-31T00:00:00"/>
    <x v="10"/>
    <x v="4"/>
    <n v="-329"/>
    <x v="1"/>
    <x v="0"/>
    <s v="Freddy Shabani"/>
    <s v="freddy.shabani@rswitch.co.rw "/>
    <s v="0783009203"/>
    <m/>
    <m/>
    <m/>
  </r>
  <r>
    <s v="C002486"/>
    <x v="251"/>
    <s v="DF_NISS-TH"/>
    <s v="Gasabo"/>
    <x v="0"/>
    <x v="0"/>
    <s v="VIP"/>
    <x v="0"/>
    <x v="2"/>
    <m/>
    <s v="Dark Fiber Lease  2.3Kms/2cores"/>
    <n v="2.2999999999999998"/>
    <n v="1"/>
    <n v="252473.71399999998"/>
    <n v="252473.71399999998"/>
    <s v="Monthly"/>
    <d v="2024-05-31T00:00:00"/>
    <x v="10"/>
    <x v="4"/>
    <n v="-329"/>
    <x v="1"/>
    <x v="7"/>
    <s v="Antoine Twizere"/>
    <s v="antoine.twizere@rura.rw"/>
    <n v="788839202"/>
    <m/>
    <m/>
    <m/>
  </r>
  <r>
    <s v="C002486"/>
    <x v="251"/>
    <s v="DF_RNP- TH"/>
    <s v="Gasabo"/>
    <x v="0"/>
    <x v="0"/>
    <s v="VIP"/>
    <x v="0"/>
    <x v="2"/>
    <m/>
    <s v="Dark Fiber Lease  3.6Kms/2cores"/>
    <n v="3.6"/>
    <n v="1"/>
    <n v="395176.24799999996"/>
    <n v="395176.24799999996"/>
    <s v="Monthly"/>
    <d v="2024-05-31T00:00:00"/>
    <x v="10"/>
    <x v="4"/>
    <n v="-329"/>
    <x v="1"/>
    <x v="7"/>
    <s v="Antoine Twizere"/>
    <s v="antoine.twizere@rura.rw"/>
    <n v="788839202"/>
    <m/>
    <m/>
    <m/>
  </r>
  <r>
    <s v="C002486"/>
    <x v="251"/>
    <s v="DF_Airtel-TH"/>
    <s v="Gasabo"/>
    <x v="0"/>
    <x v="0"/>
    <s v="VIP"/>
    <x v="0"/>
    <x v="2"/>
    <m/>
    <s v="Dark Fiber Lease  4.2Kms/2Cores"/>
    <n v="4.2"/>
    <n v="1"/>
    <n v="461038.95600000001"/>
    <n v="461038.95600000001"/>
    <s v="Monthly"/>
    <d v="2024-05-31T00:00:00"/>
    <x v="10"/>
    <x v="4"/>
    <n v="-329"/>
    <x v="1"/>
    <x v="7"/>
    <s v="Antoine Twizere"/>
    <s v="antoine.twizere@rura.rw"/>
    <n v="788839202"/>
    <m/>
    <m/>
    <m/>
  </r>
  <r>
    <s v="C004184"/>
    <x v="252"/>
    <s v="THE PHONE FIX-MAIN BRANCH"/>
    <s v="Gasabo"/>
    <x v="1"/>
    <x v="2"/>
    <s v="Standard"/>
    <x v="1"/>
    <x v="12"/>
    <m/>
    <s v="FLEX PLUS"/>
    <m/>
    <n v="1"/>
    <n v="72033.898305084746"/>
    <n v="72033.898305084746"/>
    <s v="Monthly"/>
    <d v="2024-05-31T00:00:00"/>
    <x v="10"/>
    <x v="4"/>
    <n v="-329"/>
    <x v="1"/>
    <x v="6"/>
    <s v="RUGEMA Andre"/>
    <s v="andrerugema2015@gmail.com"/>
    <n v="788459308"/>
    <m/>
    <m/>
    <m/>
  </r>
  <r>
    <s v="C002859"/>
    <x v="253"/>
    <s v="ULK-Gisenyi"/>
    <s v="Rubavu"/>
    <x v="1"/>
    <x v="4"/>
    <s v="VIP"/>
    <x v="1"/>
    <x v="5"/>
    <n v="20"/>
    <s v="fiber vpn 20mbps"/>
    <m/>
    <n v="1"/>
    <n v="900000"/>
    <n v="900000"/>
    <s v="Monthly"/>
    <d v="2024-05-31T00:00:00"/>
    <x v="10"/>
    <x v="4"/>
    <n v="-329"/>
    <x v="1"/>
    <x v="4"/>
    <s v="Alex"/>
    <s v="nzabojustin@gmail.com/nzidavid@ulk.ac.rw;ndayisaba.alexis@ulk.ac.rw"/>
    <n v="783225767"/>
    <m/>
    <m/>
    <m/>
  </r>
  <r>
    <s v="C001077"/>
    <x v="254"/>
    <s v="HQ"/>
    <s v="Kicukiro"/>
    <x v="0"/>
    <x v="0"/>
    <s v="Standard"/>
    <x v="0"/>
    <x v="6"/>
    <m/>
    <s v="4G ONE NETWORK 5MBPS"/>
    <m/>
    <n v="2"/>
    <n v="101694.92"/>
    <n v="203389.84"/>
    <s v="Monthly"/>
    <d v="2024-06-12T00:00:00"/>
    <x v="1"/>
    <x v="4"/>
    <n v="-341"/>
    <x v="1"/>
    <x v="0"/>
    <s v="Uwamwiza M Chantal"/>
    <s v="kagaramasector@yahoo.com"/>
    <s v="0788429069"/>
    <m/>
    <m/>
    <m/>
  </r>
  <r>
    <s v="C001703"/>
    <x v="255"/>
    <s v="National Youth Council (NYC)"/>
    <s v="Gasabo"/>
    <x v="0"/>
    <x v="0"/>
    <s v="Standard"/>
    <x v="0"/>
    <x v="6"/>
    <m/>
    <s v=" 4G MUP 4GB/DAY "/>
    <m/>
    <n v="2"/>
    <n v="45338.98"/>
    <n v="90677.96"/>
    <s v="Monthly"/>
    <d v="2024-06-25T00:00:00"/>
    <x v="1"/>
    <x v="4"/>
    <n v="-354"/>
    <x v="1"/>
    <x v="2"/>
    <s v="Marie Goretti KABERA"/>
    <s v="gkabera@myculture.gov.rw"/>
    <s v="0789707986"/>
    <m/>
    <m/>
    <m/>
  </r>
  <r>
    <s v="C001703"/>
    <x v="255"/>
    <s v="National Youth Council (NYC)"/>
    <s v="Gasabo"/>
    <x v="0"/>
    <x v="0"/>
    <s v="Standard"/>
    <x v="0"/>
    <x v="6"/>
    <m/>
    <s v="4G MUP 2GB/DAY"/>
    <m/>
    <n v="4"/>
    <n v="28305.08"/>
    <n v="113220.32"/>
    <s v="Monthly"/>
    <d v="2024-06-25T00:00:00"/>
    <x v="1"/>
    <x v="4"/>
    <n v="-354"/>
    <x v="1"/>
    <x v="2"/>
    <s v="Marie Goretti KABERA"/>
    <s v="gkabera@myculture.gov.rw"/>
    <s v="0789707986"/>
    <m/>
    <m/>
    <m/>
  </r>
  <r>
    <s v="C004212"/>
    <x v="256"/>
    <s v="SLICE AND CAKES-MAIN BRANCH"/>
    <s v="Gasabo"/>
    <x v="1"/>
    <x v="2"/>
    <s v="Standard"/>
    <x v="1"/>
    <x v="12"/>
    <m/>
    <s v="FLEX PLUS"/>
    <m/>
    <n v="1"/>
    <n v="72033.898305084746"/>
    <n v="72033.898305084746"/>
    <s v="Monthly"/>
    <d v="2024-06-28T00:00:00"/>
    <x v="1"/>
    <x v="4"/>
    <n v="-357"/>
    <x v="1"/>
    <x v="6"/>
    <s v="MUCYO Christopher"/>
    <s v="chris@sliceandcakes.com"/>
    <n v="788865701"/>
    <m/>
    <m/>
    <m/>
  </r>
  <r>
    <s v="C000560"/>
    <x v="257"/>
    <s v="HQ"/>
    <s v="Rwamagana  "/>
    <x v="0"/>
    <x v="0"/>
    <s v="VIP"/>
    <x v="0"/>
    <x v="0"/>
    <n v="3"/>
    <s v="FIBER VPN 3MBPS"/>
    <m/>
    <n v="1"/>
    <n v="180000"/>
    <n v="180000"/>
    <s v="Monthly"/>
    <d v="2024-06-30T00:00:00"/>
    <x v="1"/>
    <x v="4"/>
    <n v="-359"/>
    <x v="1"/>
    <x v="0"/>
    <s v="Sandrine Abumucyo"/>
    <s v="ictsandrine@easternprovince.gov.rw "/>
    <s v="0788739679"/>
    <m/>
    <m/>
    <m/>
  </r>
  <r>
    <s v="C000560"/>
    <x v="257"/>
    <s v="HQ"/>
    <s v="Rwamagana  "/>
    <x v="0"/>
    <x v="0"/>
    <s v="VIP"/>
    <x v="3"/>
    <x v="7"/>
    <m/>
    <s v="MSS GOLD"/>
    <m/>
    <n v="1"/>
    <n v="369325.42"/>
    <n v="369325.42"/>
    <s v="Monthly"/>
    <d v="2024-06-30T00:00:00"/>
    <x v="1"/>
    <x v="4"/>
    <n v="-359"/>
    <x v="1"/>
    <x v="0"/>
    <s v="Sandrine Abumucyo"/>
    <s v="ictsandrine@easternprovince.gov.rw "/>
    <s v="0788739679"/>
    <m/>
    <m/>
    <m/>
  </r>
  <r>
    <s v="C001176"/>
    <x v="258"/>
    <s v="HQ"/>
    <s v="Kicukiro"/>
    <x v="0"/>
    <x v="0"/>
    <s v="Standard"/>
    <x v="0"/>
    <x v="6"/>
    <m/>
    <s v="4G ONE NETWORK 5MBPS"/>
    <m/>
    <n v="1"/>
    <n v="101694.92"/>
    <n v="101694.92"/>
    <s v="Monthly"/>
    <d v="2024-06-30T00:00:00"/>
    <x v="1"/>
    <x v="4"/>
    <n v="-359"/>
    <x v="1"/>
    <x v="0"/>
    <s v="Vincent Nsengiyumva"/>
    <s v="nsengavincent@yahoo.com"/>
    <s v="0788556227"/>
    <m/>
    <m/>
    <m/>
  </r>
  <r>
    <s v="C001176"/>
    <x v="258"/>
    <s v="HQ"/>
    <s v="Kicukiro"/>
    <x v="0"/>
    <x v="0"/>
    <s v="Standard"/>
    <x v="0"/>
    <x v="6"/>
    <m/>
    <s v="4G MUP 1GB/DAY"/>
    <m/>
    <n v="2"/>
    <n v="19491.53"/>
    <n v="38983.06"/>
    <s v="Monthly"/>
    <d v="2024-06-30T00:00:00"/>
    <x v="1"/>
    <x v="4"/>
    <n v="-359"/>
    <x v="1"/>
    <x v="0"/>
    <s v="Vincent Nsengiyumva"/>
    <s v="nsengavincent@yahoo.com"/>
    <s v="0788556227"/>
    <m/>
    <m/>
    <m/>
  </r>
  <r>
    <s v="C001271"/>
    <x v="259"/>
    <s v="LODA"/>
    <s v="Nyarugenge"/>
    <x v="0"/>
    <x v="0"/>
    <s v="Standard"/>
    <x v="0"/>
    <x v="0"/>
    <n v="15"/>
    <s v="FIBER VPN 15MBPS"/>
    <m/>
    <n v="1"/>
    <n v="720000"/>
    <n v="720000"/>
    <s v="Monthly"/>
    <d v="2024-06-30T00:00:00"/>
    <x v="1"/>
    <x v="4"/>
    <n v="-359"/>
    <x v="1"/>
    <x v="5"/>
    <s v="Jean d'Amour Habiyambere"/>
    <s v="jeandamour.habiyambere@loda.gov.rw"/>
    <n v="788790817"/>
    <m/>
    <m/>
    <m/>
  </r>
  <r>
    <s v="C001271"/>
    <x v="259"/>
    <s v="LODA"/>
    <s v="Nyarugenge"/>
    <x v="0"/>
    <x v="0"/>
    <s v="Standard"/>
    <x v="0"/>
    <x v="7"/>
    <m/>
    <s v="MSS-Gold"/>
    <m/>
    <n v="1"/>
    <n v="369325"/>
    <n v="369325"/>
    <s v="Monthly"/>
    <d v="2024-06-30T00:00:00"/>
    <x v="1"/>
    <x v="4"/>
    <n v="-359"/>
    <x v="1"/>
    <x v="5"/>
    <s v="Jean d'Amour Habiyambere"/>
    <s v="jeandamour.habiyambere@loda.gov.rw"/>
    <n v="788790817"/>
    <m/>
    <m/>
    <m/>
  </r>
  <r>
    <s v="C001271"/>
    <x v="259"/>
    <s v="LODA"/>
    <s v="Nyarugenge"/>
    <x v="0"/>
    <x v="0"/>
    <s v="Standard"/>
    <x v="0"/>
    <x v="6"/>
    <m/>
    <s v="4G MUP 1GB/DAY"/>
    <m/>
    <n v="4"/>
    <n v="19491.53"/>
    <n v="77966.12"/>
    <s v="Monthly"/>
    <d v="2024-06-30T00:00:00"/>
    <x v="1"/>
    <x v="4"/>
    <n v="-359"/>
    <x v="1"/>
    <x v="5"/>
    <s v="Jean d'Amour Habiyambere"/>
    <s v="jeandamour.habiyambere@loda.gov.rw"/>
    <n v="788790817"/>
    <m/>
    <m/>
    <m/>
  </r>
  <r>
    <s v="C001535"/>
    <x v="236"/>
    <s v="MUHORORORO-MAIN BRANCH"/>
    <s v="Ngororero"/>
    <x v="0"/>
    <x v="6"/>
    <s v="Standard"/>
    <x v="0"/>
    <x v="0"/>
    <n v="5"/>
    <s v="FIBER VPN 5MBPS"/>
    <m/>
    <n v="1"/>
    <n v="270000"/>
    <n v="270000"/>
    <s v="Monthly"/>
    <d v="2024-06-30T00:00:00"/>
    <x v="1"/>
    <x v="4"/>
    <n v="-359"/>
    <x v="1"/>
    <x v="6"/>
    <s v="BIZIMANA PHOCAS"/>
    <s v="muhororohospital@gmail.com"/>
    <n v="788655836"/>
    <m/>
    <m/>
    <m/>
  </r>
  <r>
    <s v="C002006"/>
    <x v="260"/>
    <s v="PAYMATIC"/>
    <s v="Kicukiro"/>
    <x v="1"/>
    <x v="2"/>
    <s v="Standard"/>
    <x v="1"/>
    <x v="1"/>
    <m/>
    <s v="Cloud 16vCPU. 32GB RAM. 1200GB Storage"/>
    <m/>
    <n v="1"/>
    <n v="310000"/>
    <n v="310000"/>
    <s v="Monthly"/>
    <d v="2024-06-30T00:00:00"/>
    <x v="1"/>
    <x v="4"/>
    <n v="-359"/>
    <x v="1"/>
    <x v="2"/>
    <s v="RWEMA Aimable"/>
    <s v="paymaticltd@gmail.com"/>
    <s v="0788-304-524"/>
    <m/>
    <m/>
    <m/>
  </r>
  <r>
    <s v="C002223"/>
    <x v="136"/>
    <s v="RAB Songa"/>
    <s v="Huye"/>
    <x v="0"/>
    <x v="0"/>
    <s v="Standard"/>
    <x v="0"/>
    <x v="0"/>
    <n v="3"/>
    <s v="FIBER VPN 3MBPS"/>
    <m/>
    <n v="1"/>
    <n v="180000"/>
    <n v="180000"/>
    <s v="Monthly"/>
    <d v="2024-06-30T00:00:00"/>
    <x v="1"/>
    <x v="4"/>
    <n v="-359"/>
    <x v="1"/>
    <x v="2"/>
    <s v="Augustin Ndayambaje"/>
    <s v="augustin.ndayambaje@rab.gov.rw"/>
    <s v="0783-199-105"/>
    <m/>
    <m/>
    <m/>
  </r>
  <r>
    <s v="C002223"/>
    <x v="136"/>
    <s v="RAB GENEBANK"/>
    <s v="Huye"/>
    <x v="0"/>
    <x v="0"/>
    <s v="Standard"/>
    <x v="0"/>
    <x v="0"/>
    <n v="3"/>
    <s v="FIBER VPN 3MBPS"/>
    <m/>
    <n v="1"/>
    <n v="180000"/>
    <n v="180000"/>
    <s v="Monthly"/>
    <d v="2024-06-30T00:00:00"/>
    <x v="1"/>
    <x v="4"/>
    <n v="-359"/>
    <x v="1"/>
    <x v="2"/>
    <s v="Augustin Ndayambaje"/>
    <s v="augustin.ndayambaje@rab.gov.rw"/>
    <s v="0783-199-105"/>
    <m/>
    <m/>
    <m/>
  </r>
  <r>
    <s v="C002223"/>
    <x v="136"/>
    <s v="RAB Masaka"/>
    <s v="Kicukiro"/>
    <x v="0"/>
    <x v="0"/>
    <s v="Standard"/>
    <x v="0"/>
    <x v="0"/>
    <n v="3"/>
    <s v="FIBER VPN 3MBPS"/>
    <m/>
    <n v="1"/>
    <n v="180000"/>
    <n v="180000"/>
    <s v="Monthly"/>
    <d v="2024-06-30T00:00:00"/>
    <x v="1"/>
    <x v="4"/>
    <n v="-359"/>
    <x v="1"/>
    <x v="2"/>
    <s v="Augustin Ndayambaje"/>
    <s v="augustin.ndayambaje@rab.gov.rw"/>
    <s v="0783-199-105"/>
    <m/>
    <m/>
    <m/>
  </r>
  <r>
    <s v="C002223"/>
    <x v="136"/>
    <s v="RAB Mulindi."/>
    <s v="Kicukiro"/>
    <x v="0"/>
    <x v="0"/>
    <s v="Standard"/>
    <x v="0"/>
    <x v="0"/>
    <n v="3"/>
    <s v="FIBER VPN 3MBPS"/>
    <m/>
    <n v="1"/>
    <n v="180000"/>
    <n v="180000"/>
    <s v="Monthly"/>
    <d v="2024-06-30T00:00:00"/>
    <x v="1"/>
    <x v="4"/>
    <n v="-359"/>
    <x v="1"/>
    <x v="2"/>
    <s v="Augustin Ndayambaje"/>
    <s v="augustin.ndayambaje@rab.gov.rw"/>
    <s v="0783-199-105"/>
    <m/>
    <m/>
    <m/>
  </r>
  <r>
    <s v="C002223"/>
    <x v="136"/>
    <s v="RAB Muhanga"/>
    <s v="Muhanga"/>
    <x v="0"/>
    <x v="0"/>
    <s v="Standard"/>
    <x v="0"/>
    <x v="0"/>
    <n v="3"/>
    <s v="FIBER VPN 3MBPS"/>
    <m/>
    <n v="1"/>
    <n v="180000"/>
    <n v="180000"/>
    <s v="Monthly"/>
    <d v="2024-06-30T00:00:00"/>
    <x v="1"/>
    <x v="4"/>
    <n v="-359"/>
    <x v="1"/>
    <x v="2"/>
    <s v="Augustin Ndayambaje"/>
    <s v="augustin.ndayambaje@rab.gov.rw"/>
    <s v="0783-199-105"/>
    <m/>
    <m/>
    <m/>
  </r>
  <r>
    <s v="C002223"/>
    <x v="136"/>
    <s v="RAB Kinigi"/>
    <s v="Musanze"/>
    <x v="0"/>
    <x v="0"/>
    <s v="Standard"/>
    <x v="0"/>
    <x v="0"/>
    <n v="3"/>
    <s v="FIBER VPN 3MBPS"/>
    <m/>
    <n v="1"/>
    <n v="180000"/>
    <n v="180000"/>
    <s v="Monthly"/>
    <d v="2024-06-30T00:00:00"/>
    <x v="1"/>
    <x v="4"/>
    <n v="-359"/>
    <x v="1"/>
    <x v="2"/>
    <s v="Augustin Ndayambaje"/>
    <s v="augustin.ndayambaje@rab.gov.rw"/>
    <s v="0783-199-105"/>
    <m/>
    <m/>
    <m/>
  </r>
  <r>
    <s v="C002223"/>
    <x v="136"/>
    <s v="RAB Nyagatare"/>
    <s v="Nyagatare"/>
    <x v="0"/>
    <x v="0"/>
    <s v="Standard"/>
    <x v="0"/>
    <x v="0"/>
    <n v="3"/>
    <s v="FIBER VPN 3MBPS"/>
    <m/>
    <n v="1"/>
    <n v="180000"/>
    <n v="180000"/>
    <s v="Monthly"/>
    <d v="2024-06-30T00:00:00"/>
    <x v="1"/>
    <x v="4"/>
    <n v="-359"/>
    <x v="1"/>
    <x v="2"/>
    <s v="Augustin Ndayambaje"/>
    <s v="augustin.ndayambaje@rab.gov.rw"/>
    <s v="0783-199-105"/>
    <m/>
    <m/>
    <m/>
  </r>
  <r>
    <s v="C002223"/>
    <x v="136"/>
    <s v="RAB Nyamagabe"/>
    <s v="Nyamagabe"/>
    <x v="0"/>
    <x v="0"/>
    <s v="Standard"/>
    <x v="0"/>
    <x v="0"/>
    <n v="3"/>
    <s v="FIBER VPN 3MBPS"/>
    <m/>
    <n v="1"/>
    <n v="180000"/>
    <n v="180000"/>
    <s v="Monthly"/>
    <d v="2024-06-30T00:00:00"/>
    <x v="1"/>
    <x v="4"/>
    <n v="-359"/>
    <x v="1"/>
    <x v="2"/>
    <s v="Augustin Ndayambaje"/>
    <s v="augustin.ndayambaje@rab.gov.rw"/>
    <s v="0783-199-105"/>
    <m/>
    <m/>
    <m/>
  </r>
  <r>
    <s v="C002223"/>
    <x v="136"/>
    <s v="RAB Ntendezi"/>
    <s v="Nyamasheke"/>
    <x v="0"/>
    <x v="0"/>
    <s v="Standard"/>
    <x v="0"/>
    <x v="0"/>
    <n v="3"/>
    <s v="FIBER VPN 3MBPS"/>
    <m/>
    <n v="1"/>
    <n v="180000"/>
    <n v="180000"/>
    <s v="Monthly"/>
    <d v="2024-06-30T00:00:00"/>
    <x v="1"/>
    <x v="4"/>
    <n v="-359"/>
    <x v="1"/>
    <x v="2"/>
    <s v="Augustin Ndayambaje"/>
    <s v="augustin.ndayambaje@rab.gov.rw"/>
    <s v="0783-199-105"/>
    <m/>
    <m/>
    <m/>
  </r>
  <r>
    <s v="C002223"/>
    <x v="136"/>
    <s v="RAB Karongi Gakuta"/>
    <s v="Karongi"/>
    <x v="0"/>
    <x v="0"/>
    <s v="Standard"/>
    <x v="0"/>
    <x v="0"/>
    <n v="5"/>
    <s v="FIBER VPN 5MBPS"/>
    <m/>
    <n v="1"/>
    <n v="270000"/>
    <n v="270000"/>
    <s v="Monthly"/>
    <d v="2024-06-30T00:00:00"/>
    <x v="1"/>
    <x v="4"/>
    <n v="-359"/>
    <x v="1"/>
    <x v="2"/>
    <s v="Augustin Ndayambaje"/>
    <s v="augustin.ndayambaje@rab.gov.rw"/>
    <s v="0783-199-105"/>
    <m/>
    <m/>
    <m/>
  </r>
  <r>
    <s v="C002223"/>
    <x v="136"/>
    <s v="RAB Ngoma"/>
    <s v="Ngoma"/>
    <x v="0"/>
    <x v="0"/>
    <s v="Standard"/>
    <x v="0"/>
    <x v="0"/>
    <n v="5"/>
    <s v="FIBER VPN 5MBPS"/>
    <m/>
    <n v="1"/>
    <n v="270000"/>
    <n v="270000"/>
    <s v="Monthly"/>
    <d v="2024-06-30T00:00:00"/>
    <x v="1"/>
    <x v="4"/>
    <n v="-359"/>
    <x v="1"/>
    <x v="2"/>
    <s v="Augustin Ndayambaje"/>
    <s v="augustin.ndayambaje@rab.gov.rw"/>
    <s v="0783-199-105"/>
    <m/>
    <m/>
    <m/>
  </r>
  <r>
    <s v="C002223"/>
    <x v="136"/>
    <s v="RAB Rwamagana"/>
    <s v="Rwamagana  "/>
    <x v="0"/>
    <x v="0"/>
    <s v="Standard"/>
    <x v="0"/>
    <x v="0"/>
    <n v="5"/>
    <s v="FIBER VPN 5MBPS"/>
    <m/>
    <n v="1"/>
    <n v="270000"/>
    <n v="270000"/>
    <s v="Monthly"/>
    <d v="2024-06-30T00:00:00"/>
    <x v="1"/>
    <x v="4"/>
    <n v="-359"/>
    <x v="1"/>
    <x v="2"/>
    <s v="Augustin Ndayambaje"/>
    <s v="augustin.ndayambaje@rab.gov.rw"/>
    <s v="0783-199-105"/>
    <m/>
    <m/>
    <m/>
  </r>
  <r>
    <s v="C002223"/>
    <x v="136"/>
    <s v="RAB Rubirizi."/>
    <s v="Kicukiro"/>
    <x v="0"/>
    <x v="0"/>
    <s v="Standard"/>
    <x v="0"/>
    <x v="0"/>
    <n v="10"/>
    <s v="FIBER VPN 10MBPS"/>
    <m/>
    <n v="1"/>
    <n v="510000"/>
    <n v="510000"/>
    <s v="Monthly"/>
    <d v="2024-06-30T00:00:00"/>
    <x v="1"/>
    <x v="4"/>
    <n v="-359"/>
    <x v="1"/>
    <x v="2"/>
    <s v="Augustin Ndayambaje"/>
    <s v="augustin.ndayambaje@rab.gov.rw"/>
    <s v="0783-199-105"/>
    <m/>
    <m/>
    <m/>
  </r>
  <r>
    <s v="C002223"/>
    <x v="136"/>
    <s v="RAB Musanze"/>
    <s v="Musanze"/>
    <x v="0"/>
    <x v="0"/>
    <s v="Standard"/>
    <x v="0"/>
    <x v="0"/>
    <n v="10"/>
    <s v="FIBER VPN 10MBPS"/>
    <m/>
    <n v="1"/>
    <n v="510000"/>
    <n v="510000"/>
    <s v="Monthly"/>
    <d v="2024-06-30T00:00:00"/>
    <x v="1"/>
    <x v="4"/>
    <n v="-359"/>
    <x v="1"/>
    <x v="2"/>
    <s v="Augustin Ndayambaje"/>
    <s v="augustin.ndayambaje@rab.gov.rw"/>
    <s v="0783-199-105"/>
    <m/>
    <m/>
    <m/>
  </r>
  <r>
    <s v="C002223"/>
    <x v="136"/>
    <s v="RAB Rubona"/>
    <s v="Huye"/>
    <x v="0"/>
    <x v="0"/>
    <s v="Standard"/>
    <x v="0"/>
    <x v="0"/>
    <n v="15"/>
    <s v="FIBER VPN 15MBPS"/>
    <m/>
    <n v="1"/>
    <n v="720000"/>
    <n v="720000"/>
    <s v="Monthly"/>
    <d v="2024-06-30T00:00:00"/>
    <x v="1"/>
    <x v="4"/>
    <n v="-359"/>
    <x v="1"/>
    <x v="2"/>
    <s v="Augustin Ndayambaje"/>
    <s v="augustin.ndayambaje@rab.gov.rw"/>
    <s v="0783-199-105"/>
    <m/>
    <m/>
    <m/>
  </r>
  <r>
    <s v="C002266"/>
    <x v="261"/>
    <s v="RDRC Mutobo"/>
    <s v="Musanze"/>
    <x v="0"/>
    <x v="0"/>
    <s v="Standard"/>
    <x v="0"/>
    <x v="0"/>
    <n v="1"/>
    <s v="Fiber VPN 1MBPS "/>
    <m/>
    <n v="1"/>
    <n v="90000"/>
    <n v="90000"/>
    <s v="Monthly"/>
    <d v="2024-06-30T00:00:00"/>
    <x v="1"/>
    <x v="4"/>
    <n v="-359"/>
    <x v="1"/>
    <x v="5"/>
    <s v="Hilaire Nduwayo"/>
    <s v="nhilaire@demobrwanda.gov.rw"/>
    <n v="788510870"/>
    <m/>
    <m/>
    <m/>
  </r>
  <r>
    <s v="C002266"/>
    <x v="261"/>
    <s v="RDRC HQ"/>
    <s v="Nyarugenge"/>
    <x v="0"/>
    <x v="0"/>
    <s v="Standard"/>
    <x v="1"/>
    <x v="0"/>
    <n v="3"/>
    <s v="Fiber VPN 3MBPS "/>
    <m/>
    <n v="1"/>
    <n v="180000"/>
    <n v="180000"/>
    <s v="Monthly"/>
    <d v="2024-06-30T00:00:00"/>
    <x v="1"/>
    <x v="4"/>
    <n v="-359"/>
    <x v="1"/>
    <x v="5"/>
    <s v="Hilaire Nduwayo"/>
    <s v="nhilaire@demobrwanda.gov.rw"/>
    <n v="788510870"/>
    <m/>
    <m/>
    <m/>
  </r>
  <r>
    <s v="C002498"/>
    <x v="262"/>
    <s v="HQ"/>
    <s v="Gasabo"/>
    <x v="0"/>
    <x v="2"/>
    <s v="Standard"/>
    <x v="0"/>
    <x v="6"/>
    <m/>
    <s v="4G ONE NETWORK 3MBPS"/>
    <m/>
    <n v="1"/>
    <n v="81355.932203389835"/>
    <n v="81355.932203389835"/>
    <s v="Monthly"/>
    <d v="2024-06-30T00:00:00"/>
    <x v="1"/>
    <x v="4"/>
    <n v="-359"/>
    <x v="1"/>
    <x v="9"/>
    <s v="AIME NDAYAMBAJE"/>
    <s v="aime.ndayambaje@hipporoofings.co.rw"/>
    <s v="788556611 "/>
    <m/>
    <m/>
    <m/>
  </r>
  <r>
    <s v="C001267"/>
    <x v="245"/>
    <s v="DFL: Kigali-Kagitumba "/>
    <s v="Gasabo"/>
    <x v="1"/>
    <x v="1"/>
    <s v="VIP"/>
    <x v="2"/>
    <x v="2"/>
    <m/>
    <s v="Dark Fiber Lease  "/>
    <n v="135.4"/>
    <n v="1"/>
    <n v="3385000"/>
    <n v="3385000"/>
    <s v="Monthly"/>
    <d v="2024-06-30T00:00:00"/>
    <x v="1"/>
    <x v="4"/>
    <n v="-359"/>
    <x v="1"/>
    <x v="1"/>
    <s v="Ramadhani Nshakabatenda"/>
    <s v="ramadhani.nshaka@liquid.tech"/>
    <s v="0788 629 054 "/>
    <m/>
    <m/>
    <m/>
  </r>
  <r>
    <s v="C001267"/>
    <x v="245"/>
    <s v="DFL: Nyamagabe-Huye "/>
    <s v="Huye"/>
    <x v="1"/>
    <x v="1"/>
    <s v="VIP"/>
    <x v="2"/>
    <x v="2"/>
    <m/>
    <s v="Dark Fiber Lease  "/>
    <n v="33.700000000000003"/>
    <n v="1"/>
    <n v="842500"/>
    <n v="842500"/>
    <s v="Monthly"/>
    <d v="2024-06-30T00:00:00"/>
    <x v="1"/>
    <x v="4"/>
    <n v="-359"/>
    <x v="1"/>
    <x v="1"/>
    <s v="Ramadhani Nshakabatenda"/>
    <s v="ramadhani.nshaka@liquid.tech"/>
    <s v="0788 629 054 "/>
    <m/>
    <m/>
    <m/>
  </r>
  <r>
    <s v="C001267"/>
    <x v="245"/>
    <s v="DFL: Kigoma-Karongi "/>
    <s v="Karongi"/>
    <x v="1"/>
    <x v="1"/>
    <s v="VIP"/>
    <x v="2"/>
    <x v="2"/>
    <m/>
    <s v="Dark Fiber Lease  "/>
    <n v="75.319999999999993"/>
    <n v="1"/>
    <n v="1882930"/>
    <n v="1882930"/>
    <s v="Monthly"/>
    <d v="2024-06-30T00:00:00"/>
    <x v="1"/>
    <x v="4"/>
    <n v="-359"/>
    <x v="1"/>
    <x v="1"/>
    <s v="Ramadhani Nshakabatenda"/>
    <s v="ramadhani.nshaka@liquid.tech"/>
    <s v="0788 629 054 "/>
    <m/>
    <m/>
    <m/>
  </r>
  <r>
    <s v="C001267"/>
    <x v="245"/>
    <s v="DFL: Karongi-Rubengera "/>
    <s v="Karongi"/>
    <x v="1"/>
    <x v="1"/>
    <s v="VIP"/>
    <x v="2"/>
    <x v="2"/>
    <m/>
    <s v="Dark Fiber Lease  "/>
    <n v="21"/>
    <n v="1"/>
    <n v="525000"/>
    <n v="525000"/>
    <s v="Monthly"/>
    <d v="2024-06-30T00:00:00"/>
    <x v="1"/>
    <x v="4"/>
    <n v="-359"/>
    <x v="1"/>
    <x v="1"/>
    <s v="Ramadhani Nshakabatenda"/>
    <s v="ramadhani.nshaka@liquid.tech"/>
    <s v="0788 629 054 "/>
    <m/>
    <m/>
    <m/>
  </r>
  <r>
    <s v="C001267"/>
    <x v="245"/>
    <s v="DFL: Ruhango-Muhanga "/>
    <s v="Muhanga"/>
    <x v="1"/>
    <x v="1"/>
    <s v="VIP"/>
    <x v="2"/>
    <x v="2"/>
    <m/>
    <s v="Dark Fiber Lease  "/>
    <n v="23.3"/>
    <n v="1"/>
    <n v="582500"/>
    <n v="582500"/>
    <s v="Monthly"/>
    <d v="2024-06-30T00:00:00"/>
    <x v="1"/>
    <x v="4"/>
    <n v="-359"/>
    <x v="1"/>
    <x v="1"/>
    <s v="Ramadhani Nshakabatenda"/>
    <s v="ramadhani.nshaka@liquid.tech"/>
    <s v="0788 629 054 "/>
    <m/>
    <m/>
    <m/>
  </r>
  <r>
    <s v="C001267"/>
    <x v="245"/>
    <s v="DFL: Kigali-Musanze "/>
    <s v="Musanze"/>
    <x v="1"/>
    <x v="1"/>
    <s v="VIP"/>
    <x v="2"/>
    <x v="2"/>
    <m/>
    <s v="Dark Fiber Lease  "/>
    <n v="92.4"/>
    <n v="1"/>
    <n v="2270000"/>
    <n v="2270000"/>
    <s v="Monthly"/>
    <d v="2024-06-30T00:00:00"/>
    <x v="1"/>
    <x v="4"/>
    <n v="-359"/>
    <x v="1"/>
    <x v="1"/>
    <s v="Ramadhani Nshakabatenda"/>
    <s v="ramadhani.nshaka@liquid.tech"/>
    <s v="0788 629 054 "/>
    <m/>
    <m/>
    <m/>
  </r>
  <r>
    <s v="C001267"/>
    <x v="245"/>
    <s v="DFL: Musanze-Mukungwa "/>
    <s v="Musanze"/>
    <x v="1"/>
    <x v="1"/>
    <s v="VIP"/>
    <x v="2"/>
    <x v="2"/>
    <m/>
    <s v="Dark Fiber Lease  "/>
    <n v="7.22"/>
    <n v="1"/>
    <n v="180500"/>
    <n v="180500"/>
    <s v="Monthly"/>
    <d v="2024-06-30T00:00:00"/>
    <x v="1"/>
    <x v="4"/>
    <n v="-359"/>
    <x v="1"/>
    <x v="1"/>
    <s v="Ramadhani Nshakabatenda"/>
    <s v="ramadhani.nshaka@liquid.tech"/>
    <s v="0788 629 054 "/>
    <m/>
    <m/>
    <m/>
  </r>
  <r>
    <s v="C001267"/>
    <x v="245"/>
    <s v="DFL: Kayonza-Ngoma "/>
    <s v="Ngoma"/>
    <x v="1"/>
    <x v="1"/>
    <s v="VIP"/>
    <x v="2"/>
    <x v="2"/>
    <m/>
    <s v="Dark Fiber Lease  "/>
    <n v="35.409999999999997"/>
    <n v="1"/>
    <n v="885350"/>
    <n v="885350"/>
    <s v="Monthly"/>
    <d v="2024-06-30T00:00:00"/>
    <x v="1"/>
    <x v="4"/>
    <n v="-359"/>
    <x v="1"/>
    <x v="1"/>
    <s v="Ramadhani Nshakabatenda"/>
    <s v="ramadhani.nshaka@liquid.tech"/>
    <s v="0788 629 054 "/>
    <m/>
    <m/>
    <m/>
  </r>
  <r>
    <s v="C001267"/>
    <x v="245"/>
    <s v="DFL: Ngoma-Rusumo "/>
    <s v="Ngoma"/>
    <x v="1"/>
    <x v="1"/>
    <s v="VIP"/>
    <x v="2"/>
    <x v="2"/>
    <m/>
    <s v="Dark Fiber Lease  "/>
    <n v="50.7"/>
    <n v="1"/>
    <n v="1267500"/>
    <n v="1267500"/>
    <s v="Monthly"/>
    <d v="2024-06-30T00:00:00"/>
    <x v="1"/>
    <x v="4"/>
    <n v="-359"/>
    <x v="1"/>
    <x v="1"/>
    <s v="Ramadhani Nshakabatenda"/>
    <s v="ramadhani.nshaka@liquid.tech"/>
    <s v="0788 629 054 "/>
    <m/>
    <m/>
    <m/>
  </r>
  <r>
    <s v="C001267"/>
    <x v="245"/>
    <s v="DFL: Ruhango-Nyamagabe "/>
    <s v="Nyamagabe"/>
    <x v="1"/>
    <x v="1"/>
    <s v="VIP"/>
    <x v="2"/>
    <x v="2"/>
    <m/>
    <s v="Dark Fiber Lease  "/>
    <n v="70"/>
    <n v="1"/>
    <n v="1750000"/>
    <n v="1750000"/>
    <s v="Monthly"/>
    <d v="2024-06-30T00:00:00"/>
    <x v="1"/>
    <x v="4"/>
    <n v="-359"/>
    <x v="1"/>
    <x v="1"/>
    <s v="Ramadhani Nshakabatenda"/>
    <s v="ramadhani.nshaka@liquid.tech"/>
    <s v="0788 629 054 "/>
    <m/>
    <m/>
    <m/>
  </r>
  <r>
    <s v="C001267"/>
    <x v="245"/>
    <s v="DFL: Nyanza-Ruhango "/>
    <s v="Nyanza"/>
    <x v="1"/>
    <x v="1"/>
    <s v="VIP"/>
    <x v="2"/>
    <x v="2"/>
    <m/>
    <s v="Dark Fiber Lease  "/>
    <n v="17"/>
    <n v="1"/>
    <n v="425000"/>
    <n v="425000"/>
    <s v="Monthly"/>
    <d v="2024-06-30T00:00:00"/>
    <x v="1"/>
    <x v="4"/>
    <n v="-359"/>
    <x v="1"/>
    <x v="1"/>
    <s v="Ramadhani Nshakabatenda"/>
    <s v="ramadhani.nshaka@liquid.tech"/>
    <s v="0788 629 054 "/>
    <m/>
    <m/>
    <m/>
  </r>
  <r>
    <s v="C001267"/>
    <x v="245"/>
    <s v="DFL: Karongi-Rubavu "/>
    <s v="Rubavu"/>
    <x v="1"/>
    <x v="1"/>
    <s v="VIP"/>
    <x v="2"/>
    <x v="2"/>
    <m/>
    <s v="Dark Fiber Lease  "/>
    <n v="96.97"/>
    <n v="1"/>
    <n v="2424280"/>
    <n v="2424280"/>
    <s v="Monthly"/>
    <d v="2024-06-30T00:00:00"/>
    <x v="1"/>
    <x v="4"/>
    <n v="-359"/>
    <x v="1"/>
    <x v="1"/>
    <s v="Ramadhani Nshakabatenda"/>
    <s v="ramadhani.nshaka@liquid.tech"/>
    <s v="0788 629 054 "/>
    <m/>
    <m/>
    <m/>
  </r>
  <r>
    <s v="C001267"/>
    <x v="245"/>
    <s v="DFL: Musanze-Rubavu "/>
    <s v="Rubavu"/>
    <x v="1"/>
    <x v="1"/>
    <s v="VIP"/>
    <x v="2"/>
    <x v="2"/>
    <m/>
    <s v="Dark Fiber Lease  "/>
    <n v="58.9"/>
    <n v="1"/>
    <n v="1517500"/>
    <n v="1517500"/>
    <s v="Monthly"/>
    <d v="2024-06-30T00:00:00"/>
    <x v="1"/>
    <x v="4"/>
    <n v="-359"/>
    <x v="1"/>
    <x v="1"/>
    <s v="Ramadhani Nshakabatenda"/>
    <s v="ramadhani.nshaka@liquid.tech"/>
    <s v="0788 629 054 "/>
    <m/>
    <m/>
    <m/>
  </r>
  <r>
    <s v="C001267"/>
    <x v="245"/>
    <s v="DFL: Karongi-Rusizi "/>
    <s v="Rusizi"/>
    <x v="1"/>
    <x v="1"/>
    <s v="VIP"/>
    <x v="2"/>
    <x v="2"/>
    <m/>
    <s v="Dark Fiber Lease  "/>
    <n v="110.48"/>
    <n v="1"/>
    <n v="2762000"/>
    <n v="2762000"/>
    <s v="Monthly"/>
    <d v="2024-06-30T00:00:00"/>
    <x v="1"/>
    <x v="4"/>
    <n v="-359"/>
    <x v="1"/>
    <x v="1"/>
    <s v="Ramadhani Nshakabatenda"/>
    <s v="ramadhani.nshaka@liquid.tech"/>
    <s v="0788 629 054 "/>
    <m/>
    <m/>
    <m/>
  </r>
  <r>
    <s v="C001267"/>
    <x v="245"/>
    <s v="DFL: Kigali-Gatuna "/>
    <s v="Rusizi"/>
    <x v="1"/>
    <x v="1"/>
    <s v="VIP"/>
    <x v="2"/>
    <x v="2"/>
    <m/>
    <s v="Dark Fiber Lease  "/>
    <n v="79.658100000000005"/>
    <n v="1"/>
    <n v="2762000"/>
    <n v="2762000"/>
    <s v="Monthly"/>
    <d v="2024-06-30T00:00:00"/>
    <x v="1"/>
    <x v="4"/>
    <n v="-359"/>
    <x v="1"/>
    <x v="1"/>
    <s v="Ramadhani Nshakabatenda"/>
    <s v="ramadhani.nshaka@liquid.tech"/>
    <s v="0788 629 054 "/>
    <m/>
    <m/>
    <m/>
  </r>
  <r>
    <s v="C002437"/>
    <x v="25"/>
    <s v="RSSB"/>
    <s v="Gasabo"/>
    <x v="0"/>
    <x v="0"/>
    <s v="VIP"/>
    <x v="0"/>
    <x v="6"/>
    <m/>
    <s v="4G ONE NETWORK 5MBPS"/>
    <m/>
    <n v="2"/>
    <n v="101694.92"/>
    <n v="203389.84"/>
    <s v="Monthly"/>
    <d v="2024-07-02T00:00:00"/>
    <x v="2"/>
    <x v="4"/>
    <n v="-361"/>
    <x v="1"/>
    <x v="3"/>
    <s v="Odette Kampire"/>
    <s v="odette.kampire@rssb.rw"/>
    <s v="0788-850-079."/>
    <m/>
    <m/>
    <m/>
  </r>
  <r>
    <s v="C000359"/>
    <x v="263"/>
    <s v="CARAES NDERA"/>
    <s v="Gasabo"/>
    <x v="0"/>
    <x v="6"/>
    <s v="Standard"/>
    <x v="0"/>
    <x v="6"/>
    <m/>
    <s v="4G MUP 1GB/DAY"/>
    <m/>
    <n v="3"/>
    <n v="19491.53"/>
    <n v="58474.59"/>
    <s v="Monthly"/>
    <d v="2024-07-15T00:00:00"/>
    <x v="2"/>
    <x v="4"/>
    <n v="-374"/>
    <x v="1"/>
    <x v="6"/>
    <s v="Evode Muhire"/>
    <s v="ndera.hospital@moh.gov.rw"/>
    <n v="788827364"/>
    <m/>
    <m/>
    <m/>
  </r>
  <r>
    <s v="C002143"/>
    <x v="218"/>
    <s v="Cells"/>
    <s v="Rubavu"/>
    <x v="0"/>
    <x v="0"/>
    <s v="Standard"/>
    <x v="0"/>
    <x v="6"/>
    <m/>
    <s v="4G MUP 2GB/DAY"/>
    <m/>
    <n v="80"/>
    <n v="28305.084745762713"/>
    <n v="2264406.779661017"/>
    <s v="Monthly"/>
    <d v="2024-07-19T00:00:00"/>
    <x v="2"/>
    <x v="4"/>
    <n v="-378"/>
    <x v="1"/>
    <x v="0"/>
    <s v="Joel Gasagure"/>
    <s v="rubavudistrict@rubavu.gov.rw "/>
    <s v="0788578289"/>
    <m/>
    <m/>
    <m/>
  </r>
  <r>
    <s v="C003876"/>
    <x v="264"/>
    <s v="NESA Inspectors connection"/>
    <s v="Gasabo"/>
    <x v="0"/>
    <x v="4"/>
    <s v="Standard"/>
    <x v="0"/>
    <x v="6"/>
    <m/>
    <s v="4G MUP 2GB/DAY"/>
    <m/>
    <n v="38"/>
    <n v="28305.08"/>
    <n v="1075593.04"/>
    <s v="Monthly"/>
    <d v="2024-07-25T00:00:00"/>
    <x v="2"/>
    <x v="4"/>
    <n v="-384"/>
    <x v="1"/>
    <x v="2"/>
    <s v="MWIZERWA ERASTO"/>
    <s v="emwizerwa@nesa.gov.rw"/>
    <s v="0788-535-226"/>
    <m/>
    <m/>
    <m/>
  </r>
  <r>
    <s v="C000344"/>
    <x v="265"/>
    <s v="BYUMBA -MAIN BRANCH"/>
    <s v="Gicumbi"/>
    <x v="0"/>
    <x v="6"/>
    <s v="Standard"/>
    <x v="0"/>
    <x v="0"/>
    <n v="10"/>
    <s v="FIBER VPN 10MBPS"/>
    <m/>
    <n v="1"/>
    <n v="510000"/>
    <n v="510000"/>
    <s v="Monthly"/>
    <d v="2024-07-30T00:00:00"/>
    <x v="2"/>
    <x v="4"/>
    <n v="-389"/>
    <x v="1"/>
    <x v="6"/>
    <s v="Christine MUKANEZA"/>
    <s v="chrisneza@gmail.com"/>
    <n v="788464399"/>
    <m/>
    <m/>
    <m/>
  </r>
  <r>
    <s v="C000344"/>
    <x v="265"/>
    <s v="BYUMBA -MAIN BRANCH"/>
    <s v="Gicumbi"/>
    <x v="0"/>
    <x v="6"/>
    <s v="Standard"/>
    <x v="3"/>
    <x v="7"/>
    <m/>
    <s v="MSS GOLD"/>
    <m/>
    <n v="1"/>
    <n v="369325"/>
    <n v="369325"/>
    <s v="Monthly"/>
    <d v="2024-07-30T00:00:00"/>
    <x v="2"/>
    <x v="4"/>
    <n v="-389"/>
    <x v="1"/>
    <x v="6"/>
    <s v="Christine MUKANEZA"/>
    <s v="chrisneza@gmail.com"/>
    <n v="788464399"/>
    <m/>
    <m/>
    <m/>
  </r>
  <r>
    <s v="L000197"/>
    <x v="266"/>
    <s v="Rwandair Ltd "/>
    <s v="Kicukiro"/>
    <x v="0"/>
    <x v="15"/>
    <s v="Standard"/>
    <x v="0"/>
    <x v="0"/>
    <n v="30"/>
    <s v="Fiber Vpn "/>
    <m/>
    <n v="1"/>
    <n v="1260000"/>
    <n v="1260000"/>
    <s v="Monthly"/>
    <d v="2024-07-30T00:00:00"/>
    <x v="2"/>
    <x v="4"/>
    <n v="-389"/>
    <x v="1"/>
    <x v="5"/>
    <s v="Jude Rwaka"/>
    <s v="jude.rwaka@rwandair.com"/>
    <n v="788550130"/>
    <m/>
    <m/>
    <m/>
  </r>
  <r>
    <s v="L000197"/>
    <x v="266"/>
    <s v="Rwandair Ltd "/>
    <s v="Kicukiro"/>
    <x v="0"/>
    <x v="15"/>
    <s v="Standard"/>
    <x v="0"/>
    <x v="6"/>
    <m/>
    <s v=" 4G MUP 4GB/DAY "/>
    <m/>
    <n v="1"/>
    <n v="45338.98"/>
    <n v="45338.98"/>
    <s v="Monthly"/>
    <d v="2024-07-30T00:00:00"/>
    <x v="2"/>
    <x v="4"/>
    <n v="-389"/>
    <x v="1"/>
    <x v="5"/>
    <s v="Jude Rwaka"/>
    <s v="jude.rwaka@rwandair.com"/>
    <n v="788550130"/>
    <m/>
    <m/>
    <m/>
  </r>
  <r>
    <s v="L000197"/>
    <x v="266"/>
    <s v="Rwandair Ltd "/>
    <s v="Kicukiro"/>
    <x v="0"/>
    <x v="15"/>
    <s v="Standard"/>
    <x v="0"/>
    <x v="6"/>
    <m/>
    <s v="4G MUP 2GB/DAY"/>
    <m/>
    <n v="2"/>
    <n v="73729"/>
    <n v="147458"/>
    <s v="Monthly"/>
    <d v="2024-07-30T00:00:00"/>
    <x v="2"/>
    <x v="4"/>
    <n v="-389"/>
    <x v="1"/>
    <x v="5"/>
    <s v="Jude Rwaka"/>
    <s v="jude.rwaka@rwandair.com"/>
    <n v="788550130"/>
    <m/>
    <m/>
    <m/>
  </r>
  <r>
    <s v="L000197"/>
    <x v="266"/>
    <s v="Rwandair Ltd "/>
    <s v="Kicukiro"/>
    <x v="0"/>
    <x v="15"/>
    <s v="Standard"/>
    <x v="0"/>
    <x v="6"/>
    <m/>
    <s v="4G MUP 1GB/DAY"/>
    <m/>
    <n v="4"/>
    <n v="19491.53"/>
    <n v="77966.12"/>
    <s v="Monthly"/>
    <d v="2024-07-30T00:00:00"/>
    <x v="2"/>
    <x v="4"/>
    <n v="-389"/>
    <x v="1"/>
    <x v="5"/>
    <s v="Jude Rwaka"/>
    <s v="jude.rwaka@rwandair.com"/>
    <n v="788550130"/>
    <m/>
    <m/>
    <m/>
  </r>
  <r>
    <s v="L000197"/>
    <x v="266"/>
    <s v="Rwandair Ltd "/>
    <s v="Kicukiro"/>
    <x v="0"/>
    <x v="15"/>
    <s v="Standard"/>
    <x v="0"/>
    <x v="6"/>
    <m/>
    <s v="4G MUP 3GB/DAY"/>
    <m/>
    <n v="4"/>
    <n v="216949.15"/>
    <n v="867796.6"/>
    <s v="Monthly"/>
    <d v="2024-07-30T00:00:00"/>
    <x v="2"/>
    <x v="4"/>
    <n v="-389"/>
    <x v="1"/>
    <x v="5"/>
    <s v="Jude Rwaka"/>
    <s v="jude.rwaka@rwandair.com"/>
    <n v="788550130"/>
    <m/>
    <m/>
    <m/>
  </r>
  <r>
    <s v="C000043"/>
    <x v="152"/>
    <s v="AOS HQ"/>
    <s v="Gasabo"/>
    <x v="1"/>
    <x v="1"/>
    <s v="Standard"/>
    <x v="1"/>
    <x v="3"/>
    <m/>
    <s v="VoIP Integration"/>
    <m/>
    <n v="1"/>
    <n v="167372.88135593222"/>
    <n v="167372.88135593222"/>
    <s v="Monthly"/>
    <d v="2024-07-30T00:00:00"/>
    <x v="2"/>
    <x v="4"/>
    <n v="-389"/>
    <x v="1"/>
    <x v="1"/>
    <s v="Brice Kayihura"/>
    <s v="brice.kayihura@aos.rw "/>
    <s v="0788 318892"/>
    <s v="Service Terminated on Customer request"/>
    <m/>
    <m/>
  </r>
  <r>
    <s v="C000043"/>
    <x v="152"/>
    <s v="AOS HQ"/>
    <s v="Gasabo"/>
    <x v="1"/>
    <x v="1"/>
    <s v="Standard"/>
    <x v="1"/>
    <x v="3"/>
    <m/>
    <s v="Trunk Gateway"/>
    <m/>
    <n v="1"/>
    <n v="100500"/>
    <n v="100500"/>
    <s v="Monthly"/>
    <d v="2024-07-30T00:00:00"/>
    <x v="2"/>
    <x v="4"/>
    <n v="-389"/>
    <x v="1"/>
    <x v="1"/>
    <s v="Brice Kayihura"/>
    <s v="brice.kayihura@aos.rw "/>
    <s v="0788 318892"/>
    <s v="Service Terminated on Customer request"/>
    <m/>
    <m/>
  </r>
  <r>
    <s v="C000332"/>
    <x v="267"/>
    <s v="BUTARO -MAIN BRANCH"/>
    <s v="Burera"/>
    <x v="0"/>
    <x v="6"/>
    <s v="Standard"/>
    <x v="0"/>
    <x v="0"/>
    <n v="15"/>
    <s v="FIBER VPN 15MBPS"/>
    <m/>
    <n v="1"/>
    <n v="720000"/>
    <n v="720000"/>
    <s v="Monthly"/>
    <d v="2024-07-31T00:00:00"/>
    <x v="2"/>
    <x v="4"/>
    <n v="-390"/>
    <x v="1"/>
    <x v="6"/>
    <s v="Bob MUHUMUZA"/>
    <s v="butaro.hospital@moh.gov.rw"/>
    <n v="788682880"/>
    <m/>
    <m/>
    <m/>
  </r>
  <r>
    <s v="C000448"/>
    <x v="268"/>
    <s v="COMMERCIAL BANK OF AFRICA RWANDA (CBA)"/>
    <s v="Gasabo"/>
    <x v="1"/>
    <x v="9"/>
    <s v="Standard"/>
    <x v="0"/>
    <x v="5"/>
    <n v="10"/>
    <s v="FIBER VPN 10MBPS PRIV"/>
    <m/>
    <n v="1"/>
    <n v="940500"/>
    <n v="940500"/>
    <s v="Monthly"/>
    <d v="2024-07-31T00:00:00"/>
    <x v="2"/>
    <x v="4"/>
    <n v="-390"/>
    <x v="1"/>
    <x v="2"/>
    <s v="Samuel Kamali"/>
    <s v="Samuel.Kamali@ncbagroup.com"/>
    <s v="0788-316-909  "/>
    <m/>
    <m/>
    <m/>
  </r>
  <r>
    <s v="C001274"/>
    <x v="269"/>
    <s v="HQ"/>
    <s v="Nyarugenge"/>
    <x v="1"/>
    <x v="2"/>
    <s v="Standard"/>
    <x v="0"/>
    <x v="5"/>
    <n v="3"/>
    <s v="Fiber Broadband Internet 3Mbps"/>
    <m/>
    <n v="1"/>
    <n v="180000"/>
    <n v="180000"/>
    <s v="Monthly"/>
    <d v="2024-07-31T00:00:00"/>
    <x v="2"/>
    <x v="4"/>
    <n v="-390"/>
    <x v="1"/>
    <x v="0"/>
    <s v="Yvette Uwamwezi"/>
    <s v="yvetuwamwezi@gmail.com"/>
    <s v="0730227865"/>
    <m/>
    <m/>
    <m/>
  </r>
  <r>
    <s v="C002293"/>
    <x v="270"/>
    <s v="Rwanda Housing Authority (RHA)"/>
    <s v="Nyarugenge"/>
    <x v="0"/>
    <x v="0"/>
    <s v="Standard"/>
    <x v="0"/>
    <x v="0"/>
    <n v="20"/>
    <s v="Fiber VPN 20MBPS "/>
    <m/>
    <n v="1"/>
    <n v="900000"/>
    <n v="900000"/>
    <s v="Monthly"/>
    <d v="2024-08-30T00:00:00"/>
    <x v="3"/>
    <x v="4"/>
    <n v="-420"/>
    <x v="1"/>
    <x v="5"/>
    <s v="Emmy Bucyana"/>
    <s v="emmy.bucyana@rha.gov.rw"/>
    <n v="788687073"/>
    <m/>
    <m/>
    <m/>
  </r>
  <r>
    <s v="C002293"/>
    <x v="270"/>
    <s v="Rwanda Housing Authority (RHA)"/>
    <s v="Nyarugenge"/>
    <x v="0"/>
    <x v="0"/>
    <s v="Standard"/>
    <x v="0"/>
    <x v="7"/>
    <m/>
    <s v="MSS-Gold"/>
    <m/>
    <n v="1"/>
    <n v="369325"/>
    <n v="369325"/>
    <s v="Monthly"/>
    <d v="2024-08-30T00:00:00"/>
    <x v="3"/>
    <x v="4"/>
    <n v="-420"/>
    <x v="1"/>
    <x v="5"/>
    <s v="Emmy Bucyana"/>
    <s v="emmy.bucyana@rha.gov.rw"/>
    <n v="788687073"/>
    <m/>
    <m/>
    <m/>
  </r>
  <r>
    <s v="C002293"/>
    <x v="270"/>
    <s v="Rwanda Housing Authority (RHA)"/>
    <s v="Nyarugenge"/>
    <x v="0"/>
    <x v="0"/>
    <s v="Standard"/>
    <x v="0"/>
    <x v="6"/>
    <m/>
    <s v=" 4G MUP 4GB/DAY "/>
    <m/>
    <n v="20"/>
    <n v="45338.98"/>
    <n v="906779.60000000009"/>
    <s v="Monthly"/>
    <d v="2024-08-30T00:00:00"/>
    <x v="3"/>
    <x v="4"/>
    <n v="-420"/>
    <x v="1"/>
    <x v="5"/>
    <s v="Emmy Bucyana"/>
    <s v="emmy.bucyana@rha.gov.rw"/>
    <n v="788687073"/>
    <m/>
    <m/>
    <m/>
  </r>
  <r>
    <s v="C003985"/>
    <x v="271"/>
    <s v="HQ"/>
    <s v="Kicukiro"/>
    <x v="0"/>
    <x v="9"/>
    <s v="Standard"/>
    <x v="0"/>
    <x v="6"/>
    <m/>
    <s v="4G ONE NETWORK 5MBPS"/>
    <m/>
    <n v="1"/>
    <n v="101695"/>
    <n v="101695"/>
    <s v="Monthly"/>
    <d v="2024-08-31T00:00:00"/>
    <x v="3"/>
    <x v="4"/>
    <n v="-421"/>
    <x v="1"/>
    <x v="8"/>
    <s v="IKUZE CLAUDINE"/>
    <s v="saccogikondo@gmail.com"/>
    <s v="0788-834-846"/>
    <m/>
    <m/>
    <m/>
  </r>
  <r>
    <s v="C004041"/>
    <x v="272"/>
    <s v="HQ"/>
    <s v="Gasabo"/>
    <x v="1"/>
    <x v="4"/>
    <s v="VIP"/>
    <x v="1"/>
    <x v="5"/>
    <n v="150"/>
    <s v="FIBER INTERNET 150MBPS"/>
    <m/>
    <n v="1"/>
    <n v="4480500"/>
    <n v="4480500"/>
    <s v="Monthly"/>
    <d v="2024-08-31T00:00:00"/>
    <x v="3"/>
    <x v="4"/>
    <n v="-421"/>
    <x v="1"/>
    <x v="0"/>
    <s v="Claude Afadhali"/>
    <s v="claudeafadhali@greenhillsacademy.rw "/>
    <s v="0788309557"/>
    <m/>
    <m/>
    <m/>
  </r>
  <r>
    <s v="C003979"/>
    <x v="273"/>
    <s v="HQ"/>
    <s v="Kicukiro"/>
    <x v="0"/>
    <x v="9"/>
    <s v="Standard"/>
    <x v="0"/>
    <x v="6"/>
    <m/>
    <s v="4G ONE NETWORK 5MBPS"/>
    <m/>
    <n v="1"/>
    <n v="101695"/>
    <n v="101695"/>
    <s v="Monthly"/>
    <d v="2024-08-31T00:00:00"/>
    <x v="3"/>
    <x v="4"/>
    <n v="-421"/>
    <x v="1"/>
    <x v="8"/>
    <s v="JEAN BAPTISTE ZABANYINSHI"/>
    <s v="ijabosaccokigaramaa@gmail.com"/>
    <s v="0788-548-099"/>
    <m/>
    <m/>
    <m/>
  </r>
  <r>
    <s v="C003979"/>
    <x v="273"/>
    <s v="HQ"/>
    <s v="Kicukiro"/>
    <x v="0"/>
    <x v="9"/>
    <s v="Standard"/>
    <x v="0"/>
    <x v="6"/>
    <m/>
    <s v="4G ONE NETWORK 3MBPS"/>
    <m/>
    <n v="1"/>
    <n v="81356"/>
    <n v="81356"/>
    <s v="Monthly"/>
    <d v="2024-08-31T00:00:00"/>
    <x v="3"/>
    <x v="4"/>
    <n v="-421"/>
    <x v="1"/>
    <x v="8"/>
    <s v="JEAN BAPTISTE ZABANYINSHI"/>
    <s v="ijabosaccokigaramaa@gmail.com"/>
    <s v="0788-548-099"/>
    <m/>
    <m/>
    <m/>
  </r>
  <r>
    <s v="C001183"/>
    <x v="274"/>
    <s v="HQ"/>
    <s v="Gasabo"/>
    <x v="1"/>
    <x v="6"/>
    <s v="Standard"/>
    <x v="0"/>
    <x v="6"/>
    <m/>
    <s v="4G ONE NETWORK 5MBPS"/>
    <m/>
    <n v="1"/>
    <n v="101695"/>
    <n v="101695"/>
    <s v="Monthly"/>
    <d v="2024-08-31T00:00:00"/>
    <x v="3"/>
    <x v="4"/>
    <n v="-421"/>
    <x v="1"/>
    <x v="8"/>
    <s v="Claudine Nkurikiye"/>
    <s v="kmcpoliclinic@yahoo.com"/>
    <s v="0788560322"/>
    <m/>
    <m/>
    <m/>
  </r>
  <r>
    <s v="C001632"/>
    <x v="275"/>
    <s v="MVEND LTD"/>
    <s v="Gasabo"/>
    <x v="1"/>
    <x v="2"/>
    <s v="Standard"/>
    <x v="1"/>
    <x v="1"/>
    <m/>
    <s v="Cloud 1vCPU. 1GB RAM. 30GB Storage"/>
    <m/>
    <n v="1"/>
    <n v="15450.85"/>
    <n v="15450.85"/>
    <s v="Monthly"/>
    <d v="2024-08-31T00:00:00"/>
    <x v="3"/>
    <x v="4"/>
    <n v="-421"/>
    <x v="1"/>
    <x v="2"/>
    <s v="Bobson RUGAMBWA"/>
    <s v="rbob@mvend.co.rw"/>
    <s v="0788-318-046"/>
    <m/>
    <m/>
    <m/>
  </r>
  <r>
    <s v="C001632"/>
    <x v="275"/>
    <s v="MVEND LTD"/>
    <s v="Gasabo"/>
    <x v="1"/>
    <x v="2"/>
    <s v="Standard"/>
    <x v="1"/>
    <x v="1"/>
    <m/>
    <s v="Cloud 2vCPU. 4GB RAM. 200GB Storage"/>
    <m/>
    <n v="1"/>
    <n v="53563"/>
    <n v="53563"/>
    <s v="Monthly"/>
    <d v="2024-08-31T00:00:00"/>
    <x v="3"/>
    <x v="4"/>
    <n v="-421"/>
    <x v="1"/>
    <x v="2"/>
    <s v="Bobson RUGAMBWA"/>
    <s v="rbob@mvend.co.rw"/>
    <s v="0788-318-046"/>
    <m/>
    <m/>
    <m/>
  </r>
  <r>
    <s v="C001632"/>
    <x v="275"/>
    <s v="MVEND LTD"/>
    <s v="Gasabo"/>
    <x v="1"/>
    <x v="2"/>
    <s v="Standard"/>
    <x v="1"/>
    <x v="1"/>
    <m/>
    <s v="Cloud 1vCPU. 2GB RAM. 100GB Storage"/>
    <m/>
    <n v="3"/>
    <n v="31510"/>
    <n v="94530"/>
    <s v="Monthly"/>
    <d v="2024-08-31T00:00:00"/>
    <x v="3"/>
    <x v="4"/>
    <n v="-421"/>
    <x v="1"/>
    <x v="2"/>
    <s v="Bobson RUGAMBWA"/>
    <s v="rbob@mvend.co.rw"/>
    <s v="0788-318-046"/>
    <m/>
    <m/>
    <m/>
  </r>
  <r>
    <s v="C002289"/>
    <x v="40"/>
    <s v="VPN Link btn RFL &amp; AoS (NDC)"/>
    <s v="Gasabo"/>
    <x v="0"/>
    <x v="3"/>
    <s v="Standard"/>
    <x v="0"/>
    <x v="0"/>
    <n v="30"/>
    <s v="FIBER VPN 30MBPS"/>
    <m/>
    <n v="1"/>
    <n v="1260000"/>
    <n v="1260000"/>
    <s v="Monthly"/>
    <d v="2024-08-31T00:00:00"/>
    <x v="3"/>
    <x v="4"/>
    <n v="-421"/>
    <x v="1"/>
    <x v="2"/>
    <s v="Theobard Bayingana"/>
    <s v="theobard.bayingana@rfl.gov.rw"/>
    <s v="0788-688-466"/>
    <m/>
    <m/>
    <m/>
  </r>
  <r>
    <s v="C002128"/>
    <x v="214"/>
    <s v="Road Maintenance Fund FER"/>
    <s v="Nyarugenge"/>
    <x v="0"/>
    <x v="0"/>
    <s v="Standard"/>
    <x v="0"/>
    <x v="0"/>
    <n v="5"/>
    <s v="Fiber VPN 5MBPS "/>
    <m/>
    <n v="1"/>
    <n v="270000"/>
    <n v="270000"/>
    <s v="Monthly"/>
    <d v="2024-08-31T00:00:00"/>
    <x v="3"/>
    <x v="4"/>
    <n v="-421"/>
    <x v="1"/>
    <x v="5"/>
    <s v="Uwimana Theophille"/>
    <s v="theophile.uwimana@rmf.gov.rw"/>
    <n v="788602677"/>
    <m/>
    <m/>
    <m/>
  </r>
  <r>
    <s v="C002669"/>
    <x v="276"/>
    <s v="HQ"/>
    <s v="Gasabo"/>
    <x v="0"/>
    <x v="0"/>
    <s v="Standard"/>
    <x v="0"/>
    <x v="6"/>
    <m/>
    <s v="4G ONE NETWORK 5MBPS"/>
    <m/>
    <n v="1"/>
    <n v="101694.91525400001"/>
    <n v="101694.91525400001"/>
    <s v="Monthly"/>
    <d v="2024-08-31T00:00:00"/>
    <x v="3"/>
    <x v="4"/>
    <n v="-421"/>
    <x v="1"/>
    <x v="9"/>
    <s v="NSABIMANA M. DESIRE"/>
    <s v="rusororosector@gasabo.gov.rw"/>
    <n v="787440621"/>
    <m/>
    <m/>
    <m/>
  </r>
  <r>
    <s v="C002669"/>
    <x v="276"/>
    <s v="HQ"/>
    <s v="Gasabo"/>
    <x v="0"/>
    <x v="0"/>
    <s v="Standard"/>
    <x v="0"/>
    <x v="6"/>
    <m/>
    <s v="4G MUP 4GB/DAY"/>
    <m/>
    <n v="9"/>
    <n v="45338.983051000003"/>
    <n v="408050.84745900001"/>
    <s v="Monthly"/>
    <d v="2024-08-31T00:00:00"/>
    <x v="3"/>
    <x v="4"/>
    <n v="-421"/>
    <x v="1"/>
    <x v="9"/>
    <s v="NSABIMANA M. DESIRE"/>
    <s v="rusororosector@gasabo.gov.rw"/>
    <n v="787440621"/>
    <m/>
    <m/>
    <m/>
  </r>
  <r>
    <s v="C003993"/>
    <x v="277"/>
    <s v="HQ"/>
    <s v="Kicukiro"/>
    <x v="0"/>
    <x v="9"/>
    <s v="Standard"/>
    <x v="0"/>
    <x v="6"/>
    <m/>
    <s v="4G ONE NETWORK 5MBPS"/>
    <m/>
    <n v="1"/>
    <n v="101695"/>
    <n v="101695"/>
    <s v="Monthly"/>
    <d v="2024-08-31T00:00:00"/>
    <x v="3"/>
    <x v="4"/>
    <n v="-421"/>
    <x v="1"/>
    <x v="8"/>
    <s v="TRIPHOSE UMURERWA"/>
    <s v="saccogahanga@yahoo.com"/>
    <s v="0788-668-755"/>
    <m/>
    <m/>
    <m/>
  </r>
  <r>
    <s v="C004001"/>
    <x v="278"/>
    <s v="HQ"/>
    <s v="Gasabo"/>
    <x v="0"/>
    <x v="9"/>
    <s v="Standard"/>
    <x v="0"/>
    <x v="6"/>
    <m/>
    <s v="4G ONE NETWORK 5MBPS"/>
    <m/>
    <n v="2"/>
    <n v="101695"/>
    <n v="203390"/>
    <s v="Monthly"/>
    <d v="2024-09-01T00:00:00"/>
    <x v="4"/>
    <x v="4"/>
    <n v="-422"/>
    <x v="1"/>
    <x v="8"/>
    <s v="NSENGIYUMVA SIMON"/>
    <s v="sacco2014sik@gmail.com"/>
    <s v="0788-668-755"/>
    <m/>
    <m/>
    <m/>
  </r>
  <r>
    <s v="C000200"/>
    <x v="100"/>
    <s v="DFL: Kigali - Muhanga"/>
    <s v="Muhanga"/>
    <x v="1"/>
    <x v="12"/>
    <s v="Standard"/>
    <x v="2"/>
    <x v="2"/>
    <m/>
    <s v="Dark Fiber Lease  "/>
    <n v="76"/>
    <n v="1"/>
    <n v="2090000"/>
    <n v="2090000"/>
    <s v="Monthly"/>
    <d v="2024-09-03T00:00:00"/>
    <x v="4"/>
    <x v="4"/>
    <n v="-424"/>
    <x v="1"/>
    <x v="1"/>
    <s v="Timothee Mugaragu"/>
    <s v="mailto:tmugaragu@bk.rw"/>
    <s v="0 788 888 601"/>
    <m/>
    <m/>
    <m/>
  </r>
  <r>
    <s v="C003023"/>
    <x v="279"/>
    <s v="DR Bugesera"/>
    <s v="Bugesera"/>
    <x v="1"/>
    <x v="9"/>
    <s v="Standard"/>
    <x v="0"/>
    <x v="5"/>
    <n v="3"/>
    <s v="FIBER VPN 3MBPS"/>
    <m/>
    <n v="1"/>
    <n v="206000"/>
    <n v="206000"/>
    <s v="Monthly"/>
    <d v="2024-09-17T00:00:00"/>
    <x v="4"/>
    <x v="4"/>
    <n v="-438"/>
    <x v="1"/>
    <x v="0"/>
    <s v="Patrick Ntwali"/>
    <s v="patrick.ntwali@imbank.co.rw "/>
    <s v="0788300147"/>
    <m/>
    <m/>
    <m/>
  </r>
  <r>
    <s v="C003023"/>
    <x v="279"/>
    <s v="Gicumbi"/>
    <s v="Gicumbi"/>
    <x v="1"/>
    <x v="9"/>
    <s v="Standard"/>
    <x v="0"/>
    <x v="5"/>
    <n v="3"/>
    <s v="FIBER VPN 3MBPS"/>
    <m/>
    <n v="1"/>
    <n v="206000"/>
    <n v="206000"/>
    <s v="Monthly"/>
    <d v="2024-09-17T00:00:00"/>
    <x v="4"/>
    <x v="4"/>
    <n v="-438"/>
    <x v="1"/>
    <x v="0"/>
    <s v="Patrick Ntwali"/>
    <s v="patrick.ntwali@imbank.co.rw "/>
    <s v="0788300147"/>
    <m/>
    <m/>
    <m/>
  </r>
  <r>
    <s v="C003023"/>
    <x v="279"/>
    <s v="Huye"/>
    <s v="Huye"/>
    <x v="1"/>
    <x v="9"/>
    <s v="Standard"/>
    <x v="0"/>
    <x v="5"/>
    <n v="3"/>
    <s v="FIBER VPN 3MBPS"/>
    <m/>
    <n v="1"/>
    <n v="206000"/>
    <n v="206000"/>
    <s v="Monthly"/>
    <d v="2024-09-17T00:00:00"/>
    <x v="4"/>
    <x v="4"/>
    <n v="-438"/>
    <x v="1"/>
    <x v="0"/>
    <s v="Patrick Ntwali"/>
    <s v="patrick.ntwali@imbank.co.rw "/>
    <s v="0788300147"/>
    <m/>
    <m/>
    <m/>
  </r>
  <r>
    <s v="C003023"/>
    <x v="279"/>
    <s v="Karongi"/>
    <s v="Karongi"/>
    <x v="1"/>
    <x v="9"/>
    <s v="Standard"/>
    <x v="0"/>
    <x v="5"/>
    <n v="3"/>
    <s v="FIBER VPN 3MBPS"/>
    <m/>
    <n v="1"/>
    <n v="206000"/>
    <n v="206000"/>
    <s v="Monthly"/>
    <d v="2024-09-17T00:00:00"/>
    <x v="4"/>
    <x v="4"/>
    <n v="-438"/>
    <x v="1"/>
    <x v="0"/>
    <s v="Patrick Ntwali"/>
    <s v="patrick.ntwali@imbank.co.rw "/>
    <s v="0788300147"/>
    <m/>
    <m/>
    <m/>
  </r>
  <r>
    <s v="C003023"/>
    <x v="279"/>
    <s v="Magerwa"/>
    <s v="Kicukiro"/>
    <x v="1"/>
    <x v="9"/>
    <s v="Standard"/>
    <x v="0"/>
    <x v="5"/>
    <n v="3"/>
    <s v="FIBER VPN 3MBPS"/>
    <m/>
    <n v="1"/>
    <n v="206000"/>
    <n v="206000"/>
    <s v="Monthly"/>
    <d v="2024-09-17T00:00:00"/>
    <x v="4"/>
    <x v="4"/>
    <n v="-438"/>
    <x v="1"/>
    <x v="0"/>
    <s v="Patrick Ntwali"/>
    <s v="patrick.ntwali@imbank.co.rw "/>
    <s v="0788300147"/>
    <m/>
    <m/>
    <m/>
  </r>
  <r>
    <s v="C003023"/>
    <x v="279"/>
    <s v="Musanze"/>
    <s v="Musanze"/>
    <x v="1"/>
    <x v="9"/>
    <s v="Standard"/>
    <x v="0"/>
    <x v="5"/>
    <n v="3"/>
    <s v="FIBER VPN 3MBPS"/>
    <m/>
    <n v="1"/>
    <n v="206000"/>
    <n v="206000"/>
    <s v="Monthly"/>
    <d v="2024-09-17T00:00:00"/>
    <x v="4"/>
    <x v="4"/>
    <n v="-438"/>
    <x v="1"/>
    <x v="0"/>
    <s v="Patrick Ntwali"/>
    <s v="patrick.ntwali@imbank.co.rw "/>
    <s v="0788300147"/>
    <m/>
    <m/>
    <m/>
  </r>
  <r>
    <s v="C003023"/>
    <x v="279"/>
    <s v="Kigali City Market"/>
    <s v="Nyarugenge"/>
    <x v="1"/>
    <x v="9"/>
    <s v="Standard"/>
    <x v="0"/>
    <x v="5"/>
    <n v="3"/>
    <s v="FIBER VPN 3MBPS"/>
    <m/>
    <n v="1"/>
    <n v="206000"/>
    <n v="206000"/>
    <s v="Monthly"/>
    <d v="2024-09-17T00:00:00"/>
    <x v="4"/>
    <x v="4"/>
    <n v="-438"/>
    <x v="1"/>
    <x v="0"/>
    <s v="Patrick Ntwali"/>
    <s v="patrick.ntwali@imbank.co.rw "/>
    <s v="0788300147"/>
    <m/>
    <m/>
    <m/>
  </r>
  <r>
    <s v="C003023"/>
    <x v="279"/>
    <s v="CHIC Muhima"/>
    <s v="Nyarugenge"/>
    <x v="1"/>
    <x v="9"/>
    <s v="Standard"/>
    <x v="0"/>
    <x v="5"/>
    <n v="3"/>
    <s v="FIBER VPN 3MBPS"/>
    <m/>
    <n v="1"/>
    <n v="206000"/>
    <n v="206000"/>
    <s v="Monthly"/>
    <d v="2024-09-17T00:00:00"/>
    <x v="4"/>
    <x v="4"/>
    <n v="-438"/>
    <x v="1"/>
    <x v="0"/>
    <s v="Patrick Ntwali"/>
    <s v="patrick.ntwali@imbank.co.rw "/>
    <s v="0788300147"/>
    <m/>
    <m/>
    <m/>
  </r>
  <r>
    <s v="C003023"/>
    <x v="279"/>
    <s v="Nyabugogo"/>
    <s v="Nyarugenge"/>
    <x v="1"/>
    <x v="9"/>
    <s v="Standard"/>
    <x v="0"/>
    <x v="5"/>
    <n v="3"/>
    <s v="FIBER VPN 3MBPS"/>
    <m/>
    <n v="1"/>
    <n v="206000"/>
    <n v="206000"/>
    <s v="Monthly"/>
    <d v="2024-09-17T00:00:00"/>
    <x v="4"/>
    <x v="4"/>
    <n v="-438"/>
    <x v="1"/>
    <x v="0"/>
    <s v="Patrick Ntwali"/>
    <s v="patrick.ntwali@imbank.co.rw "/>
    <s v="0788300147"/>
    <m/>
    <m/>
    <m/>
  </r>
  <r>
    <s v="C003023"/>
    <x v="279"/>
    <s v="BNR"/>
    <s v="Nyarugenge"/>
    <x v="1"/>
    <x v="9"/>
    <s v="Standard"/>
    <x v="0"/>
    <x v="5"/>
    <n v="3"/>
    <s v="FIBER VPN 3MBPS"/>
    <m/>
    <n v="1"/>
    <n v="206000"/>
    <n v="206000"/>
    <s v="Monthly"/>
    <d v="2024-09-17T00:00:00"/>
    <x v="4"/>
    <x v="4"/>
    <n v="-438"/>
    <x v="1"/>
    <x v="0"/>
    <s v="Patrick Ntwali"/>
    <s v="patrick.ntwali@imbank.co.rw "/>
    <s v="0788300147"/>
    <m/>
    <m/>
    <m/>
  </r>
  <r>
    <s v="C003023"/>
    <x v="279"/>
    <s v="Nyamirambo 2nd Link"/>
    <s v="Nyarugenge"/>
    <x v="1"/>
    <x v="9"/>
    <s v="Standard"/>
    <x v="0"/>
    <x v="5"/>
    <n v="3"/>
    <s v="FIBER VPN 3MBPS"/>
    <m/>
    <n v="1"/>
    <n v="206000"/>
    <n v="206000"/>
    <s v="Monthly"/>
    <d v="2024-09-17T00:00:00"/>
    <x v="4"/>
    <x v="4"/>
    <n v="-438"/>
    <x v="1"/>
    <x v="0"/>
    <s v="Patrick Ntwali"/>
    <s v="patrick.ntwali@imbank.co.rw "/>
    <s v="0788300147"/>
    <m/>
    <m/>
    <m/>
  </r>
  <r>
    <s v="C003023"/>
    <x v="279"/>
    <s v="I&amp;M Data Center"/>
    <s v="Nyarugenge"/>
    <x v="1"/>
    <x v="9"/>
    <s v="Standard"/>
    <x v="0"/>
    <x v="5"/>
    <n v="3"/>
    <s v="FIBER VPN 3MBPS"/>
    <m/>
    <n v="1"/>
    <n v="206000"/>
    <n v="206000"/>
    <s v="Monthly"/>
    <d v="2024-09-17T00:00:00"/>
    <x v="4"/>
    <x v="4"/>
    <n v="-438"/>
    <x v="1"/>
    <x v="0"/>
    <s v="Patrick Ntwali"/>
    <s v="patrick.ntwali@imbank.co.rw "/>
    <s v="0788300147"/>
    <m/>
    <m/>
    <m/>
  </r>
  <r>
    <s v="C003023"/>
    <x v="279"/>
    <s v="Rubavu"/>
    <s v="Rubavu"/>
    <x v="1"/>
    <x v="9"/>
    <s v="Standard"/>
    <x v="0"/>
    <x v="5"/>
    <n v="3"/>
    <s v="FIBER VPN 3MBPS"/>
    <m/>
    <n v="1"/>
    <n v="206000"/>
    <n v="206000"/>
    <s v="Monthly"/>
    <d v="2024-09-17T00:00:00"/>
    <x v="4"/>
    <x v="4"/>
    <n v="-438"/>
    <x v="1"/>
    <x v="0"/>
    <s v="Patrick Ntwali"/>
    <s v="patrick.ntwali@imbank.co.rw "/>
    <s v="0788300147"/>
    <m/>
    <m/>
    <m/>
  </r>
  <r>
    <s v="C003023"/>
    <x v="279"/>
    <s v="Rusizi"/>
    <s v="Rusizi"/>
    <x v="1"/>
    <x v="9"/>
    <s v="Standard"/>
    <x v="0"/>
    <x v="5"/>
    <n v="3"/>
    <s v="FIBER VPN 3MBPS"/>
    <m/>
    <n v="1"/>
    <n v="206000"/>
    <n v="206000"/>
    <s v="Monthly"/>
    <d v="2024-09-17T00:00:00"/>
    <x v="4"/>
    <x v="4"/>
    <n v="-438"/>
    <x v="1"/>
    <x v="0"/>
    <s v="Patrick Ntwali"/>
    <s v="patrick.ntwali@imbank.co.rw "/>
    <s v="0788300147"/>
    <m/>
    <m/>
    <m/>
  </r>
  <r>
    <s v="C003023"/>
    <x v="279"/>
    <s v="Rwamagana"/>
    <s v="Rwamagana  "/>
    <x v="1"/>
    <x v="9"/>
    <s v="Standard"/>
    <x v="0"/>
    <x v="5"/>
    <n v="3"/>
    <s v="FIBER VPN 3MBPS"/>
    <m/>
    <n v="1"/>
    <n v="206000"/>
    <n v="206000"/>
    <s v="Monthly"/>
    <d v="2024-09-17T00:00:00"/>
    <x v="4"/>
    <x v="4"/>
    <n v="-438"/>
    <x v="1"/>
    <x v="0"/>
    <s v="Patrick Ntwali"/>
    <s v="patrick.ntwali@imbank.co.rw "/>
    <s v="0788300147"/>
    <m/>
    <m/>
    <m/>
  </r>
  <r>
    <s v="C003023"/>
    <x v="279"/>
    <s v="Remera"/>
    <s v="Kicukiro"/>
    <x v="1"/>
    <x v="9"/>
    <s v="Standard"/>
    <x v="0"/>
    <x v="5"/>
    <n v="10"/>
    <s v="FIBER VPN 10MBPS"/>
    <m/>
    <n v="1"/>
    <n v="620000"/>
    <n v="620000"/>
    <s v="Monthly"/>
    <d v="2024-09-17T00:00:00"/>
    <x v="4"/>
    <x v="4"/>
    <n v="-438"/>
    <x v="1"/>
    <x v="0"/>
    <s v="Patrick Ntwali"/>
    <s v="patrick.ntwali@imbank.co.rw "/>
    <s v="0788300147"/>
    <m/>
    <m/>
    <m/>
  </r>
  <r>
    <s v="C003023"/>
    <x v="279"/>
    <s v="Nyamirambo"/>
    <s v="Nyarugenge"/>
    <x v="1"/>
    <x v="9"/>
    <s v="Standard"/>
    <x v="0"/>
    <x v="5"/>
    <n v="10"/>
    <s v="FIBER VPN 10MBPS"/>
    <m/>
    <n v="1"/>
    <n v="620000"/>
    <n v="620000"/>
    <s v="Monthly"/>
    <d v="2024-09-17T00:00:00"/>
    <x v="4"/>
    <x v="4"/>
    <n v="-438"/>
    <x v="1"/>
    <x v="0"/>
    <s v="Patrick Ntwali"/>
    <s v="patrick.ntwali@imbank.co.rw "/>
    <s v="0788300147"/>
    <m/>
    <m/>
    <m/>
  </r>
  <r>
    <s v="C003023"/>
    <x v="279"/>
    <s v="Kacyiru "/>
    <s v="Gasabo"/>
    <x v="1"/>
    <x v="9"/>
    <s v="Standard"/>
    <x v="0"/>
    <x v="5"/>
    <n v="30"/>
    <s v="FIBER INTERNET 30MBPS"/>
    <m/>
    <n v="1"/>
    <n v="1170000"/>
    <n v="1170000"/>
    <s v="Monthly"/>
    <d v="2024-09-17T00:00:00"/>
    <x v="4"/>
    <x v="4"/>
    <n v="-438"/>
    <x v="1"/>
    <x v="0"/>
    <s v="Patrick Ntwali"/>
    <s v="patrick.ntwali@imbank.co.rw "/>
    <s v="0788300147"/>
    <m/>
    <m/>
    <m/>
  </r>
  <r>
    <s v="C003023"/>
    <x v="279"/>
    <s v="Kacyiru "/>
    <s v="Gasabo"/>
    <x v="1"/>
    <x v="9"/>
    <s v="Standard"/>
    <x v="0"/>
    <x v="5"/>
    <n v="30"/>
    <s v="FIBER INTERNET 30MBPS"/>
    <m/>
    <n v="1"/>
    <n v="1170000"/>
    <n v="1170000"/>
    <s v="Monthly"/>
    <d v="2024-09-17T00:00:00"/>
    <x v="4"/>
    <x v="4"/>
    <n v="-438"/>
    <x v="1"/>
    <x v="0"/>
    <s v="Patrick Ntwali"/>
    <s v="patrick.ntwali@imbank.co.rw "/>
    <s v="0788300147"/>
    <m/>
    <m/>
    <m/>
  </r>
  <r>
    <s v="C002229"/>
    <x v="280"/>
    <s v="CCM-GLOBAL MAIN BRANCH"/>
    <s v="Gasabo"/>
    <x v="1"/>
    <x v="6"/>
    <s v="Standard"/>
    <x v="0"/>
    <x v="6"/>
    <m/>
    <s v="4G ONE NETWORK 3MBPS"/>
    <m/>
    <n v="3"/>
    <n v="81355.932203389835"/>
    <n v="244067.79661016952"/>
    <s v="Monthly"/>
    <d v="2024-09-19T00:00:00"/>
    <x v="4"/>
    <x v="4"/>
    <n v="-440"/>
    <x v="1"/>
    <x v="6"/>
    <s v="MICHEL"/>
    <s v="mtmichel2001@gmail.com"/>
    <n v="788522812"/>
    <m/>
    <m/>
    <m/>
  </r>
  <r>
    <s v="C000046"/>
    <x v="281"/>
    <s v="AFRICA RISING CYCLING CENTER"/>
    <s v="Musanze"/>
    <x v="0"/>
    <x v="0"/>
    <s v="Standard"/>
    <x v="0"/>
    <x v="0"/>
    <n v="1"/>
    <s v="FIBER VPN 1MBPS "/>
    <m/>
    <n v="1"/>
    <n v="90000"/>
    <n v="90000"/>
    <s v="Monthly"/>
    <d v="2024-09-30T00:00:00"/>
    <x v="4"/>
    <x v="4"/>
    <n v="-451"/>
    <x v="1"/>
    <x v="5"/>
    <s v="Ruben"/>
    <s v="rubenhaba6@gmail.com"/>
    <n v="788878262"/>
    <m/>
    <m/>
    <m/>
  </r>
  <r>
    <s v="C000313"/>
    <x v="282"/>
    <s v="BRD HQ"/>
    <s v="Nyarugenge"/>
    <x v="0"/>
    <x v="12"/>
    <s v="Standard"/>
    <x v="0"/>
    <x v="0"/>
    <n v="5"/>
    <s v="Fiber VPN 5MBPS"/>
    <m/>
    <n v="1"/>
    <n v="270000"/>
    <n v="270000"/>
    <s v="Monthly"/>
    <d v="2024-09-30T00:00:00"/>
    <x v="4"/>
    <x v="4"/>
    <n v="-451"/>
    <x v="1"/>
    <x v="5"/>
    <s v="Irenee Mugunga"/>
    <s v="i.mugunga@brd.rw"/>
    <n v="785756170"/>
    <m/>
    <m/>
    <m/>
  </r>
  <r>
    <s v="C000313"/>
    <x v="282"/>
    <s v="BRD DR 2nd Link"/>
    <s v="Nyarugenge"/>
    <x v="0"/>
    <x v="12"/>
    <s v="Standard"/>
    <x v="0"/>
    <x v="0"/>
    <n v="30"/>
    <s v="Fiber VPN 30MBPS"/>
    <m/>
    <n v="1"/>
    <n v="1260000"/>
    <n v="1260000"/>
    <s v="Monthly"/>
    <d v="2024-09-30T00:00:00"/>
    <x v="4"/>
    <x v="4"/>
    <n v="-451"/>
    <x v="1"/>
    <x v="5"/>
    <s v="Irenee Mugunga"/>
    <s v="i.mugunga@brd.rw"/>
    <n v="785756170"/>
    <m/>
    <m/>
    <m/>
  </r>
  <r>
    <s v="C000313"/>
    <x v="282"/>
    <s v="BRD HQ"/>
    <s v="Nyarugenge"/>
    <x v="0"/>
    <x v="12"/>
    <s v="Standard"/>
    <x v="0"/>
    <x v="0"/>
    <n v="50"/>
    <s v="Fiber VPN 50MBPS"/>
    <m/>
    <n v="1"/>
    <n v="1800000"/>
    <n v="1800000"/>
    <s v="Monthly"/>
    <d v="2024-09-30T00:00:00"/>
    <x v="4"/>
    <x v="4"/>
    <n v="-451"/>
    <x v="1"/>
    <x v="5"/>
    <s v="Irenee Mugunga"/>
    <s v="i.mugunga@brd.rw"/>
    <n v="785756170"/>
    <m/>
    <m/>
    <m/>
  </r>
  <r>
    <s v="C000313"/>
    <x v="282"/>
    <s v="BRD HQ"/>
    <s v="Nyarugenge"/>
    <x v="0"/>
    <x v="12"/>
    <s v="Standard"/>
    <x v="0"/>
    <x v="6"/>
    <m/>
    <s v="4G MUP 1GB/DAY"/>
    <m/>
    <n v="1"/>
    <n v="19491.53"/>
    <n v="19491.53"/>
    <s v="Monthly"/>
    <d v="2024-09-30T00:00:00"/>
    <x v="4"/>
    <x v="4"/>
    <n v="-451"/>
    <x v="1"/>
    <x v="5"/>
    <s v="Irenee Mugunga"/>
    <s v="i.mugunga@brd.rw"/>
    <n v="785756170"/>
    <m/>
    <m/>
    <m/>
  </r>
  <r>
    <s v="C000313"/>
    <x v="282"/>
    <s v="BRD"/>
    <s v="Nyarugenge"/>
    <x v="0"/>
    <x v="12"/>
    <s v="Standard"/>
    <x v="0"/>
    <x v="6"/>
    <m/>
    <s v="4G MUP 3GB/DAY"/>
    <m/>
    <n v="1"/>
    <n v="54237.288136000003"/>
    <n v="54237.288136000003"/>
    <s v="Monthly"/>
    <d v="2024-09-30T00:00:00"/>
    <x v="4"/>
    <x v="4"/>
    <n v="-451"/>
    <x v="1"/>
    <x v="5"/>
    <s v="Irenee Mugunga"/>
    <s v="i.mugunga@brd.rw"/>
    <n v="785756170"/>
    <m/>
    <m/>
    <m/>
  </r>
  <r>
    <s v="C000449"/>
    <x v="283"/>
    <s v="HQ"/>
    <s v="Gasabo"/>
    <x v="1"/>
    <x v="10"/>
    <s v="Standard"/>
    <x v="1"/>
    <x v="5"/>
    <n v="40"/>
    <s v="FIBER INTERNET 40MBPS"/>
    <m/>
    <n v="1"/>
    <n v="1606500"/>
    <n v="1606500"/>
    <s v="Monthly"/>
    <d v="2024-09-30T00:00:00"/>
    <x v="4"/>
    <x v="4"/>
    <n v="-451"/>
    <x v="1"/>
    <x v="0"/>
    <s v="Didier Mbonyumugenzi"/>
    <s v="JMbonyumugenzi@rw.ci.org"/>
    <s v="0788300884"/>
    <m/>
    <m/>
    <m/>
  </r>
  <r>
    <s v="C001211"/>
    <x v="284"/>
    <s v="KIZIGURO SS"/>
    <s v="Kayonza"/>
    <x v="0"/>
    <x v="4"/>
    <s v="Standard"/>
    <x v="0"/>
    <x v="0"/>
    <n v="1"/>
    <s v="fiber vpn 1mbps"/>
    <m/>
    <n v="1"/>
    <n v="90000"/>
    <n v="90000"/>
    <s v="Monthly"/>
    <d v="2024-09-30T00:00:00"/>
    <x v="4"/>
    <x v="4"/>
    <n v="-451"/>
    <x v="1"/>
    <x v="4"/>
    <s v="Casimir"/>
    <s v="casimir1958@yahoo.com/karegeya08@yahoo.fr"/>
    <s v="0781411198/788870348"/>
    <m/>
    <m/>
    <m/>
  </r>
  <r>
    <s v="C001527"/>
    <x v="235"/>
    <s v="MUHIMA HOSPITAL"/>
    <s v="Nyarugenge"/>
    <x v="0"/>
    <x v="6"/>
    <s v="Standard"/>
    <x v="0"/>
    <x v="0"/>
    <n v="10"/>
    <s v="FIBER VPN 10MBPS"/>
    <m/>
    <n v="1"/>
    <n v="510000"/>
    <n v="510000"/>
    <s v="Monthly"/>
    <d v="2024-09-30T00:00:00"/>
    <x v="4"/>
    <x v="4"/>
    <n v="-451"/>
    <x v="1"/>
    <x v="6"/>
    <s v="NKUNDIMANA Xavier"/>
    <s v="muhima.hospital@moh.gov.rw"/>
    <n v="786615217"/>
    <m/>
    <m/>
    <m/>
  </r>
  <r>
    <s v="C001689"/>
    <x v="249"/>
    <s v="HQ"/>
    <s v="Gasabo"/>
    <x v="0"/>
    <x v="0"/>
    <s v="Standard"/>
    <x v="0"/>
    <x v="0"/>
    <n v="15"/>
    <s v="FIBER VPN 15MBPS"/>
    <m/>
    <n v="1"/>
    <n v="720000"/>
    <n v="720000"/>
    <s v="Monthly"/>
    <d v="2024-09-30T00:00:00"/>
    <x v="4"/>
    <x v="4"/>
    <n v="-451"/>
    <x v="1"/>
    <x v="7"/>
    <s v="Claude Busogi"/>
    <s v="cbusogi@nec.gov.rw"/>
    <n v="788699349"/>
    <m/>
    <m/>
    <m/>
  </r>
  <r>
    <s v="C002165"/>
    <x v="285"/>
    <s v="HQ"/>
    <s v="Rulindo"/>
    <x v="0"/>
    <x v="0"/>
    <s v="Standard"/>
    <x v="0"/>
    <x v="0"/>
    <n v="3"/>
    <s v="FIBER VPN 3MBPS"/>
    <m/>
    <n v="1"/>
    <n v="180000"/>
    <n v="180000"/>
    <s v="Monthly"/>
    <d v="2024-09-30T00:00:00"/>
    <x v="4"/>
    <x v="4"/>
    <n v="-451"/>
    <x v="1"/>
    <x v="5"/>
    <s v="GASTON"/>
    <s v="gnteziyaremye@rulindo.gov.rw"/>
    <n v="788783448"/>
    <m/>
    <m/>
    <m/>
  </r>
  <r>
    <s v="C002165"/>
    <x v="285"/>
    <s v="HQ"/>
    <s v="Rulindo"/>
    <x v="0"/>
    <x v="0"/>
    <s v="Standard"/>
    <x v="0"/>
    <x v="0"/>
    <n v="10"/>
    <s v="FIBER VPN 10MBPS"/>
    <m/>
    <n v="1"/>
    <n v="510000"/>
    <n v="510000"/>
    <s v="Monthly"/>
    <d v="2024-09-30T00:00:00"/>
    <x v="4"/>
    <x v="4"/>
    <n v="-451"/>
    <x v="1"/>
    <x v="5"/>
    <s v="GASTON"/>
    <s v="gnteziyaremye@rulindo.gov.rw"/>
    <n v="788783448"/>
    <m/>
    <m/>
    <m/>
  </r>
  <r>
    <s v="C002165"/>
    <x v="285"/>
    <s v="CELL"/>
    <s v="Rulindo"/>
    <x v="0"/>
    <x v="0"/>
    <s v="Standard"/>
    <x v="0"/>
    <x v="6"/>
    <m/>
    <s v=" 4G MUP 4GB/DAY "/>
    <m/>
    <n v="1"/>
    <n v="45338.98"/>
    <n v="45338.98"/>
    <s v="Monthly"/>
    <d v="2024-09-30T00:00:00"/>
    <x v="4"/>
    <x v="4"/>
    <n v="-451"/>
    <x v="1"/>
    <x v="5"/>
    <s v="GASTON"/>
    <s v="gnteziyaremye@rulindo.gov.rw"/>
    <n v="788783448"/>
    <m/>
    <m/>
    <m/>
  </r>
  <r>
    <s v="C002165"/>
    <x v="285"/>
    <s v="HQ"/>
    <s v="Rulindo"/>
    <x v="0"/>
    <x v="0"/>
    <s v="Standard"/>
    <x v="3"/>
    <x v="7"/>
    <m/>
    <s v="MSS GOLD"/>
    <m/>
    <n v="1"/>
    <n v="369325.42"/>
    <n v="369325.42"/>
    <s v="Monthly"/>
    <d v="2024-09-30T00:00:00"/>
    <x v="4"/>
    <x v="4"/>
    <n v="-451"/>
    <x v="1"/>
    <x v="5"/>
    <s v="GASTON"/>
    <s v="gnteziyaremye@rulindo.gov.rw"/>
    <n v="788783448"/>
    <m/>
    <m/>
    <m/>
  </r>
  <r>
    <s v="C002165"/>
    <x v="285"/>
    <s v="HQ"/>
    <s v="Rulindo"/>
    <x v="0"/>
    <x v="0"/>
    <s v="Standard"/>
    <x v="1"/>
    <x v="10"/>
    <m/>
    <s v="VIDEO CONFERENCE"/>
    <m/>
    <n v="1"/>
    <n v="258044.92"/>
    <n v="258044.92"/>
    <s v="Monthly"/>
    <d v="2024-09-30T00:00:00"/>
    <x v="4"/>
    <x v="4"/>
    <n v="-451"/>
    <x v="1"/>
    <x v="5"/>
    <s v="GASTON"/>
    <s v="gnteziyaremye@rulindo.gov.rw"/>
    <n v="788783448"/>
    <m/>
    <m/>
    <m/>
  </r>
  <r>
    <s v="C002165"/>
    <x v="285"/>
    <s v="CELL"/>
    <s v="Rulindo"/>
    <x v="0"/>
    <x v="0"/>
    <s v="Standard"/>
    <x v="0"/>
    <x v="6"/>
    <m/>
    <s v="4G MUP 8GB/DAY"/>
    <m/>
    <n v="9"/>
    <n v="77711.86"/>
    <n v="699406.74"/>
    <s v="Monthly"/>
    <d v="2024-09-30T00:00:00"/>
    <x v="4"/>
    <x v="4"/>
    <n v="-451"/>
    <x v="1"/>
    <x v="5"/>
    <s v="GASTON"/>
    <s v="gnteziyaremye@rulindo.gov.rw"/>
    <n v="788783448"/>
    <m/>
    <m/>
    <m/>
  </r>
  <r>
    <s v="C002165"/>
    <x v="285"/>
    <s v="CELL"/>
    <s v="Rulindo"/>
    <x v="0"/>
    <x v="0"/>
    <s v="Standard"/>
    <x v="0"/>
    <x v="6"/>
    <m/>
    <s v="4G MUP 8GB/DAY"/>
    <m/>
    <n v="10"/>
    <n v="77711.86"/>
    <n v="777118.6"/>
    <s v="Monthly"/>
    <d v="2024-09-30T00:00:00"/>
    <x v="4"/>
    <x v="4"/>
    <n v="-451"/>
    <x v="1"/>
    <x v="5"/>
    <s v="GASTON"/>
    <s v="gnteziyaremye@rulindo.gov.rw"/>
    <n v="788783448"/>
    <m/>
    <m/>
    <m/>
  </r>
  <r>
    <s v="C002165"/>
    <x v="285"/>
    <s v="CELL"/>
    <s v="Rulindo"/>
    <x v="0"/>
    <x v="0"/>
    <s v="Standard"/>
    <x v="0"/>
    <x v="6"/>
    <m/>
    <s v="4G MUP 1GB/DAY"/>
    <m/>
    <n v="10"/>
    <n v="19491.53"/>
    <n v="194915.3"/>
    <s v="Monthly"/>
    <d v="2024-09-30T00:00:00"/>
    <x v="4"/>
    <x v="4"/>
    <n v="-451"/>
    <x v="1"/>
    <x v="5"/>
    <s v="GASTON"/>
    <s v="gnteziyaremye@rulindo.gov.rw"/>
    <n v="788783448"/>
    <m/>
    <m/>
    <m/>
  </r>
  <r>
    <s v="C002165"/>
    <x v="285"/>
    <s v="CELL"/>
    <s v="Rulindo"/>
    <x v="0"/>
    <x v="0"/>
    <s v="Standard"/>
    <x v="0"/>
    <x v="6"/>
    <m/>
    <s v="4G MUP 2GB/DAY"/>
    <m/>
    <n v="39"/>
    <n v="28305.08"/>
    <n v="1103898.1200000001"/>
    <s v="Monthly"/>
    <d v="2024-09-30T00:00:00"/>
    <x v="4"/>
    <x v="4"/>
    <n v="-451"/>
    <x v="1"/>
    <x v="5"/>
    <s v="GASTON"/>
    <s v="gnteziyaremye@rulindo.gov.rw"/>
    <n v="788783448"/>
    <m/>
    <m/>
    <m/>
  </r>
  <r>
    <s v="C002165"/>
    <x v="285"/>
    <s v="CELL"/>
    <s v="Rulindo"/>
    <x v="0"/>
    <x v="0"/>
    <s v="Standard"/>
    <x v="0"/>
    <x v="6"/>
    <m/>
    <s v="4G MUP 2GB/DAY"/>
    <m/>
    <n v="40"/>
    <n v="28305.08"/>
    <n v="1132203.2000000002"/>
    <s v="Monthly"/>
    <d v="2024-09-30T00:00:00"/>
    <x v="4"/>
    <x v="4"/>
    <n v="-451"/>
    <x v="1"/>
    <x v="5"/>
    <s v="GASTON"/>
    <s v="gnteziyaremye@rulindo.gov.rw"/>
    <n v="788783448"/>
    <m/>
    <m/>
    <m/>
  </r>
  <r>
    <s v="C004162"/>
    <x v="286"/>
    <s v="Polyclinique du Plateau."/>
    <s v="Gasabo"/>
    <x v="1"/>
    <x v="6"/>
    <s v="Standard"/>
    <x v="1"/>
    <x v="5"/>
    <n v="10"/>
    <s v="FIBER INTERNET 10MBPS"/>
    <m/>
    <n v="1"/>
    <n v="510000"/>
    <n v="510000"/>
    <s v="Monthly"/>
    <d v="2024-10-04T00:00:00"/>
    <x v="12"/>
    <x v="4"/>
    <n v="-455"/>
    <x v="1"/>
    <x v="2"/>
    <s v="Benjamin Mulinzi"/>
    <s v="plateaupcp@gmail.com "/>
    <s v="0788-505-234"/>
    <m/>
    <m/>
    <m/>
  </r>
  <r>
    <s v="C000635"/>
    <x v="287"/>
    <s v="HQ"/>
    <s v="Gasabo"/>
    <x v="0"/>
    <x v="3"/>
    <s v="Standard"/>
    <x v="0"/>
    <x v="6"/>
    <m/>
    <s v="4G MUP 2GB/DAY"/>
    <m/>
    <n v="2"/>
    <n v="28305.084746"/>
    <n v="56610.169492000001"/>
    <s v="Monthly"/>
    <d v="2024-10-19T00:00:00"/>
    <x v="12"/>
    <x v="4"/>
    <n v="-470"/>
    <x v="1"/>
    <x v="3"/>
    <s v="Mutesa"/>
    <s v="mutesajacques@yahoo.com"/>
    <s v="0788-807-299"/>
    <m/>
    <m/>
    <m/>
  </r>
  <r>
    <s v="C000635"/>
    <x v="287"/>
    <s v="HQ"/>
    <s v="Gasabo"/>
    <x v="0"/>
    <x v="3"/>
    <s v="Standard"/>
    <x v="0"/>
    <x v="6"/>
    <m/>
    <s v="4G MUP 4GB/DAY"/>
    <m/>
    <n v="9"/>
    <n v="45338.983051000003"/>
    <n v="408050.84745900001"/>
    <s v="Monthly"/>
    <d v="2024-10-19T00:00:00"/>
    <x v="12"/>
    <x v="4"/>
    <n v="-470"/>
    <x v="1"/>
    <x v="3"/>
    <s v="Mutesa"/>
    <s v="mutesajacques@yahoo.com"/>
    <s v="0788-807-299"/>
    <m/>
    <m/>
    <m/>
  </r>
  <r>
    <s v="C000635"/>
    <x v="287"/>
    <s v="HQ"/>
    <s v="Gasabo"/>
    <x v="0"/>
    <x v="3"/>
    <s v="Standard"/>
    <x v="0"/>
    <x v="6"/>
    <m/>
    <s v="4G MUP 1GB/DAY"/>
    <m/>
    <n v="14"/>
    <n v="19491.525423999999"/>
    <n v="272881.35593600001"/>
    <s v="Monthly"/>
    <d v="2024-10-19T00:00:00"/>
    <x v="12"/>
    <x v="4"/>
    <n v="-470"/>
    <x v="1"/>
    <x v="3"/>
    <s v="Mutesa"/>
    <s v="mutesajacques@yahoo.com"/>
    <s v="0788-807-299"/>
    <m/>
    <m/>
    <m/>
  </r>
  <r>
    <s v="C002481"/>
    <x v="288"/>
    <s v="RWANDA TELECENTER NETWORK"/>
    <s v="Bugesera"/>
    <x v="1"/>
    <x v="1"/>
    <s v="VIP"/>
    <x v="1"/>
    <x v="1"/>
    <m/>
    <s v="Cloud 2vCPU. 4GB RAM. 200GB Storage"/>
    <m/>
    <n v="4"/>
    <n v="53563"/>
    <n v="214252"/>
    <s v="Monthly"/>
    <d v="2024-10-21T00:00:00"/>
    <x v="12"/>
    <x v="4"/>
    <n v="-472"/>
    <x v="1"/>
    <x v="2"/>
    <s v="Oliver Heinen"/>
    <s v="oliver.heinen@posteo.de"/>
    <s v="0788352325"/>
    <m/>
    <m/>
    <m/>
  </r>
  <r>
    <s v="C003665"/>
    <x v="289"/>
    <s v="BELECOM LTD"/>
    <s v="Kicukiro"/>
    <x v="1"/>
    <x v="1"/>
    <s v="Standard"/>
    <x v="1"/>
    <x v="1"/>
    <m/>
    <s v="cloud"/>
    <m/>
    <n v="1"/>
    <n v="61594.33"/>
    <n v="61594.33"/>
    <s v="Monthly"/>
    <d v="2024-10-27T00:00:00"/>
    <x v="12"/>
    <x v="4"/>
    <n v="-478"/>
    <x v="1"/>
    <x v="2"/>
    <s v="GAPITENE Bonaventure"/>
    <s v="GAPITENE Bonaventure belecomsarl@gmail.com"/>
    <s v="0783-271-311"/>
    <m/>
    <m/>
    <m/>
  </r>
  <r>
    <s v="C000739"/>
    <x v="290"/>
    <s v="HQ"/>
    <s v="Nyarugenge"/>
    <x v="0"/>
    <x v="0"/>
    <s v="Standard"/>
    <x v="0"/>
    <x v="6"/>
    <m/>
    <s v="4G ONE NETWORK 5MBPS"/>
    <m/>
    <n v="1"/>
    <n v="101694.92"/>
    <n v="101694.92"/>
    <s v="Monthly"/>
    <d v="2024-10-30T00:00:00"/>
    <x v="12"/>
    <x v="4"/>
    <n v="-481"/>
    <x v="1"/>
    <x v="0"/>
    <s v="Iyamuremye Francois"/>
    <s v="gatsatasector@yahoo.com"/>
    <s v="0788203319"/>
    <m/>
    <m/>
    <m/>
  </r>
  <r>
    <s v="C000739"/>
    <x v="290"/>
    <s v="HQ"/>
    <s v="Nyarugenge"/>
    <x v="0"/>
    <x v="0"/>
    <s v="Standard"/>
    <x v="0"/>
    <x v="6"/>
    <m/>
    <s v="4G ONE NETWORK 3MBPS"/>
    <m/>
    <n v="3"/>
    <n v="81355.932203389835"/>
    <n v="244067.79661016952"/>
    <s v="Monthly"/>
    <d v="2024-10-30T00:00:00"/>
    <x v="12"/>
    <x v="4"/>
    <n v="-481"/>
    <x v="1"/>
    <x v="0"/>
    <s v="Iyamuremye Francois"/>
    <s v="gatsatasector@yahoo.com"/>
    <s v="0788203319"/>
    <m/>
    <m/>
    <m/>
  </r>
  <r>
    <s v="C000739"/>
    <x v="290"/>
    <s v="HQ"/>
    <s v="Nyarugenge"/>
    <x v="0"/>
    <x v="0"/>
    <s v="Standard"/>
    <x v="0"/>
    <x v="6"/>
    <m/>
    <s v="4G MUP 2GB/DAY"/>
    <m/>
    <n v="5"/>
    <n v="28305.08"/>
    <n v="141525.40000000002"/>
    <s v="Monthly"/>
    <d v="2024-10-30T00:00:00"/>
    <x v="12"/>
    <x v="4"/>
    <n v="-481"/>
    <x v="1"/>
    <x v="0"/>
    <s v="Iyamuremye Francois"/>
    <s v="gatsatasector@yahoo.com"/>
    <s v="0788203319"/>
    <m/>
    <m/>
    <m/>
  </r>
  <r>
    <s v="C000627"/>
    <x v="291"/>
    <s v="ES NYAMIRAMA"/>
    <s v="Kayonza"/>
    <x v="0"/>
    <x v="4"/>
    <s v="Standard"/>
    <x v="0"/>
    <x v="0"/>
    <n v="1"/>
    <s v="fiber vpn 1mbps"/>
    <m/>
    <n v="1"/>
    <n v="90000"/>
    <n v="90000"/>
    <s v="Monthly"/>
    <d v="2024-10-31T00:00:00"/>
    <x v="12"/>
    <x v="4"/>
    <n v="-482"/>
    <x v="1"/>
    <x v="4"/>
    <s v="Michel"/>
    <s v="michelmuvange@yahoo.fr;esnyamirama@yahoo.co.uk"/>
    <n v="788440262"/>
    <m/>
    <m/>
    <m/>
  </r>
  <r>
    <s v="C001404"/>
    <x v="292"/>
    <s v="Addid Abbab - Vsat Link."/>
    <s v="Ethiopia"/>
    <x v="0"/>
    <x v="13"/>
    <s v="Standard"/>
    <x v="1"/>
    <x v="8"/>
    <n v="8"/>
    <s v="VSAT Internet 8Mbps"/>
    <m/>
    <n v="1"/>
    <n v="5926000"/>
    <n v="5926000"/>
    <s v="Monthly"/>
    <d v="2024-10-31T00:00:00"/>
    <x v="12"/>
    <x v="4"/>
    <n v="-482"/>
    <x v="1"/>
    <x v="2"/>
    <s v="Eric Ngabo"/>
    <s v="engabo@minaffet.gov.rw"/>
    <s v="0787-3549-68"/>
    <m/>
    <m/>
    <m/>
  </r>
  <r>
    <s v="C001404"/>
    <x v="292"/>
    <s v="MINAFFET -Ministry HQ"/>
    <s v="Gasabo"/>
    <x v="0"/>
    <x v="0"/>
    <s v="Standard"/>
    <x v="0"/>
    <x v="0"/>
    <n v="10"/>
    <s v="FIBER VPN 10MBPS"/>
    <m/>
    <n v="1"/>
    <n v="510000"/>
    <n v="510000"/>
    <s v="Monthly"/>
    <d v="2024-10-31T00:00:00"/>
    <x v="12"/>
    <x v="4"/>
    <n v="-482"/>
    <x v="1"/>
    <x v="2"/>
    <s v="Eric Ngabo"/>
    <s v="engabo@minaffet.gov.rw"/>
    <s v="0787-3549-56"/>
    <m/>
    <m/>
    <m/>
  </r>
  <r>
    <s v="C001404"/>
    <x v="292"/>
    <s v="MINAFFET -Ministry HQ"/>
    <s v="Gasabo"/>
    <x v="0"/>
    <x v="0"/>
    <s v="Standard"/>
    <x v="0"/>
    <x v="0"/>
    <n v="30"/>
    <s v="FIBER VPN 30MBPS"/>
    <m/>
    <n v="1"/>
    <n v="1260000"/>
    <n v="1260000"/>
    <s v="Monthly"/>
    <d v="2024-10-31T00:00:00"/>
    <x v="12"/>
    <x v="4"/>
    <n v="-482"/>
    <x v="1"/>
    <x v="2"/>
    <s v="Eric Ngabo"/>
    <s v="engabo@minaffet.gov.rw"/>
    <s v="0787-3549-55"/>
    <m/>
    <m/>
    <m/>
  </r>
  <r>
    <s v="C001404"/>
    <x v="292"/>
    <s v="MINAFFET -Ministry HQ"/>
    <s v="Gasabo"/>
    <x v="0"/>
    <x v="0"/>
    <s v="Standard"/>
    <x v="1"/>
    <x v="3"/>
    <m/>
    <s v="VoIP PHONES 1 - 20"/>
    <m/>
    <n v="1"/>
    <n v="60000"/>
    <n v="60000"/>
    <s v="Monthly"/>
    <d v="2024-10-31T00:00:00"/>
    <x v="12"/>
    <x v="4"/>
    <n v="-482"/>
    <x v="1"/>
    <x v="2"/>
    <s v="Eric Ngabo"/>
    <s v="engabo@minaffet.gov.rw"/>
    <s v="0787-3549-57"/>
    <m/>
    <m/>
    <m/>
  </r>
  <r>
    <s v="C001404"/>
    <x v="292"/>
    <s v="MINAFFET -Ministry HQ"/>
    <s v="Gasabo"/>
    <x v="0"/>
    <x v="0"/>
    <s v="Standard"/>
    <x v="1"/>
    <x v="3"/>
    <m/>
    <s v="VOIP TRUNK GATEWAY"/>
    <m/>
    <n v="1"/>
    <n v="100500"/>
    <n v="100500"/>
    <s v="Monthly"/>
    <d v="2024-10-31T00:00:00"/>
    <x v="12"/>
    <x v="4"/>
    <n v="-482"/>
    <x v="1"/>
    <x v="2"/>
    <s v="Eric Ngabo"/>
    <s v="engabo@minaffet.gov.rw"/>
    <s v="0787-3549-58"/>
    <m/>
    <m/>
    <m/>
  </r>
  <r>
    <s v="C001404"/>
    <x v="292"/>
    <s v="MINAFFET -Ministry HQ"/>
    <s v="Gasabo"/>
    <x v="0"/>
    <x v="0"/>
    <s v="Standard"/>
    <x v="3"/>
    <x v="7"/>
    <m/>
    <s v="MSS PLATINUM"/>
    <m/>
    <n v="1"/>
    <n v="1478575"/>
    <n v="1478575"/>
    <s v="Monthly"/>
    <d v="2024-10-31T00:00:00"/>
    <x v="12"/>
    <x v="4"/>
    <n v="-482"/>
    <x v="1"/>
    <x v="2"/>
    <s v="Eric Ngabo"/>
    <s v="engabo@minaffet.gov.rw"/>
    <s v="0787-3549-59"/>
    <m/>
    <m/>
    <m/>
  </r>
  <r>
    <s v="C001404"/>
    <x v="292"/>
    <s v="MINAFFET -Ministry HQ"/>
    <s v="Gasabo"/>
    <x v="0"/>
    <x v="0"/>
    <s v="Standard"/>
    <x v="1"/>
    <x v="10"/>
    <m/>
    <s v="VIDEO CONFERENCE"/>
    <m/>
    <n v="1"/>
    <n v="258044.92"/>
    <n v="258044.92"/>
    <s v="Monthly"/>
    <d v="2024-10-31T00:00:00"/>
    <x v="12"/>
    <x v="4"/>
    <n v="-482"/>
    <x v="1"/>
    <x v="2"/>
    <s v="Eric Ngabo"/>
    <s v="engabo@minaffet.gov.rw"/>
    <s v="0787-3549-69"/>
    <m/>
    <m/>
    <m/>
  </r>
  <r>
    <s v="C001404"/>
    <x v="292"/>
    <s v="MINAFFET -Ministry HQ"/>
    <s v="Gasabo"/>
    <x v="0"/>
    <x v="0"/>
    <s v="Standard"/>
    <x v="0"/>
    <x v="6"/>
    <m/>
    <s v=" 4G MUP 4GB/DAY "/>
    <m/>
    <n v="4"/>
    <n v="45338.98"/>
    <n v="181355.92"/>
    <s v="Monthly"/>
    <d v="2024-10-31T00:00:00"/>
    <x v="12"/>
    <x v="4"/>
    <n v="-482"/>
    <x v="1"/>
    <x v="2"/>
    <s v="Eric Ngabo"/>
    <s v="engabo@minaffet.gov.rw"/>
    <s v="0787-3549-62"/>
    <m/>
    <m/>
    <m/>
  </r>
  <r>
    <s v="C001404"/>
    <x v="292"/>
    <s v="MINAFFET -Ministry HQ"/>
    <s v="Gasabo"/>
    <x v="0"/>
    <x v="0"/>
    <s v="Standard"/>
    <x v="0"/>
    <x v="6"/>
    <m/>
    <s v="4G MUP 2GB/DAY"/>
    <m/>
    <n v="26"/>
    <n v="28305.08"/>
    <n v="735932.08000000007"/>
    <s v="Monthly"/>
    <d v="2024-10-31T00:00:00"/>
    <x v="12"/>
    <x v="4"/>
    <n v="-482"/>
    <x v="1"/>
    <x v="2"/>
    <s v="Eric Ngabo"/>
    <s v="engabo@minaffet.gov.rw"/>
    <s v="0787-3549-61"/>
    <m/>
    <m/>
    <m/>
  </r>
  <r>
    <s v="C001838"/>
    <x v="293"/>
    <s v="HQ"/>
    <s v="Nyarugenge"/>
    <x v="0"/>
    <x v="6"/>
    <s v="Standard"/>
    <x v="0"/>
    <x v="0"/>
    <n v="10"/>
    <s v="FIBER VPN 10MBPS"/>
    <m/>
    <n v="1"/>
    <n v="510000"/>
    <n v="510000"/>
    <s v="Monthly"/>
    <d v="2024-10-31T00:00:00"/>
    <x v="12"/>
    <x v="4"/>
    <n v="-482"/>
    <x v="1"/>
    <x v="0"/>
    <s v="Dr Deborah Abimana"/>
    <s v="aderamia12@gmail.com "/>
    <s v="0788897890"/>
    <m/>
    <m/>
    <m/>
  </r>
  <r>
    <s v="C002797"/>
    <x v="294"/>
    <s v="HQ"/>
    <s v="Gasabo"/>
    <x v="0"/>
    <x v="13"/>
    <s v="VIP"/>
    <x v="0"/>
    <x v="0"/>
    <n v="10"/>
    <s v="FIBER INTERNET 10MBPS GOV"/>
    <m/>
    <n v="1"/>
    <n v="510000"/>
    <n v="510000"/>
    <s v="Monthly"/>
    <d v="2024-10-31T00:00:00"/>
    <x v="12"/>
    <x v="4"/>
    <n v="-482"/>
    <x v="1"/>
    <x v="7"/>
    <s v="Tulay Bag"/>
    <s v="embassy.kigali@mfa.gov.tr"/>
    <n v="784678900"/>
    <m/>
    <m/>
    <m/>
  </r>
  <r>
    <s v="C001164"/>
    <x v="295"/>
    <s v="HQ"/>
    <s v="Gasabo"/>
    <x v="1"/>
    <x v="2"/>
    <s v="Standard"/>
    <x v="0"/>
    <x v="5"/>
    <n v="3"/>
    <s v="Fiber Broadband Internet 3Mbps"/>
    <m/>
    <n v="1"/>
    <n v="180000"/>
    <n v="180000"/>
    <s v="Monthly"/>
    <d v="2024-11-01T00:00:00"/>
    <x v="5"/>
    <x v="4"/>
    <n v="-483"/>
    <x v="1"/>
    <x v="0"/>
    <s v="Victor Mugabe"/>
    <s v="victor.mugabe@kiac.org.rw "/>
    <s v="0788411782"/>
    <m/>
    <m/>
    <m/>
  </r>
  <r>
    <s v="C002289"/>
    <x v="40"/>
    <s v="RFL HQ."/>
    <s v="Gasabo"/>
    <x v="0"/>
    <x v="3"/>
    <s v="Standard"/>
    <x v="3"/>
    <x v="7"/>
    <m/>
    <s v="MSS GOLD"/>
    <m/>
    <n v="1"/>
    <n v="369325"/>
    <n v="369325"/>
    <s v="Monthly"/>
    <d v="2024-11-03T00:00:00"/>
    <x v="5"/>
    <x v="4"/>
    <n v="-485"/>
    <x v="1"/>
    <x v="2"/>
    <s v="Theobald Bayingana"/>
    <s v="theobard.bayingana@rfl.gov.rw"/>
    <s v="0788-688-466"/>
    <m/>
    <m/>
    <m/>
  </r>
  <r>
    <s v="C000994"/>
    <x v="296"/>
    <s v="IT HANIKA"/>
    <s v="Nyanza"/>
    <x v="1"/>
    <x v="4"/>
    <s v="Standard"/>
    <x v="0"/>
    <x v="5"/>
    <n v="3"/>
    <s v="FIBER VPN 3MBPS"/>
    <m/>
    <n v="1"/>
    <n v="270000"/>
    <n v="270000"/>
    <s v="Monthly"/>
    <d v="2024-11-11T00:00:00"/>
    <x v="5"/>
    <x v="4"/>
    <n v="-493"/>
    <x v="1"/>
    <x v="6"/>
    <s v="NIYITURAGIYE Vedaste"/>
    <s v=" hanikaaip3@gmail.com"/>
    <n v="782285016"/>
    <m/>
    <m/>
    <m/>
  </r>
  <r>
    <s v="C000802"/>
    <x v="297"/>
    <s v="GS DU BON CONSEIL BYUMBA"/>
    <s v="Gicumbi"/>
    <x v="0"/>
    <x v="4"/>
    <s v="Standard"/>
    <x v="0"/>
    <x v="0"/>
    <n v="3"/>
    <s v="FIBER VPN 3MBPS"/>
    <m/>
    <n v="1"/>
    <n v="180000"/>
    <n v="180000"/>
    <s v="Monthly"/>
    <d v="2024-11-30T00:00:00"/>
    <x v="5"/>
    <x v="4"/>
    <n v="-512"/>
    <x v="1"/>
    <x v="6"/>
    <s v="Sr MUKAMANZI Philomene "/>
    <s v="gbonconseil11@yahoo.com"/>
    <n v="783266356"/>
    <m/>
    <m/>
    <m/>
  </r>
  <r>
    <s v="C001119"/>
    <x v="298"/>
    <s v="VPN"/>
    <s v="Karongi"/>
    <x v="0"/>
    <x v="0"/>
    <s v="Standard"/>
    <x v="0"/>
    <x v="0"/>
    <n v="3"/>
    <s v="FIBER VPN 3MBPS"/>
    <m/>
    <n v="1"/>
    <n v="180000"/>
    <n v="180000"/>
    <s v="Monthly"/>
    <d v="2024-11-30T00:00:00"/>
    <x v="5"/>
    <x v="4"/>
    <n v="-512"/>
    <x v="1"/>
    <x v="5"/>
    <s v="Albert Ntabareshya"/>
    <s v=" karongidistrict@karongi.gov.rw"/>
    <n v="788534669"/>
    <m/>
    <m/>
    <m/>
  </r>
  <r>
    <s v="C001119"/>
    <x v="298"/>
    <s v="Karongi HQ"/>
    <s v="Karongi"/>
    <x v="0"/>
    <x v="0"/>
    <s v="Standard"/>
    <x v="0"/>
    <x v="0"/>
    <n v="5"/>
    <s v="FIBER VPN 5MBPS"/>
    <m/>
    <n v="1"/>
    <n v="270000"/>
    <n v="270000"/>
    <s v="Monthly"/>
    <d v="2024-11-30T00:00:00"/>
    <x v="5"/>
    <x v="4"/>
    <n v="-512"/>
    <x v="1"/>
    <x v="5"/>
    <s v="Albert Ntabareshya"/>
    <s v=" karongidistrict@karongi.gov.rw"/>
    <n v="788534669"/>
    <m/>
    <m/>
    <m/>
  </r>
  <r>
    <s v="C001119"/>
    <x v="298"/>
    <s v="Karongi Cell"/>
    <s v="Karongi"/>
    <x v="0"/>
    <x v="0"/>
    <s v="Standard"/>
    <x v="0"/>
    <x v="6"/>
    <m/>
    <s v="4G MUP 2GB/DAY"/>
    <m/>
    <n v="1"/>
    <n v="28305.08"/>
    <n v="28305.08"/>
    <s v="Monthly"/>
    <d v="2024-11-30T00:00:00"/>
    <x v="5"/>
    <x v="4"/>
    <n v="-512"/>
    <x v="1"/>
    <x v="5"/>
    <s v="Albert Ntabareshya"/>
    <s v=" karongidistrict@karongi.gov.rw"/>
    <n v="788534669"/>
    <m/>
    <m/>
    <m/>
  </r>
  <r>
    <s v="C001119"/>
    <x v="298"/>
    <s v="Karongi HQ"/>
    <s v="Karongi"/>
    <x v="0"/>
    <x v="0"/>
    <s v="Standard"/>
    <x v="3"/>
    <x v="7"/>
    <m/>
    <s v="MSS GOLD"/>
    <m/>
    <n v="1"/>
    <n v="369325"/>
    <n v="369325"/>
    <s v="Monthly"/>
    <d v="2024-11-30T00:00:00"/>
    <x v="5"/>
    <x v="4"/>
    <n v="-512"/>
    <x v="1"/>
    <x v="5"/>
    <s v="Albert Ntabareshya"/>
    <s v=" karongidistrict@karongi.gov.rw"/>
    <n v="788534669"/>
    <m/>
    <m/>
    <m/>
  </r>
  <r>
    <s v="C001119"/>
    <x v="298"/>
    <s v="Karongi Cell"/>
    <s v="Karongi"/>
    <x v="0"/>
    <x v="0"/>
    <s v="Standard"/>
    <x v="0"/>
    <x v="6"/>
    <m/>
    <s v="4G MUP 3GB/DAY"/>
    <m/>
    <n v="4"/>
    <n v="54237"/>
    <n v="216948"/>
    <s v="Monthly"/>
    <d v="2024-11-30T00:00:00"/>
    <x v="5"/>
    <x v="4"/>
    <n v="-512"/>
    <x v="1"/>
    <x v="5"/>
    <s v="Albert Ntabareshya"/>
    <s v=" karongidistrict@karongi.gov.rw"/>
    <n v="788534669"/>
    <m/>
    <m/>
    <m/>
  </r>
  <r>
    <s v="C001119"/>
    <x v="298"/>
    <s v="Karongi Cell"/>
    <s v="Karongi"/>
    <x v="0"/>
    <x v="0"/>
    <s v="Standard"/>
    <x v="0"/>
    <x v="6"/>
    <m/>
    <s v="4G MUP 1GB/DAY"/>
    <m/>
    <n v="21"/>
    <n v="19491.53"/>
    <n v="409322.13"/>
    <s v="Monthly"/>
    <d v="2024-11-30T00:00:00"/>
    <x v="5"/>
    <x v="4"/>
    <n v="-512"/>
    <x v="1"/>
    <x v="5"/>
    <s v="Albert Ntabareshya"/>
    <s v=" karongidistrict@karongi.gov.rw"/>
    <n v="788534669"/>
    <m/>
    <m/>
    <m/>
  </r>
  <r>
    <s v="C001119"/>
    <x v="298"/>
    <s v="Karongi Cell"/>
    <s v="Karongi"/>
    <x v="0"/>
    <x v="0"/>
    <s v="Standard"/>
    <x v="0"/>
    <x v="6"/>
    <m/>
    <s v="4G ONE NETWORK 3MBPS"/>
    <m/>
    <n v="21"/>
    <n v="81355.932203389835"/>
    <n v="1708474.5762711866"/>
    <s v="Monthly"/>
    <d v="2024-11-30T00:00:00"/>
    <x v="5"/>
    <x v="4"/>
    <n v="-512"/>
    <x v="1"/>
    <x v="5"/>
    <s v="Albert Ntabareshya"/>
    <s v=" karongidistrict@karongi.gov.rw"/>
    <n v="788534669"/>
    <m/>
    <m/>
    <m/>
  </r>
  <r>
    <s v="C001119"/>
    <x v="298"/>
    <s v="Karongi Cell"/>
    <s v="Karongi"/>
    <x v="0"/>
    <x v="0"/>
    <s v="Standard"/>
    <x v="0"/>
    <x v="6"/>
    <m/>
    <s v="4G MUP 1GB/DAY"/>
    <m/>
    <n v="30"/>
    <n v="19491.53"/>
    <n v="584745.89999999991"/>
    <s v="Monthly"/>
    <d v="2024-11-30T00:00:00"/>
    <x v="5"/>
    <x v="4"/>
    <n v="-512"/>
    <x v="1"/>
    <x v="5"/>
    <s v="Albert Ntabareshya"/>
    <s v=" karongidistrict@karongi.gov.rw"/>
    <n v="788534669"/>
    <m/>
    <m/>
    <m/>
  </r>
  <r>
    <s v="C001119"/>
    <x v="298"/>
    <s v="Karongi Cell"/>
    <s v="Karongi"/>
    <x v="0"/>
    <x v="0"/>
    <s v="Standard"/>
    <x v="0"/>
    <x v="6"/>
    <m/>
    <s v="4G MUP 1GB/DAY"/>
    <m/>
    <n v="48"/>
    <n v="19491.53"/>
    <n v="935593.44"/>
    <s v="Monthly"/>
    <d v="2024-11-30T00:00:00"/>
    <x v="5"/>
    <x v="4"/>
    <n v="-512"/>
    <x v="1"/>
    <x v="5"/>
    <s v="Albert Ntabareshya"/>
    <s v=" karongidistrict@karongi.gov.rw"/>
    <n v="788534669"/>
    <m/>
    <m/>
    <m/>
  </r>
  <r>
    <s v="C001318"/>
    <x v="299"/>
    <s v="Maranyundo Girls School"/>
    <s v="Bugesera"/>
    <x v="0"/>
    <x v="4"/>
    <s v="Standard"/>
    <x v="0"/>
    <x v="0"/>
    <n v="5"/>
    <s v="fiber vpn 5mbps"/>
    <m/>
    <n v="1"/>
    <n v="270000"/>
    <n v="270000"/>
    <s v="Monthly"/>
    <d v="2024-11-30T00:00:00"/>
    <x v="5"/>
    <x v="4"/>
    <n v="-512"/>
    <x v="1"/>
    <x v="4"/>
    <s v="Faustin"/>
    <s v="kwizerafaustin12@gmail.com;gmaranyundo@yahoo.com"/>
    <s v="783608242/0787924585/0782536587"/>
    <m/>
    <m/>
    <m/>
  </r>
  <r>
    <s v="C002477"/>
    <x v="300"/>
    <s v="HQ"/>
    <s v="Gasabo"/>
    <x v="0"/>
    <x v="0"/>
    <s v="Standard"/>
    <x v="0"/>
    <x v="6"/>
    <m/>
    <s v="4G MUP 2GB/DAY"/>
    <m/>
    <n v="6"/>
    <n v="28305.08"/>
    <n v="169830.48"/>
    <s v="Monthly"/>
    <d v="2024-11-30T00:00:00"/>
    <x v="5"/>
    <x v="4"/>
    <n v="-512"/>
    <x v="1"/>
    <x v="7"/>
    <s v="Jean Claude Sinzikwita"/>
    <s v="digitalization@minicom.gov.rw"/>
    <n v="788882605"/>
    <m/>
    <m/>
    <m/>
  </r>
  <r>
    <s v="C001689"/>
    <x v="249"/>
    <s v="HQ"/>
    <s v="Gasabo"/>
    <x v="0"/>
    <x v="0"/>
    <s v="Standard"/>
    <x v="0"/>
    <x v="7"/>
    <m/>
    <s v="MSS Gold"/>
    <m/>
    <n v="1"/>
    <n v="369325"/>
    <n v="369325"/>
    <s v="Monthly"/>
    <d v="2024-11-30T00:00:00"/>
    <x v="5"/>
    <x v="4"/>
    <n v="-512"/>
    <x v="1"/>
    <x v="7"/>
    <s v="Claude Busogi"/>
    <s v="cbusogi@nec.gov.rw"/>
    <n v="788699349"/>
    <m/>
    <m/>
    <m/>
  </r>
  <r>
    <s v="C001691"/>
    <x v="301"/>
    <s v="MSS Gold"/>
    <s v="Gasabo"/>
    <x v="0"/>
    <x v="0"/>
    <s v="Standard"/>
    <x v="1"/>
    <x v="7"/>
    <m/>
    <s v="MSS Gold Package"/>
    <m/>
    <n v="1"/>
    <n v="369325.42372881359"/>
    <n v="369325.42372881359"/>
    <s v="Monthly"/>
    <d v="2024-12-08T00:00:00"/>
    <x v="0"/>
    <x v="4"/>
    <n v="-520"/>
    <x v="1"/>
    <x v="1"/>
    <s v="Remy Ntwali"/>
    <s v="remy.ntwali@npsc.gov.rw"/>
    <s v="0 783 427 843"/>
    <m/>
    <m/>
    <m/>
  </r>
  <r>
    <s v="C003107"/>
    <x v="302"/>
    <s v="HQ"/>
    <s v="Gasabo"/>
    <x v="1"/>
    <x v="2"/>
    <s v="Standard"/>
    <x v="1"/>
    <x v="4"/>
    <n v="5"/>
    <s v="Wireless Broadband 5MBPS"/>
    <m/>
    <n v="1"/>
    <n v="207627.11864406781"/>
    <n v="207627.11864406781"/>
    <s v="Monthly"/>
    <d v="2024-12-14T00:00:00"/>
    <x v="0"/>
    <x v="4"/>
    <n v="-526"/>
    <x v="1"/>
    <x v="0"/>
    <s v="Igor Murenzi"/>
    <s v="murenzi.igor@mastersteel.co "/>
    <s v="0787919263"/>
    <m/>
    <m/>
    <m/>
  </r>
  <r>
    <s v="C003107"/>
    <x v="302"/>
    <s v="HQ"/>
    <s v="Gasabo"/>
    <x v="1"/>
    <x v="2"/>
    <s v="Standard"/>
    <x v="0"/>
    <x v="6"/>
    <m/>
    <s v="4G MUP 4GB/DAY PRIV"/>
    <m/>
    <n v="1"/>
    <n v="72033.898305084746"/>
    <n v="72033.898305084746"/>
    <s v="Monthly"/>
    <d v="2024-12-14T00:00:00"/>
    <x v="0"/>
    <x v="4"/>
    <n v="-526"/>
    <x v="1"/>
    <x v="0"/>
    <s v="Igor Murenzi"/>
    <s v="murenzi.igor@mastersteel.co "/>
    <s v="0787919263"/>
    <m/>
    <m/>
    <m/>
  </r>
  <r>
    <s v="C003107"/>
    <x v="302"/>
    <s v="HQ"/>
    <s v="Gasabo"/>
    <x v="1"/>
    <x v="2"/>
    <s v="Standard"/>
    <x v="0"/>
    <x v="6"/>
    <m/>
    <s v="4G MUP 1GB/DAY PRIV"/>
    <m/>
    <n v="1"/>
    <n v="20338.98"/>
    <n v="20338.98"/>
    <s v="Monthly"/>
    <d v="2024-12-14T00:00:00"/>
    <x v="0"/>
    <x v="4"/>
    <n v="-526"/>
    <x v="1"/>
    <x v="0"/>
    <s v="Igor Murenzi"/>
    <s v="murenzi.igor@mastersteel.co "/>
    <s v="0787919263"/>
    <m/>
    <m/>
    <m/>
  </r>
  <r>
    <s v="N/A"/>
    <x v="303"/>
    <s v="HQ"/>
    <s v="Kicukiro"/>
    <x v="0"/>
    <x v="9"/>
    <s v="Standard"/>
    <x v="0"/>
    <x v="6"/>
    <m/>
    <s v="4G ONE NETWORK 5MBPS"/>
    <m/>
    <n v="1"/>
    <n v="101695"/>
    <n v="101695"/>
    <s v="Monthly"/>
    <d v="2024-12-30T00:00:00"/>
    <x v="0"/>
    <x v="4"/>
    <n v="-542"/>
    <x v="1"/>
    <x v="8"/>
    <s v="GIKUNGU JEAN CLAUDE"/>
    <s v="gatengasacco18@gmail.com"/>
    <s v="0788-593-874"/>
    <m/>
    <m/>
    <m/>
  </r>
  <r>
    <s v="C001701"/>
    <x v="304"/>
    <s v="HQ"/>
    <s v="Gasabo"/>
    <x v="1"/>
    <x v="7"/>
    <s v="Standard"/>
    <x v="0"/>
    <x v="6"/>
    <m/>
    <s v="4G ONE NETWORK 3MBPS"/>
    <m/>
    <n v="1"/>
    <n v="81355.932203000004"/>
    <n v="81355.932203000004"/>
    <s v="Monthly"/>
    <d v="2024-12-30T00:00:00"/>
    <x v="0"/>
    <x v="4"/>
    <n v="-542"/>
    <x v="1"/>
    <x v="3"/>
    <s v="RUTAGANDA Silas"/>
    <s v="srutaganda@cnf.gov.rw"/>
    <s v="0788771765"/>
    <m/>
    <m/>
    <m/>
  </r>
  <r>
    <s v="C001701"/>
    <x v="304"/>
    <s v="HQ"/>
    <s v="Gasabo"/>
    <x v="1"/>
    <x v="7"/>
    <s v="Standard"/>
    <x v="0"/>
    <x v="6"/>
    <m/>
    <s v="4G MUP 4GB/DAY"/>
    <m/>
    <n v="3"/>
    <n v="45338.983051000003"/>
    <n v="136016.94915300002"/>
    <s v="Monthly"/>
    <d v="2024-12-30T00:00:00"/>
    <x v="0"/>
    <x v="4"/>
    <n v="-542"/>
    <x v="1"/>
    <x v="3"/>
    <s v="Silas"/>
    <s v="ruts1961@yahoo.fr"/>
    <s v="0788-771-765"/>
    <m/>
    <m/>
    <m/>
  </r>
  <r>
    <s v="C000763"/>
    <x v="305"/>
    <s v="Gicumbi District VPN LAIS"/>
    <s v="Gicumbi"/>
    <x v="0"/>
    <x v="0"/>
    <s v="Standard"/>
    <x v="0"/>
    <x v="0"/>
    <n v="3"/>
    <s v="Fiber Broadband Internet 3Mbps"/>
    <m/>
    <n v="1"/>
    <n v="180000"/>
    <n v="180000"/>
    <s v="Monthly"/>
    <d v="2024-12-31T00:00:00"/>
    <x v="0"/>
    <x v="4"/>
    <n v="-543"/>
    <x v="1"/>
    <x v="5"/>
    <s v="Mathus Mutesa."/>
    <s v="gicumbidistrict@gicumbi.gov.rw"/>
    <n v="788447830"/>
    <m/>
    <m/>
    <m/>
  </r>
  <r>
    <s v="C000763"/>
    <x v="305"/>
    <s v="Gicumbi District"/>
    <s v="Gicumbi"/>
    <x v="0"/>
    <x v="0"/>
    <s v="Standard"/>
    <x v="0"/>
    <x v="0"/>
    <n v="10"/>
    <s v="Fiber Broadband Internet 10Mbps"/>
    <m/>
    <n v="1"/>
    <n v="510000"/>
    <n v="510000"/>
    <s v="Monthly"/>
    <d v="2024-12-31T00:00:00"/>
    <x v="0"/>
    <x v="4"/>
    <n v="-543"/>
    <x v="1"/>
    <x v="5"/>
    <s v="Mathus Mutesa."/>
    <s v="gicumbidistrict@gicumbi.gov.rw"/>
    <n v="788447830"/>
    <m/>
    <m/>
    <m/>
  </r>
  <r>
    <s v="C000763"/>
    <x v="305"/>
    <s v="Gicumbi District"/>
    <s v="Gicumbi"/>
    <x v="0"/>
    <x v="0"/>
    <s v="Standard"/>
    <x v="0"/>
    <x v="10"/>
    <m/>
    <s v="Video confrence"/>
    <m/>
    <n v="1"/>
    <n v="258044.9152542373"/>
    <n v="258044.9152542373"/>
    <s v="Monthly"/>
    <d v="2024-12-31T00:00:00"/>
    <x v="0"/>
    <x v="4"/>
    <n v="-543"/>
    <x v="1"/>
    <x v="5"/>
    <s v="Mathus Mutesa."/>
    <s v="gicumbidistrict@gicumbi.gov.rw"/>
    <n v="788447830"/>
    <m/>
    <m/>
    <m/>
  </r>
  <r>
    <s v="C000763"/>
    <x v="305"/>
    <s v="Gicumbi District"/>
    <s v="Gicumbi"/>
    <x v="0"/>
    <x v="0"/>
    <s v="Standard"/>
    <x v="0"/>
    <x v="7"/>
    <m/>
    <s v="Secure Browsing"/>
    <m/>
    <n v="1"/>
    <n v="990495"/>
    <n v="990495"/>
    <s v="Monthly"/>
    <d v="2024-12-31T00:00:00"/>
    <x v="0"/>
    <x v="4"/>
    <n v="-543"/>
    <x v="1"/>
    <x v="5"/>
    <s v="Mathus Mutesa."/>
    <s v="gicumbidistrict@gicumbi.gov.rw"/>
    <n v="788447830"/>
    <m/>
    <m/>
    <m/>
  </r>
  <r>
    <s v="C000763"/>
    <x v="305"/>
    <s v="Gicumbi District"/>
    <s v="Gicumbi"/>
    <x v="0"/>
    <x v="0"/>
    <s v="Standard"/>
    <x v="0"/>
    <x v="6"/>
    <m/>
    <s v=" 4G MUP 4GB/DAY "/>
    <m/>
    <n v="1"/>
    <n v="45338.98"/>
    <n v="45338.98"/>
    <s v="Monthly"/>
    <d v="2024-12-31T00:00:00"/>
    <x v="0"/>
    <x v="4"/>
    <n v="-543"/>
    <x v="1"/>
    <x v="5"/>
    <s v="Mathus Mutesa."/>
    <s v="gicumbidistrict@gicumbi.gov.rw"/>
    <n v="788447830"/>
    <m/>
    <m/>
    <m/>
  </r>
  <r>
    <s v="C000763"/>
    <x v="305"/>
    <s v="Gicumbi District"/>
    <s v="Gicumbi"/>
    <x v="0"/>
    <x v="0"/>
    <s v="Standard"/>
    <x v="0"/>
    <x v="6"/>
    <m/>
    <s v="4G ONE NETWORK 500MB"/>
    <m/>
    <n v="1"/>
    <n v="12711.8"/>
    <n v="12711.8"/>
    <s v="Monthly"/>
    <d v="2024-12-31T00:00:00"/>
    <x v="0"/>
    <x v="4"/>
    <n v="-543"/>
    <x v="1"/>
    <x v="5"/>
    <s v="Mathus Mutesa."/>
    <s v="gicumbidistrict@gicumbi.gov.rw"/>
    <n v="788447830"/>
    <m/>
    <m/>
    <m/>
  </r>
  <r>
    <s v="C000763"/>
    <x v="305"/>
    <s v="Gicumbi District"/>
    <s v="Gicumbi"/>
    <x v="0"/>
    <x v="0"/>
    <s v="Standard"/>
    <x v="0"/>
    <x v="6"/>
    <m/>
    <s v="4G MUP 1GB/DAY"/>
    <m/>
    <n v="30"/>
    <n v="19491.53"/>
    <n v="584745.89999999991"/>
    <s v="Monthly"/>
    <d v="2024-12-31T00:00:00"/>
    <x v="0"/>
    <x v="4"/>
    <n v="-543"/>
    <x v="1"/>
    <x v="5"/>
    <s v="Mathus Mutesa."/>
    <s v="gicumbidistrict@gicumbi.gov.rw"/>
    <n v="788447830"/>
    <m/>
    <m/>
    <m/>
  </r>
  <r>
    <s v="C000763"/>
    <x v="305"/>
    <s v="Gicumbi District"/>
    <s v="Gicumbi"/>
    <x v="0"/>
    <x v="0"/>
    <s v="Standard"/>
    <x v="0"/>
    <x v="6"/>
    <m/>
    <s v="4G ONE NETWORK 3MBPS"/>
    <m/>
    <n v="50"/>
    <n v="81355.932203389835"/>
    <n v="4067796.6101694917"/>
    <s v="Monthly"/>
    <d v="2024-12-31T00:00:00"/>
    <x v="0"/>
    <x v="4"/>
    <n v="-543"/>
    <x v="1"/>
    <x v="5"/>
    <s v="Mathus Mutesa."/>
    <s v="gicumbidistrict@gicumbi.gov.rw"/>
    <n v="788447830"/>
    <m/>
    <m/>
    <m/>
  </r>
  <r>
    <s v="C000763"/>
    <x v="305"/>
    <s v="Gicumbi District"/>
    <s v="Gicumbi"/>
    <x v="0"/>
    <x v="0"/>
    <s v="Standard"/>
    <x v="0"/>
    <x v="6"/>
    <m/>
    <s v="4G MUP 2GB/DAY"/>
    <m/>
    <n v="82"/>
    <n v="28305.08"/>
    <n v="2321016.56"/>
    <s v="Monthly"/>
    <d v="2024-12-31T00:00:00"/>
    <x v="0"/>
    <x v="4"/>
    <n v="-543"/>
    <x v="1"/>
    <x v="5"/>
    <s v="Mathus Mutesa."/>
    <s v="gicumbidistrict@gicumbi.gov.rw"/>
    <n v="788447830"/>
    <m/>
    <m/>
    <m/>
  </r>
  <r>
    <s v="C000956"/>
    <x v="306"/>
    <s v="HQ"/>
    <s v="Gasabo"/>
    <x v="1"/>
    <x v="2"/>
    <s v="Standard"/>
    <x v="0"/>
    <x v="5"/>
    <n v="30"/>
    <s v="FIBER INTERNET 30MBPS"/>
    <m/>
    <n v="1"/>
    <n v="1964000"/>
    <n v="1964000"/>
    <s v="Monthly"/>
    <d v="2024-12-31T00:00:00"/>
    <x v="0"/>
    <x v="4"/>
    <n v="-543"/>
    <x v="1"/>
    <x v="7"/>
    <s v="Marie-Bonne Umwiza"/>
    <s v="mumwiza@intare.rw"/>
    <n v="788532566"/>
    <m/>
    <m/>
    <m/>
  </r>
  <r>
    <s v="C001472"/>
    <x v="307"/>
    <s v="MSS Gold  "/>
    <s v="Gasabo"/>
    <x v="0"/>
    <x v="0"/>
    <s v="Standard"/>
    <x v="1"/>
    <x v="7"/>
    <m/>
    <s v="MSS Gold Package"/>
    <m/>
    <n v="1"/>
    <n v="369325.42372881359"/>
    <n v="369325.42372881359"/>
    <s v="Monthly"/>
    <d v="2024-12-31T00:00:00"/>
    <x v="0"/>
    <x v="4"/>
    <n v="-543"/>
    <x v="1"/>
    <x v="1"/>
    <s v="Egide Mugwaneza "/>
    <s v="egide.mugwaneza@minijust.gov.rw"/>
    <s v="0 784 304 647"/>
    <m/>
    <m/>
    <m/>
  </r>
  <r>
    <s v="C004204"/>
    <x v="308"/>
    <s v="Four Points by Sheraton"/>
    <s v="Nyarugenge"/>
    <x v="1"/>
    <x v="5"/>
    <s v="VIP"/>
    <x v="0"/>
    <x v="5"/>
    <n v="200"/>
    <s v="FIBER INTERNET 200MBPS"/>
    <m/>
    <n v="1"/>
    <n v="4630000"/>
    <n v="4630000"/>
    <s v="Monthly"/>
    <d v="2024-12-31T00:00:00"/>
    <x v="0"/>
    <x v="4"/>
    <n v="-543"/>
    <x v="1"/>
    <x v="0"/>
    <s v="Aimable Nshimiye"/>
    <s v="Aimable.nshimiye@marriott.com "/>
    <s v="0722000029"/>
    <m/>
    <m/>
    <m/>
  </r>
  <r>
    <s v="C003910"/>
    <x v="308"/>
    <s v="KIGALI MARRIOTT HOTEL"/>
    <s v="Nyarugenge"/>
    <x v="1"/>
    <x v="5"/>
    <s v="VIP"/>
    <x v="1"/>
    <x v="5"/>
    <n v="350"/>
    <s v="FIBER INTERNET 350MBPS"/>
    <m/>
    <n v="1"/>
    <n v="7570000"/>
    <n v="7570000"/>
    <s v="Monthly"/>
    <d v="2024-12-31T00:00:00"/>
    <x v="0"/>
    <x v="4"/>
    <n v="-543"/>
    <x v="1"/>
    <x v="0"/>
    <s v="Aimable Nshimiye"/>
    <s v="Aimable.nshimiye@marriot.com "/>
    <s v="0788533038"/>
    <m/>
    <m/>
    <m/>
  </r>
  <r>
    <s v="C001690"/>
    <x v="309"/>
    <s v="NATIONAL FORUM FOR POLITICAL ORGANISATIONS (NFPO)"/>
    <s v="Gasabo"/>
    <x v="0"/>
    <x v="0"/>
    <s v="Standard"/>
    <x v="0"/>
    <x v="0"/>
    <n v="5"/>
    <s v="FIBER VPN 5MBPS"/>
    <m/>
    <n v="1"/>
    <n v="270000"/>
    <n v="270000"/>
    <s v="Monthly"/>
    <d v="2024-12-31T00:00:00"/>
    <x v="0"/>
    <x v="4"/>
    <n v="-543"/>
    <x v="1"/>
    <x v="7"/>
    <s v="Ngarambe JeanPaul"/>
    <s v="ngabe.paul@gmail.com,info@forumfp.org.rw"/>
    <n v="788306222"/>
    <m/>
    <m/>
    <m/>
  </r>
  <r>
    <s v="C002955"/>
    <x v="310"/>
    <s v="HQ"/>
    <s v="Gasabo"/>
    <x v="0"/>
    <x v="4"/>
    <s v="Standard"/>
    <x v="0"/>
    <x v="0"/>
    <n v="10"/>
    <s v="FIBER VPN 10MBPS"/>
    <m/>
    <n v="1"/>
    <n v="510000"/>
    <n v="510000"/>
    <s v="Monthly"/>
    <d v="2025-01-04T00:00:00"/>
    <x v="6"/>
    <x v="2"/>
    <n v="-547"/>
    <x v="1"/>
    <x v="5"/>
    <s v="MUTIJIMA"/>
    <s v="amutijima@rtb.gov.rw"/>
    <n v="782373969"/>
    <m/>
    <m/>
    <m/>
  </r>
  <r>
    <s v="C002955"/>
    <x v="310"/>
    <s v="Rwanda Coding Academy"/>
    <s v="Musanze"/>
    <x v="0"/>
    <x v="4"/>
    <s v="Standard"/>
    <x v="0"/>
    <x v="0"/>
    <n v="60"/>
    <s v="FIBER VPN 60MBPS"/>
    <m/>
    <n v="1"/>
    <n v="2088000"/>
    <n v="2088000"/>
    <s v="Monthly"/>
    <d v="2025-01-04T00:00:00"/>
    <x v="6"/>
    <x v="2"/>
    <n v="-547"/>
    <x v="1"/>
    <x v="5"/>
    <s v="MUTIJIMA"/>
    <s v="amutijima@rtb.gov.rw"/>
    <n v="782373969"/>
    <m/>
    <m/>
    <m/>
  </r>
  <r>
    <s v="C002955"/>
    <x v="310"/>
    <s v="HQ"/>
    <s v="Gasabo"/>
    <x v="0"/>
    <x v="4"/>
    <s v="Standard"/>
    <x v="0"/>
    <x v="7"/>
    <m/>
    <s v="MSS-GOLD"/>
    <m/>
    <n v="1"/>
    <n v="369325.42"/>
    <n v="369325.42"/>
    <s v="Monthly"/>
    <d v="2025-01-04T00:00:00"/>
    <x v="6"/>
    <x v="2"/>
    <n v="-547"/>
    <x v="1"/>
    <x v="5"/>
    <s v="MUTIJIMA"/>
    <s v="amutijima@rtb.gov.rw"/>
    <n v="782373969"/>
    <m/>
    <m/>
    <m/>
  </r>
  <r>
    <s v="C001783"/>
    <x v="311"/>
    <s v="NIRDA Huye"/>
    <s v="Huye"/>
    <x v="0"/>
    <x v="0"/>
    <s v="Standard"/>
    <x v="0"/>
    <x v="0"/>
    <n v="5"/>
    <s v="Fiber VPN 5MBPS "/>
    <m/>
    <n v="1"/>
    <n v="270000"/>
    <n v="270000"/>
    <s v="Monthly"/>
    <d v="2025-01-10T00:00:00"/>
    <x v="6"/>
    <x v="2"/>
    <n v="-553"/>
    <x v="1"/>
    <x v="5"/>
    <s v="Valens Nyangezi"/>
    <s v="fabrice.tubanenimana@nirda.gov.rw"/>
    <n v="788568125"/>
    <m/>
    <m/>
    <m/>
  </r>
  <r>
    <s v="C001783"/>
    <x v="311"/>
    <s v="NIRDA Kigali"/>
    <s v="Nyarugenge"/>
    <x v="0"/>
    <x v="0"/>
    <s v="Standard"/>
    <x v="0"/>
    <x v="0"/>
    <n v="5"/>
    <s v="Fiber VPN 5MBPS"/>
    <m/>
    <n v="1"/>
    <n v="270000"/>
    <n v="270000"/>
    <s v="Monthly"/>
    <d v="2025-01-10T00:00:00"/>
    <x v="6"/>
    <x v="2"/>
    <n v="-553"/>
    <x v="1"/>
    <x v="5"/>
    <s v="Valens Nyangezi"/>
    <s v="fabrice.tubanenimana@nirda.gov.rw"/>
    <n v="788568125"/>
    <m/>
    <m/>
    <m/>
  </r>
  <r>
    <s v="C001783"/>
    <x v="311"/>
    <s v="NIRDA"/>
    <s v="Nyarugenge"/>
    <x v="0"/>
    <x v="0"/>
    <s v="Standard"/>
    <x v="0"/>
    <x v="7"/>
    <m/>
    <s v="Secure Browsing"/>
    <m/>
    <n v="1"/>
    <n v="86129.661016949161"/>
    <n v="86129.661016949161"/>
    <s v="Monthly"/>
    <d v="2025-01-10T00:00:00"/>
    <x v="6"/>
    <x v="2"/>
    <n v="-553"/>
    <x v="1"/>
    <x v="5"/>
    <s v="Valens Nyangezi"/>
    <s v="fabrice.tubanenimana@nirda.gov.rw"/>
    <n v="788568125"/>
    <m/>
    <m/>
    <m/>
  </r>
  <r>
    <s v="C001783"/>
    <x v="311"/>
    <s v="NIRDA"/>
    <s v="Nyarugenge"/>
    <x v="0"/>
    <x v="0"/>
    <s v="Standard"/>
    <x v="0"/>
    <x v="6"/>
    <m/>
    <s v="4G MUP 2GB/DAY"/>
    <m/>
    <n v="62"/>
    <n v="28305.08"/>
    <n v="1754914.9600000002"/>
    <s v="Monthly"/>
    <d v="2025-01-10T00:00:00"/>
    <x v="6"/>
    <x v="2"/>
    <n v="-553"/>
    <x v="1"/>
    <x v="5"/>
    <s v="Valens Nyangezi"/>
    <s v="fabrice.tubanenimana@nirda.gov.rw"/>
    <n v="788568125"/>
    <m/>
    <m/>
    <m/>
  </r>
  <r>
    <s v="C002356"/>
    <x v="312"/>
    <s v="RNP-MDP JTF HQ"/>
    <s v="Mozambique"/>
    <x v="0"/>
    <x v="3"/>
    <s v="VIP"/>
    <x v="1"/>
    <x v="8"/>
    <n v="3"/>
    <s v="VSAT Internet 3Mbps"/>
    <m/>
    <n v="1"/>
    <n v="2947241"/>
    <n v="2947241"/>
    <s v="Monthly"/>
    <d v="2025-01-11T00:00:00"/>
    <x v="6"/>
    <x v="2"/>
    <n v="-554"/>
    <x v="1"/>
    <x v="4"/>
    <s v="Elie KUBWIMANA"/>
    <s v="dit@police.gov.rw"/>
    <s v="0788-311-706"/>
    <m/>
    <m/>
    <m/>
  </r>
  <r>
    <s v="C002356"/>
    <x v="312"/>
    <s v="RNP-PRIMIERO DE MAIO"/>
    <s v="Mozambique"/>
    <x v="0"/>
    <x v="3"/>
    <s v="VIP"/>
    <x v="1"/>
    <x v="8"/>
    <n v="3"/>
    <s v="VSAT Internet 3Mbps"/>
    <m/>
    <n v="1"/>
    <n v="2947241"/>
    <n v="2947241"/>
    <s v="Monthly"/>
    <d v="2025-01-11T00:00:00"/>
    <x v="6"/>
    <x v="2"/>
    <n v="-554"/>
    <x v="1"/>
    <x v="4"/>
    <s v="Elie KUBWIMANA"/>
    <s v="dit@police.gov.rw"/>
    <n v="788311706"/>
    <m/>
    <m/>
    <m/>
  </r>
  <r>
    <s v="C000158"/>
    <x v="313"/>
    <s v="HQ"/>
    <s v="Gasabo"/>
    <x v="0"/>
    <x v="0"/>
    <s v="Standard"/>
    <x v="1"/>
    <x v="0"/>
    <n v="5"/>
    <s v="FIBER VPN 5MBPS"/>
    <m/>
    <n v="1"/>
    <n v="270000"/>
    <n v="270000"/>
    <s v="Monthly"/>
    <d v="2025-01-16T00:00:00"/>
    <x v="6"/>
    <x v="2"/>
    <n v="-559"/>
    <x v="1"/>
    <x v="0"/>
    <s v="Pierrot Kagabe "/>
    <s v="pierrot.kagabe@atl.rw"/>
    <s v="0788540134"/>
    <m/>
    <m/>
    <m/>
  </r>
  <r>
    <s v="C000158"/>
    <x v="313"/>
    <s v="HQ"/>
    <s v="Gasabo"/>
    <x v="0"/>
    <x v="0"/>
    <s v="Standard"/>
    <x v="3"/>
    <x v="7"/>
    <m/>
    <s v="MSS SECURE BROWSING"/>
    <m/>
    <n v="1"/>
    <n v="86129.66"/>
    <n v="86129.66"/>
    <s v="Monthly"/>
    <d v="2025-01-16T00:00:00"/>
    <x v="6"/>
    <x v="2"/>
    <n v="-559"/>
    <x v="1"/>
    <x v="0"/>
    <s v="Pierrot Kagabe "/>
    <s v="pierrot.kagabe@atl.rw"/>
    <s v="0788540134"/>
    <m/>
    <m/>
    <m/>
  </r>
  <r>
    <s v="C004027"/>
    <x v="314"/>
    <s v="HQ"/>
    <s v="Rwamagana  "/>
    <x v="1"/>
    <x v="4"/>
    <s v="Standard"/>
    <x v="0"/>
    <x v="6"/>
    <m/>
    <s v="4G ONE NETWORK 15MBPS"/>
    <m/>
    <n v="1"/>
    <n v="142372.881356"/>
    <n v="142372.881356"/>
    <s v="Monthly"/>
    <d v="2025-01-31T00:00:00"/>
    <x v="6"/>
    <x v="2"/>
    <n v="-574"/>
    <x v="1"/>
    <x v="9"/>
    <s v="NSANZIMANA SYLVESTRE"/>
    <s v="bazirubusa55@gmail.com"/>
    <n v="788637871"/>
    <m/>
    <m/>
    <m/>
  </r>
  <r>
    <s v="C000603"/>
    <x v="315"/>
    <s v="ENDP KARUBANDA"/>
    <s v="Huye"/>
    <x v="0"/>
    <x v="4"/>
    <s v="Standard"/>
    <x v="0"/>
    <x v="0"/>
    <n v="3"/>
    <s v="FIBER VPN 3MBPS"/>
    <m/>
    <n v="1"/>
    <n v="180000"/>
    <n v="180000"/>
    <s v="Monthly"/>
    <d v="2025-01-31T00:00:00"/>
    <x v="6"/>
    <x v="2"/>
    <n v="-574"/>
    <x v="1"/>
    <x v="6"/>
    <s v="KANA Jean Pierre"/>
    <s v="endpkschool@gmail.com"/>
    <n v="786400893"/>
    <m/>
    <m/>
    <m/>
  </r>
  <r>
    <s v="C003138"/>
    <x v="316"/>
    <s v="HQ"/>
    <s v="Gasabo"/>
    <x v="0"/>
    <x v="0"/>
    <s v="Standard"/>
    <x v="0"/>
    <x v="6"/>
    <m/>
    <s v="4G ONE NETWORK 5MBPS"/>
    <m/>
    <n v="1"/>
    <n v="101695"/>
    <n v="101695"/>
    <s v="Monthly"/>
    <d v="2025-01-31T00:00:00"/>
    <x v="6"/>
    <x v="2"/>
    <n v="-574"/>
    <x v="1"/>
    <x v="9"/>
    <s v="AIMABLE HAKUZIMANA"/>
    <s v="gasabo.remera@gov.rw"/>
    <n v="788471740"/>
    <m/>
    <m/>
    <m/>
  </r>
  <r>
    <s v="C003138"/>
    <x v="316"/>
    <s v="HQ"/>
    <s v="Gasabo"/>
    <x v="0"/>
    <x v="0"/>
    <s v="Standard"/>
    <x v="0"/>
    <x v="6"/>
    <m/>
    <s v="4G MUP 2GB/DAY"/>
    <m/>
    <n v="1"/>
    <n v="28305.084746"/>
    <n v="28305.084746"/>
    <s v="Monthly"/>
    <d v="2025-01-31T00:00:00"/>
    <x v="6"/>
    <x v="2"/>
    <n v="-574"/>
    <x v="1"/>
    <x v="9"/>
    <s v="AIMABLE HAKUZIMANA"/>
    <s v="gasabo.remera@gov.rw"/>
    <n v="788471740"/>
    <m/>
    <m/>
    <m/>
  </r>
  <r>
    <s v="C003138"/>
    <x v="316"/>
    <s v="HQ"/>
    <s v="Gasabo"/>
    <x v="0"/>
    <x v="0"/>
    <s v="Standard"/>
    <x v="0"/>
    <x v="6"/>
    <m/>
    <s v="4G ONE NETWORK 5MBPS"/>
    <m/>
    <n v="1"/>
    <n v="101694.91525400001"/>
    <n v="101694.91525400001"/>
    <s v="Monthly"/>
    <d v="2025-01-31T00:00:00"/>
    <x v="6"/>
    <x v="2"/>
    <n v="-574"/>
    <x v="1"/>
    <x v="9"/>
    <s v="AIMABLE HAKUZIMANA"/>
    <s v="remerasector@gasabo.gov.rw"/>
    <s v="0788471740"/>
    <m/>
    <m/>
    <m/>
  </r>
  <r>
    <s v="C003138"/>
    <x v="316"/>
    <s v="HQ"/>
    <s v="Gasabo"/>
    <x v="0"/>
    <x v="0"/>
    <s v="Standard"/>
    <x v="0"/>
    <x v="6"/>
    <m/>
    <s v="4G MUP 4GB/DAY"/>
    <m/>
    <n v="5"/>
    <n v="45339"/>
    <n v="226695"/>
    <s v="Monthly"/>
    <d v="2025-01-31T00:00:00"/>
    <x v="6"/>
    <x v="2"/>
    <n v="-574"/>
    <x v="1"/>
    <x v="9"/>
    <s v="AIMABLE HAKUZIMANA"/>
    <s v="gasabo.remera@gov.rw"/>
    <n v="788471740"/>
    <m/>
    <m/>
    <m/>
  </r>
  <r>
    <s v="C003138"/>
    <x v="316"/>
    <s v="HQ"/>
    <s v="Gasabo"/>
    <x v="0"/>
    <x v="0"/>
    <s v="Standard"/>
    <x v="0"/>
    <x v="6"/>
    <m/>
    <s v="4G MUP 4GB/DAY"/>
    <m/>
    <n v="5"/>
    <n v="45338.983051000003"/>
    <n v="226694.915255"/>
    <s v="Monthly"/>
    <d v="2025-01-31T00:00:00"/>
    <x v="6"/>
    <x v="2"/>
    <n v="-574"/>
    <x v="1"/>
    <x v="9"/>
    <s v="AIMABLE HAKUZIMANA"/>
    <s v="remerasector@gasabo.gov.rw"/>
    <s v="0788471740"/>
    <m/>
    <m/>
    <m/>
  </r>
  <r>
    <s v="C002192"/>
    <x v="74"/>
    <s v="RUTONGO-MAIN BRANCH"/>
    <s v="Rulindo"/>
    <x v="0"/>
    <x v="6"/>
    <s v="Standard"/>
    <x v="0"/>
    <x v="6"/>
    <m/>
    <s v="4G ONE NETWORK 3MBPS"/>
    <m/>
    <n v="1"/>
    <n v="81355.932203389835"/>
    <n v="81355.932203389835"/>
    <s v="Monthly"/>
    <d v="2025-01-31T00:00:00"/>
    <x v="6"/>
    <x v="2"/>
    <n v="-574"/>
    <x v="1"/>
    <x v="6"/>
    <s v="UMUHOZA Consolee"/>
    <s v="umuconso@gmail.com"/>
    <n v="788470934"/>
    <m/>
    <m/>
    <m/>
  </r>
  <r>
    <s v="C002192"/>
    <x v="74"/>
    <s v="RUTONGO-MAIN BRANCH"/>
    <s v="Rulindo"/>
    <x v="0"/>
    <x v="6"/>
    <s v="Standard"/>
    <x v="0"/>
    <x v="6"/>
    <m/>
    <s v="4G ONE NETWORK 5MBPS"/>
    <m/>
    <n v="1"/>
    <n v="101694.92"/>
    <n v="101694.92"/>
    <s v="Monthly"/>
    <d v="2025-01-31T00:00:00"/>
    <x v="6"/>
    <x v="2"/>
    <n v="-574"/>
    <x v="1"/>
    <x v="6"/>
    <s v="UMUHOZA Consolee"/>
    <s v="umuconso@gmail.com"/>
    <n v="788470934"/>
    <m/>
    <m/>
    <m/>
  </r>
  <r>
    <s v="C001186"/>
    <x v="317"/>
    <s v="SACCO Kigali"/>
    <s v="Nyarugenge"/>
    <x v="0"/>
    <x v="12"/>
    <s v="Standard"/>
    <x v="0"/>
    <x v="6"/>
    <m/>
    <s v="10Mbps HBB Package"/>
    <m/>
    <n v="1"/>
    <n v="84745"/>
    <n v="84745"/>
    <s v="Monthly"/>
    <d v="2025-01-31T00:00:00"/>
    <x v="6"/>
    <x v="2"/>
    <n v="-574"/>
    <x v="1"/>
    <x v="8"/>
    <s v="Gilbert Gasasira"/>
    <s v="kigalisacco@yahoo.fr"/>
    <s v="0788765741"/>
    <m/>
    <m/>
    <m/>
  </r>
  <r>
    <s v="C002957"/>
    <x v="318"/>
    <s v="World Food Program"/>
    <s v="Kirehe"/>
    <x v="1"/>
    <x v="10"/>
    <s v="Standard"/>
    <x v="0"/>
    <x v="5"/>
    <n v="4"/>
    <s v="Fiber Private Internet 4MBPS"/>
    <m/>
    <n v="1"/>
    <n v="410000"/>
    <n v="410000"/>
    <s v="Monthly"/>
    <d v="2025-02-11T00:00:00"/>
    <x v="7"/>
    <x v="2"/>
    <n v="-585"/>
    <x v="1"/>
    <x v="5"/>
    <s v="placide"/>
    <s v="placide.mutuyimana@wfp.org"/>
    <n v="788849435"/>
    <m/>
    <m/>
    <m/>
  </r>
  <r>
    <s v="C001394"/>
    <x v="319"/>
    <s v="HQ"/>
    <s v="Gasabo"/>
    <x v="0"/>
    <x v="6"/>
    <s v="Standard"/>
    <x v="0"/>
    <x v="0"/>
    <n v="20"/>
    <s v="FIBER INTERNET 20MBPS GOV"/>
    <m/>
    <n v="1"/>
    <n v="900000"/>
    <n v="900000"/>
    <s v="Monthly"/>
    <d v="2025-02-15T00:00:00"/>
    <x v="7"/>
    <x v="2"/>
    <n v="-589"/>
    <x v="1"/>
    <x v="7"/>
    <s v="Martin NSENGIYUMVA"/>
    <s v="dir_ict@mmi.gov.rw,sysadmin@mmi.gov.rw"/>
    <n v="783658167"/>
    <m/>
    <m/>
    <m/>
  </r>
  <r>
    <s v="C002273"/>
    <x v="320"/>
    <s v="Rusizi Tourism"/>
    <s v="Rusizi"/>
    <x v="0"/>
    <x v="0"/>
    <s v="Standard"/>
    <x v="0"/>
    <x v="0"/>
    <n v="1"/>
    <s v="FIBER INTERNET1MBPS GOV"/>
    <m/>
    <n v="1"/>
    <n v="90000"/>
    <n v="90000"/>
    <s v="Monthly"/>
    <d v="2025-02-18T00:00:00"/>
    <x v="7"/>
    <x v="2"/>
    <n v="-592"/>
    <x v="1"/>
    <x v="0"/>
    <s v="Laurence Umuhire"/>
    <s v="laurence.umuhire@rdb.rw"/>
    <s v="0783855488"/>
    <m/>
    <m/>
    <m/>
  </r>
  <r>
    <s v="C002273"/>
    <x v="320"/>
    <s v="Kinigi VPN"/>
    <s v="Musanze"/>
    <x v="0"/>
    <x v="0"/>
    <s v="Standard"/>
    <x v="0"/>
    <x v="0"/>
    <n v="3"/>
    <s v="FIBER VPN 3MBPS"/>
    <m/>
    <n v="1"/>
    <n v="180000"/>
    <n v="180000"/>
    <s v="Monthly"/>
    <d v="2025-02-18T00:00:00"/>
    <x v="7"/>
    <x v="2"/>
    <n v="-592"/>
    <x v="1"/>
    <x v="0"/>
    <s v="Laurence Umuhire"/>
    <s v="laurence.umuhire@rdb.rw"/>
    <s v="0783855488"/>
    <m/>
    <m/>
    <m/>
  </r>
  <r>
    <s v="C002273"/>
    <x v="320"/>
    <s v="Kinigi Office"/>
    <s v="Musanze"/>
    <x v="0"/>
    <x v="0"/>
    <s v="Standard"/>
    <x v="0"/>
    <x v="0"/>
    <n v="3"/>
    <s v="FIBER INTERNET 3MBPS GOV"/>
    <m/>
    <n v="1"/>
    <n v="180000"/>
    <n v="180000"/>
    <s v="Monthly"/>
    <d v="2025-02-18T00:00:00"/>
    <x v="7"/>
    <x v="2"/>
    <n v="-592"/>
    <x v="1"/>
    <x v="0"/>
    <s v="Laurence Umuhire"/>
    <s v="laurence.umuhire@rdb.rw"/>
    <s v="0783855488"/>
    <m/>
    <m/>
    <m/>
  </r>
  <r>
    <s v="C002273"/>
    <x v="320"/>
    <s v="Camp Kigali"/>
    <s v="Nyarugenge"/>
    <x v="0"/>
    <x v="0"/>
    <s v="Standard"/>
    <x v="0"/>
    <x v="0"/>
    <n v="3"/>
    <s v="FIBER INTERNET 3MBPS GOV"/>
    <m/>
    <n v="1"/>
    <n v="180000"/>
    <n v="180000"/>
    <s v="Monthly"/>
    <d v="2025-02-18T00:00:00"/>
    <x v="7"/>
    <x v="2"/>
    <n v="-592"/>
    <x v="1"/>
    <x v="0"/>
    <s v="Laurence Umuhire"/>
    <s v="laurence.umuhire@rdb.rw"/>
    <s v="0783855488"/>
    <m/>
    <m/>
    <m/>
  </r>
  <r>
    <s v="C002273"/>
    <x v="320"/>
    <s v="Rubavu Tourism"/>
    <s v="Rubavu"/>
    <x v="0"/>
    <x v="0"/>
    <s v="Standard"/>
    <x v="0"/>
    <x v="0"/>
    <n v="3"/>
    <s v="FIBER INTERNET 3MBPS GOV"/>
    <m/>
    <n v="1"/>
    <n v="180000"/>
    <n v="180000"/>
    <s v="Monthly"/>
    <d v="2025-02-18T00:00:00"/>
    <x v="7"/>
    <x v="2"/>
    <n v="-592"/>
    <x v="1"/>
    <x v="0"/>
    <s v="Laurence Umuhire"/>
    <s v="laurence.umuhire@rdb.rw"/>
    <s v="0783855488"/>
    <m/>
    <m/>
    <m/>
  </r>
  <r>
    <s v="C002273"/>
    <x v="320"/>
    <s v="Huye Employement "/>
    <s v="Huye"/>
    <x v="0"/>
    <x v="0"/>
    <s v="Standard"/>
    <x v="0"/>
    <x v="0"/>
    <n v="5"/>
    <s v="FIBER INTERNET 5MBPS GOV"/>
    <m/>
    <n v="1"/>
    <n v="270000"/>
    <n v="270000"/>
    <s v="Monthly"/>
    <d v="2025-02-18T00:00:00"/>
    <x v="7"/>
    <x v="2"/>
    <n v="-592"/>
    <x v="1"/>
    <x v="0"/>
    <s v="Laurence Umuhire"/>
    <s v="laurence.umuhire@rdb.rw"/>
    <s v="0783855488"/>
    <m/>
    <m/>
    <m/>
  </r>
  <r>
    <s v="C002273"/>
    <x v="320"/>
    <s v="Musanze Employement "/>
    <s v="Musanze"/>
    <x v="0"/>
    <x v="0"/>
    <s v="Standard"/>
    <x v="0"/>
    <x v="0"/>
    <n v="5"/>
    <s v="FIBER INTERNET 5MBPS GOV"/>
    <m/>
    <n v="1"/>
    <n v="270000"/>
    <n v="270000"/>
    <s v="Monthly"/>
    <d v="2025-02-18T00:00:00"/>
    <x v="7"/>
    <x v="2"/>
    <n v="-592"/>
    <x v="1"/>
    <x v="0"/>
    <s v="Laurence Umuhire"/>
    <s v="laurence.umuhire@rdb.rw"/>
    <s v="0783855488"/>
    <m/>
    <m/>
    <m/>
  </r>
  <r>
    <s v="C002273"/>
    <x v="320"/>
    <s v="Gishwati Mukura"/>
    <s v="Nyabihu"/>
    <x v="0"/>
    <x v="0"/>
    <s v="Standard"/>
    <x v="0"/>
    <x v="0"/>
    <n v="5"/>
    <s v="FIBER INTERNET 5MBPS GOV"/>
    <m/>
    <n v="1"/>
    <n v="270000"/>
    <n v="270000"/>
    <s v="Monthly"/>
    <d v="2025-02-18T00:00:00"/>
    <x v="7"/>
    <x v="2"/>
    <n v="-592"/>
    <x v="1"/>
    <x v="0"/>
    <s v="Laurence Umuhire"/>
    <s v="laurence.umuhire@rdb.rw"/>
    <s v="0783855488"/>
    <m/>
    <m/>
    <m/>
  </r>
  <r>
    <s v="C002273"/>
    <x v="320"/>
    <s v="Data Center"/>
    <s v="Gasabo"/>
    <x v="0"/>
    <x v="0"/>
    <s v="Standard"/>
    <x v="0"/>
    <x v="0"/>
    <n v="10"/>
    <s v="FIBER VPN 10MBPS"/>
    <m/>
    <n v="1"/>
    <n v="510000"/>
    <n v="510000"/>
    <s v="Monthly"/>
    <d v="2025-02-18T00:00:00"/>
    <x v="7"/>
    <x v="2"/>
    <n v="-592"/>
    <x v="1"/>
    <x v="0"/>
    <s v="Laurence Umuhire"/>
    <s v="laurence.umuhire@rdb.rw"/>
    <s v="0783855488"/>
    <m/>
    <m/>
    <m/>
  </r>
  <r>
    <s v="C002273"/>
    <x v="320"/>
    <s v="ICT Innovation"/>
    <s v="Gasabo"/>
    <x v="0"/>
    <x v="0"/>
    <s v="Standard"/>
    <x v="0"/>
    <x v="0"/>
    <n v="60"/>
    <s v="FIBER VPN 60MBPS"/>
    <m/>
    <n v="1"/>
    <n v="2708100"/>
    <n v="2708100"/>
    <s v="Monthly"/>
    <d v="2025-02-18T00:00:00"/>
    <x v="7"/>
    <x v="2"/>
    <n v="-592"/>
    <x v="1"/>
    <x v="0"/>
    <s v="Laurence Umuhire"/>
    <s v="laurence.umuhire@rdb.rw"/>
    <s v="0783855488"/>
    <m/>
    <m/>
    <m/>
  </r>
  <r>
    <s v="C002273"/>
    <x v="320"/>
    <s v="RDB HQ"/>
    <s v="Gasabo"/>
    <x v="0"/>
    <x v="0"/>
    <s v="Standard"/>
    <x v="0"/>
    <x v="0"/>
    <n v="100"/>
    <s v="FIBER VPN 100MBPS"/>
    <m/>
    <n v="1"/>
    <n v="3600000"/>
    <n v="3600000"/>
    <s v="Monthly"/>
    <d v="2025-02-18T00:00:00"/>
    <x v="7"/>
    <x v="2"/>
    <n v="-592"/>
    <x v="1"/>
    <x v="0"/>
    <s v="Laurence Umuhire"/>
    <s v="laurence.umuhire@rdb.rw"/>
    <s v="0783855488"/>
    <m/>
    <m/>
    <m/>
  </r>
  <r>
    <s v="C002273"/>
    <x v="320"/>
    <s v="RDB HQ"/>
    <s v="Musanze"/>
    <x v="0"/>
    <x v="0"/>
    <s v="Standard"/>
    <x v="1"/>
    <x v="10"/>
    <m/>
    <s v="VIDEO CONFERENCE"/>
    <m/>
    <n v="1"/>
    <n v="258044.92"/>
    <n v="258044.92"/>
    <s v="Monthly"/>
    <d v="2025-02-18T00:00:00"/>
    <x v="7"/>
    <x v="2"/>
    <n v="-592"/>
    <x v="1"/>
    <x v="0"/>
    <s v="Laurence Umuhire"/>
    <s v="laurence.umuhire@rdb.rw"/>
    <s v="0783855488"/>
    <m/>
    <m/>
    <m/>
  </r>
  <r>
    <s v="C001694"/>
    <x v="60"/>
    <s v="NATIONAL ID PROJECT (NID) HQ"/>
    <s v="Gasabo"/>
    <x v="0"/>
    <x v="0"/>
    <s v="VIP"/>
    <x v="3"/>
    <x v="7"/>
    <m/>
    <s v="MSS GOLD"/>
    <m/>
    <n v="1"/>
    <n v="369325.42"/>
    <n v="369325.42"/>
    <s v="Monthly"/>
    <d v="2025-02-24T00:00:00"/>
    <x v="7"/>
    <x v="2"/>
    <n v="-598"/>
    <x v="1"/>
    <x v="2"/>
    <s v="Eric NTAGANZWA"/>
    <s v="eric.ntaganzwa@nida.gov.rw"/>
    <s v="0788-448-551"/>
    <m/>
    <m/>
    <m/>
  </r>
  <r>
    <s v="C000566"/>
    <x v="321"/>
    <s v="Ecole d'art de Nyundo"/>
    <s v="Rubavu"/>
    <x v="0"/>
    <x v="4"/>
    <s v="Standard"/>
    <x v="0"/>
    <x v="0"/>
    <n v="3"/>
    <s v="fiber vpn 3mbps"/>
    <m/>
    <n v="1"/>
    <n v="180000"/>
    <n v="180000"/>
    <s v="Monthly"/>
    <d v="2025-02-28T00:00:00"/>
    <x v="7"/>
    <x v="2"/>
    <n v="-602"/>
    <x v="1"/>
    <x v="4"/>
    <s v="Nizeyimana"/>
    <s v="vedangani@gmail.com;ecodartnyundo@gmail.com"/>
    <s v="0785089996/0788623303"/>
    <m/>
    <m/>
    <m/>
  </r>
  <r>
    <s v="C000628"/>
    <x v="322"/>
    <s v="ES NYANGE"/>
    <s v="Ngororero"/>
    <x v="0"/>
    <x v="4"/>
    <s v="Standard"/>
    <x v="0"/>
    <x v="0"/>
    <n v="3"/>
    <s v="fiber vpn 3mbps"/>
    <m/>
    <n v="1"/>
    <n v="180000"/>
    <n v="180000"/>
    <s v="Monthly"/>
    <d v="2025-02-28T00:00:00"/>
    <x v="7"/>
    <x v="2"/>
    <n v="-602"/>
    <x v="1"/>
    <x v="4"/>
    <s v="Kazungu jp"/>
    <s v="esnyange@yahoo.fr;jmukandayisaba@gmail.com"/>
    <s v="0788585259/0789139650"/>
    <m/>
    <m/>
    <m/>
  </r>
  <r>
    <s v="C000643"/>
    <x v="323"/>
    <s v="ETO GATUMBA"/>
    <s v="Ngororero"/>
    <x v="0"/>
    <x v="4"/>
    <s v="Standard"/>
    <x v="0"/>
    <x v="5"/>
    <n v="5"/>
    <s v="FIBER VPN 5MBPS"/>
    <m/>
    <n v="1"/>
    <n v="270000"/>
    <n v="270000"/>
    <s v="Monthly"/>
    <d v="2025-02-28T00:00:00"/>
    <x v="7"/>
    <x v="2"/>
    <n v="-602"/>
    <x v="1"/>
    <x v="6"/>
    <s v="UGIRINSHUTI Jean d'Amour"/>
    <s v="etogatumba@gmail.com"/>
    <n v="783828990"/>
    <m/>
    <m/>
    <m/>
  </r>
  <r>
    <s v="C000958"/>
    <x v="120"/>
    <s v="IPRC Karongi"/>
    <s v="Karongi"/>
    <x v="0"/>
    <x v="4"/>
    <s v="Standard"/>
    <x v="0"/>
    <x v="0"/>
    <n v="15"/>
    <s v="fiber vpn 15mbps"/>
    <m/>
    <n v="1"/>
    <n v="720000"/>
    <n v="720000"/>
    <s v="Monthly"/>
    <d v="2025-02-28T00:00:00"/>
    <x v="7"/>
    <x v="2"/>
    <n v="-602"/>
    <x v="1"/>
    <x v="4"/>
    <s v="Ephraim"/>
    <s v="iprcwest@gmail.com;iprckarongi@gmail.com;info@iprckarongi.rp.ac.rw"/>
    <n v="788440204"/>
    <m/>
    <m/>
    <m/>
  </r>
  <r>
    <s v="C001694"/>
    <x v="60"/>
    <s v="NATIONAL ID PROJECT (NID) HQ"/>
    <s v="Gasabo"/>
    <x v="0"/>
    <x v="0"/>
    <s v="VIP"/>
    <x v="3"/>
    <x v="7"/>
    <m/>
    <s v="MSS PLATINUM"/>
    <m/>
    <n v="2"/>
    <n v="1478575"/>
    <n v="2957150"/>
    <s v="Monthly"/>
    <d v="2025-05-31T00:00:00"/>
    <x v="10"/>
    <x v="2"/>
    <n v="-694"/>
    <x v="1"/>
    <x v="2"/>
    <s v="Eric NTAGANZWA"/>
    <s v="eric.ntaganzwa@nida.gov.rw"/>
    <s v="0788-448-551"/>
    <m/>
    <m/>
    <m/>
  </r>
  <r>
    <s v="C002446"/>
    <x v="324"/>
    <s v="MANTIS EPIC HOTEL &amp; SUITES"/>
    <s v="Nyagatare"/>
    <x v="1"/>
    <x v="5"/>
    <s v="VIP"/>
    <x v="0"/>
    <x v="5"/>
    <n v="60"/>
    <s v="FIBER INTERNET 60MBPS"/>
    <m/>
    <n v="1"/>
    <n v="2200000"/>
    <n v="2200000"/>
    <s v="Monthly"/>
    <d v="2025-02-28T00:00:00"/>
    <x v="7"/>
    <x v="2"/>
    <n v="-602"/>
    <x v="1"/>
    <x v="2"/>
    <s v="KIREZI Croix "/>
    <s v="Croix.KIREZI@mantiscollection.com"/>
    <s v="0783 221 871"/>
    <m/>
    <m/>
    <m/>
  </r>
  <r>
    <s v="C002282"/>
    <x v="64"/>
    <s v="SAINTE BERNADETTE"/>
    <s v="Gasabo"/>
    <x v="0"/>
    <x v="4"/>
    <s v="VIP"/>
    <x v="0"/>
    <x v="0"/>
    <n v="3"/>
    <s v="FIBER VPN 3MBPS"/>
    <m/>
    <n v="1"/>
    <n v="180000"/>
    <n v="180000"/>
    <s v="Monthly"/>
    <d v="2025-02-28T00:00:00"/>
    <x v="7"/>
    <x v="2"/>
    <n v="-602"/>
    <x v="1"/>
    <x v="6"/>
    <s v="Seth Buhigiro"/>
    <s v="sbuhigiro@reb.rw"/>
    <s v="0788743202"/>
    <m/>
    <m/>
    <m/>
  </r>
  <r>
    <s v="C002295"/>
    <x v="65"/>
    <s v="Ruhuha – RIB Station"/>
    <s v="Bugesera"/>
    <x v="0"/>
    <x v="3"/>
    <s v="VIP"/>
    <x v="0"/>
    <x v="6"/>
    <m/>
    <s v="4G ONE NETWORK 3MBPS"/>
    <m/>
    <n v="1"/>
    <n v="81355.932203389835"/>
    <n v="81355.932203389835"/>
    <s v="Monthly"/>
    <d v="2025-02-28T00:00:00"/>
    <x v="7"/>
    <x v="2"/>
    <n v="-602"/>
    <x v="1"/>
    <x v="2"/>
    <s v="Modeste Nshimiyimana"/>
    <s v="dict@rib.gov.rw"/>
    <s v="0788310027/0788380425"/>
    <m/>
    <m/>
    <m/>
  </r>
  <r>
    <s v="C002295"/>
    <x v="65"/>
    <s v="Nyamata – RIB Station"/>
    <s v="Bugesera"/>
    <x v="0"/>
    <x v="3"/>
    <s v="VIP"/>
    <x v="0"/>
    <x v="6"/>
    <m/>
    <s v="4G ONE NETWORK 3MBPS"/>
    <m/>
    <n v="1"/>
    <n v="81355.932203389835"/>
    <n v="81355.932203389835"/>
    <s v="Monthly"/>
    <d v="2025-02-28T00:00:00"/>
    <x v="7"/>
    <x v="2"/>
    <n v="-602"/>
    <x v="1"/>
    <x v="2"/>
    <s v="Modeste Nshimiyimana"/>
    <s v="dict@rib.gov.rw"/>
    <s v="0788310027/0788380425"/>
    <m/>
    <m/>
    <m/>
  </r>
  <r>
    <s v="C002295"/>
    <x v="65"/>
    <s v="RIRIMA– RIB Station"/>
    <s v="Bugesera"/>
    <x v="0"/>
    <x v="3"/>
    <s v="VIP"/>
    <x v="0"/>
    <x v="6"/>
    <m/>
    <s v="4G ONE NETWORK 3MBPS"/>
    <m/>
    <n v="1"/>
    <n v="81355.932203389835"/>
    <n v="81355.932203389835"/>
    <s v="Monthly"/>
    <d v="2025-02-28T00:00:00"/>
    <x v="7"/>
    <x v="2"/>
    <n v="-602"/>
    <x v="1"/>
    <x v="2"/>
    <s v="Modeste Nshimiyimana"/>
    <s v="dict@rib.gov.rw"/>
    <s v="0788310027/0788380425"/>
    <m/>
    <m/>
    <m/>
  </r>
  <r>
    <s v="C002295"/>
    <x v="65"/>
    <s v="NTARAMA– RIB Station"/>
    <s v="Bugesera"/>
    <x v="0"/>
    <x v="3"/>
    <s v="VIP"/>
    <x v="0"/>
    <x v="6"/>
    <m/>
    <s v="4G ONE NETWORK 3MBPS"/>
    <m/>
    <n v="1"/>
    <n v="81355.932203389835"/>
    <n v="81355.932203389835"/>
    <s v="Monthly"/>
    <d v="2025-02-28T00:00:00"/>
    <x v="7"/>
    <x v="2"/>
    <n v="-602"/>
    <x v="1"/>
    <x v="2"/>
    <s v="Modeste Nshimiyimana"/>
    <s v="dict@rib.gov.rw"/>
    <s v="0788310027/0788380425"/>
    <m/>
    <m/>
    <m/>
  </r>
  <r>
    <s v="C002295"/>
    <x v="65"/>
    <s v="GASHORA – RIB Station"/>
    <s v="Bugesera"/>
    <x v="0"/>
    <x v="3"/>
    <s v="VIP"/>
    <x v="0"/>
    <x v="6"/>
    <m/>
    <s v="4G ONE NETWORK 3MBPS"/>
    <m/>
    <n v="1"/>
    <n v="81355.932203389835"/>
    <n v="81355.932203389835"/>
    <s v="Monthly"/>
    <d v="2025-02-28T00:00:00"/>
    <x v="7"/>
    <x v="2"/>
    <n v="-602"/>
    <x v="1"/>
    <x v="2"/>
    <s v="Modeste Nshimiyimana"/>
    <s v="dict@rib.gov.rw"/>
    <s v="0788310027/0788380425"/>
    <m/>
    <m/>
    <m/>
  </r>
  <r>
    <s v="C002295"/>
    <x v="65"/>
    <s v="KAMABUYE – RIB Station"/>
    <s v="Bugesera"/>
    <x v="0"/>
    <x v="3"/>
    <s v="VIP"/>
    <x v="0"/>
    <x v="6"/>
    <m/>
    <s v="4G ONE NETWORK 3MBPS"/>
    <m/>
    <n v="1"/>
    <n v="81355.932203389835"/>
    <n v="81355.932203389835"/>
    <s v="Monthly"/>
    <d v="2025-02-28T00:00:00"/>
    <x v="7"/>
    <x v="2"/>
    <n v="-602"/>
    <x v="1"/>
    <x v="2"/>
    <s v="Modeste Nshimiyimana"/>
    <s v="dict@rib.gov.rw"/>
    <s v="0788310027/0788380425"/>
    <m/>
    <m/>
    <m/>
  </r>
  <r>
    <s v="C002295"/>
    <x v="65"/>
    <s v="Cyanika – RIB Station"/>
    <s v="Burera"/>
    <x v="0"/>
    <x v="3"/>
    <s v="VIP"/>
    <x v="0"/>
    <x v="6"/>
    <m/>
    <s v="4G ONE NETWORK 3MBPS"/>
    <m/>
    <n v="1"/>
    <n v="81355.932203389835"/>
    <n v="81355.932203389835"/>
    <s v="Monthly"/>
    <d v="2025-02-28T00:00:00"/>
    <x v="7"/>
    <x v="2"/>
    <n v="-602"/>
    <x v="1"/>
    <x v="2"/>
    <s v="Modeste Nshimiyimana"/>
    <s v="dict@rib.gov.rw"/>
    <s v="0788310027/0788380425"/>
    <m/>
    <m/>
    <m/>
  </r>
  <r>
    <s v="C002295"/>
    <x v="65"/>
    <s v="Butaro – RIB Station"/>
    <s v="Burera"/>
    <x v="0"/>
    <x v="3"/>
    <s v="VIP"/>
    <x v="0"/>
    <x v="6"/>
    <m/>
    <s v="4G ONE NETWORK 3MBPS"/>
    <m/>
    <n v="1"/>
    <n v="81355.932203389835"/>
    <n v="81355.932203389835"/>
    <s v="Monthly"/>
    <d v="2025-02-28T00:00:00"/>
    <x v="7"/>
    <x v="2"/>
    <n v="-602"/>
    <x v="1"/>
    <x v="2"/>
    <s v="Modeste Nshimiyimana"/>
    <s v="dict@rib.gov.rw"/>
    <s v="0788310027/0788380425"/>
    <m/>
    <m/>
    <m/>
  </r>
  <r>
    <s v="C002295"/>
    <x v="65"/>
    <s v="Gahunga – RIB Station"/>
    <s v="Burera"/>
    <x v="0"/>
    <x v="3"/>
    <s v="VIP"/>
    <x v="0"/>
    <x v="6"/>
    <m/>
    <s v="4G ONE NETWORK 3MBPS"/>
    <m/>
    <n v="1"/>
    <n v="81355.932203389835"/>
    <n v="81355.932203389835"/>
    <s v="Monthly"/>
    <d v="2025-02-28T00:00:00"/>
    <x v="7"/>
    <x v="2"/>
    <n v="-602"/>
    <x v="1"/>
    <x v="2"/>
    <s v="Modeste Nshimiyimana"/>
    <s v="dict@rib.gov.rw"/>
    <s v="0788310027/0788380425"/>
    <m/>
    <m/>
    <m/>
  </r>
  <r>
    <s v="C002295"/>
    <x v="65"/>
    <s v="Bungwe – RIB Station"/>
    <s v="Burera"/>
    <x v="0"/>
    <x v="3"/>
    <s v="VIP"/>
    <x v="0"/>
    <x v="6"/>
    <m/>
    <s v="4G ONE NETWORK 3MBPS"/>
    <m/>
    <n v="1"/>
    <n v="81355.932203389835"/>
    <n v="81355.932203389835"/>
    <s v="Monthly"/>
    <d v="2025-02-28T00:00:00"/>
    <x v="7"/>
    <x v="2"/>
    <n v="-602"/>
    <x v="1"/>
    <x v="2"/>
    <s v="Modeste Nshimiyimana"/>
    <s v="dict@rib.gov.rw"/>
    <s v="0788310027/0788380425"/>
    <m/>
    <m/>
    <m/>
  </r>
  <r>
    <s v="C002295"/>
    <x v="65"/>
    <s v="Nyarusiza – RIB Station"/>
    <s v="Burera"/>
    <x v="0"/>
    <x v="3"/>
    <s v="VIP"/>
    <x v="0"/>
    <x v="6"/>
    <m/>
    <s v="4G ONE NETWORK 3MBPS"/>
    <m/>
    <n v="1"/>
    <n v="81355.932203389835"/>
    <n v="81355.932203389835"/>
    <s v="Monthly"/>
    <d v="2025-02-28T00:00:00"/>
    <x v="7"/>
    <x v="2"/>
    <n v="-602"/>
    <x v="1"/>
    <x v="2"/>
    <s v="Modeste Nshimiyimana"/>
    <s v="dict@rib.gov.rw"/>
    <s v="0788310027/0788380425"/>
    <m/>
    <m/>
    <m/>
  </r>
  <r>
    <s v="C002295"/>
    <x v="65"/>
    <s v="Cyabingo – RIB Station"/>
    <s v="Gakenke"/>
    <x v="0"/>
    <x v="3"/>
    <s v="VIP"/>
    <x v="0"/>
    <x v="6"/>
    <m/>
    <s v="4G ONE NETWORK 3MBPS"/>
    <m/>
    <n v="1"/>
    <n v="81355.932203389835"/>
    <n v="81355.932203389835"/>
    <s v="Monthly"/>
    <d v="2025-02-28T00:00:00"/>
    <x v="7"/>
    <x v="2"/>
    <n v="-602"/>
    <x v="1"/>
    <x v="2"/>
    <s v="Modeste Nshimiyimana"/>
    <s v="dict@rib.gov.rw"/>
    <s v="0788310027/0788380425"/>
    <m/>
    <m/>
    <m/>
  </r>
  <r>
    <s v="C002295"/>
    <x v="65"/>
    <s v="Janja – RIB Station"/>
    <s v="Gakenke"/>
    <x v="0"/>
    <x v="3"/>
    <s v="VIP"/>
    <x v="0"/>
    <x v="6"/>
    <m/>
    <s v="4G ONE NETWORK 3MBPS"/>
    <m/>
    <n v="1"/>
    <n v="81355.932203389835"/>
    <n v="81355.932203389835"/>
    <s v="Monthly"/>
    <d v="2025-02-28T00:00:00"/>
    <x v="7"/>
    <x v="2"/>
    <n v="-602"/>
    <x v="1"/>
    <x v="2"/>
    <s v="Modeste Nshimiyimana"/>
    <s v="dict@rib.gov.rw"/>
    <s v="0788310027/0788380425"/>
    <m/>
    <m/>
    <m/>
  </r>
  <r>
    <s v="C002295"/>
    <x v="65"/>
    <s v="Rushashi – RIB Station"/>
    <s v="Gakenke"/>
    <x v="0"/>
    <x v="3"/>
    <s v="VIP"/>
    <x v="0"/>
    <x v="6"/>
    <m/>
    <s v="4G ONE NETWORK 3MBPS"/>
    <m/>
    <n v="1"/>
    <n v="81355.932203389835"/>
    <n v="81355.932203389835"/>
    <s v="Monthly"/>
    <d v="2025-02-28T00:00:00"/>
    <x v="7"/>
    <x v="2"/>
    <n v="-602"/>
    <x v="1"/>
    <x v="2"/>
    <s v="Modeste Nshimiyimana"/>
    <s v="dict@rib.gov.rw"/>
    <s v="0788310027/0788380425"/>
    <m/>
    <m/>
    <m/>
  </r>
  <r>
    <s v="C002295"/>
    <x v="65"/>
    <s v="Ruli – RIB Station"/>
    <s v="Gakenke"/>
    <x v="0"/>
    <x v="3"/>
    <s v="VIP"/>
    <x v="0"/>
    <x v="6"/>
    <m/>
    <s v="4G ONE NETWORK 3MBPS"/>
    <m/>
    <n v="1"/>
    <n v="81355.932203389835"/>
    <n v="81355.932203389835"/>
    <s v="Monthly"/>
    <d v="2025-02-28T00:00:00"/>
    <x v="7"/>
    <x v="2"/>
    <n v="-602"/>
    <x v="1"/>
    <x v="2"/>
    <s v="Modeste Nshimiyimana"/>
    <s v="dict@rib.gov.rw"/>
    <s v="0788310027/0788380425"/>
    <m/>
    <m/>
    <m/>
  </r>
  <r>
    <s v="C002295"/>
    <x v="65"/>
    <s v="RWERU– RIB Station"/>
    <s v="Gakenke"/>
    <x v="0"/>
    <x v="3"/>
    <s v="VIP"/>
    <x v="0"/>
    <x v="6"/>
    <m/>
    <s v="4G ONE NETWORK 3MBPS"/>
    <m/>
    <n v="1"/>
    <n v="81355.932203389835"/>
    <n v="81355.932203389835"/>
    <s v="Monthly"/>
    <d v="2025-02-28T00:00:00"/>
    <x v="7"/>
    <x v="2"/>
    <n v="-602"/>
    <x v="1"/>
    <x v="2"/>
    <s v="Modeste Nshimiyimana"/>
    <s v="dict@rib.gov.rw"/>
    <s v="0788310027/0788380425"/>
    <m/>
    <m/>
    <m/>
  </r>
  <r>
    <s v="C002295"/>
    <x v="65"/>
    <s v="RIB HQ."/>
    <s v="Gasabo"/>
    <x v="0"/>
    <x v="3"/>
    <s v="VIP"/>
    <x v="0"/>
    <x v="6"/>
    <m/>
    <s v="4G ONE NETWORK 8GB/DAY"/>
    <m/>
    <n v="1"/>
    <n v="77711.86"/>
    <n v="77711.86"/>
    <s v="Monthly"/>
    <d v="2025-02-28T00:00:00"/>
    <x v="7"/>
    <x v="2"/>
    <n v="-602"/>
    <x v="1"/>
    <x v="2"/>
    <s v="Modeste Nshimiyimana"/>
    <s v="dict@rib.gov.rw"/>
    <s v="0788310027/0788380425"/>
    <m/>
    <m/>
    <m/>
  </r>
  <r>
    <s v="C002295"/>
    <x v="65"/>
    <s v="Kimironko – RIB Station"/>
    <s v="Gasabo"/>
    <x v="0"/>
    <x v="3"/>
    <s v="VIP"/>
    <x v="0"/>
    <x v="6"/>
    <m/>
    <s v="4G ONE NETWORK 3MBPS"/>
    <m/>
    <n v="1"/>
    <n v="81355.932203389835"/>
    <n v="81355.932203389835"/>
    <s v="Monthly"/>
    <d v="2025-02-28T00:00:00"/>
    <x v="7"/>
    <x v="2"/>
    <n v="-602"/>
    <x v="1"/>
    <x v="2"/>
    <s v="Modeste Nshimiyimana"/>
    <s v="dict@rib.gov.rw"/>
    <s v="0788310027/0788380425"/>
    <m/>
    <m/>
    <m/>
  </r>
  <r>
    <s v="C002295"/>
    <x v="65"/>
    <s v="Rusororo – RIB Station"/>
    <s v="Gasabo"/>
    <x v="0"/>
    <x v="3"/>
    <s v="VIP"/>
    <x v="0"/>
    <x v="6"/>
    <m/>
    <s v="4G ONE NETWORK 3MBPS"/>
    <m/>
    <n v="1"/>
    <n v="81355.932203389835"/>
    <n v="81355.932203389835"/>
    <s v="Monthly"/>
    <d v="2025-02-28T00:00:00"/>
    <x v="7"/>
    <x v="2"/>
    <n v="-602"/>
    <x v="1"/>
    <x v="2"/>
    <s v="Modeste Nshimiyimana"/>
    <s v="dict@rib.gov.rw"/>
    <s v="0788310027/0788380425"/>
    <m/>
    <m/>
    <m/>
  </r>
  <r>
    <s v="C002295"/>
    <x v="65"/>
    <s v="Ndera – RIB Station"/>
    <s v="Gasabo"/>
    <x v="0"/>
    <x v="3"/>
    <s v="VIP"/>
    <x v="0"/>
    <x v="6"/>
    <m/>
    <s v="4G ONE NETWORK 3MBPS"/>
    <m/>
    <n v="1"/>
    <n v="81355.932203389835"/>
    <n v="81355.932203389835"/>
    <s v="Monthly"/>
    <d v="2025-02-28T00:00:00"/>
    <x v="7"/>
    <x v="2"/>
    <n v="-602"/>
    <x v="1"/>
    <x v="2"/>
    <s v="Modeste Nshimiyimana"/>
    <s v="dict@rib.gov.rw"/>
    <s v="0788310027/0788380425"/>
    <m/>
    <m/>
    <m/>
  </r>
  <r>
    <s v="C002295"/>
    <x v="65"/>
    <s v="Kacyiru – RIB Station"/>
    <s v="Gasabo"/>
    <x v="0"/>
    <x v="3"/>
    <s v="VIP"/>
    <x v="0"/>
    <x v="6"/>
    <m/>
    <s v="4G ONE NETWORK 3MBPS"/>
    <m/>
    <n v="1"/>
    <n v="81355.932203389835"/>
    <n v="81355.932203389835"/>
    <s v="Monthly"/>
    <d v="2025-02-28T00:00:00"/>
    <x v="7"/>
    <x v="2"/>
    <n v="-602"/>
    <x v="1"/>
    <x v="2"/>
    <s v="Modeste Nshimiyimana"/>
    <s v="dict@rib.gov.rw"/>
    <s v="0788310027/0788380425"/>
    <m/>
    <m/>
    <m/>
  </r>
  <r>
    <s v="C002295"/>
    <x v="65"/>
    <s v="Gatsata – RIB Station"/>
    <s v="Gasabo"/>
    <x v="0"/>
    <x v="3"/>
    <s v="VIP"/>
    <x v="0"/>
    <x v="6"/>
    <m/>
    <s v="4G ONE NETWORK 3MBPS"/>
    <m/>
    <n v="1"/>
    <n v="81355.932203389835"/>
    <n v="81355.932203389835"/>
    <s v="Monthly"/>
    <d v="2025-02-28T00:00:00"/>
    <x v="7"/>
    <x v="2"/>
    <n v="-602"/>
    <x v="1"/>
    <x v="2"/>
    <s v="Modeste Nshimiyimana"/>
    <s v="dict@rib.gov.rw"/>
    <s v="0788310027/0788380425"/>
    <m/>
    <m/>
    <m/>
  </r>
  <r>
    <s v="C002295"/>
    <x v="65"/>
    <s v="Kinyinya – RIB Station"/>
    <s v="Gasabo"/>
    <x v="0"/>
    <x v="3"/>
    <s v="VIP"/>
    <x v="0"/>
    <x v="6"/>
    <m/>
    <s v="4G ONE NETWORK 3MBPS"/>
    <m/>
    <n v="1"/>
    <n v="81355.932203389835"/>
    <n v="81355.932203389835"/>
    <s v="Monthly"/>
    <d v="2025-02-28T00:00:00"/>
    <x v="7"/>
    <x v="2"/>
    <n v="-602"/>
    <x v="1"/>
    <x v="2"/>
    <s v="Modeste Nshimiyimana"/>
    <s v="dict@rib.gov.rw"/>
    <s v="0788310027/0788380425"/>
    <m/>
    <m/>
    <m/>
  </r>
  <r>
    <s v="C002295"/>
    <x v="65"/>
    <s v="Nduba – RIB Station"/>
    <s v="Gasabo"/>
    <x v="0"/>
    <x v="3"/>
    <s v="VIP"/>
    <x v="0"/>
    <x v="6"/>
    <m/>
    <s v="4G ONE NETWORK 3MBPS"/>
    <m/>
    <n v="1"/>
    <n v="81355.932203389835"/>
    <n v="81355.932203389835"/>
    <s v="Monthly"/>
    <d v="2025-02-28T00:00:00"/>
    <x v="7"/>
    <x v="2"/>
    <n v="-602"/>
    <x v="1"/>
    <x v="2"/>
    <s v="Modeste Nshimiyimana"/>
    <s v="dict@rib.gov.rw"/>
    <s v="0788310027/0788380425"/>
    <m/>
    <m/>
    <m/>
  </r>
  <r>
    <s v="C002295"/>
    <x v="65"/>
    <s v="Jabana – RIB Station"/>
    <s v="Gasabo"/>
    <x v="0"/>
    <x v="3"/>
    <s v="VIP"/>
    <x v="0"/>
    <x v="6"/>
    <m/>
    <s v="4G ONE NETWORK 3MBPS"/>
    <m/>
    <n v="1"/>
    <n v="81355.932203389835"/>
    <n v="81355.932203389835"/>
    <s v="Monthly"/>
    <d v="2025-02-28T00:00:00"/>
    <x v="7"/>
    <x v="2"/>
    <n v="-602"/>
    <x v="1"/>
    <x v="2"/>
    <s v="Modeste Nshimiyimana"/>
    <s v="dict@rib.gov.rw"/>
    <s v="0788310027/0788380425"/>
    <m/>
    <m/>
    <m/>
  </r>
  <r>
    <s v="C002295"/>
    <x v="65"/>
    <s v="Kimihurura – RIB Station"/>
    <s v="Gasabo"/>
    <x v="0"/>
    <x v="3"/>
    <s v="VIP"/>
    <x v="0"/>
    <x v="6"/>
    <m/>
    <s v="4G ONE NETWORK 3MBPS"/>
    <m/>
    <n v="1"/>
    <n v="81355.932203389835"/>
    <n v="81355.932203389835"/>
    <s v="Monthly"/>
    <d v="2025-02-28T00:00:00"/>
    <x v="7"/>
    <x v="2"/>
    <n v="-602"/>
    <x v="1"/>
    <x v="2"/>
    <s v="Modeste Nshimiyimana"/>
    <s v="dict@rib.gov.rw"/>
    <s v="0788310027/0788380425"/>
    <m/>
    <m/>
    <m/>
  </r>
  <r>
    <s v="C002295"/>
    <x v="65"/>
    <s v="Gikomero – RIB Station"/>
    <s v="Gasabo"/>
    <x v="0"/>
    <x v="3"/>
    <s v="VIP"/>
    <x v="0"/>
    <x v="6"/>
    <m/>
    <s v="4G ONE NETWORK 3MBPS"/>
    <m/>
    <n v="1"/>
    <n v="81355.932203389835"/>
    <n v="81355.932203389835"/>
    <s v="Monthly"/>
    <d v="2025-02-28T00:00:00"/>
    <x v="7"/>
    <x v="2"/>
    <n v="-602"/>
    <x v="1"/>
    <x v="2"/>
    <s v="Modeste Nshimiyimana"/>
    <s v="dict@rib.gov.rw"/>
    <s v="0788310027/0788380425"/>
    <m/>
    <m/>
    <m/>
  </r>
  <r>
    <s v="C002295"/>
    <x v="65"/>
    <s v="Bumbogo – RIB Station"/>
    <s v="Gasabo"/>
    <x v="0"/>
    <x v="3"/>
    <s v="VIP"/>
    <x v="0"/>
    <x v="6"/>
    <m/>
    <s v="4G ONE NETWORK 3MBPS"/>
    <m/>
    <n v="1"/>
    <n v="81355.932203389835"/>
    <n v="81355.932203389835"/>
    <s v="Monthly"/>
    <d v="2025-02-28T00:00:00"/>
    <x v="7"/>
    <x v="2"/>
    <n v="-602"/>
    <x v="1"/>
    <x v="2"/>
    <s v="Modeste Nshimiyimana"/>
    <s v="dict@rib.gov.rw"/>
    <s v="0788310027/0788380425"/>
    <m/>
    <m/>
    <m/>
  </r>
  <r>
    <s v="C002295"/>
    <x v="65"/>
    <s v="Ngarama "/>
    <s v="Gatsibo"/>
    <x v="0"/>
    <x v="3"/>
    <s v="VIP"/>
    <x v="0"/>
    <x v="6"/>
    <m/>
    <s v="4G ONE NETWORK 3MBPS"/>
    <m/>
    <n v="1"/>
    <n v="81355.932203389835"/>
    <n v="81355.932203389835"/>
    <s v="Monthly"/>
    <d v="2025-02-28T00:00:00"/>
    <x v="7"/>
    <x v="2"/>
    <n v="-602"/>
    <x v="1"/>
    <x v="2"/>
    <s v="Modeste Nshimiyimana"/>
    <s v="dict@rib.gov.rw"/>
    <s v="0788310027/0788380425"/>
    <m/>
    <m/>
    <m/>
  </r>
  <r>
    <s v="C002295"/>
    <x v="65"/>
    <s v="Rugarama – RIB Station."/>
    <s v="Gatsibo"/>
    <x v="0"/>
    <x v="3"/>
    <s v="VIP"/>
    <x v="0"/>
    <x v="6"/>
    <m/>
    <s v="4G ONE NETWORK 3MBPS"/>
    <m/>
    <n v="1"/>
    <n v="81355.932203389835"/>
    <n v="81355.932203389835"/>
    <s v="Monthly"/>
    <d v="2025-02-28T00:00:00"/>
    <x v="7"/>
    <x v="2"/>
    <n v="-602"/>
    <x v="1"/>
    <x v="2"/>
    <s v="Modeste Nshimiyimana"/>
    <s v="dict@rib.gov.rw"/>
    <s v="0788310027/0788380425"/>
    <m/>
    <m/>
    <m/>
  </r>
  <r>
    <s v="C002295"/>
    <x v="65"/>
    <s v="Kiramuruzi – RIB Station."/>
    <s v="Gatsibo"/>
    <x v="0"/>
    <x v="3"/>
    <s v="VIP"/>
    <x v="0"/>
    <x v="6"/>
    <m/>
    <s v="4G ONE NETWORK 3MBPS"/>
    <m/>
    <n v="1"/>
    <n v="81355.932203389835"/>
    <n v="81355.932203389835"/>
    <s v="Monthly"/>
    <d v="2025-02-28T00:00:00"/>
    <x v="7"/>
    <x v="2"/>
    <n v="-602"/>
    <x v="1"/>
    <x v="2"/>
    <s v="Modeste Nshimiyimana"/>
    <s v="dict@rib.gov.rw"/>
    <s v="0788310027/0788380425"/>
    <m/>
    <m/>
    <m/>
  </r>
  <r>
    <s v="C002295"/>
    <x v="65"/>
    <s v="Gatsibo – RIB Station."/>
    <s v="Gatsibo"/>
    <x v="0"/>
    <x v="3"/>
    <s v="VIP"/>
    <x v="0"/>
    <x v="6"/>
    <m/>
    <s v="4G ONE NETWORK 3MBPS"/>
    <m/>
    <n v="1"/>
    <n v="81355.932203389835"/>
    <n v="81355.932203389835"/>
    <s v="Monthly"/>
    <d v="2025-02-28T00:00:00"/>
    <x v="7"/>
    <x v="2"/>
    <n v="-602"/>
    <x v="1"/>
    <x v="2"/>
    <s v="Modeste Nshimiyimana"/>
    <s v="dict@rib.gov.rw"/>
    <s v="0788310027/0788380425"/>
    <m/>
    <m/>
    <m/>
  </r>
  <r>
    <s v="C002295"/>
    <x v="65"/>
    <s v="Gahini – RIB Station."/>
    <s v="Gatsibo"/>
    <x v="0"/>
    <x v="3"/>
    <s v="VIP"/>
    <x v="0"/>
    <x v="6"/>
    <m/>
    <s v="4G ONE NETWORK 3MBPS"/>
    <m/>
    <n v="1"/>
    <n v="81355.932203389835"/>
    <n v="81355.932203389835"/>
    <s v="Monthly"/>
    <d v="2025-02-28T00:00:00"/>
    <x v="7"/>
    <x v="2"/>
    <n v="-602"/>
    <x v="1"/>
    <x v="2"/>
    <s v="Modeste Nshimiyimana"/>
    <s v="dict@rib.gov.rw"/>
    <s v="0788310027/0788380425"/>
    <m/>
    <m/>
    <m/>
  </r>
  <r>
    <s v="C002295"/>
    <x v="65"/>
    <s v="Mwiri – RIB Station."/>
    <s v="Gatsibo"/>
    <x v="0"/>
    <x v="3"/>
    <s v="VIP"/>
    <x v="0"/>
    <x v="6"/>
    <m/>
    <s v="4G ONE NETWORK 3MBPS"/>
    <m/>
    <n v="1"/>
    <n v="81355.932203389835"/>
    <n v="81355.932203389835"/>
    <s v="Monthly"/>
    <d v="2025-02-28T00:00:00"/>
    <x v="7"/>
    <x v="2"/>
    <n v="-602"/>
    <x v="1"/>
    <x v="2"/>
    <s v="Modeste Nshimiyimana"/>
    <s v="dict@rib.gov.rw"/>
    <s v="0788310027/0788380425"/>
    <m/>
    <m/>
    <m/>
  </r>
  <r>
    <s v="C002295"/>
    <x v="65"/>
    <s v="Kaniga – RIB Station"/>
    <s v="Gicumbi"/>
    <x v="0"/>
    <x v="3"/>
    <s v="VIP"/>
    <x v="0"/>
    <x v="6"/>
    <m/>
    <s v="4G ONE NETWORK 3MBPS"/>
    <m/>
    <n v="1"/>
    <n v="81355.932203389835"/>
    <n v="81355.932203389835"/>
    <s v="Monthly"/>
    <d v="2025-02-28T00:00:00"/>
    <x v="7"/>
    <x v="2"/>
    <n v="-602"/>
    <x v="1"/>
    <x v="2"/>
    <s v="Modeste Nshimiyimana"/>
    <s v="dict@rib.gov.rw"/>
    <s v="0788310027/0788380425"/>
    <m/>
    <m/>
    <m/>
  </r>
  <r>
    <s v="C002295"/>
    <x v="65"/>
    <s v="Byumba – RIB Station"/>
    <s v="Gicumbi"/>
    <x v="0"/>
    <x v="3"/>
    <s v="VIP"/>
    <x v="0"/>
    <x v="6"/>
    <m/>
    <s v="4G ONE NETWORK 3MBPS"/>
    <m/>
    <n v="1"/>
    <n v="81355.932203389835"/>
    <n v="81355.932203389835"/>
    <s v="Monthly"/>
    <d v="2025-02-28T00:00:00"/>
    <x v="7"/>
    <x v="2"/>
    <n v="-602"/>
    <x v="1"/>
    <x v="2"/>
    <s v="Modeste Nshimiyimana"/>
    <s v="dict@rib.gov.rw"/>
    <s v="0788310027/0788380425"/>
    <m/>
    <m/>
    <m/>
  </r>
  <r>
    <s v="C002295"/>
    <x v="65"/>
    <s v="Rutare – RIB Station"/>
    <s v="Gicumbi"/>
    <x v="0"/>
    <x v="3"/>
    <s v="VIP"/>
    <x v="0"/>
    <x v="6"/>
    <m/>
    <s v="4G ONE NETWORK 3MBPS"/>
    <m/>
    <n v="1"/>
    <n v="81355.932203389835"/>
    <n v="81355.932203389835"/>
    <s v="Monthly"/>
    <d v="2025-02-28T00:00:00"/>
    <x v="7"/>
    <x v="2"/>
    <n v="-602"/>
    <x v="1"/>
    <x v="2"/>
    <s v="Modeste Nshimiyimana"/>
    <s v="dict@rib.gov.rw"/>
    <s v="0788310027/0788380425"/>
    <m/>
    <m/>
    <m/>
  </r>
  <r>
    <s v="C002295"/>
    <x v="65"/>
    <s v="Bukure – RIB Station"/>
    <s v="Gicumbi"/>
    <x v="0"/>
    <x v="3"/>
    <s v="VIP"/>
    <x v="0"/>
    <x v="6"/>
    <m/>
    <s v="4G ONE NETWORK 3MBPS"/>
    <m/>
    <n v="1"/>
    <n v="81355.932203389835"/>
    <n v="81355.932203389835"/>
    <s v="Monthly"/>
    <d v="2025-02-28T00:00:00"/>
    <x v="7"/>
    <x v="2"/>
    <n v="-602"/>
    <x v="1"/>
    <x v="2"/>
    <s v="Modeste Nshimiyimana"/>
    <s v="dict@rib.gov.rw"/>
    <s v="0788310027/0788380425"/>
    <m/>
    <m/>
    <m/>
  </r>
  <r>
    <s v="C002295"/>
    <x v="65"/>
    <s v="CYUMBA – RIB Station"/>
    <s v="Gicumbi"/>
    <x v="0"/>
    <x v="3"/>
    <s v="VIP"/>
    <x v="0"/>
    <x v="6"/>
    <m/>
    <s v="4G ONE NETWORK 3MBPS"/>
    <m/>
    <n v="1"/>
    <n v="81355.932203389835"/>
    <n v="81355.932203389835"/>
    <s v="Monthly"/>
    <d v="2025-02-28T00:00:00"/>
    <x v="7"/>
    <x v="2"/>
    <n v="-602"/>
    <x v="1"/>
    <x v="2"/>
    <s v="Modeste Nshimiyimana"/>
    <s v="dict@rib.gov.rw"/>
    <s v="0788310027/0788380425"/>
    <m/>
    <m/>
    <m/>
  </r>
  <r>
    <s v="C002295"/>
    <x v="65"/>
    <s v="RUSHAKI– RIB Station"/>
    <s v="Gicumbi"/>
    <x v="0"/>
    <x v="3"/>
    <s v="VIP"/>
    <x v="0"/>
    <x v="6"/>
    <m/>
    <s v="4G ONE NETWORK 3MBPS"/>
    <m/>
    <n v="1"/>
    <n v="81355.932203389835"/>
    <n v="81355.932203389835"/>
    <s v="Monthly"/>
    <d v="2025-02-28T00:00:00"/>
    <x v="7"/>
    <x v="2"/>
    <n v="-602"/>
    <x v="1"/>
    <x v="2"/>
    <s v="Modeste Nshimiyimana"/>
    <s v="dict@rib.gov.rw"/>
    <s v="0788310027/0788380425"/>
    <m/>
    <m/>
    <m/>
  </r>
  <r>
    <s v="C002295"/>
    <x v="65"/>
    <s v="Save – RIB Station"/>
    <s v="Gisagara"/>
    <x v="0"/>
    <x v="3"/>
    <s v="VIP"/>
    <x v="0"/>
    <x v="6"/>
    <m/>
    <s v="4G ONE NETWORK 3MBPS"/>
    <m/>
    <n v="1"/>
    <n v="81355.932203389835"/>
    <n v="81355.932203389835"/>
    <s v="Monthly"/>
    <d v="2025-02-28T00:00:00"/>
    <x v="7"/>
    <x v="2"/>
    <n v="-602"/>
    <x v="1"/>
    <x v="2"/>
    <s v="Modeste Nshimiyimana"/>
    <s v="dict@rib.gov.rw"/>
    <s v="0788310027/0788380425"/>
    <m/>
    <m/>
    <m/>
  </r>
  <r>
    <s v="C002295"/>
    <x v="65"/>
    <s v="RIB KIBIRIZI– RIB Station"/>
    <s v="Gisagara"/>
    <x v="0"/>
    <x v="3"/>
    <s v="VIP"/>
    <x v="0"/>
    <x v="6"/>
    <m/>
    <s v="4G ONE NETWORK 3MBPS"/>
    <m/>
    <n v="1"/>
    <n v="81355.932203389835"/>
    <n v="81355.932203389835"/>
    <s v="Monthly"/>
    <d v="2025-02-28T00:00:00"/>
    <x v="7"/>
    <x v="2"/>
    <n v="-602"/>
    <x v="1"/>
    <x v="2"/>
    <s v="Modeste Nshimiyimana"/>
    <s v="dict@rib.gov.rw"/>
    <s v="0788310027/0788380425"/>
    <m/>
    <m/>
    <m/>
  </r>
  <r>
    <s v="C002295"/>
    <x v="65"/>
    <s v="RIB MUGOMBWA– RIB Station"/>
    <s v="Gisagara"/>
    <x v="0"/>
    <x v="3"/>
    <s v="VIP"/>
    <x v="0"/>
    <x v="6"/>
    <m/>
    <s v="4G ONE NETWORK 3MBPS"/>
    <m/>
    <n v="1"/>
    <n v="81355.932203389835"/>
    <n v="81355.932203389835"/>
    <s v="Monthly"/>
    <d v="2025-02-28T00:00:00"/>
    <x v="7"/>
    <x v="2"/>
    <n v="-602"/>
    <x v="1"/>
    <x v="2"/>
    <s v="Modeste Nshimiyimana"/>
    <s v="dict@rib.gov.rw"/>
    <s v="0788310027/0788380425"/>
    <m/>
    <m/>
    <m/>
  </r>
  <r>
    <s v="C002295"/>
    <x v="65"/>
    <s v="RIB SAVE– RIB Station"/>
    <s v="Gisagara"/>
    <x v="0"/>
    <x v="3"/>
    <s v="VIP"/>
    <x v="0"/>
    <x v="6"/>
    <m/>
    <s v="4G ONE NETWORK 3MBPS"/>
    <m/>
    <n v="1"/>
    <n v="81355.932203389835"/>
    <n v="81355.932203389835"/>
    <s v="Monthly"/>
    <d v="2025-02-28T00:00:00"/>
    <x v="7"/>
    <x v="2"/>
    <n v="-602"/>
    <x v="1"/>
    <x v="2"/>
    <s v="Modeste Nshimiyimana"/>
    <s v="dict@rib.gov.rw"/>
    <s v="0788310027/0788380425"/>
    <m/>
    <m/>
    <m/>
  </r>
  <r>
    <s v="C002295"/>
    <x v="65"/>
    <s v="RIB GIKONKO– RIB Station"/>
    <s v="Gisagara"/>
    <x v="0"/>
    <x v="3"/>
    <s v="VIP"/>
    <x v="0"/>
    <x v="6"/>
    <m/>
    <s v="4G ONE NETWORK 3MBPS"/>
    <m/>
    <n v="1"/>
    <n v="81355.932203389835"/>
    <n v="81355.932203389835"/>
    <s v="Monthly"/>
    <d v="2025-02-28T00:00:00"/>
    <x v="7"/>
    <x v="2"/>
    <n v="-602"/>
    <x v="1"/>
    <x v="2"/>
    <s v="Modeste Nshimiyimana"/>
    <s v="dict@rib.gov.rw"/>
    <s v="0788310027/0788380425"/>
    <m/>
    <m/>
    <m/>
  </r>
  <r>
    <s v="C002295"/>
    <x v="65"/>
    <s v="Ngoma – RIB Station"/>
    <s v="Huye"/>
    <x v="0"/>
    <x v="3"/>
    <s v="VIP"/>
    <x v="0"/>
    <x v="6"/>
    <m/>
    <s v="4G ONE NETWORK 3MBPS"/>
    <m/>
    <n v="1"/>
    <n v="81355.932203389835"/>
    <n v="81355.932203389835"/>
    <s v="Monthly"/>
    <d v="2025-02-28T00:00:00"/>
    <x v="7"/>
    <x v="2"/>
    <n v="-602"/>
    <x v="1"/>
    <x v="2"/>
    <s v="Modeste Nshimiyimana"/>
    <s v="dict@rib.gov.rw"/>
    <s v="0788310027/0788380425"/>
    <m/>
    <m/>
    <m/>
  </r>
  <r>
    <s v="C002295"/>
    <x v="65"/>
    <s v="NTYAZO– RIB Station"/>
    <s v="Huye"/>
    <x v="0"/>
    <x v="3"/>
    <s v="VIP"/>
    <x v="0"/>
    <x v="6"/>
    <m/>
    <s v="4G ONE NETWORK 3MBPS"/>
    <m/>
    <n v="1"/>
    <n v="81355.932203389835"/>
    <n v="81355.932203389835"/>
    <s v="Monthly"/>
    <d v="2025-02-28T00:00:00"/>
    <x v="7"/>
    <x v="2"/>
    <n v="-602"/>
    <x v="1"/>
    <x v="2"/>
    <s v="Modeste Nshimiyimana"/>
    <s v="dict@rib.gov.rw"/>
    <s v="0788310027/0788380425"/>
    <m/>
    <m/>
    <m/>
  </r>
  <r>
    <s v="C002295"/>
    <x v="65"/>
    <s v="HUYE.– RIB Station"/>
    <s v="Huye"/>
    <x v="0"/>
    <x v="3"/>
    <s v="VIP"/>
    <x v="0"/>
    <x v="6"/>
    <m/>
    <s v="4G ONE NETWORK 3MBPS"/>
    <m/>
    <n v="1"/>
    <n v="81355.932203389835"/>
    <n v="81355.932203389835"/>
    <s v="Monthly"/>
    <d v="2025-02-28T00:00:00"/>
    <x v="7"/>
    <x v="2"/>
    <n v="-602"/>
    <x v="1"/>
    <x v="2"/>
    <s v="Modeste Nshimiyimana"/>
    <s v="dict@rib.gov.rw"/>
    <s v="0788310027/0788380425"/>
    <m/>
    <m/>
    <m/>
  </r>
  <r>
    <s v="C002295"/>
    <x v="65"/>
    <s v="SIMBI– RIB Station"/>
    <s v="Huye"/>
    <x v="0"/>
    <x v="3"/>
    <s v="VIP"/>
    <x v="0"/>
    <x v="6"/>
    <m/>
    <s v="4G ONE NETWORK 3MBPS"/>
    <m/>
    <n v="1"/>
    <n v="81355.932203389835"/>
    <n v="81355.932203389835"/>
    <s v="Monthly"/>
    <d v="2025-02-28T00:00:00"/>
    <x v="7"/>
    <x v="2"/>
    <n v="-602"/>
    <x v="1"/>
    <x v="2"/>
    <s v="Modeste Nshimiyimana"/>
    <s v="dict@rib.gov.rw"/>
    <s v="0788310027/0788380425"/>
    <m/>
    <m/>
    <m/>
  </r>
  <r>
    <s v="C002295"/>
    <x v="65"/>
    <s v="MBAZI– RIB Station"/>
    <s v="Huye"/>
    <x v="0"/>
    <x v="3"/>
    <s v="VIP"/>
    <x v="0"/>
    <x v="6"/>
    <m/>
    <s v="4G ONE NETWORK 3MBPS"/>
    <m/>
    <n v="1"/>
    <n v="81355.932203389835"/>
    <n v="81355.932203389835"/>
    <s v="Monthly"/>
    <d v="2025-02-28T00:00:00"/>
    <x v="7"/>
    <x v="2"/>
    <n v="-602"/>
    <x v="1"/>
    <x v="2"/>
    <s v="Modeste Nshimiyimana"/>
    <s v="dict@rib.gov.rw"/>
    <s v="0788310027/0788380425"/>
    <m/>
    <m/>
    <m/>
  </r>
  <r>
    <s v="C002295"/>
    <x v="65"/>
    <s v="MBAZI– RIB Station"/>
    <s v="Huye"/>
    <x v="0"/>
    <x v="3"/>
    <s v="VIP"/>
    <x v="0"/>
    <x v="6"/>
    <m/>
    <s v="4G ONE NETWORK 3MBPS"/>
    <m/>
    <n v="1"/>
    <n v="81355.932203389835"/>
    <n v="81355.932203389835"/>
    <s v="Monthly"/>
    <d v="2025-02-28T00:00:00"/>
    <x v="7"/>
    <x v="2"/>
    <n v="-602"/>
    <x v="1"/>
    <x v="2"/>
    <s v="Modeste Nshimiyimana"/>
    <s v="dict@rib.gov.rw"/>
    <s v="0788310027/0788380425"/>
    <m/>
    <m/>
    <m/>
  </r>
  <r>
    <s v="C002295"/>
    <x v="65"/>
    <s v="MUKURA– RIB Station"/>
    <s v="Huye"/>
    <x v="0"/>
    <x v="3"/>
    <s v="VIP"/>
    <x v="0"/>
    <x v="6"/>
    <m/>
    <s v="4G ONE NETWORK 3MBPS"/>
    <m/>
    <n v="1"/>
    <n v="81355.932203389835"/>
    <n v="81355.932203389835"/>
    <s v="Monthly"/>
    <d v="2025-02-28T00:00:00"/>
    <x v="7"/>
    <x v="2"/>
    <n v="-602"/>
    <x v="1"/>
    <x v="2"/>
    <s v="Modeste Nshimiyimana"/>
    <s v="dict@rib.gov.rw"/>
    <s v="0788310027/0788380425"/>
    <m/>
    <m/>
    <m/>
  </r>
  <r>
    <s v="C002295"/>
    <x v="65"/>
    <s v="TUMBA– RIB Station"/>
    <s v="Huye"/>
    <x v="0"/>
    <x v="3"/>
    <s v="VIP"/>
    <x v="0"/>
    <x v="6"/>
    <m/>
    <s v="4G ONE NETWORK 3MBPS"/>
    <m/>
    <n v="1"/>
    <n v="81355.932203389835"/>
    <n v="81355.932203389835"/>
    <s v="Monthly"/>
    <d v="2025-02-28T00:00:00"/>
    <x v="7"/>
    <x v="2"/>
    <n v="-602"/>
    <x v="1"/>
    <x v="2"/>
    <s v="Modeste Nshimiyimana"/>
    <s v="dict@rib.gov.rw"/>
    <s v="0788310027/0788380425"/>
    <m/>
    <m/>
    <m/>
  </r>
  <r>
    <s v="C002295"/>
    <x v="65"/>
    <s v="KARAMA– RIB Station"/>
    <s v="Huye"/>
    <x v="0"/>
    <x v="3"/>
    <s v="VIP"/>
    <x v="0"/>
    <x v="6"/>
    <m/>
    <s v="4G ONE NETWORK 3MBPS"/>
    <m/>
    <n v="1"/>
    <n v="81355.932203389835"/>
    <n v="81355.932203389835"/>
    <s v="Monthly"/>
    <d v="2025-02-28T00:00:00"/>
    <x v="7"/>
    <x v="2"/>
    <n v="-602"/>
    <x v="1"/>
    <x v="2"/>
    <s v="Modeste Nshimiyimana"/>
    <s v="dict@rib.gov.rw"/>
    <s v="0788310027/0788380425"/>
    <m/>
    <m/>
    <m/>
  </r>
  <r>
    <s v="C002295"/>
    <x v="65"/>
    <s v="KINAZI– RIB Station"/>
    <s v="Huye"/>
    <x v="0"/>
    <x v="3"/>
    <s v="VIP"/>
    <x v="0"/>
    <x v="6"/>
    <m/>
    <s v="4G ONE NETWORK 3MBPS"/>
    <m/>
    <n v="1"/>
    <n v="81355.932203389835"/>
    <n v="81355.932203389835"/>
    <s v="Monthly"/>
    <d v="2025-02-28T00:00:00"/>
    <x v="7"/>
    <x v="2"/>
    <n v="-602"/>
    <x v="1"/>
    <x v="2"/>
    <s v="Modeste Nshimiyimana"/>
    <s v="dict@rib.gov.rw"/>
    <s v="0788310027/0788380425"/>
    <m/>
    <m/>
    <m/>
  </r>
  <r>
    <s v="C002295"/>
    <x v="65"/>
    <s v="RUSATIRA– RIB Station"/>
    <s v="Huye"/>
    <x v="0"/>
    <x v="3"/>
    <s v="VIP"/>
    <x v="0"/>
    <x v="6"/>
    <m/>
    <s v="4G ONE NETWORK 3MBPS"/>
    <m/>
    <n v="1"/>
    <n v="81355.932203389835"/>
    <n v="81355.932203389835"/>
    <s v="Monthly"/>
    <d v="2025-02-28T00:00:00"/>
    <x v="7"/>
    <x v="2"/>
    <n v="-602"/>
    <x v="1"/>
    <x v="2"/>
    <s v="Modeste Nshimiyimana"/>
    <s v="dict@rib.gov.rw"/>
    <s v="0788310027/0788380425"/>
    <m/>
    <m/>
    <m/>
  </r>
  <r>
    <s v="C002295"/>
    <x v="65"/>
    <s v="GACURAMBWENGE– RIB Station"/>
    <s v="Huye"/>
    <x v="0"/>
    <x v="3"/>
    <s v="VIP"/>
    <x v="0"/>
    <x v="6"/>
    <m/>
    <s v="4G ONE NETWORK 3MBPS"/>
    <m/>
    <n v="1"/>
    <n v="81355.932203389835"/>
    <n v="81355.932203389835"/>
    <s v="Monthly"/>
    <d v="2025-02-28T00:00:00"/>
    <x v="7"/>
    <x v="2"/>
    <n v="-602"/>
    <x v="1"/>
    <x v="2"/>
    <s v="Modeste Nshimiyimana"/>
    <s v="dict@rib.gov.rw"/>
    <s v="0788310027/0788380425"/>
    <m/>
    <m/>
    <m/>
  </r>
  <r>
    <s v="C002295"/>
    <x v="65"/>
    <s v="Runda – RIB Station"/>
    <s v="Kamonyi"/>
    <x v="0"/>
    <x v="3"/>
    <s v="VIP"/>
    <x v="0"/>
    <x v="6"/>
    <m/>
    <s v="4G ONE NETWORK 3MBPS"/>
    <m/>
    <n v="1"/>
    <n v="81355.932203389835"/>
    <n v="81355.932203389835"/>
    <s v="Monthly"/>
    <d v="2025-02-28T00:00:00"/>
    <x v="7"/>
    <x v="2"/>
    <n v="-602"/>
    <x v="1"/>
    <x v="2"/>
    <s v="Modeste Nshimiyimana"/>
    <s v="dict@rib.gov.rw"/>
    <s v="0788310027/0788380425"/>
    <m/>
    <m/>
    <m/>
  </r>
  <r>
    <s v="C002295"/>
    <x v="65"/>
    <s v="Musambira – RIB Station"/>
    <s v="Kamonyi"/>
    <x v="0"/>
    <x v="3"/>
    <s v="VIP"/>
    <x v="0"/>
    <x v="6"/>
    <m/>
    <s v="4G ONE NETWORK 3MBPS"/>
    <m/>
    <n v="1"/>
    <n v="81355.932203389835"/>
    <n v="81355.932203389835"/>
    <s v="Monthly"/>
    <d v="2025-02-28T00:00:00"/>
    <x v="7"/>
    <x v="2"/>
    <n v="-602"/>
    <x v="1"/>
    <x v="2"/>
    <s v="Modeste Nshimiyimana"/>
    <s v="dict@rib.gov.rw"/>
    <s v="0788310027/0788380425"/>
    <m/>
    <m/>
    <m/>
  </r>
  <r>
    <s v="C002295"/>
    <x v="65"/>
    <s v="Rukoma – RIB Station"/>
    <s v="Kamonyi"/>
    <x v="0"/>
    <x v="3"/>
    <s v="VIP"/>
    <x v="0"/>
    <x v="6"/>
    <m/>
    <s v="4G ONE NETWORK 3MBPS"/>
    <m/>
    <n v="1"/>
    <n v="81355.932203389835"/>
    <n v="81355.932203389835"/>
    <s v="Monthly"/>
    <d v="2025-02-28T00:00:00"/>
    <x v="7"/>
    <x v="2"/>
    <n v="-602"/>
    <x v="1"/>
    <x v="2"/>
    <s v="Modeste Nshimiyimana"/>
    <s v="dict@rib.gov.rw"/>
    <s v="0788310027/0788380425"/>
    <m/>
    <m/>
    <m/>
  </r>
  <r>
    <s v="C002295"/>
    <x v="65"/>
    <s v="Mugina – RIB Station"/>
    <s v="Kamonyi"/>
    <x v="0"/>
    <x v="3"/>
    <s v="VIP"/>
    <x v="0"/>
    <x v="6"/>
    <m/>
    <s v="4G ONE NETWORK 3MBPS"/>
    <m/>
    <n v="1"/>
    <n v="81355.932203389835"/>
    <n v="81355.932203389835"/>
    <s v="Monthly"/>
    <d v="2025-02-28T00:00:00"/>
    <x v="7"/>
    <x v="2"/>
    <n v="-602"/>
    <x v="1"/>
    <x v="2"/>
    <s v="Modeste Nshimiyimana"/>
    <s v="dict@rib.gov.rw"/>
    <s v="0788310027/0788380425"/>
    <m/>
    <m/>
    <m/>
  </r>
  <r>
    <s v="C002295"/>
    <x v="65"/>
    <s v="Kayenzi – RIB Station"/>
    <s v="Kamonyi"/>
    <x v="0"/>
    <x v="3"/>
    <s v="VIP"/>
    <x v="0"/>
    <x v="6"/>
    <m/>
    <s v="4G ONE NETWORK 3MBPS"/>
    <m/>
    <n v="1"/>
    <n v="81355.932203389835"/>
    <n v="81355.932203389835"/>
    <s v="Monthly"/>
    <d v="2025-02-28T00:00:00"/>
    <x v="7"/>
    <x v="2"/>
    <n v="-602"/>
    <x v="1"/>
    <x v="2"/>
    <s v="Modeste Nshimiyimana"/>
    <s v="dict@rib.gov.rw"/>
    <s v="0788310027/0788380425"/>
    <m/>
    <m/>
    <m/>
  </r>
  <r>
    <s v="C002295"/>
    <x v="65"/>
    <s v="Gashari – RIB Station"/>
    <s v="Karongi"/>
    <x v="0"/>
    <x v="3"/>
    <s v="VIP"/>
    <x v="0"/>
    <x v="6"/>
    <m/>
    <s v="4G ONE NETWORK 3MBPS"/>
    <m/>
    <n v="1"/>
    <n v="81355.932203389835"/>
    <n v="81355.932203389835"/>
    <s v="Monthly"/>
    <d v="2025-02-28T00:00:00"/>
    <x v="7"/>
    <x v="2"/>
    <n v="-602"/>
    <x v="1"/>
    <x v="2"/>
    <s v="Modeste Nshimiyimana"/>
    <s v="dict@rib.gov.rw"/>
    <s v="0788310027/0788380425"/>
    <m/>
    <m/>
    <m/>
  </r>
  <r>
    <s v="C002295"/>
    <x v="65"/>
    <s v="NYANGE– RIB Station"/>
    <s v="Karongi"/>
    <x v="0"/>
    <x v="3"/>
    <s v="VIP"/>
    <x v="0"/>
    <x v="6"/>
    <m/>
    <s v="4G ONE NETWORK 3MBPS"/>
    <m/>
    <n v="1"/>
    <n v="81355.932203389835"/>
    <n v="81355.932203389835"/>
    <s v="Monthly"/>
    <d v="2025-02-28T00:00:00"/>
    <x v="7"/>
    <x v="2"/>
    <n v="-602"/>
    <x v="1"/>
    <x v="2"/>
    <s v="Modeste Nshimiyimana"/>
    <s v="dict@rib.gov.rw"/>
    <s v="0788310027/0788380425"/>
    <m/>
    <m/>
    <m/>
  </r>
  <r>
    <s v="C002295"/>
    <x v="65"/>
    <s v="RUBENGERA– RIB Station"/>
    <s v="Karongi"/>
    <x v="0"/>
    <x v="3"/>
    <s v="VIP"/>
    <x v="0"/>
    <x v="6"/>
    <m/>
    <s v="4G ONE NETWORK 3MBPS"/>
    <m/>
    <n v="1"/>
    <n v="81355.932203389835"/>
    <n v="81355.932203389835"/>
    <s v="Monthly"/>
    <d v="2025-02-28T00:00:00"/>
    <x v="7"/>
    <x v="2"/>
    <n v="-602"/>
    <x v="1"/>
    <x v="2"/>
    <s v="Modeste Nshimiyimana"/>
    <s v="dict@rib.gov.rw"/>
    <s v="0788310027/0788380425"/>
    <m/>
    <m/>
    <m/>
  </r>
  <r>
    <s v="C002295"/>
    <x v="65"/>
    <s v="RWANKUBA– RIB Station"/>
    <s v="Karongi"/>
    <x v="0"/>
    <x v="3"/>
    <s v="VIP"/>
    <x v="0"/>
    <x v="6"/>
    <m/>
    <s v="4G ONE NETWORK 3MBPS"/>
    <m/>
    <n v="1"/>
    <n v="81355.932203389835"/>
    <n v="81355.932203389835"/>
    <s v="Monthly"/>
    <d v="2025-02-28T00:00:00"/>
    <x v="7"/>
    <x v="2"/>
    <n v="-602"/>
    <x v="1"/>
    <x v="2"/>
    <s v="Modeste Nshimiyimana"/>
    <s v="dict@rib.gov.rw"/>
    <s v="0788310027/0788380425"/>
    <m/>
    <m/>
    <m/>
  </r>
  <r>
    <s v="C002295"/>
    <x v="65"/>
    <s v="GISHYITA– RIB Station"/>
    <s v="Karongi"/>
    <x v="0"/>
    <x v="3"/>
    <s v="VIP"/>
    <x v="0"/>
    <x v="6"/>
    <m/>
    <s v="4G ONE NETWORK 3MBPS"/>
    <m/>
    <n v="1"/>
    <n v="81355.932203389835"/>
    <n v="81355.932203389835"/>
    <s v="Monthly"/>
    <d v="2025-02-28T00:00:00"/>
    <x v="7"/>
    <x v="2"/>
    <n v="-602"/>
    <x v="1"/>
    <x v="2"/>
    <s v="Modeste Nshimiyimana"/>
    <s v="dict@rib.gov.rw"/>
    <s v="0788310027/0788380425"/>
    <m/>
    <m/>
    <m/>
  </r>
  <r>
    <s v="C002295"/>
    <x v="65"/>
    <s v="MURUNDI– RIB Station"/>
    <s v="Karongi"/>
    <x v="0"/>
    <x v="3"/>
    <s v="VIP"/>
    <x v="0"/>
    <x v="6"/>
    <m/>
    <s v="4G ONE NETWORK 3MBPS"/>
    <m/>
    <n v="1"/>
    <n v="81355.932203389835"/>
    <n v="81355.932203389835"/>
    <s v="Monthly"/>
    <d v="2025-02-28T00:00:00"/>
    <x v="7"/>
    <x v="2"/>
    <n v="-602"/>
    <x v="1"/>
    <x v="2"/>
    <s v="Modeste Nshimiyimana"/>
    <s v="dict@rib.gov.rw"/>
    <s v="0788310027/0788380425"/>
    <m/>
    <m/>
    <m/>
  </r>
  <r>
    <s v="C002295"/>
    <x v="65"/>
    <s v="RIB GISHARI– RIB Station"/>
    <s v="Karongi"/>
    <x v="0"/>
    <x v="3"/>
    <s v="VIP"/>
    <x v="0"/>
    <x v="6"/>
    <m/>
    <s v="4G ONE NETWORK 3MBPS"/>
    <m/>
    <n v="1"/>
    <n v="81355.932203389835"/>
    <n v="81355.932203389835"/>
    <s v="Monthly"/>
    <d v="2025-02-28T00:00:00"/>
    <x v="7"/>
    <x v="2"/>
    <n v="-602"/>
    <x v="1"/>
    <x v="2"/>
    <s v="Modeste Nshimiyimana"/>
    <s v="dict@rib.gov.rw"/>
    <s v="0788310027/0788380425"/>
    <m/>
    <m/>
    <m/>
  </r>
  <r>
    <s v="C002295"/>
    <x v="65"/>
    <s v="Rukara – RIB Station."/>
    <s v="Kayonza"/>
    <x v="0"/>
    <x v="3"/>
    <s v="VIP"/>
    <x v="0"/>
    <x v="6"/>
    <m/>
    <s v="4G ONE NETWORK 3MBPS"/>
    <m/>
    <n v="1"/>
    <n v="81355.932203389835"/>
    <n v="81355.932203389835"/>
    <s v="Monthly"/>
    <d v="2025-02-28T00:00:00"/>
    <x v="7"/>
    <x v="2"/>
    <n v="-602"/>
    <x v="1"/>
    <x v="2"/>
    <s v="Modeste Nshimiyimana"/>
    <s v="dict@rib.gov.rw"/>
    <s v="0788310027/0788380425"/>
    <m/>
    <m/>
    <m/>
  </r>
  <r>
    <s v="C002295"/>
    <x v="65"/>
    <s v="Kabarondo – RIB Station."/>
    <s v="Kayonza"/>
    <x v="0"/>
    <x v="3"/>
    <s v="VIP"/>
    <x v="0"/>
    <x v="6"/>
    <m/>
    <s v="4G ONE NETWORK 3MBPS"/>
    <m/>
    <n v="1"/>
    <n v="81355.932203389835"/>
    <n v="81355.932203389835"/>
    <s v="Monthly"/>
    <d v="2025-02-28T00:00:00"/>
    <x v="7"/>
    <x v="2"/>
    <n v="-602"/>
    <x v="1"/>
    <x v="2"/>
    <s v="Modeste Nshimiyimana"/>
    <s v="dict@rib.gov.rw"/>
    <s v="0788310027/0788380425"/>
    <m/>
    <m/>
    <m/>
  </r>
  <r>
    <s v="C002295"/>
    <x v="65"/>
    <s v="Rwinkwavu – RIB Station."/>
    <s v="Kayonza"/>
    <x v="0"/>
    <x v="3"/>
    <s v="VIP"/>
    <x v="0"/>
    <x v="6"/>
    <m/>
    <s v="4G ONE NETWORK 3MBPS"/>
    <m/>
    <n v="1"/>
    <n v="81355.932203389835"/>
    <n v="81355.932203389835"/>
    <s v="Monthly"/>
    <d v="2025-02-28T00:00:00"/>
    <x v="7"/>
    <x v="2"/>
    <n v="-602"/>
    <x v="1"/>
    <x v="2"/>
    <s v="Modeste Nshimiyimana"/>
    <s v="dict@rib.gov.rw"/>
    <s v="0788310027/0788380425"/>
    <m/>
    <m/>
    <m/>
  </r>
  <r>
    <s v="C002295"/>
    <x v="65"/>
    <s v="Nyamirama – RIB Station."/>
    <s v="Kayonza"/>
    <x v="0"/>
    <x v="3"/>
    <s v="VIP"/>
    <x v="0"/>
    <x v="6"/>
    <m/>
    <s v="4G ONE NETWORK 3MBPS"/>
    <m/>
    <n v="1"/>
    <n v="81355.932203389835"/>
    <n v="81355.932203389835"/>
    <s v="Monthly"/>
    <d v="2025-02-28T00:00:00"/>
    <x v="7"/>
    <x v="2"/>
    <n v="-602"/>
    <x v="1"/>
    <x v="2"/>
    <s v="Modeste Nshimiyimana"/>
    <s v="dict@rib.gov.rw"/>
    <s v="0788310027/0788380425"/>
    <m/>
    <m/>
    <m/>
  </r>
  <r>
    <s v="C002295"/>
    <x v="65"/>
    <s v="Mwiri – RIB Station."/>
    <s v="Kayonza"/>
    <x v="0"/>
    <x v="3"/>
    <s v="VIP"/>
    <x v="0"/>
    <x v="6"/>
    <m/>
    <s v="4G ONE NETWORK 3MBPS"/>
    <m/>
    <n v="1"/>
    <n v="81355.932203389835"/>
    <n v="81355.932203389835"/>
    <s v="Monthly"/>
    <d v="2025-02-28T00:00:00"/>
    <x v="7"/>
    <x v="2"/>
    <n v="-602"/>
    <x v="1"/>
    <x v="2"/>
    <s v="Modeste Nshimiyimana"/>
    <s v="dict@rib.gov.rw"/>
    <s v="0788310027/0788380425"/>
    <m/>
    <m/>
    <m/>
  </r>
  <r>
    <s v="C002295"/>
    <x v="65"/>
    <s v="Katabagemu – RIB Station."/>
    <s v="Kayonza"/>
    <x v="0"/>
    <x v="3"/>
    <s v="VIP"/>
    <x v="0"/>
    <x v="6"/>
    <m/>
    <s v="4G ONE NETWORK 3MBPS"/>
    <m/>
    <n v="1"/>
    <n v="81355.932203389835"/>
    <n v="81355.932203389835"/>
    <s v="Monthly"/>
    <d v="2025-02-28T00:00:00"/>
    <x v="7"/>
    <x v="2"/>
    <n v="-602"/>
    <x v="1"/>
    <x v="2"/>
    <s v="Modeste Nshimiyimana"/>
    <s v="dict@rib.gov.rw"/>
    <s v="0788310027/0788380425"/>
    <m/>
    <m/>
    <m/>
  </r>
  <r>
    <s v="C002295"/>
    <x v="65"/>
    <s v="Rwinkwavu – RIB Station."/>
    <s v="Kayonza"/>
    <x v="0"/>
    <x v="3"/>
    <s v="VIP"/>
    <x v="0"/>
    <x v="6"/>
    <m/>
    <s v="4G ONE NETWORK 3MBPS"/>
    <m/>
    <n v="1"/>
    <n v="81355.932203389835"/>
    <n v="81355.932203389835"/>
    <s v="Monthly"/>
    <d v="2025-02-28T00:00:00"/>
    <x v="7"/>
    <x v="2"/>
    <n v="-602"/>
    <x v="1"/>
    <x v="2"/>
    <s v="Modeste Nshimiyimana"/>
    <s v="dict@rib.gov.rw"/>
    <s v="0788310027/0788380425"/>
    <m/>
    <m/>
    <m/>
  </r>
  <r>
    <s v="C002295"/>
    <x v="65"/>
    <s v="Kayonza – RIB Station."/>
    <s v="Kayonza"/>
    <x v="0"/>
    <x v="3"/>
    <s v="VIP"/>
    <x v="0"/>
    <x v="6"/>
    <m/>
    <s v="4G ONE NETWORK 3MBPS"/>
    <m/>
    <n v="1"/>
    <n v="81355.932203389835"/>
    <n v="81355.932203389835"/>
    <s v="Monthly"/>
    <d v="2025-02-28T00:00:00"/>
    <x v="7"/>
    <x v="2"/>
    <n v="-602"/>
    <x v="1"/>
    <x v="2"/>
    <s v="Modeste Nshimiyimana"/>
    <s v="dict@rib.gov.rw"/>
    <s v="0788310027/0788380425"/>
    <m/>
    <m/>
    <m/>
  </r>
  <r>
    <s v="C002295"/>
    <x v="65"/>
    <s v="Nyamirama – RIB Station."/>
    <s v="Kayonza"/>
    <x v="0"/>
    <x v="3"/>
    <s v="VIP"/>
    <x v="0"/>
    <x v="6"/>
    <m/>
    <s v="4G ONE NETWORK 3MBPS"/>
    <m/>
    <n v="1"/>
    <n v="81355.932203389835"/>
    <n v="81355.932203389835"/>
    <s v="Monthly"/>
    <d v="2025-02-28T00:00:00"/>
    <x v="7"/>
    <x v="2"/>
    <n v="-602"/>
    <x v="1"/>
    <x v="2"/>
    <s v="Modeste Nshimiyimana"/>
    <s v="dict@rib.gov.rw"/>
    <s v="0788310027/0788380425"/>
    <m/>
    <m/>
    <m/>
  </r>
  <r>
    <s v="C002295"/>
    <x v="65"/>
    <s v="Kabarondo – RIB Station."/>
    <s v="Kayonza"/>
    <x v="0"/>
    <x v="3"/>
    <s v="VIP"/>
    <x v="0"/>
    <x v="6"/>
    <m/>
    <s v="4G ONE NETWORK 3MBPS"/>
    <m/>
    <n v="1"/>
    <n v="81355.932203389835"/>
    <n v="81355.932203389835"/>
    <s v="Monthly"/>
    <d v="2025-02-28T00:00:00"/>
    <x v="7"/>
    <x v="2"/>
    <n v="-602"/>
    <x v="1"/>
    <x v="2"/>
    <s v="Modeste Nshimiyimana"/>
    <s v="dict@rib.gov.rw"/>
    <s v="0788310027/0788380425"/>
    <m/>
    <m/>
    <m/>
  </r>
  <r>
    <s v="C002295"/>
    <x v="65"/>
    <s v="Ndego – RIB Station."/>
    <s v="Kayonza"/>
    <x v="0"/>
    <x v="3"/>
    <s v="VIP"/>
    <x v="0"/>
    <x v="6"/>
    <m/>
    <s v="4G ONE NETWORK 3MBPS"/>
    <m/>
    <n v="1"/>
    <n v="81355.932203389835"/>
    <n v="81355.932203389835"/>
    <s v="Monthly"/>
    <d v="2025-02-28T00:00:00"/>
    <x v="7"/>
    <x v="2"/>
    <n v="-602"/>
    <x v="1"/>
    <x v="2"/>
    <s v="Modeste Nshimiyimana"/>
    <s v="dict@rib.gov.rw"/>
    <s v="0788310027/0788380425"/>
    <m/>
    <m/>
    <m/>
  </r>
  <r>
    <s v="C002295"/>
    <x v="65"/>
    <s v="Murama – RIB Station."/>
    <s v="Kayonza"/>
    <x v="0"/>
    <x v="3"/>
    <s v="VIP"/>
    <x v="0"/>
    <x v="6"/>
    <m/>
    <s v="4G ONE NETWORK 3MBPS"/>
    <m/>
    <n v="1"/>
    <n v="81355.932203389835"/>
    <n v="81355.932203389835"/>
    <s v="Monthly"/>
    <d v="2025-02-28T00:00:00"/>
    <x v="7"/>
    <x v="2"/>
    <n v="-602"/>
    <x v="1"/>
    <x v="2"/>
    <s v="Modeste Nshimiyimana"/>
    <s v="dict@rib.gov.rw"/>
    <s v="0788310027/0788380425"/>
    <m/>
    <m/>
    <m/>
  </r>
  <r>
    <s v="C002295"/>
    <x v="65"/>
    <s v="Ruramira – RIB Station."/>
    <s v="Kayonza"/>
    <x v="0"/>
    <x v="3"/>
    <s v="VIP"/>
    <x v="0"/>
    <x v="6"/>
    <m/>
    <s v="4G ONE NETWORK 3MBPS"/>
    <m/>
    <n v="1"/>
    <n v="81355.932203389835"/>
    <n v="81355.932203389835"/>
    <s v="Monthly"/>
    <d v="2025-02-28T00:00:00"/>
    <x v="7"/>
    <x v="2"/>
    <n v="-602"/>
    <x v="1"/>
    <x v="2"/>
    <s v="Modeste Nshimiyimana"/>
    <s v="dict@rib.gov.rw"/>
    <s v="0788310027/0788380425"/>
    <m/>
    <m/>
    <m/>
  </r>
  <r>
    <s v="C002295"/>
    <x v="65"/>
    <s v="Gikondo – RIB Station "/>
    <s v="Kicukiro"/>
    <x v="0"/>
    <x v="3"/>
    <s v="VIP"/>
    <x v="0"/>
    <x v="6"/>
    <m/>
    <s v="4G ONE NETWORK 3MBPS"/>
    <m/>
    <n v="1"/>
    <n v="81355.932203389835"/>
    <n v="81355.932203389835"/>
    <s v="Monthly"/>
    <d v="2025-02-28T00:00:00"/>
    <x v="7"/>
    <x v="2"/>
    <n v="-602"/>
    <x v="1"/>
    <x v="2"/>
    <s v="Modeste Nshimiyimana"/>
    <s v="dict@rib.gov.rw"/>
    <s v="0788310027/0788380425"/>
    <m/>
    <m/>
    <m/>
  </r>
  <r>
    <s v="C002295"/>
    <x v="65"/>
    <s v="Nyarugunga – RIB Station"/>
    <s v="Kicukiro"/>
    <x v="0"/>
    <x v="3"/>
    <s v="VIP"/>
    <x v="0"/>
    <x v="6"/>
    <m/>
    <s v="4G ONE NETWORK 3MBPS"/>
    <m/>
    <n v="1"/>
    <n v="81355.932203389835"/>
    <n v="81355.932203389835"/>
    <s v="Monthly"/>
    <d v="2025-02-28T00:00:00"/>
    <x v="7"/>
    <x v="2"/>
    <n v="-602"/>
    <x v="1"/>
    <x v="2"/>
    <s v="Modeste Nshimiyimana"/>
    <s v="dict@rib.gov.rw"/>
    <s v="0788310027/0788380425"/>
    <m/>
    <m/>
    <m/>
  </r>
  <r>
    <s v="C002295"/>
    <x v="65"/>
    <s v="Kanombe – RIB Station"/>
    <s v="Kicukiro"/>
    <x v="0"/>
    <x v="3"/>
    <s v="VIP"/>
    <x v="0"/>
    <x v="6"/>
    <m/>
    <s v="4G ONE NETWORK 3MBPS"/>
    <m/>
    <n v="1"/>
    <n v="81355.932203389835"/>
    <n v="81355.932203389835"/>
    <s v="Monthly"/>
    <d v="2025-02-28T00:00:00"/>
    <x v="7"/>
    <x v="2"/>
    <n v="-602"/>
    <x v="1"/>
    <x v="2"/>
    <s v="Modeste Nshimiyimana"/>
    <s v="dict@rib.gov.rw"/>
    <s v="0788310027/0788380425"/>
    <m/>
    <m/>
    <m/>
  </r>
  <r>
    <s v="C002295"/>
    <x v="65"/>
    <s v="Gahanga – RIB Station"/>
    <s v="Kicukiro"/>
    <x v="0"/>
    <x v="3"/>
    <s v="VIP"/>
    <x v="0"/>
    <x v="6"/>
    <m/>
    <s v="4G ONE NETWORK 3MBPS"/>
    <m/>
    <n v="1"/>
    <n v="81355.932203389835"/>
    <n v="81355.932203389835"/>
    <s v="Monthly"/>
    <d v="2025-02-28T00:00:00"/>
    <x v="7"/>
    <x v="2"/>
    <n v="-602"/>
    <x v="1"/>
    <x v="2"/>
    <s v="Modeste Nshimiyimana"/>
    <s v="dict@rib.gov.rw"/>
    <s v="0788310027/0788380425"/>
    <m/>
    <m/>
    <m/>
  </r>
  <r>
    <s v="C002295"/>
    <x v="65"/>
    <s v="Masaka – RIB Station"/>
    <s v="Kicukiro"/>
    <x v="0"/>
    <x v="3"/>
    <s v="VIP"/>
    <x v="0"/>
    <x v="6"/>
    <m/>
    <s v="4G ONE NETWORK 3MBPS"/>
    <m/>
    <n v="1"/>
    <n v="81355.932203389835"/>
    <n v="81355.932203389835"/>
    <s v="Monthly"/>
    <d v="2025-02-28T00:00:00"/>
    <x v="7"/>
    <x v="2"/>
    <n v="-602"/>
    <x v="1"/>
    <x v="2"/>
    <s v="Modeste Nshimiyimana"/>
    <s v="dict@rib.gov.rw"/>
    <s v="0788310027/0788380425"/>
    <m/>
    <m/>
    <m/>
  </r>
  <r>
    <s v="C002295"/>
    <x v="65"/>
    <s v="KIcukiro – RIB Station"/>
    <s v="Kicukiro"/>
    <x v="0"/>
    <x v="3"/>
    <s v="VIP"/>
    <x v="0"/>
    <x v="6"/>
    <m/>
    <s v="4G ONE NETWORK 3MBPS"/>
    <m/>
    <n v="1"/>
    <n v="81355.932203389835"/>
    <n v="81355.932203389835"/>
    <s v="Monthly"/>
    <d v="2025-02-28T00:00:00"/>
    <x v="7"/>
    <x v="2"/>
    <n v="-602"/>
    <x v="1"/>
    <x v="2"/>
    <s v="Modeste Nshimiyimana"/>
    <s v="dict@rib.gov.rw"/>
    <s v="0788310027/0788380425"/>
    <m/>
    <m/>
    <m/>
  </r>
  <r>
    <s v="C002295"/>
    <x v="65"/>
    <s v="KIgarama – RIB Station"/>
    <s v="Kicukiro"/>
    <x v="0"/>
    <x v="3"/>
    <s v="VIP"/>
    <x v="0"/>
    <x v="6"/>
    <m/>
    <s v="4G ONE NETWORK 3MBPS"/>
    <m/>
    <n v="1"/>
    <n v="81355.932203389835"/>
    <n v="81355.932203389835"/>
    <s v="Monthly"/>
    <d v="2025-02-28T00:00:00"/>
    <x v="7"/>
    <x v="2"/>
    <n v="-602"/>
    <x v="1"/>
    <x v="2"/>
    <s v="Modeste Nshimiyimana"/>
    <s v="dict@rib.gov.rw"/>
    <s v="0788310027/0788380425"/>
    <m/>
    <m/>
    <m/>
  </r>
  <r>
    <s v="C002295"/>
    <x v="65"/>
    <s v="Nyarubuye – RIB Station"/>
    <s v="Kirehe"/>
    <x v="0"/>
    <x v="3"/>
    <s v="VIP"/>
    <x v="0"/>
    <x v="6"/>
    <m/>
    <s v="4G ONE NETWORK 3MBPS"/>
    <m/>
    <n v="1"/>
    <n v="81355.932203389835"/>
    <n v="81355.932203389835"/>
    <s v="Monthly"/>
    <d v="2025-02-28T00:00:00"/>
    <x v="7"/>
    <x v="2"/>
    <n v="-602"/>
    <x v="1"/>
    <x v="2"/>
    <s v="Modeste Nshimiyimana"/>
    <s v="dict@rib.gov.rw"/>
    <s v="0788310027/0788380425"/>
    <m/>
    <m/>
    <m/>
  </r>
  <r>
    <s v="C002295"/>
    <x v="65"/>
    <s v="NYAMUGALI– RIB Station"/>
    <s v="Kirehe"/>
    <x v="0"/>
    <x v="3"/>
    <s v="VIP"/>
    <x v="0"/>
    <x v="6"/>
    <m/>
    <s v="4G ONE NETWORK 3MBPS"/>
    <m/>
    <n v="1"/>
    <n v="81355.932203389835"/>
    <n v="81355.932203389835"/>
    <s v="Monthly"/>
    <d v="2025-02-28T00:00:00"/>
    <x v="7"/>
    <x v="2"/>
    <n v="-602"/>
    <x v="1"/>
    <x v="2"/>
    <s v="Modeste Nshimiyimana"/>
    <s v="dict@rib.gov.rw"/>
    <s v="0788310027/0788380425"/>
    <m/>
    <m/>
    <m/>
  </r>
  <r>
    <s v="C002295"/>
    <x v="65"/>
    <s v="MAHAMA– RIB Station"/>
    <s v="Kirehe"/>
    <x v="0"/>
    <x v="3"/>
    <s v="VIP"/>
    <x v="0"/>
    <x v="6"/>
    <m/>
    <s v="4G ONE NETWORK 3MBPS"/>
    <m/>
    <n v="1"/>
    <n v="81355.932203389835"/>
    <n v="81355.932203389835"/>
    <s v="Monthly"/>
    <d v="2025-02-28T00:00:00"/>
    <x v="7"/>
    <x v="2"/>
    <n v="-602"/>
    <x v="1"/>
    <x v="2"/>
    <s v="Modeste Nshimiyimana"/>
    <s v="dict@rib.gov.rw"/>
    <s v="0788310027/0788380425"/>
    <m/>
    <m/>
    <m/>
  </r>
  <r>
    <s v="C002295"/>
    <x v="65"/>
    <s v="GATORE– RIB Station"/>
    <s v="Kirehe"/>
    <x v="0"/>
    <x v="3"/>
    <s v="VIP"/>
    <x v="0"/>
    <x v="6"/>
    <m/>
    <s v="4G ONE NETWORK 3MBPS"/>
    <m/>
    <n v="1"/>
    <n v="81355.932203389835"/>
    <n v="81355.932203389835"/>
    <s v="Monthly"/>
    <d v="2025-02-28T00:00:00"/>
    <x v="7"/>
    <x v="2"/>
    <n v="-602"/>
    <x v="1"/>
    <x v="2"/>
    <s v="Modeste Nshimiyimana"/>
    <s v="dict@rib.gov.rw"/>
    <s v="0788310027/0788380425"/>
    <m/>
    <m/>
    <m/>
  </r>
  <r>
    <s v="C002295"/>
    <x v="65"/>
    <s v="NASHO– RIB Station"/>
    <s v="Kirehe"/>
    <x v="0"/>
    <x v="3"/>
    <s v="VIP"/>
    <x v="0"/>
    <x v="6"/>
    <m/>
    <s v="4G ONE NETWORK 3MBPS"/>
    <m/>
    <n v="1"/>
    <n v="81355.932203389835"/>
    <n v="81355.932203389835"/>
    <s v="Monthly"/>
    <d v="2025-02-28T00:00:00"/>
    <x v="7"/>
    <x v="2"/>
    <n v="-602"/>
    <x v="1"/>
    <x v="2"/>
    <s v="Modeste Nshimiyimana"/>
    <s v="dict@rib.gov.rw"/>
    <s v="0788310027/0788380425"/>
    <m/>
    <m/>
    <m/>
  </r>
  <r>
    <s v="C002295"/>
    <x v="65"/>
    <s v="MPANGA– RIB Station"/>
    <s v="Kirehe"/>
    <x v="0"/>
    <x v="3"/>
    <s v="VIP"/>
    <x v="0"/>
    <x v="6"/>
    <m/>
    <s v="4G ONE NETWORK 3MBPS"/>
    <m/>
    <n v="1"/>
    <n v="81355.932203389835"/>
    <n v="81355.932203389835"/>
    <s v="Monthly"/>
    <d v="2025-02-28T00:00:00"/>
    <x v="7"/>
    <x v="2"/>
    <n v="-602"/>
    <x v="1"/>
    <x v="2"/>
    <s v="Modeste Nshimiyimana"/>
    <s v="dict@rib.gov.rw"/>
    <s v="0788310027/0788380425"/>
    <m/>
    <m/>
    <m/>
  </r>
  <r>
    <s v="C002295"/>
    <x v="65"/>
    <s v="Muhanga – RIB Station"/>
    <s v="Muhanga"/>
    <x v="0"/>
    <x v="3"/>
    <s v="VIP"/>
    <x v="0"/>
    <x v="6"/>
    <m/>
    <s v="4G ONE NETWORK 3MBPS"/>
    <m/>
    <n v="1"/>
    <n v="81355.932203389835"/>
    <n v="81355.932203389835"/>
    <s v="Monthly"/>
    <d v="2025-02-28T00:00:00"/>
    <x v="7"/>
    <x v="2"/>
    <n v="-602"/>
    <x v="1"/>
    <x v="2"/>
    <s v="Modeste Nshimiyimana"/>
    <s v="dict@rib.gov.rw"/>
    <s v="0788310027/0788380425"/>
    <m/>
    <m/>
    <m/>
  </r>
  <r>
    <s v="C002295"/>
    <x v="65"/>
    <s v="Kiyumba  – RIB Station"/>
    <s v="Muhanga"/>
    <x v="0"/>
    <x v="3"/>
    <s v="VIP"/>
    <x v="0"/>
    <x v="6"/>
    <m/>
    <s v="4G ONE NETWORK 3MBPS"/>
    <m/>
    <n v="1"/>
    <n v="81355.932203389835"/>
    <n v="81355.932203389835"/>
    <s v="Monthly"/>
    <d v="2025-02-28T00:00:00"/>
    <x v="7"/>
    <x v="2"/>
    <n v="-602"/>
    <x v="1"/>
    <x v="2"/>
    <s v="Modeste Nshimiyimana"/>
    <s v="dict@rib.gov.rw"/>
    <s v="0788310027/0788380425"/>
    <m/>
    <m/>
    <m/>
  </r>
  <r>
    <s v="C002295"/>
    <x v="65"/>
    <s v="RUSANGE – RIB Station"/>
    <s v="Muhanga"/>
    <x v="0"/>
    <x v="3"/>
    <s v="VIP"/>
    <x v="0"/>
    <x v="6"/>
    <m/>
    <s v="4G ONE NETWORK 3MBPS"/>
    <m/>
    <n v="1"/>
    <n v="81355.932203389835"/>
    <n v="81355.932203389835"/>
    <s v="Monthly"/>
    <d v="2025-02-28T00:00:00"/>
    <x v="7"/>
    <x v="2"/>
    <n v="-602"/>
    <x v="1"/>
    <x v="2"/>
    <s v="Modeste Nshimiyimana"/>
    <s v="dict@rib.gov.rw"/>
    <s v="0788310027/0788380425"/>
    <m/>
    <m/>
    <m/>
  </r>
  <r>
    <s v="C002295"/>
    <x v="65"/>
    <s v="MUSHISHIRO – RIB Station"/>
    <s v="Muhanga"/>
    <x v="0"/>
    <x v="3"/>
    <s v="VIP"/>
    <x v="0"/>
    <x v="6"/>
    <m/>
    <s v="4G ONE NETWORK 3MBPS"/>
    <m/>
    <n v="1"/>
    <n v="81355.932203389835"/>
    <n v="81355.932203389835"/>
    <s v="Monthly"/>
    <d v="2025-02-28T00:00:00"/>
    <x v="7"/>
    <x v="2"/>
    <n v="-602"/>
    <x v="1"/>
    <x v="2"/>
    <s v="Modeste Nshimiyimana"/>
    <s v="dict@rib.gov.rw"/>
    <s v="0788310027/0788380425"/>
    <m/>
    <m/>
    <m/>
  </r>
  <r>
    <s v="C002295"/>
    <x v="65"/>
    <s v="NYAMABUYE – RIB Station"/>
    <s v="Muhanga"/>
    <x v="0"/>
    <x v="3"/>
    <s v="VIP"/>
    <x v="0"/>
    <x v="6"/>
    <m/>
    <s v="4G ONE NETWORK 3MBPS"/>
    <m/>
    <n v="1"/>
    <n v="81355.932203389835"/>
    <n v="81355.932203389835"/>
    <s v="Monthly"/>
    <d v="2025-02-28T00:00:00"/>
    <x v="7"/>
    <x v="2"/>
    <n v="-602"/>
    <x v="1"/>
    <x v="2"/>
    <s v="Modeste Nshimiyimana"/>
    <s v="dict@rib.gov.rw"/>
    <s v="0788310027/0788380425"/>
    <m/>
    <m/>
    <m/>
  </r>
  <r>
    <s v="C002295"/>
    <x v="65"/>
    <s v="Kinigi – RIB Station."/>
    <s v="Musanze"/>
    <x v="0"/>
    <x v="3"/>
    <s v="VIP"/>
    <x v="0"/>
    <x v="6"/>
    <m/>
    <s v="4G ONE NETWORK 3MBPS"/>
    <m/>
    <n v="1"/>
    <n v="81355.932203389835"/>
    <n v="81355.932203389835"/>
    <s v="Monthly"/>
    <d v="2025-02-28T00:00:00"/>
    <x v="7"/>
    <x v="2"/>
    <n v="-602"/>
    <x v="1"/>
    <x v="2"/>
    <s v="Modeste Nshimiyimana"/>
    <s v="dict@rib.gov.rw"/>
    <s v="0788310027/0788380425"/>
    <m/>
    <m/>
    <m/>
  </r>
  <r>
    <s v="C002295"/>
    <x v="65"/>
    <s v="Busogo – RIB Station"/>
    <s v="Musanze"/>
    <x v="0"/>
    <x v="3"/>
    <s v="VIP"/>
    <x v="0"/>
    <x v="6"/>
    <m/>
    <s v="4G ONE NETWORK 3MBPS"/>
    <m/>
    <n v="1"/>
    <n v="81355.932203389835"/>
    <n v="81355.932203389835"/>
    <s v="Monthly"/>
    <d v="2025-02-28T00:00:00"/>
    <x v="7"/>
    <x v="2"/>
    <n v="-602"/>
    <x v="1"/>
    <x v="2"/>
    <s v="Modeste Nshimiyimana"/>
    <s v="dict@rib.gov.rw"/>
    <s v="0788310027/0788380425"/>
    <m/>
    <m/>
    <m/>
  </r>
  <r>
    <s v="C002295"/>
    <x v="65"/>
    <s v="Remera – RIB Station"/>
    <s v="Musanze"/>
    <x v="0"/>
    <x v="3"/>
    <s v="VIP"/>
    <x v="0"/>
    <x v="6"/>
    <m/>
    <s v="4G ONE NETWORK 3MBPS"/>
    <m/>
    <n v="1"/>
    <n v="81355.932203389835"/>
    <n v="81355.932203389835"/>
    <s v="Monthly"/>
    <d v="2025-02-28T00:00:00"/>
    <x v="7"/>
    <x v="2"/>
    <n v="-602"/>
    <x v="1"/>
    <x v="2"/>
    <s v="Modeste Nshimiyimana"/>
    <s v="dict@rib.gov.rw"/>
    <s v="0788310027/0788380425"/>
    <m/>
    <m/>
    <m/>
  </r>
  <r>
    <s v="C002295"/>
    <x v="65"/>
    <s v="Zaza – RIB Station"/>
    <s v="Ngoma"/>
    <x v="0"/>
    <x v="3"/>
    <s v="VIP"/>
    <x v="0"/>
    <x v="6"/>
    <m/>
    <s v="4G ONE NETWORK 3MBPS"/>
    <m/>
    <n v="1"/>
    <n v="81355.932203389835"/>
    <n v="81355.932203389835"/>
    <s v="Monthly"/>
    <d v="2025-02-28T00:00:00"/>
    <x v="7"/>
    <x v="2"/>
    <n v="-602"/>
    <x v="1"/>
    <x v="2"/>
    <s v="Modeste Nshimiyimana"/>
    <s v="dict@rib.gov.rw"/>
    <s v="0788310027/0788380425"/>
    <m/>
    <m/>
    <m/>
  </r>
  <r>
    <s v="C002295"/>
    <x v="65"/>
    <s v="Sake – RIB Station"/>
    <s v="Ngoma"/>
    <x v="0"/>
    <x v="3"/>
    <s v="VIP"/>
    <x v="0"/>
    <x v="6"/>
    <m/>
    <s v="4G ONE NETWORK 3MBPS"/>
    <m/>
    <n v="1"/>
    <n v="81355.932203389835"/>
    <n v="81355.932203389835"/>
    <s v="Monthly"/>
    <d v="2025-02-28T00:00:00"/>
    <x v="7"/>
    <x v="2"/>
    <n v="-602"/>
    <x v="1"/>
    <x v="2"/>
    <s v="Modeste Nshimiyimana"/>
    <s v="dict@rib.gov.rw"/>
    <s v="0788310027/0788380425"/>
    <m/>
    <m/>
    <m/>
  </r>
  <r>
    <s v="C002295"/>
    <x v="65"/>
    <s v="Mutenderi – RIB Station"/>
    <s v="Ngoma"/>
    <x v="0"/>
    <x v="3"/>
    <s v="VIP"/>
    <x v="0"/>
    <x v="6"/>
    <m/>
    <s v="4G ONE NETWORK 3MBPS"/>
    <m/>
    <n v="1"/>
    <n v="81355.932203389835"/>
    <n v="81355.932203389835"/>
    <s v="Monthly"/>
    <d v="2025-02-28T00:00:00"/>
    <x v="7"/>
    <x v="2"/>
    <n v="-602"/>
    <x v="1"/>
    <x v="2"/>
    <s v="Modeste Nshimiyimana"/>
    <s v="dict@rib.gov.rw"/>
    <s v="0788310027/0788380425"/>
    <m/>
    <m/>
    <m/>
  </r>
  <r>
    <s v="C002295"/>
    <x v="65"/>
    <s v="NGOMA - REMERA– RIB Station"/>
    <s v="Ngoma"/>
    <x v="0"/>
    <x v="3"/>
    <s v="VIP"/>
    <x v="0"/>
    <x v="6"/>
    <m/>
    <s v="4G ONE NETWORK 3MBPS"/>
    <m/>
    <n v="1"/>
    <n v="81355.932203389835"/>
    <n v="81355.932203389835"/>
    <s v="Monthly"/>
    <d v="2025-02-28T00:00:00"/>
    <x v="7"/>
    <x v="2"/>
    <n v="-602"/>
    <x v="1"/>
    <x v="2"/>
    <s v="Modeste Nshimiyimana"/>
    <s v="dict@rib.gov.rw"/>
    <s v="0788310027/0788380425"/>
    <m/>
    <m/>
    <m/>
  </r>
  <r>
    <s v="C002295"/>
    <x v="65"/>
    <s v="RUKIRA– RIB Station"/>
    <s v="Ngoma"/>
    <x v="0"/>
    <x v="3"/>
    <s v="VIP"/>
    <x v="0"/>
    <x v="6"/>
    <m/>
    <s v="4G ONE NETWORK 3MBPS"/>
    <m/>
    <n v="1"/>
    <n v="81355.932203389835"/>
    <n v="81355.932203389835"/>
    <s v="Monthly"/>
    <d v="2025-02-28T00:00:00"/>
    <x v="7"/>
    <x v="2"/>
    <n v="-602"/>
    <x v="1"/>
    <x v="2"/>
    <s v="Modeste Nshimiyimana"/>
    <s v="dict@rib.gov.rw"/>
    <s v="0788310027/0788380425"/>
    <m/>
    <m/>
    <m/>
  </r>
  <r>
    <s v="C002295"/>
    <x v="65"/>
    <s v="RUKUMBERI– RIB Station"/>
    <s v="Ngoma"/>
    <x v="0"/>
    <x v="3"/>
    <s v="VIP"/>
    <x v="0"/>
    <x v="6"/>
    <m/>
    <s v="4G ONE NETWORK 3MBPS"/>
    <m/>
    <n v="1"/>
    <n v="81355.932203389835"/>
    <n v="81355.932203389835"/>
    <s v="Monthly"/>
    <d v="2025-02-28T00:00:00"/>
    <x v="7"/>
    <x v="2"/>
    <n v="-602"/>
    <x v="1"/>
    <x v="2"/>
    <s v="Modeste Nshimiyimana"/>
    <s v="dict@rib.gov.rw"/>
    <s v="0788310027/0788380425"/>
    <m/>
    <m/>
    <m/>
  </r>
  <r>
    <s v="C002295"/>
    <x v="65"/>
    <s v="Kavumu – RIB Station"/>
    <s v="Ngororero"/>
    <x v="0"/>
    <x v="3"/>
    <s v="VIP"/>
    <x v="0"/>
    <x v="6"/>
    <m/>
    <s v="4G ONE NETWORK 3MBPS"/>
    <m/>
    <n v="1"/>
    <n v="81355.932203389835"/>
    <n v="81355.932203389835"/>
    <s v="Monthly"/>
    <d v="2025-02-28T00:00:00"/>
    <x v="7"/>
    <x v="2"/>
    <n v="-602"/>
    <x v="1"/>
    <x v="2"/>
    <s v="Modeste Nshimiyimana"/>
    <s v="dict@rib.gov.rw"/>
    <s v="0788310027/0788380425"/>
    <m/>
    <m/>
    <m/>
  </r>
  <r>
    <s v="C002295"/>
    <x v="65"/>
    <s v="Gatumba – RIB Station"/>
    <s v="Ngororero"/>
    <x v="0"/>
    <x v="3"/>
    <s v="VIP"/>
    <x v="0"/>
    <x v="6"/>
    <m/>
    <s v="4G ONE NETWORK 3MBPS"/>
    <m/>
    <n v="1"/>
    <n v="81355.932203389835"/>
    <n v="81355.932203389835"/>
    <s v="Monthly"/>
    <d v="2025-02-28T00:00:00"/>
    <x v="7"/>
    <x v="2"/>
    <n v="-602"/>
    <x v="1"/>
    <x v="2"/>
    <s v="Modeste Nshimiyimana"/>
    <s v="dict@rib.gov.rw"/>
    <s v="0788310027/0788380425"/>
    <m/>
    <m/>
    <m/>
  </r>
  <r>
    <s v="C002295"/>
    <x v="65"/>
    <s v="Ngororero– RIB Station"/>
    <s v="Ngororero"/>
    <x v="0"/>
    <x v="3"/>
    <s v="VIP"/>
    <x v="0"/>
    <x v="6"/>
    <m/>
    <s v="4G ONE NETWORK 3MBPS"/>
    <m/>
    <n v="1"/>
    <n v="81355.932203389835"/>
    <n v="81355.932203389835"/>
    <s v="Monthly"/>
    <d v="2025-02-28T00:00:00"/>
    <x v="7"/>
    <x v="2"/>
    <n v="-602"/>
    <x v="1"/>
    <x v="2"/>
    <s v="Modeste Nshimiyimana"/>
    <s v="dict@rib.gov.rw"/>
    <s v="0788310027/0788380425"/>
    <m/>
    <m/>
    <m/>
  </r>
  <r>
    <s v="C002295"/>
    <x v="65"/>
    <s v="Kabaya – RIB Station"/>
    <s v="Ngororero"/>
    <x v="0"/>
    <x v="3"/>
    <s v="VIP"/>
    <x v="0"/>
    <x v="6"/>
    <m/>
    <s v="4G ONE NETWORK 3MBPS"/>
    <m/>
    <n v="1"/>
    <n v="81355.932203389835"/>
    <n v="81355.932203389835"/>
    <s v="Monthly"/>
    <d v="2025-02-28T00:00:00"/>
    <x v="7"/>
    <x v="2"/>
    <n v="-602"/>
    <x v="1"/>
    <x v="2"/>
    <s v="Modeste Nshimiyimana"/>
    <s v="dict@rib.gov.rw"/>
    <s v="0788310027/0788380425"/>
    <m/>
    <m/>
    <m/>
  </r>
  <r>
    <s v="C002295"/>
    <x v="65"/>
    <s v="Rugera – RIB Station "/>
    <s v="Nyabihu"/>
    <x v="0"/>
    <x v="3"/>
    <s v="VIP"/>
    <x v="0"/>
    <x v="6"/>
    <m/>
    <s v="4G ONE NETWORK 3MBPS"/>
    <m/>
    <n v="1"/>
    <n v="81355.932203389835"/>
    <n v="81355.932203389835"/>
    <s v="Monthly"/>
    <d v="2025-02-28T00:00:00"/>
    <x v="7"/>
    <x v="2"/>
    <n v="-602"/>
    <x v="1"/>
    <x v="2"/>
    <s v="Modeste Nshimiyimana"/>
    <s v="dict@rib.gov.rw"/>
    <s v="0788310027/0788380425"/>
    <m/>
    <m/>
    <m/>
  </r>
  <r>
    <s v="C002295"/>
    <x v="65"/>
    <s v="JENDA– RIB Station"/>
    <s v="Nyabihu"/>
    <x v="0"/>
    <x v="3"/>
    <s v="VIP"/>
    <x v="0"/>
    <x v="6"/>
    <m/>
    <s v="4G ONE NETWORK 3MBPS"/>
    <m/>
    <n v="1"/>
    <n v="81355.932203389835"/>
    <n v="81355.932203389835"/>
    <s v="Monthly"/>
    <d v="2025-02-28T00:00:00"/>
    <x v="7"/>
    <x v="2"/>
    <n v="-602"/>
    <x v="1"/>
    <x v="2"/>
    <s v="Modeste Nshimiyimana"/>
    <s v="dict@rib.gov.rw"/>
    <s v="0788310027/0788380425"/>
    <m/>
    <m/>
    <m/>
  </r>
  <r>
    <s v="C002295"/>
    <x v="65"/>
    <s v="JOMBA– RIB Station"/>
    <s v="Nyabihu"/>
    <x v="0"/>
    <x v="3"/>
    <s v="VIP"/>
    <x v="0"/>
    <x v="6"/>
    <m/>
    <s v="4G ONE NETWORK 3MBPS"/>
    <m/>
    <n v="1"/>
    <n v="81355.932203389835"/>
    <n v="81355.932203389835"/>
    <s v="Monthly"/>
    <d v="2025-02-28T00:00:00"/>
    <x v="7"/>
    <x v="2"/>
    <n v="-602"/>
    <x v="1"/>
    <x v="2"/>
    <s v="Modeste Nshimiyimana"/>
    <s v="dict@rib.gov.rw"/>
    <s v="0788310027/0788380425"/>
    <m/>
    <m/>
    <m/>
  </r>
  <r>
    <s v="C002295"/>
    <x v="65"/>
    <s v="Matimba – RIB Station"/>
    <s v="Nyagatare"/>
    <x v="0"/>
    <x v="3"/>
    <s v="VIP"/>
    <x v="0"/>
    <x v="6"/>
    <m/>
    <s v="4G ONE NETWORK 3MBPS"/>
    <m/>
    <n v="1"/>
    <n v="81355.932203389835"/>
    <n v="81355.932203389835"/>
    <s v="Monthly"/>
    <d v="2025-02-28T00:00:00"/>
    <x v="7"/>
    <x v="2"/>
    <n v="-602"/>
    <x v="1"/>
    <x v="2"/>
    <s v="Modeste Nshimiyimana"/>
    <s v="dict@rib.gov.rw"/>
    <s v="0788310027/0788380425"/>
    <m/>
    <m/>
    <m/>
  </r>
  <r>
    <s v="C002295"/>
    <x v="65"/>
    <s v="Gatunda – RIB Station"/>
    <s v="Nyagatare"/>
    <x v="0"/>
    <x v="3"/>
    <s v="VIP"/>
    <x v="0"/>
    <x v="6"/>
    <m/>
    <s v="4G ONE NETWORK 3MBPS"/>
    <m/>
    <n v="1"/>
    <n v="81355.932203389835"/>
    <n v="81355.932203389835"/>
    <s v="Monthly"/>
    <d v="2025-02-28T00:00:00"/>
    <x v="7"/>
    <x v="2"/>
    <n v="-602"/>
    <x v="1"/>
    <x v="2"/>
    <s v="Modeste Nshimiyimana"/>
    <s v="dict@rib.gov.rw"/>
    <s v="0788310027/0788380425"/>
    <m/>
    <m/>
    <m/>
  </r>
  <r>
    <s v="C002295"/>
    <x v="65"/>
    <s v="Mimuri – RIB Station"/>
    <s v="Nyagatare"/>
    <x v="0"/>
    <x v="3"/>
    <s v="VIP"/>
    <x v="0"/>
    <x v="6"/>
    <m/>
    <s v="4G ONE NETWORK 3MBPS"/>
    <m/>
    <n v="1"/>
    <n v="81355.932203389835"/>
    <n v="81355.932203389835"/>
    <s v="Monthly"/>
    <d v="2025-02-28T00:00:00"/>
    <x v="7"/>
    <x v="2"/>
    <n v="-602"/>
    <x v="1"/>
    <x v="2"/>
    <s v="Modeste Nshimiyimana"/>
    <s v="dict@rib.gov.rw"/>
    <s v="0788310027/0788380425"/>
    <m/>
    <m/>
    <m/>
  </r>
  <r>
    <s v="C002295"/>
    <x v="65"/>
    <s v="Rwempasha – RIB Station."/>
    <s v="Nyagatare"/>
    <x v="0"/>
    <x v="3"/>
    <s v="VIP"/>
    <x v="0"/>
    <x v="6"/>
    <m/>
    <s v="4G ONE NETWORK 3MBPS"/>
    <m/>
    <n v="1"/>
    <n v="81355.932203389835"/>
    <n v="81355.932203389835"/>
    <s v="Monthly"/>
    <d v="2025-02-28T00:00:00"/>
    <x v="7"/>
    <x v="2"/>
    <n v="-602"/>
    <x v="1"/>
    <x v="2"/>
    <s v="Modeste Nshimiyimana"/>
    <s v="dict@rib.gov.rw"/>
    <s v="0788310027/0788380425"/>
    <m/>
    <m/>
    <m/>
  </r>
  <r>
    <s v="C002295"/>
    <x v="65"/>
    <s v="Musheri – RIB Station."/>
    <s v="Nyagatare"/>
    <x v="0"/>
    <x v="3"/>
    <s v="VIP"/>
    <x v="0"/>
    <x v="6"/>
    <m/>
    <s v="4G ONE NETWORK 3MBPS"/>
    <m/>
    <n v="1"/>
    <n v="81355.932203389835"/>
    <n v="81355.932203389835"/>
    <s v="Monthly"/>
    <d v="2025-02-28T00:00:00"/>
    <x v="7"/>
    <x v="2"/>
    <n v="-602"/>
    <x v="1"/>
    <x v="2"/>
    <s v="Modeste Nshimiyimana"/>
    <s v="dict@rib.gov.rw"/>
    <s v="0788310027/0788380425"/>
    <m/>
    <m/>
    <m/>
  </r>
  <r>
    <s v="C002295"/>
    <x v="65"/>
    <s v="Karangaz i – RIB Station."/>
    <s v="Nyagatare"/>
    <x v="0"/>
    <x v="3"/>
    <s v="VIP"/>
    <x v="0"/>
    <x v="6"/>
    <m/>
    <s v="4G ONE NETWORK 3MBPS"/>
    <m/>
    <n v="1"/>
    <n v="81355.932203389835"/>
    <n v="81355.932203389835"/>
    <s v="Monthly"/>
    <d v="2025-02-28T00:00:00"/>
    <x v="7"/>
    <x v="2"/>
    <n v="-602"/>
    <x v="1"/>
    <x v="2"/>
    <s v="Modeste Nshimiyimana"/>
    <s v="dict@rib.gov.rw"/>
    <s v="0788310027/0788380425"/>
    <m/>
    <m/>
    <m/>
  </r>
  <r>
    <s v="C002295"/>
    <x v="65"/>
    <s v="Rwimiyaga – RIB Station."/>
    <s v="Nyagatare"/>
    <x v="0"/>
    <x v="3"/>
    <s v="VIP"/>
    <x v="0"/>
    <x v="6"/>
    <m/>
    <s v="4G ONE NETWORK 3MBPS"/>
    <m/>
    <n v="1"/>
    <n v="81355.932203389835"/>
    <n v="81355.932203389835"/>
    <s v="Monthly"/>
    <d v="2025-02-28T00:00:00"/>
    <x v="7"/>
    <x v="2"/>
    <n v="-602"/>
    <x v="1"/>
    <x v="2"/>
    <s v="Modeste Nshimiyimana"/>
    <s v="dict@rib.gov.rw"/>
    <s v="0788310027/0788380425"/>
    <m/>
    <m/>
    <m/>
  </r>
  <r>
    <s v="C002295"/>
    <x v="65"/>
    <s v="Karama – RIB Station."/>
    <s v="Nyagatare"/>
    <x v="0"/>
    <x v="3"/>
    <s v="VIP"/>
    <x v="0"/>
    <x v="6"/>
    <m/>
    <s v="4G ONE NETWORK 3MBPS"/>
    <m/>
    <n v="1"/>
    <n v="81355.932203389835"/>
    <n v="81355.932203389835"/>
    <s v="Monthly"/>
    <d v="2025-02-28T00:00:00"/>
    <x v="7"/>
    <x v="2"/>
    <n v="-602"/>
    <x v="1"/>
    <x v="2"/>
    <s v="Modeste Nshimiyimana"/>
    <s v="dict@rib.gov.rw"/>
    <s v="0788310027/0788380425"/>
    <m/>
    <m/>
    <m/>
  </r>
  <r>
    <s v="C002295"/>
    <x v="65"/>
    <s v="Kaduha – RIB Station"/>
    <s v="Nyamagabe"/>
    <x v="0"/>
    <x v="3"/>
    <s v="VIP"/>
    <x v="0"/>
    <x v="6"/>
    <m/>
    <s v="4G ONE NETWORK 3MBPS"/>
    <m/>
    <n v="1"/>
    <n v="81355.932203389835"/>
    <n v="81355.932203389835"/>
    <s v="Monthly"/>
    <d v="2025-02-28T00:00:00"/>
    <x v="7"/>
    <x v="2"/>
    <n v="-602"/>
    <x v="1"/>
    <x v="2"/>
    <s v="Modeste Nshimiyimana"/>
    <s v="dict@rib.gov.rw"/>
    <s v="0788310027/0788380425"/>
    <m/>
    <m/>
    <m/>
  </r>
  <r>
    <s v="C002295"/>
    <x v="65"/>
    <s v="Tare – RIB Station"/>
    <s v="Nyamagabe"/>
    <x v="0"/>
    <x v="3"/>
    <s v="VIP"/>
    <x v="0"/>
    <x v="6"/>
    <m/>
    <s v="4G ONE NETWORK 3MBPS"/>
    <m/>
    <n v="1"/>
    <n v="81355.932203389835"/>
    <n v="81355.932203389835"/>
    <s v="Monthly"/>
    <d v="2025-02-28T00:00:00"/>
    <x v="7"/>
    <x v="2"/>
    <n v="-602"/>
    <x v="1"/>
    <x v="2"/>
    <s v="Modeste Nshimiyimana"/>
    <s v="dict@rib.gov.rw"/>
    <s v="0788310027/0788380425"/>
    <m/>
    <m/>
    <m/>
  </r>
  <r>
    <s v="C002295"/>
    <x v="65"/>
    <s v="GASASIRA– RIB Station"/>
    <s v="Nyamagabe"/>
    <x v="0"/>
    <x v="3"/>
    <s v="VIP"/>
    <x v="0"/>
    <x v="6"/>
    <m/>
    <s v="4G ONE NETWORK 3MBPS"/>
    <m/>
    <n v="1"/>
    <n v="81355.932203389835"/>
    <n v="81355.932203389835"/>
    <s v="Monthly"/>
    <d v="2025-02-28T00:00:00"/>
    <x v="7"/>
    <x v="2"/>
    <n v="-602"/>
    <x v="1"/>
    <x v="2"/>
    <s v="Modeste Nshimiyimana"/>
    <s v="dict@rib.gov.rw"/>
    <s v="0788310027/0788380425"/>
    <m/>
    <m/>
    <m/>
  </r>
  <r>
    <s v="C002295"/>
    <x v="65"/>
    <s v="GASAKA– RIB Station"/>
    <s v="Nyamagabe"/>
    <x v="0"/>
    <x v="3"/>
    <s v="VIP"/>
    <x v="0"/>
    <x v="6"/>
    <m/>
    <s v="4G ONE NETWORK 3MBPS"/>
    <m/>
    <n v="1"/>
    <n v="81355.932203389835"/>
    <n v="81355.932203389835"/>
    <s v="Monthly"/>
    <d v="2025-02-28T00:00:00"/>
    <x v="7"/>
    <x v="2"/>
    <n v="-602"/>
    <x v="1"/>
    <x v="2"/>
    <s v="Modeste Nshimiyimana"/>
    <s v="dict@rib.gov.rw"/>
    <s v="0788310027/0788380425"/>
    <m/>
    <m/>
    <m/>
  </r>
  <r>
    <s v="C002295"/>
    <x v="65"/>
    <s v="RUSEBEYA– RIB Station"/>
    <s v="Nyamagabe"/>
    <x v="0"/>
    <x v="3"/>
    <s v="VIP"/>
    <x v="0"/>
    <x v="6"/>
    <m/>
    <s v="4G ONE NETWORK 3MBPS"/>
    <m/>
    <n v="1"/>
    <n v="81355.932203389835"/>
    <n v="81355.932203389835"/>
    <s v="Monthly"/>
    <d v="2025-02-28T00:00:00"/>
    <x v="7"/>
    <x v="2"/>
    <n v="-602"/>
    <x v="1"/>
    <x v="2"/>
    <s v="Modeste Nshimiyimana"/>
    <s v="dict@rib.gov.rw"/>
    <s v="0788310027/0788380425"/>
    <m/>
    <m/>
    <m/>
  </r>
  <r>
    <s v="C002295"/>
    <x v="65"/>
    <s v="KITABI– RIB Station"/>
    <s v="Nyamagabe"/>
    <x v="0"/>
    <x v="3"/>
    <s v="VIP"/>
    <x v="0"/>
    <x v="6"/>
    <m/>
    <s v="4G ONE NETWORK 3MBPS"/>
    <m/>
    <n v="1"/>
    <n v="81355.932203389835"/>
    <n v="81355.932203389835"/>
    <s v="Monthly"/>
    <d v="2025-02-28T00:00:00"/>
    <x v="7"/>
    <x v="2"/>
    <n v="-602"/>
    <x v="1"/>
    <x v="2"/>
    <s v="Modeste Nshimiyimana"/>
    <s v="dict@rib.gov.rw"/>
    <s v="0788310027/0788380425"/>
    <m/>
    <m/>
    <m/>
  </r>
  <r>
    <s v="C002295"/>
    <x v="65"/>
    <s v="MUSEBEYA– RIB Station"/>
    <s v="Nyamagabe"/>
    <x v="0"/>
    <x v="3"/>
    <s v="VIP"/>
    <x v="0"/>
    <x v="6"/>
    <m/>
    <s v="4G ONE NETWORK 3MBPS"/>
    <m/>
    <n v="1"/>
    <n v="81355.932203389835"/>
    <n v="81355.932203389835"/>
    <s v="Monthly"/>
    <d v="2025-02-28T00:00:00"/>
    <x v="7"/>
    <x v="2"/>
    <n v="-602"/>
    <x v="1"/>
    <x v="2"/>
    <s v="Modeste Nshimiyimana"/>
    <s v="dict@rib.gov.rw"/>
    <s v="0788310027/0788380425"/>
    <m/>
    <m/>
    <m/>
  </r>
  <r>
    <s v="C002295"/>
    <x v="65"/>
    <s v="KIBANGO– RIB Station"/>
    <s v="Nyamagabe"/>
    <x v="0"/>
    <x v="3"/>
    <s v="VIP"/>
    <x v="0"/>
    <x v="6"/>
    <m/>
    <s v="4G ONE NETWORK 3MBPS"/>
    <m/>
    <n v="1"/>
    <n v="81355.932203389835"/>
    <n v="81355.932203389835"/>
    <s v="Monthly"/>
    <d v="2025-02-28T00:00:00"/>
    <x v="7"/>
    <x v="2"/>
    <n v="-602"/>
    <x v="1"/>
    <x v="2"/>
    <s v="Modeste Nshimiyimana"/>
    <s v="dict@rib.gov.rw"/>
    <s v="0788310027/0788380425"/>
    <m/>
    <m/>
    <m/>
  </r>
  <r>
    <s v="C002295"/>
    <x v="65"/>
    <s v="Kanjongo – RIB Station "/>
    <s v="Nyamasheke"/>
    <x v="0"/>
    <x v="3"/>
    <s v="VIP"/>
    <x v="0"/>
    <x v="6"/>
    <m/>
    <s v="4G ONE NETWORK 3MBPS"/>
    <m/>
    <n v="1"/>
    <n v="81355.932203389835"/>
    <n v="81355.932203389835"/>
    <s v="Monthly"/>
    <d v="2025-02-28T00:00:00"/>
    <x v="7"/>
    <x v="2"/>
    <n v="-602"/>
    <x v="1"/>
    <x v="2"/>
    <s v="Modeste Nshimiyimana"/>
    <s v="dict@rib.gov.rw"/>
    <s v="0788310027/0788380425"/>
    <m/>
    <m/>
    <m/>
  </r>
  <r>
    <s v="C002295"/>
    <x v="65"/>
    <s v="MACUBA– RIB Station"/>
    <s v="Nyamasheke"/>
    <x v="0"/>
    <x v="3"/>
    <s v="VIP"/>
    <x v="0"/>
    <x v="6"/>
    <m/>
    <s v="4G ONE NETWORK 3MBPS"/>
    <m/>
    <n v="1"/>
    <n v="81355.932203389835"/>
    <n v="81355.932203389835"/>
    <s v="Monthly"/>
    <d v="2025-02-28T00:00:00"/>
    <x v="7"/>
    <x v="2"/>
    <n v="-602"/>
    <x v="1"/>
    <x v="2"/>
    <s v="Modeste Nshimiyimana"/>
    <s v="dict@rib.gov.rw"/>
    <s v="0788310027/0788380425"/>
    <m/>
    <m/>
    <m/>
  </r>
  <r>
    <s v="C002295"/>
    <x v="65"/>
    <s v="GIHOMBO– RIB Station"/>
    <s v="Nyamasheke"/>
    <x v="0"/>
    <x v="3"/>
    <s v="VIP"/>
    <x v="0"/>
    <x v="6"/>
    <m/>
    <s v="4G ONE NETWORK 3MBPS"/>
    <m/>
    <n v="1"/>
    <n v="81355.932203389835"/>
    <n v="81355.932203389835"/>
    <s v="Monthly"/>
    <d v="2025-02-28T00:00:00"/>
    <x v="7"/>
    <x v="2"/>
    <n v="-602"/>
    <x v="1"/>
    <x v="2"/>
    <s v="Modeste Nshimiyimana"/>
    <s v="dict@rib.gov.rw"/>
    <s v="0788310027/0788380425"/>
    <m/>
    <m/>
    <m/>
  </r>
  <r>
    <s v="C002295"/>
    <x v="65"/>
    <s v="RUHARAMBUGA.– RIB Station"/>
    <s v="Nyamasheke"/>
    <x v="0"/>
    <x v="3"/>
    <s v="VIP"/>
    <x v="0"/>
    <x v="6"/>
    <m/>
    <s v="4G ONE NETWORK 3MBPS"/>
    <m/>
    <n v="1"/>
    <n v="81355.932203389835"/>
    <n v="81355.932203389835"/>
    <s v="Monthly"/>
    <d v="2025-02-28T00:00:00"/>
    <x v="7"/>
    <x v="2"/>
    <n v="-602"/>
    <x v="1"/>
    <x v="2"/>
    <s v="Modeste Nshimiyimana"/>
    <s v="dict@rib.gov.rw"/>
    <s v="0788310027/0788380425"/>
    <m/>
    <m/>
    <m/>
  </r>
  <r>
    <s v="C002295"/>
    <x v="65"/>
    <s v="SHANGI– RIB Station"/>
    <s v="Nyamasheke"/>
    <x v="0"/>
    <x v="3"/>
    <s v="VIP"/>
    <x v="0"/>
    <x v="6"/>
    <m/>
    <s v="4G ONE NETWORK 3MBPS"/>
    <m/>
    <n v="1"/>
    <n v="81355.932203389835"/>
    <n v="81355.932203389835"/>
    <s v="Monthly"/>
    <d v="2025-02-28T00:00:00"/>
    <x v="7"/>
    <x v="2"/>
    <n v="-602"/>
    <x v="1"/>
    <x v="2"/>
    <s v="Modeste Nshimiyimana"/>
    <s v="dict@rib.gov.rw"/>
    <s v="0788310027/0788380425"/>
    <m/>
    <m/>
    <m/>
  </r>
  <r>
    <s v="C002295"/>
    <x v="65"/>
    <s v="KITABI– RIB Station"/>
    <s v="Nyamasheke"/>
    <x v="0"/>
    <x v="3"/>
    <s v="VIP"/>
    <x v="0"/>
    <x v="6"/>
    <m/>
    <s v="4G ONE NETWORK 3MBPS"/>
    <m/>
    <n v="1"/>
    <n v="81355.932203389835"/>
    <n v="81355.932203389835"/>
    <s v="Monthly"/>
    <d v="2025-02-28T00:00:00"/>
    <x v="7"/>
    <x v="2"/>
    <n v="-602"/>
    <x v="1"/>
    <x v="2"/>
    <s v="Modeste Nshimiyimana"/>
    <s v="dict@rib.gov.rw"/>
    <s v="0788310027/0788380425"/>
    <m/>
    <m/>
    <m/>
  </r>
  <r>
    <s v="C002295"/>
    <x v="65"/>
    <s v="Byimana – RIB Station"/>
    <s v="Nyanza"/>
    <x v="0"/>
    <x v="3"/>
    <s v="VIP"/>
    <x v="0"/>
    <x v="6"/>
    <m/>
    <s v="4G ONE NETWORK 3MBPS"/>
    <m/>
    <n v="1"/>
    <n v="81355.932203389835"/>
    <n v="81355.932203389835"/>
    <s v="Monthly"/>
    <d v="2025-02-28T00:00:00"/>
    <x v="7"/>
    <x v="2"/>
    <n v="-602"/>
    <x v="1"/>
    <x v="2"/>
    <s v="Modeste Nshimiyimana"/>
    <s v="dict@rib.gov.rw"/>
    <s v="0788310027/0788380425"/>
    <m/>
    <m/>
    <m/>
  </r>
  <r>
    <s v="C002295"/>
    <x v="65"/>
    <s v="Kinazi – RIB Station"/>
    <s v="Nyanza"/>
    <x v="0"/>
    <x v="3"/>
    <s v="VIP"/>
    <x v="0"/>
    <x v="6"/>
    <m/>
    <s v="4G ONE NETWORK 3MBPS"/>
    <m/>
    <n v="1"/>
    <n v="81355.932203389835"/>
    <n v="81355.932203389835"/>
    <s v="Monthly"/>
    <d v="2025-02-28T00:00:00"/>
    <x v="7"/>
    <x v="2"/>
    <n v="-602"/>
    <x v="1"/>
    <x v="2"/>
    <s v="Modeste Nshimiyimana"/>
    <s v="dict@rib.gov.rw"/>
    <s v="0788310027/0788380425"/>
    <m/>
    <m/>
    <m/>
  </r>
  <r>
    <s v="C002295"/>
    <x v="65"/>
    <s v="KABAGALI– RIB Station"/>
    <s v="Nyanza"/>
    <x v="0"/>
    <x v="3"/>
    <s v="VIP"/>
    <x v="0"/>
    <x v="6"/>
    <m/>
    <s v="4G ONE NETWORK 3MBPS"/>
    <m/>
    <n v="1"/>
    <n v="81355.932203389835"/>
    <n v="81355.932203389835"/>
    <s v="Monthly"/>
    <d v="2025-02-28T00:00:00"/>
    <x v="7"/>
    <x v="2"/>
    <n v="-602"/>
    <x v="1"/>
    <x v="2"/>
    <s v="Modeste Nshimiyimana"/>
    <s v="dict@rib.gov.rw"/>
    <s v="0788310027/0788380425"/>
    <m/>
    <m/>
    <m/>
  </r>
  <r>
    <s v="C002295"/>
    <x v="65"/>
    <s v="Muyira – RIB Station"/>
    <s v="Nyanza"/>
    <x v="0"/>
    <x v="3"/>
    <s v="VIP"/>
    <x v="0"/>
    <x v="6"/>
    <m/>
    <s v="4G ONE NETWORK 3MBPS"/>
    <m/>
    <n v="1"/>
    <n v="81355.932203389835"/>
    <n v="81355.932203389835"/>
    <s v="Monthly"/>
    <d v="2025-02-28T00:00:00"/>
    <x v="7"/>
    <x v="2"/>
    <n v="-602"/>
    <x v="1"/>
    <x v="2"/>
    <s v="Modeste Nshimiyimana"/>
    <s v="dict@rib.gov.rw"/>
    <s v="0788310027/0788380425"/>
    <m/>
    <m/>
    <m/>
  </r>
  <r>
    <s v="C002295"/>
    <x v="65"/>
    <s v="NYANZA– RIB Station"/>
    <s v="Nyanza"/>
    <x v="0"/>
    <x v="3"/>
    <s v="VIP"/>
    <x v="0"/>
    <x v="6"/>
    <m/>
    <s v="4G ONE NETWORK 3MBPS"/>
    <m/>
    <n v="1"/>
    <n v="81355.932203389835"/>
    <n v="81355.932203389835"/>
    <s v="Monthly"/>
    <d v="2025-02-28T00:00:00"/>
    <x v="7"/>
    <x v="2"/>
    <n v="-602"/>
    <x v="1"/>
    <x v="2"/>
    <s v="Modeste Nshimiyimana"/>
    <s v="dict@rib.gov.rw"/>
    <s v="0788310027/0788380425"/>
    <m/>
    <m/>
    <m/>
  </r>
  <r>
    <s v="C002295"/>
    <x v="65"/>
    <s v="MUKINGO– RIB Station"/>
    <s v="Nyanza"/>
    <x v="0"/>
    <x v="3"/>
    <s v="VIP"/>
    <x v="0"/>
    <x v="6"/>
    <m/>
    <s v="4G ONE NETWORK 3MBPS"/>
    <m/>
    <n v="1"/>
    <n v="81355.932203389835"/>
    <n v="81355.932203389835"/>
    <s v="Monthly"/>
    <d v="2025-02-28T00:00:00"/>
    <x v="7"/>
    <x v="2"/>
    <n v="-602"/>
    <x v="1"/>
    <x v="2"/>
    <s v="Modeste Nshimiyimana"/>
    <s v="dict@rib.gov.rw"/>
    <s v="0788310027/0788380425"/>
    <m/>
    <m/>
    <m/>
  </r>
  <r>
    <s v="C002295"/>
    <x v="65"/>
    <s v="BUSORO– RIB Station"/>
    <s v="Nyanza"/>
    <x v="0"/>
    <x v="3"/>
    <s v="VIP"/>
    <x v="0"/>
    <x v="6"/>
    <m/>
    <s v="4G ONE NETWORK 3MBPS"/>
    <m/>
    <n v="1"/>
    <n v="81355.932203389835"/>
    <n v="81355.932203389835"/>
    <s v="Monthly"/>
    <d v="2025-02-28T00:00:00"/>
    <x v="7"/>
    <x v="2"/>
    <n v="-602"/>
    <x v="1"/>
    <x v="2"/>
    <s v="Modeste Nshimiyimana"/>
    <s v="dict@rib.gov.rw"/>
    <s v="0788310027/0788380425"/>
    <m/>
    <m/>
    <m/>
  </r>
  <r>
    <s v="C002295"/>
    <x v="65"/>
    <s v="NYAGISOZI– RIB Station"/>
    <s v="Nyanza"/>
    <x v="0"/>
    <x v="3"/>
    <s v="VIP"/>
    <x v="0"/>
    <x v="6"/>
    <m/>
    <s v="4G ONE NETWORK 3MBPS"/>
    <m/>
    <n v="1"/>
    <n v="81355.932203389835"/>
    <n v="81355.932203389835"/>
    <s v="Monthly"/>
    <d v="2025-02-28T00:00:00"/>
    <x v="7"/>
    <x v="2"/>
    <n v="-602"/>
    <x v="1"/>
    <x v="2"/>
    <s v="Modeste Nshimiyimana"/>
    <s v="dict@rib.gov.rw"/>
    <s v="0788310027/0788380425"/>
    <m/>
    <m/>
    <m/>
  </r>
  <r>
    <s v="C002295"/>
    <x v="65"/>
    <s v="BUSASAMANA– RIB Station"/>
    <s v="Nyanza"/>
    <x v="0"/>
    <x v="3"/>
    <s v="VIP"/>
    <x v="0"/>
    <x v="6"/>
    <m/>
    <s v="4G ONE NETWORK 3MBPS"/>
    <m/>
    <n v="1"/>
    <n v="81355.932203389835"/>
    <n v="81355.932203389835"/>
    <s v="Monthly"/>
    <d v="2025-02-28T00:00:00"/>
    <x v="7"/>
    <x v="2"/>
    <n v="-602"/>
    <x v="1"/>
    <x v="2"/>
    <s v="Modeste Nshimiyimana"/>
    <s v="dict@rib.gov.rw"/>
    <s v="0788310027/0788380425"/>
    <m/>
    <m/>
    <m/>
  </r>
  <r>
    <s v="C002295"/>
    <x v="65"/>
    <s v="KIBANGO– RIB Station"/>
    <s v="Nyanza"/>
    <x v="0"/>
    <x v="3"/>
    <s v="VIP"/>
    <x v="0"/>
    <x v="6"/>
    <m/>
    <s v="4G ONE NETWORK 3MBPS"/>
    <m/>
    <n v="1"/>
    <n v="81355.932203389835"/>
    <n v="81355.932203389835"/>
    <s v="Monthly"/>
    <d v="2025-02-28T00:00:00"/>
    <x v="7"/>
    <x v="2"/>
    <n v="-602"/>
    <x v="1"/>
    <x v="2"/>
    <s v="Modeste Nshimiyimana"/>
    <s v="dict@rib.gov.rw"/>
    <s v="0788310027/0788380425"/>
    <m/>
    <m/>
    <m/>
  </r>
  <r>
    <s v="C002295"/>
    <x v="65"/>
    <s v="Mageragere – RIB Station"/>
    <s v="Nyarugenge"/>
    <x v="0"/>
    <x v="3"/>
    <s v="VIP"/>
    <x v="0"/>
    <x v="6"/>
    <m/>
    <s v="4G ONE NETWORK 3MBPS"/>
    <m/>
    <n v="1"/>
    <n v="81355.932203389835"/>
    <n v="81355.932203389835"/>
    <s v="Monthly"/>
    <d v="2025-02-28T00:00:00"/>
    <x v="7"/>
    <x v="2"/>
    <n v="-602"/>
    <x v="1"/>
    <x v="2"/>
    <s v="Modeste Nshimiyimana"/>
    <s v="dict@rib.gov.rw"/>
    <s v="0788310027/0788380425"/>
    <m/>
    <m/>
    <m/>
  </r>
  <r>
    <s v="C002295"/>
    <x v="65"/>
    <s v="Kigali – RIB Station"/>
    <s v="Nyarugenge"/>
    <x v="0"/>
    <x v="3"/>
    <s v="VIP"/>
    <x v="0"/>
    <x v="6"/>
    <m/>
    <s v="4G ONE NETWORK 3MBPS"/>
    <m/>
    <n v="1"/>
    <n v="81355.932203389835"/>
    <n v="81355.932203389835"/>
    <s v="Monthly"/>
    <d v="2025-02-28T00:00:00"/>
    <x v="7"/>
    <x v="2"/>
    <n v="-602"/>
    <x v="1"/>
    <x v="2"/>
    <s v="Modeste Nshimiyimana"/>
    <s v="dict@rib.gov.rw"/>
    <s v="0788310027/0788380425"/>
    <m/>
    <m/>
    <m/>
  </r>
  <r>
    <s v="C002295"/>
    <x v="65"/>
    <s v="Rwezamenyo – RIB Station"/>
    <s v="Nyarugenge"/>
    <x v="0"/>
    <x v="3"/>
    <s v="VIP"/>
    <x v="0"/>
    <x v="6"/>
    <m/>
    <s v="4G ONE NETWORK 3MBPS"/>
    <m/>
    <n v="1"/>
    <n v="81355.932203389835"/>
    <n v="81355.932203389835"/>
    <s v="Monthly"/>
    <d v="2025-02-28T00:00:00"/>
    <x v="7"/>
    <x v="2"/>
    <n v="-602"/>
    <x v="1"/>
    <x v="2"/>
    <s v="Modeste Nshimiyimana"/>
    <s v="dict@rib.gov.rw"/>
    <s v="0788310027/0788380425"/>
    <m/>
    <m/>
    <m/>
  </r>
  <r>
    <s v="C002295"/>
    <x v="65"/>
    <s v="Kimisagara – RIB Station"/>
    <s v="Nyarugenge"/>
    <x v="0"/>
    <x v="3"/>
    <s v="VIP"/>
    <x v="0"/>
    <x v="6"/>
    <m/>
    <s v="4G ONE NETWORK 3MBPS"/>
    <m/>
    <n v="1"/>
    <n v="81355.932203389835"/>
    <n v="81355.932203389835"/>
    <s v="Monthly"/>
    <d v="2025-02-28T00:00:00"/>
    <x v="7"/>
    <x v="2"/>
    <n v="-602"/>
    <x v="1"/>
    <x v="2"/>
    <s v="Modeste Nshimiyimana"/>
    <s v="dict@rib.gov.rw"/>
    <s v="0788310027/0788380425"/>
    <m/>
    <m/>
    <m/>
  </r>
  <r>
    <s v="C002295"/>
    <x v="65"/>
    <s v="Nyarugenge – RIB Station"/>
    <s v="Nyarugenge"/>
    <x v="0"/>
    <x v="3"/>
    <s v="VIP"/>
    <x v="0"/>
    <x v="6"/>
    <m/>
    <s v="4G ONE NETWORK 3MBPS"/>
    <m/>
    <n v="1"/>
    <n v="81355.932203389835"/>
    <n v="81355.932203389835"/>
    <s v="Monthly"/>
    <d v="2025-02-28T00:00:00"/>
    <x v="7"/>
    <x v="2"/>
    <n v="-602"/>
    <x v="1"/>
    <x v="2"/>
    <s v="Modeste Nshimiyimana"/>
    <s v="dict@rib.gov.rw"/>
    <s v="0788310027/0788380425"/>
    <m/>
    <m/>
    <m/>
  </r>
  <r>
    <s v="C002295"/>
    <x v="65"/>
    <s v="Muhima – RIB Station"/>
    <s v="Nyarugenge"/>
    <x v="0"/>
    <x v="3"/>
    <s v="VIP"/>
    <x v="0"/>
    <x v="6"/>
    <m/>
    <s v="4G ONE NETWORK 3MBPS"/>
    <m/>
    <n v="1"/>
    <n v="81355.932203389835"/>
    <n v="81355.932203389835"/>
    <s v="Monthly"/>
    <d v="2025-02-28T00:00:00"/>
    <x v="7"/>
    <x v="2"/>
    <n v="-602"/>
    <x v="1"/>
    <x v="2"/>
    <s v="Modeste Nshimiyimana"/>
    <s v="dict@rib.gov.rw"/>
    <s v="0788310027/0788380425"/>
    <m/>
    <m/>
    <m/>
  </r>
  <r>
    <s v="C002295"/>
    <x v="65"/>
    <s v="Nyarugenge – RIB Station"/>
    <s v="Nyarugenge"/>
    <x v="0"/>
    <x v="3"/>
    <s v="VIP"/>
    <x v="0"/>
    <x v="6"/>
    <m/>
    <s v="4G ONE NETWORK 3MBPS"/>
    <m/>
    <n v="1"/>
    <n v="81355.932203389835"/>
    <n v="81355.932203389835"/>
    <s v="Monthly"/>
    <d v="2025-02-28T00:00:00"/>
    <x v="7"/>
    <x v="2"/>
    <n v="-602"/>
    <x v="1"/>
    <x v="2"/>
    <s v="Modeste Nshimiyimana"/>
    <s v="dict@rib.gov.rw"/>
    <s v="0788310027/0788380425"/>
    <m/>
    <m/>
    <m/>
  </r>
  <r>
    <s v="C002295"/>
    <x v="65"/>
    <s v="Nyamirambo – RIB Station"/>
    <s v="Nyarugenge"/>
    <x v="0"/>
    <x v="3"/>
    <s v="VIP"/>
    <x v="0"/>
    <x v="6"/>
    <m/>
    <s v="4G ONE NETWORK 3MBPS"/>
    <m/>
    <n v="1"/>
    <n v="81355.932203389835"/>
    <n v="81355.932203389835"/>
    <s v="Monthly"/>
    <d v="2025-02-28T00:00:00"/>
    <x v="7"/>
    <x v="2"/>
    <n v="-602"/>
    <x v="1"/>
    <x v="2"/>
    <s v="Modeste Nshimiyimana"/>
    <s v="dict@rib.gov.rw"/>
    <s v="0788310027/0788380425"/>
    <m/>
    <m/>
    <m/>
  </r>
  <r>
    <s v="C002295"/>
    <x v="65"/>
    <s v="DCI Office."/>
    <s v="Nyarugenge"/>
    <x v="0"/>
    <x v="3"/>
    <s v="VIP"/>
    <x v="0"/>
    <x v="6"/>
    <m/>
    <s v="4G ONE NETWORK 3MBPS"/>
    <m/>
    <n v="1"/>
    <n v="81355.932203389835"/>
    <n v="81355.932203389835"/>
    <s v="Monthly"/>
    <d v="2025-02-28T00:00:00"/>
    <x v="7"/>
    <x v="2"/>
    <n v="-602"/>
    <x v="1"/>
    <x v="2"/>
    <s v="Modeste Nshimiyimana"/>
    <s v="dict@rib.gov.rw"/>
    <s v="0788310027/0788380425"/>
    <m/>
    <m/>
    <m/>
  </r>
  <r>
    <s v="C002295"/>
    <x v="65"/>
    <s v="Mata – RIB Station"/>
    <s v="Nyaruguru"/>
    <x v="0"/>
    <x v="3"/>
    <s v="VIP"/>
    <x v="0"/>
    <x v="6"/>
    <m/>
    <s v="4G ONE NETWORK 3MBPS"/>
    <m/>
    <n v="1"/>
    <n v="81355.932203389835"/>
    <n v="81355.932203389835"/>
    <s v="Monthly"/>
    <d v="2025-02-28T00:00:00"/>
    <x v="7"/>
    <x v="2"/>
    <n v="-602"/>
    <x v="1"/>
    <x v="2"/>
    <s v="Modeste Nshimiyimana"/>
    <s v="dict@rib.gov.rw"/>
    <s v="0788310027/0788380425"/>
    <m/>
    <m/>
    <m/>
  </r>
  <r>
    <s v="C002295"/>
    <x v="65"/>
    <s v="Nyagisozi – RIB Station"/>
    <s v="Nyaruguru"/>
    <x v="0"/>
    <x v="3"/>
    <s v="VIP"/>
    <x v="0"/>
    <x v="6"/>
    <m/>
    <s v="4G ONE NETWORK 3MBPS"/>
    <m/>
    <n v="1"/>
    <n v="81355.932203389835"/>
    <n v="81355.932203389835"/>
    <s v="Monthly"/>
    <d v="2025-02-28T00:00:00"/>
    <x v="7"/>
    <x v="2"/>
    <n v="-602"/>
    <x v="1"/>
    <x v="2"/>
    <s v="Modeste Nshimiyimana"/>
    <s v="dict@rib.gov.rw"/>
    <s v="0788310027/0788380425"/>
    <m/>
    <m/>
    <m/>
  </r>
  <r>
    <s v="C002295"/>
    <x v="65"/>
    <s v="Muganza – RIB Station"/>
    <s v="Nyaruguru"/>
    <x v="0"/>
    <x v="3"/>
    <s v="VIP"/>
    <x v="0"/>
    <x v="6"/>
    <m/>
    <s v="4G ONE NETWORK 3MBPS"/>
    <m/>
    <n v="1"/>
    <n v="81355.932203389835"/>
    <n v="81355.932203389835"/>
    <s v="Monthly"/>
    <d v="2025-02-28T00:00:00"/>
    <x v="7"/>
    <x v="2"/>
    <n v="-602"/>
    <x v="1"/>
    <x v="2"/>
    <s v="Modeste Nshimiyimana"/>
    <s v="dict@rib.gov.rw"/>
    <s v="0788310027/0788380425"/>
    <m/>
    <m/>
    <m/>
  </r>
  <r>
    <s v="C002295"/>
    <x v="65"/>
    <s v="KIBEHO – RIB Station"/>
    <s v="Nyaruguru"/>
    <x v="0"/>
    <x v="3"/>
    <s v="VIP"/>
    <x v="0"/>
    <x v="6"/>
    <m/>
    <s v="4G ONE NETWORK 3MBPS"/>
    <m/>
    <n v="1"/>
    <n v="81355.932203389835"/>
    <n v="81355.932203389835"/>
    <s v="Monthly"/>
    <d v="2025-02-28T00:00:00"/>
    <x v="7"/>
    <x v="2"/>
    <n v="-602"/>
    <x v="1"/>
    <x v="2"/>
    <s v="Modeste Nshimiyimana"/>
    <s v="dict@rib.gov.rw"/>
    <s v="0788310027/0788380425"/>
    <m/>
    <m/>
    <m/>
  </r>
  <r>
    <s v="C002295"/>
    <x v="65"/>
    <s v="MUGANZA – RIB Station"/>
    <s v="Nyaruguru"/>
    <x v="0"/>
    <x v="3"/>
    <s v="VIP"/>
    <x v="0"/>
    <x v="6"/>
    <m/>
    <s v="4G ONE NETWORK 3MBPS"/>
    <m/>
    <n v="1"/>
    <n v="81355.932203389835"/>
    <n v="81355.932203389835"/>
    <s v="Monthly"/>
    <d v="2025-02-28T00:00:00"/>
    <x v="7"/>
    <x v="2"/>
    <n v="-602"/>
    <x v="1"/>
    <x v="2"/>
    <s v="Modeste Nshimiyimana"/>
    <s v="dict@rib.gov.rw"/>
    <s v="0788310027/0788380425"/>
    <m/>
    <m/>
    <m/>
  </r>
  <r>
    <s v="C002295"/>
    <x v="65"/>
    <s v="Ngera – RIB Station"/>
    <s v="Nyaruguru"/>
    <x v="0"/>
    <x v="3"/>
    <s v="VIP"/>
    <x v="0"/>
    <x v="6"/>
    <m/>
    <s v="4G ONE NETWORK 3MBPS"/>
    <m/>
    <n v="1"/>
    <n v="81355.932203389835"/>
    <n v="81355.932203389835"/>
    <s v="Monthly"/>
    <d v="2025-02-28T00:00:00"/>
    <x v="7"/>
    <x v="2"/>
    <n v="-602"/>
    <x v="1"/>
    <x v="2"/>
    <s v="Modeste Nshimiyimana"/>
    <s v="dict@rib.gov.rw"/>
    <s v="0788310027/0788380425"/>
    <m/>
    <m/>
    <m/>
  </r>
  <r>
    <s v="C002295"/>
    <x v="65"/>
    <s v="Busanze – RIB Station"/>
    <s v="Nyaruguru"/>
    <x v="0"/>
    <x v="3"/>
    <s v="VIP"/>
    <x v="0"/>
    <x v="6"/>
    <m/>
    <s v="4G ONE NETWORK 3MBPS"/>
    <m/>
    <n v="1"/>
    <n v="81355.932203389835"/>
    <n v="81355.932203389835"/>
    <s v="Monthly"/>
    <d v="2025-02-28T00:00:00"/>
    <x v="7"/>
    <x v="2"/>
    <n v="-602"/>
    <x v="1"/>
    <x v="2"/>
    <s v="Modeste Nshimiyimana"/>
    <s v="dict@rib.gov.rw"/>
    <s v="0788310027/0788380425"/>
    <m/>
    <m/>
    <m/>
  </r>
  <r>
    <s v="C002295"/>
    <x v="65"/>
    <s v="Kanama – RIB Station "/>
    <s v="Rubavu"/>
    <x v="0"/>
    <x v="3"/>
    <s v="VIP"/>
    <x v="0"/>
    <x v="6"/>
    <m/>
    <s v="4G ONE NETWORK 3MBPS"/>
    <m/>
    <n v="1"/>
    <n v="81355.932203389835"/>
    <n v="81355.932203389835"/>
    <s v="Monthly"/>
    <d v="2025-02-28T00:00:00"/>
    <x v="7"/>
    <x v="2"/>
    <n v="-602"/>
    <x v="1"/>
    <x v="2"/>
    <s v="Modeste Nshimiyimana"/>
    <s v="dict@rib.gov.rw"/>
    <s v="0788310027/0788380425"/>
    <m/>
    <m/>
    <m/>
  </r>
  <r>
    <s v="C002295"/>
    <x v="65"/>
    <s v="RUGERERO– RIB Station"/>
    <s v="Rubavu"/>
    <x v="0"/>
    <x v="3"/>
    <s v="VIP"/>
    <x v="0"/>
    <x v="6"/>
    <m/>
    <s v="4G ONE NETWORK 3MBPS"/>
    <m/>
    <n v="1"/>
    <n v="81355.932203389835"/>
    <n v="81355.932203389835"/>
    <s v="Monthly"/>
    <d v="2025-02-28T00:00:00"/>
    <x v="7"/>
    <x v="2"/>
    <n v="-602"/>
    <x v="1"/>
    <x v="2"/>
    <s v="Modeste Nshimiyimana"/>
    <s v="dict@rib.gov.rw"/>
    <s v="0788310027/0788380425"/>
    <m/>
    <m/>
    <m/>
  </r>
  <r>
    <s v="C002295"/>
    <x v="65"/>
    <s v="GISENYI– RIB Station"/>
    <s v="Rubavu"/>
    <x v="0"/>
    <x v="3"/>
    <s v="VIP"/>
    <x v="0"/>
    <x v="6"/>
    <m/>
    <s v="4G ONE NETWORK 3MBPS"/>
    <m/>
    <n v="1"/>
    <n v="81355.932203389835"/>
    <n v="81355.932203389835"/>
    <s v="Monthly"/>
    <d v="2025-02-28T00:00:00"/>
    <x v="7"/>
    <x v="2"/>
    <n v="-602"/>
    <x v="1"/>
    <x v="2"/>
    <s v="Modeste Nshimiyimana"/>
    <s v="dict@rib.gov.rw"/>
    <s v="0788310027/0788380425"/>
    <m/>
    <m/>
    <m/>
  </r>
  <r>
    <s v="C002295"/>
    <x v="65"/>
    <s v="BUSASAMANA– RIB Station"/>
    <s v="Rubavu"/>
    <x v="0"/>
    <x v="3"/>
    <s v="VIP"/>
    <x v="0"/>
    <x v="6"/>
    <m/>
    <s v="4G ONE NETWORK 3MBPS"/>
    <m/>
    <n v="1"/>
    <n v="81355.932203389835"/>
    <n v="81355.932203389835"/>
    <s v="Monthly"/>
    <d v="2025-02-28T00:00:00"/>
    <x v="7"/>
    <x v="2"/>
    <n v="-602"/>
    <x v="1"/>
    <x v="2"/>
    <s v="Modeste Nshimiyimana"/>
    <s v="dict@rib.gov.rw"/>
    <s v="0788310027/0788380425"/>
    <m/>
    <m/>
    <m/>
  </r>
  <r>
    <s v="C002295"/>
    <x v="65"/>
    <s v="Kibangu – RIB Station."/>
    <s v="Ruhango"/>
    <x v="0"/>
    <x v="3"/>
    <s v="VIP"/>
    <x v="0"/>
    <x v="6"/>
    <m/>
    <s v="4G ONE NETWORK 3MBPS"/>
    <m/>
    <n v="1"/>
    <n v="81355.932203389835"/>
    <n v="81355.932203389835"/>
    <s v="Monthly"/>
    <d v="2025-02-28T00:00:00"/>
    <x v="7"/>
    <x v="2"/>
    <n v="-602"/>
    <x v="1"/>
    <x v="2"/>
    <s v="Modeste Nshimiyimana"/>
    <s v="dict@rib.gov.rw"/>
    <s v="0788310027/0788380425"/>
    <m/>
    <m/>
    <m/>
  </r>
  <r>
    <s v="C002295"/>
    <x v="65"/>
    <s v="Nyamabuye – RIB Station."/>
    <s v="Ruhango"/>
    <x v="0"/>
    <x v="3"/>
    <s v="VIP"/>
    <x v="0"/>
    <x v="6"/>
    <m/>
    <s v="4G ONE NETWORK 3MBPS"/>
    <m/>
    <n v="1"/>
    <n v="81355.932203389835"/>
    <n v="81355.932203389835"/>
    <s v="Monthly"/>
    <d v="2025-02-28T00:00:00"/>
    <x v="7"/>
    <x v="2"/>
    <n v="-602"/>
    <x v="1"/>
    <x v="2"/>
    <s v="Modeste Nshimiyimana"/>
    <s v="dict@rib.gov.rw"/>
    <s v="0788310027/0788380425"/>
    <m/>
    <m/>
    <m/>
  </r>
  <r>
    <s v="C002295"/>
    <x v="65"/>
    <s v="Kabagari – RIB Station"/>
    <s v="Ruhango"/>
    <x v="0"/>
    <x v="3"/>
    <s v="VIP"/>
    <x v="0"/>
    <x v="6"/>
    <m/>
    <s v="4G ONE NETWORK 3MBPS"/>
    <m/>
    <n v="1"/>
    <n v="81355.932203389835"/>
    <n v="81355.932203389835"/>
    <s v="Monthly"/>
    <d v="2025-02-28T00:00:00"/>
    <x v="7"/>
    <x v="2"/>
    <n v="-602"/>
    <x v="1"/>
    <x v="2"/>
    <s v="Modeste Nshimiyimana"/>
    <s v="dict@rib.gov.rw"/>
    <s v="0788310027/0788380425"/>
    <m/>
    <m/>
    <m/>
  </r>
  <r>
    <s v="C002295"/>
    <x v="65"/>
    <s v="Kinihira – RIB Station"/>
    <s v="Rulindo"/>
    <x v="0"/>
    <x v="3"/>
    <s v="VIP"/>
    <x v="0"/>
    <x v="6"/>
    <m/>
    <s v="4G ONE NETWORK 3MBPS"/>
    <m/>
    <n v="1"/>
    <n v="81355.932203389835"/>
    <n v="81355.932203389835"/>
    <s v="Monthly"/>
    <d v="2025-02-28T00:00:00"/>
    <x v="7"/>
    <x v="2"/>
    <n v="-602"/>
    <x v="1"/>
    <x v="2"/>
    <s v="Modeste Nshimiyimana"/>
    <s v="dict@rib.gov.rw"/>
    <s v="0788310027/0788380425"/>
    <m/>
    <m/>
    <m/>
  </r>
  <r>
    <s v="C002295"/>
    <x v="65"/>
    <s v="Bushoki – RIB Station"/>
    <s v="Rulindo"/>
    <x v="0"/>
    <x v="3"/>
    <s v="VIP"/>
    <x v="0"/>
    <x v="6"/>
    <m/>
    <s v="4G ONE NETWORK 3MBPS"/>
    <m/>
    <n v="1"/>
    <n v="81355.932203389835"/>
    <n v="81355.932203389835"/>
    <s v="Monthly"/>
    <d v="2025-02-28T00:00:00"/>
    <x v="7"/>
    <x v="2"/>
    <n v="-602"/>
    <x v="1"/>
    <x v="2"/>
    <s v="Modeste Nshimiyimana"/>
    <s v="dict@rib.gov.rw"/>
    <s v="0788310027/0788380425"/>
    <m/>
    <m/>
    <m/>
  </r>
  <r>
    <s v="C002295"/>
    <x v="65"/>
    <s v="Tumba – RIB Station"/>
    <s v="Rulindo"/>
    <x v="0"/>
    <x v="3"/>
    <s v="VIP"/>
    <x v="0"/>
    <x v="6"/>
    <m/>
    <s v="4G ONE NETWORK 3MBPS"/>
    <m/>
    <n v="1"/>
    <n v="81355.932203389835"/>
    <n v="81355.932203389835"/>
    <s v="Monthly"/>
    <d v="2025-02-28T00:00:00"/>
    <x v="7"/>
    <x v="2"/>
    <n v="-602"/>
    <x v="1"/>
    <x v="2"/>
    <s v="Modeste Nshimiyimana"/>
    <s v="dict@rib.gov.rw"/>
    <s v="0788310027/0788380425"/>
    <m/>
    <m/>
    <m/>
  </r>
  <r>
    <s v="C002295"/>
    <x v="65"/>
    <s v="Murambi – RIB Station"/>
    <s v="Rulindo"/>
    <x v="0"/>
    <x v="3"/>
    <s v="VIP"/>
    <x v="0"/>
    <x v="6"/>
    <m/>
    <s v="4G ONE NETWORK 3MBPS"/>
    <m/>
    <n v="1"/>
    <n v="81355.932203389835"/>
    <n v="81355.932203389835"/>
    <s v="Monthly"/>
    <d v="2025-02-28T00:00:00"/>
    <x v="7"/>
    <x v="2"/>
    <n v="-602"/>
    <x v="1"/>
    <x v="2"/>
    <s v="Modeste Nshimiyimana"/>
    <s v="dict@rib.gov.rw"/>
    <s v="0788310027/0788380425"/>
    <m/>
    <m/>
    <m/>
  </r>
  <r>
    <s v="C002295"/>
    <x v="65"/>
    <s v="Shyorongi – RIB Station"/>
    <s v="Rulindo"/>
    <x v="0"/>
    <x v="3"/>
    <s v="VIP"/>
    <x v="0"/>
    <x v="6"/>
    <m/>
    <s v="4G ONE NETWORK 3MBPS"/>
    <m/>
    <n v="1"/>
    <n v="81355.932203389835"/>
    <n v="81355.932203389835"/>
    <s v="Monthly"/>
    <d v="2025-02-28T00:00:00"/>
    <x v="7"/>
    <x v="2"/>
    <n v="-602"/>
    <x v="1"/>
    <x v="2"/>
    <s v="Modeste Nshimiyimana"/>
    <s v="dict@rib.gov.rw"/>
    <s v="0788310027/0788380425"/>
    <m/>
    <m/>
    <m/>
  </r>
  <r>
    <s v="C002295"/>
    <x v="65"/>
    <s v="Ntarabana – RIB Station"/>
    <s v="Rulindo"/>
    <x v="0"/>
    <x v="3"/>
    <s v="VIP"/>
    <x v="0"/>
    <x v="6"/>
    <m/>
    <s v="4G ONE NETWORK 3MBPS"/>
    <m/>
    <n v="1"/>
    <n v="81355.932203389835"/>
    <n v="81355.932203389835"/>
    <s v="Monthly"/>
    <d v="2025-02-28T00:00:00"/>
    <x v="7"/>
    <x v="2"/>
    <n v="-602"/>
    <x v="1"/>
    <x v="2"/>
    <s v="Modeste Nshimiyimana"/>
    <s v="dict@rib.gov.rw"/>
    <s v="0788310027/0788380425"/>
    <m/>
    <m/>
    <m/>
  </r>
  <r>
    <s v="C002295"/>
    <x v="65"/>
    <s v="Kamembe – RIB Station."/>
    <s v="Rusizi"/>
    <x v="0"/>
    <x v="3"/>
    <s v="VIP"/>
    <x v="0"/>
    <x v="6"/>
    <m/>
    <s v="4G ONE NETWORK 3MBPS"/>
    <m/>
    <n v="1"/>
    <n v="81355.932203389835"/>
    <n v="81355.932203389835"/>
    <s v="Monthly"/>
    <d v="2025-02-28T00:00:00"/>
    <x v="7"/>
    <x v="2"/>
    <n v="-602"/>
    <x v="1"/>
    <x v="2"/>
    <s v="Modeste Nshimiyimana"/>
    <s v="dict@rib.gov.rw"/>
    <s v="0788310027/0788380425"/>
    <m/>
    <m/>
    <m/>
  </r>
  <r>
    <s v="C002295"/>
    <x v="65"/>
    <s v="Kamembe – RIB Station."/>
    <s v="Rusizi"/>
    <x v="0"/>
    <x v="3"/>
    <s v="VIP"/>
    <x v="0"/>
    <x v="6"/>
    <m/>
    <s v="4G ONE NETWORK 3MBPS"/>
    <m/>
    <n v="1"/>
    <n v="81355.932203389835"/>
    <n v="81355.932203389835"/>
    <s v="Monthly"/>
    <d v="2025-02-28T00:00:00"/>
    <x v="7"/>
    <x v="2"/>
    <n v="-602"/>
    <x v="1"/>
    <x v="2"/>
    <s v="Modeste Nshimiyimana"/>
    <s v="dict@rib.gov.rw"/>
    <s v="0788310027/0788380425"/>
    <m/>
    <m/>
    <m/>
  </r>
  <r>
    <s v="C002295"/>
    <x v="65"/>
    <s v="Rwimbogo – RIB Station"/>
    <s v="Rusizi"/>
    <x v="0"/>
    <x v="3"/>
    <s v="VIP"/>
    <x v="0"/>
    <x v="6"/>
    <m/>
    <s v="4G ONE NETWORK 3MBPS"/>
    <m/>
    <n v="1"/>
    <n v="81355.932203389835"/>
    <n v="81355.932203389835"/>
    <s v="Monthly"/>
    <d v="2025-02-28T00:00:00"/>
    <x v="7"/>
    <x v="2"/>
    <n v="-602"/>
    <x v="1"/>
    <x v="2"/>
    <s v="Modeste Nshimiyimana"/>
    <s v="dict@rib.gov.rw"/>
    <s v="0788310027/0788380425"/>
    <m/>
    <m/>
    <m/>
  </r>
  <r>
    <s v="C002295"/>
    <x v="65"/>
    <s v="Gashonga – RIB Station"/>
    <s v="Rusizi"/>
    <x v="0"/>
    <x v="3"/>
    <s v="VIP"/>
    <x v="0"/>
    <x v="6"/>
    <m/>
    <s v="4G ONE NETWORK 3MBPS"/>
    <m/>
    <n v="1"/>
    <n v="81355.932203389835"/>
    <n v="81355.932203389835"/>
    <s v="Monthly"/>
    <d v="2025-02-28T00:00:00"/>
    <x v="7"/>
    <x v="2"/>
    <n v="-602"/>
    <x v="1"/>
    <x v="2"/>
    <s v="Modeste Nshimiyimana"/>
    <s v="dict@rib.gov.rw"/>
    <s v="0788310027/0788380425"/>
    <m/>
    <m/>
    <m/>
  </r>
  <r>
    <s v="C002295"/>
    <x v="65"/>
    <s v="Nyakabuye– RIB Station"/>
    <s v="Rusizi"/>
    <x v="0"/>
    <x v="3"/>
    <s v="VIP"/>
    <x v="0"/>
    <x v="6"/>
    <m/>
    <s v="4G ONE NETWORK 3MBPS"/>
    <m/>
    <n v="1"/>
    <n v="81355.932203389835"/>
    <n v="81355.932203389835"/>
    <s v="Monthly"/>
    <d v="2025-02-28T00:00:00"/>
    <x v="7"/>
    <x v="2"/>
    <n v="-602"/>
    <x v="1"/>
    <x v="2"/>
    <s v="Modeste Nshimiyimana"/>
    <s v="dict@rib.gov.rw"/>
    <s v="0788310027/0788380425"/>
    <m/>
    <m/>
    <m/>
  </r>
  <r>
    <s v="C002295"/>
    <x v="65"/>
    <s v="Bweyeye – RIB Station"/>
    <s v="Rusizi"/>
    <x v="0"/>
    <x v="3"/>
    <s v="VIP"/>
    <x v="0"/>
    <x v="6"/>
    <m/>
    <s v="4G ONE NETWORK 3MBPS"/>
    <m/>
    <n v="1"/>
    <n v="81355.932203389835"/>
    <n v="81355.932203389835"/>
    <s v="Monthly"/>
    <d v="2025-02-28T00:00:00"/>
    <x v="7"/>
    <x v="2"/>
    <n v="-602"/>
    <x v="1"/>
    <x v="2"/>
    <s v="Modeste Nshimiyimana"/>
    <s v="dict@rib.gov.rw"/>
    <s v="0788310027/0788380425"/>
    <m/>
    <m/>
    <m/>
  </r>
  <r>
    <s v="C002295"/>
    <x v="65"/>
    <s v="Nyakarenzo – RIB Station"/>
    <s v="Rusizi"/>
    <x v="0"/>
    <x v="3"/>
    <s v="VIP"/>
    <x v="0"/>
    <x v="6"/>
    <m/>
    <s v="4G ONE NETWORK 3MBPS"/>
    <m/>
    <n v="1"/>
    <n v="81355.932203389835"/>
    <n v="81355.932203389835"/>
    <s v="Monthly"/>
    <d v="2025-02-28T00:00:00"/>
    <x v="7"/>
    <x v="2"/>
    <n v="-602"/>
    <x v="1"/>
    <x v="2"/>
    <s v="Modeste Nshimiyimana"/>
    <s v="dict@rib.gov.rw"/>
    <s v="0788310027/0788380425"/>
    <m/>
    <m/>
    <m/>
  </r>
  <r>
    <s v="C002295"/>
    <x v="65"/>
    <s v="Bugarama – RIB Station."/>
    <s v="Rusizi"/>
    <x v="0"/>
    <x v="3"/>
    <s v="VIP"/>
    <x v="0"/>
    <x v="6"/>
    <m/>
    <s v="4G ONE NETWORK 3MBPS"/>
    <m/>
    <n v="1"/>
    <n v="81355.932203389835"/>
    <n v="81355.932203389835"/>
    <s v="Monthly"/>
    <d v="2025-02-28T00:00:00"/>
    <x v="7"/>
    <x v="2"/>
    <n v="-602"/>
    <x v="1"/>
    <x v="2"/>
    <s v="Modeste Nshimiyimana"/>
    <s v="dict@rib.gov.rw"/>
    <s v="0788310027/0788380425"/>
    <m/>
    <m/>
    <m/>
  </r>
  <r>
    <s v="C002295"/>
    <x v="65"/>
    <s v="Nkaka – RIB Station"/>
    <s v="Rusizi"/>
    <x v="0"/>
    <x v="3"/>
    <s v="VIP"/>
    <x v="0"/>
    <x v="6"/>
    <m/>
    <s v="4G ONE NETWORK 3MBPS"/>
    <m/>
    <n v="1"/>
    <n v="81355.932203389835"/>
    <n v="81355.932203389835"/>
    <s v="Monthly"/>
    <d v="2025-02-28T00:00:00"/>
    <x v="7"/>
    <x v="2"/>
    <n v="-602"/>
    <x v="1"/>
    <x v="2"/>
    <s v="Modeste Nshimiyimana"/>
    <s v="dict@rib.gov.rw"/>
    <s v="0788310027/0788380425"/>
    <m/>
    <m/>
    <m/>
  </r>
  <r>
    <s v="C002295"/>
    <x v="65"/>
    <s v="Kivumu – RIB Station "/>
    <s v="Rutsiro"/>
    <x v="0"/>
    <x v="3"/>
    <s v="VIP"/>
    <x v="0"/>
    <x v="6"/>
    <m/>
    <s v="4G ONE NETWORK 3MBPS"/>
    <m/>
    <n v="1"/>
    <n v="81355.932203389835"/>
    <n v="81355.932203389835"/>
    <s v="Monthly"/>
    <d v="2025-02-28T00:00:00"/>
    <x v="7"/>
    <x v="2"/>
    <n v="-602"/>
    <x v="1"/>
    <x v="2"/>
    <s v="Modeste Nshimiyimana"/>
    <s v="dict@rib.gov.rw"/>
    <s v="0788310027/0788380425"/>
    <m/>
    <m/>
    <m/>
  </r>
  <r>
    <s v="C002295"/>
    <x v="65"/>
    <s v="Ruhango – RIB Station"/>
    <s v="Rutsiro"/>
    <x v="0"/>
    <x v="3"/>
    <s v="VIP"/>
    <x v="0"/>
    <x v="6"/>
    <m/>
    <s v="4G ONE NETWORK 3MBPS"/>
    <m/>
    <n v="1"/>
    <n v="81355.932203389835"/>
    <n v="81355.932203389835"/>
    <s v="Monthly"/>
    <d v="2025-02-28T00:00:00"/>
    <x v="7"/>
    <x v="2"/>
    <n v="-602"/>
    <x v="1"/>
    <x v="2"/>
    <s v="Modeste Nshimiyimana"/>
    <s v="dict@rib.gov.rw"/>
    <s v="0788310027/0788380425"/>
    <m/>
    <m/>
    <m/>
  </r>
  <r>
    <s v="C002295"/>
    <x v="65"/>
    <s v="Rutsiro – RIB D. Bureau. "/>
    <s v="Rutsiro"/>
    <x v="0"/>
    <x v="3"/>
    <s v="VIP"/>
    <x v="0"/>
    <x v="6"/>
    <m/>
    <s v="4G ONE NETWORK 3MBPS"/>
    <m/>
    <n v="1"/>
    <n v="81355.932203389835"/>
    <n v="81355.932203389835"/>
    <s v="Monthly"/>
    <d v="2025-02-28T00:00:00"/>
    <x v="7"/>
    <x v="2"/>
    <n v="-602"/>
    <x v="1"/>
    <x v="2"/>
    <s v="Modeste Nshimiyimana"/>
    <s v="dict@rib.gov.rw"/>
    <s v="0788310027/0788380425"/>
    <m/>
    <m/>
    <m/>
  </r>
  <r>
    <s v="C002295"/>
    <x v="65"/>
    <s v="KABAGALI– RIB Station"/>
    <s v="Rutsiro"/>
    <x v="0"/>
    <x v="3"/>
    <s v="VIP"/>
    <x v="0"/>
    <x v="6"/>
    <m/>
    <s v="4G ONE NETWORK 3MBPS"/>
    <m/>
    <n v="1"/>
    <n v="81355.932203389835"/>
    <n v="81355.932203389835"/>
    <s v="Monthly"/>
    <d v="2025-02-28T00:00:00"/>
    <x v="7"/>
    <x v="2"/>
    <n v="-602"/>
    <x v="1"/>
    <x v="2"/>
    <s v="Modeste Nshimiyimana"/>
    <s v="dict@rib.gov.rw"/>
    <s v="0788310027/0788380425"/>
    <m/>
    <m/>
    <m/>
  </r>
  <r>
    <s v="C002295"/>
    <x v="65"/>
    <s v="Musha – RIB Station"/>
    <s v="Rwamagana  "/>
    <x v="0"/>
    <x v="3"/>
    <s v="VIP"/>
    <x v="0"/>
    <x v="6"/>
    <m/>
    <s v="4G ONE NETWORK 3MBPS"/>
    <m/>
    <n v="1"/>
    <n v="81355.932203389835"/>
    <n v="81355.932203389835"/>
    <s v="Monthly"/>
    <d v="2025-02-28T00:00:00"/>
    <x v="7"/>
    <x v="2"/>
    <n v="-602"/>
    <x v="1"/>
    <x v="2"/>
    <s v="Modeste Nshimiyimana"/>
    <s v="dict@rib.gov.rw"/>
    <s v="0788310027/0788380425"/>
    <m/>
    <m/>
    <m/>
  </r>
  <r>
    <s v="C002295"/>
    <x v="65"/>
    <s v="Nzige – RIB Station"/>
    <s v="Rwamagana  "/>
    <x v="0"/>
    <x v="3"/>
    <s v="VIP"/>
    <x v="0"/>
    <x v="6"/>
    <m/>
    <s v="4G ONE NETWORK 3MBPS"/>
    <m/>
    <n v="1"/>
    <n v="81355.932203389835"/>
    <n v="81355.932203389835"/>
    <s v="Monthly"/>
    <d v="2025-02-28T00:00:00"/>
    <x v="7"/>
    <x v="2"/>
    <n v="-602"/>
    <x v="1"/>
    <x v="2"/>
    <s v="Modeste Nshimiyimana"/>
    <s v="dict@rib.gov.rw"/>
    <s v="0788310027/0788380425"/>
    <m/>
    <m/>
    <m/>
  </r>
  <r>
    <s v="C002295"/>
    <x v="65"/>
    <s v="Rubona – RIB Station"/>
    <s v="Rwamagana  "/>
    <x v="0"/>
    <x v="3"/>
    <s v="VIP"/>
    <x v="0"/>
    <x v="6"/>
    <m/>
    <s v="4G ONE NETWORK 3MBPS"/>
    <m/>
    <n v="1"/>
    <n v="81355.932203389835"/>
    <n v="81355.932203389835"/>
    <s v="Monthly"/>
    <d v="2025-02-28T00:00:00"/>
    <x v="7"/>
    <x v="2"/>
    <n v="-602"/>
    <x v="1"/>
    <x v="2"/>
    <s v="Modeste Nshimiyimana"/>
    <s v="dict@rib.gov.rw"/>
    <s v="0788310027/0788380425"/>
    <m/>
    <m/>
    <m/>
  </r>
  <r>
    <s v="C002295"/>
    <x v="65"/>
    <s v="Muyumbu – RIB Station"/>
    <s v="Rwamagana  "/>
    <x v="0"/>
    <x v="3"/>
    <s v="VIP"/>
    <x v="0"/>
    <x v="6"/>
    <m/>
    <s v="4G ONE NETWORK 3MBPS"/>
    <m/>
    <n v="1"/>
    <n v="81355.932203389835"/>
    <n v="81355.932203389835"/>
    <s v="Monthly"/>
    <d v="2025-02-28T00:00:00"/>
    <x v="7"/>
    <x v="2"/>
    <n v="-602"/>
    <x v="1"/>
    <x v="2"/>
    <s v="Modeste Nshimiyimana"/>
    <s v="dict@rib.gov.rw"/>
    <s v="0788310027/0788380425"/>
    <m/>
    <m/>
    <m/>
  </r>
  <r>
    <s v="C002295"/>
    <x v="65"/>
    <s v="Karenge – RIB Station"/>
    <s v="Rwamagana  "/>
    <x v="0"/>
    <x v="3"/>
    <s v="VIP"/>
    <x v="0"/>
    <x v="6"/>
    <m/>
    <s v="4G ONE NETWORK 3MBPS"/>
    <m/>
    <n v="1"/>
    <n v="81355.932203389835"/>
    <n v="81355.932203389835"/>
    <s v="Monthly"/>
    <d v="2025-02-28T00:00:00"/>
    <x v="7"/>
    <x v="2"/>
    <n v="-602"/>
    <x v="1"/>
    <x v="2"/>
    <s v="Modeste Nshimiyimana"/>
    <s v="dict@rib.gov.rw"/>
    <s v="0788310027/0788380425"/>
    <m/>
    <m/>
    <m/>
  </r>
  <r>
    <s v="C002295"/>
    <x v="65"/>
    <s v="RIB HQ."/>
    <s v="Gasabo"/>
    <x v="0"/>
    <x v="3"/>
    <s v="VIP"/>
    <x v="0"/>
    <x v="6"/>
    <m/>
    <s v="4G MUP 1GB/DAY"/>
    <m/>
    <n v="2"/>
    <n v="19491.53"/>
    <n v="38983.06"/>
    <s v="Monthly"/>
    <d v="2025-02-28T00:00:00"/>
    <x v="7"/>
    <x v="2"/>
    <n v="-602"/>
    <x v="1"/>
    <x v="2"/>
    <s v="Modeste Nshimiyimana"/>
    <s v="dict@rib.gov.rw"/>
    <s v="0788310027/0788380425"/>
    <m/>
    <m/>
    <m/>
  </r>
  <r>
    <s v="C002295"/>
    <x v="65"/>
    <s v="RIB HQ."/>
    <s v="Gasabo"/>
    <x v="0"/>
    <x v="3"/>
    <s v="VIP"/>
    <x v="0"/>
    <x v="6"/>
    <m/>
    <s v="4G MUP 2GB/DAY"/>
    <m/>
    <n v="5"/>
    <n v="28305.08"/>
    <n v="141525.40000000002"/>
    <s v="Monthly"/>
    <d v="2025-02-28T00:00:00"/>
    <x v="7"/>
    <x v="2"/>
    <n v="-602"/>
    <x v="1"/>
    <x v="2"/>
    <s v="Modeste Nshimiyimana"/>
    <s v="dict@rib.gov.rw"/>
    <s v="0788310027/0788380425"/>
    <m/>
    <m/>
    <m/>
  </r>
  <r>
    <s v="C002295"/>
    <x v="65"/>
    <s v="RIB HQ."/>
    <s v="Gasabo"/>
    <x v="0"/>
    <x v="3"/>
    <s v="VIP"/>
    <x v="0"/>
    <x v="6"/>
    <m/>
    <s v=" 4G MUP 4GB/DAY "/>
    <m/>
    <n v="10"/>
    <n v="45338.98"/>
    <n v="453389.80000000005"/>
    <s v="Monthly"/>
    <d v="2025-02-28T00:00:00"/>
    <x v="7"/>
    <x v="2"/>
    <n v="-602"/>
    <x v="1"/>
    <x v="2"/>
    <s v="Modeste Nshimiyimana"/>
    <s v="dict@rib.gov.rw"/>
    <s v="0788310027/0788380425"/>
    <m/>
    <m/>
    <m/>
  </r>
  <r>
    <s v="C002295"/>
    <x v="65"/>
    <s v="RWANDA INVESTIGSTION BUREAU (RIB) HQ."/>
    <s v="Gasabo"/>
    <x v="0"/>
    <x v="3"/>
    <s v="VIP"/>
    <x v="0"/>
    <x v="6"/>
    <m/>
    <s v="4G ONE NETWORK 3MBPS"/>
    <m/>
    <n v="92"/>
    <n v="81355.932203389835"/>
    <n v="7484745.7627118649"/>
    <s v="Monthly"/>
    <d v="2025-02-28T00:00:00"/>
    <x v="7"/>
    <x v="2"/>
    <n v="-602"/>
    <x v="1"/>
    <x v="2"/>
    <s v="Modeste Nshimiyimana"/>
    <s v="dict@rib.gov.rw"/>
    <s v="0788310027/0788380425"/>
    <m/>
    <m/>
    <m/>
  </r>
  <r>
    <s v="RWA100"/>
    <x v="325"/>
    <s v="HQ"/>
    <s v="Gasabo"/>
    <x v="0"/>
    <x v="7"/>
    <s v="Standard"/>
    <x v="0"/>
    <x v="6"/>
    <m/>
    <s v="4G ONE NETWORK 5MBPS"/>
    <m/>
    <n v="4"/>
    <n v="101695"/>
    <n v="406780"/>
    <s v="Monthly"/>
    <d v="2025-02-28T00:00:00"/>
    <x v="7"/>
    <x v="2"/>
    <n v="-602"/>
    <x v="1"/>
    <x v="8"/>
    <s v="KAMUHANDA BENOIT"/>
    <s v="kamustreet@gmail.com"/>
    <s v="0788-828-266"/>
    <m/>
    <m/>
    <m/>
  </r>
  <r>
    <s v="C003180"/>
    <x v="1"/>
    <s v="HQ"/>
    <s v="Gasabo"/>
    <x v="1"/>
    <x v="1"/>
    <s v="Standard"/>
    <x v="1"/>
    <x v="1"/>
    <m/>
    <s v="5U Rack Space"/>
    <m/>
    <n v="1"/>
    <n v="690889.83050847461"/>
    <n v="690889.83050847461"/>
    <s v="Monthly"/>
    <d v="2025-02-28T00:00:00"/>
    <x v="7"/>
    <x v="2"/>
    <n v="-602"/>
    <x v="1"/>
    <x v="0"/>
    <s v="Patrick Manzi"/>
    <s v="patrick.manzi@gva.africa "/>
    <s v="0788422925"/>
    <m/>
    <m/>
    <m/>
  </r>
  <r>
    <s v="C003180"/>
    <x v="1"/>
    <s v="Kagitumba - Remera SS (via Birembo)"/>
    <s v="Kirehe"/>
    <x v="1"/>
    <x v="1"/>
    <s v="Standard"/>
    <x v="2"/>
    <x v="2"/>
    <m/>
    <s v="Dark Fiber Lease  "/>
    <n v="131"/>
    <n v="1"/>
    <n v="3016885.5932203392"/>
    <n v="3016885.5932203392"/>
    <s v="Monthly"/>
    <d v="2025-02-28T00:00:00"/>
    <x v="7"/>
    <x v="2"/>
    <n v="-602"/>
    <x v="1"/>
    <x v="0"/>
    <s v="Patrick Manzi"/>
    <s v="patrick.manzi@gva.africa "/>
    <s v="0788422925"/>
    <m/>
    <m/>
    <m/>
  </r>
  <r>
    <s v="C003180"/>
    <x v="1"/>
    <s v="IHS Rubavu - Umubano Pylon (via Musanze)"/>
    <s v="Rubavu"/>
    <x v="1"/>
    <x v="1"/>
    <s v="Standard"/>
    <x v="2"/>
    <x v="2"/>
    <m/>
    <s v="Dark Fiber Lease  "/>
    <n v="161.80000000000001"/>
    <n v="1"/>
    <n v="3726199.1525423732"/>
    <n v="3726199.1525423732"/>
    <s v="Monthly"/>
    <d v="2025-02-28T00:00:00"/>
    <x v="7"/>
    <x v="2"/>
    <n v="-602"/>
    <x v="1"/>
    <x v="0"/>
    <s v="Patrick Manzi"/>
    <s v="patrick.manzi@gva.africa "/>
    <s v="0788422925"/>
    <m/>
    <m/>
    <m/>
  </r>
  <r>
    <s v="C003180"/>
    <x v="1"/>
    <s v="IHS Rubavu - Remera SS (via Karongi)"/>
    <s v="Rubavu"/>
    <x v="1"/>
    <x v="1"/>
    <s v="Standard"/>
    <x v="2"/>
    <x v="2"/>
    <m/>
    <s v="Dark Fiber Lease  "/>
    <n v="212.6"/>
    <n v="1"/>
    <n v="4896105.9322033897"/>
    <n v="4896105.9322033897"/>
    <s v="Monthly"/>
    <d v="2025-02-28T00:00:00"/>
    <x v="7"/>
    <x v="2"/>
    <n v="-602"/>
    <x v="1"/>
    <x v="0"/>
    <s v="Patrick Manzi"/>
    <s v="patrick.manzi@gva.africa "/>
    <s v="0788422925"/>
    <m/>
    <m/>
    <m/>
  </r>
  <r>
    <s v="C003810"/>
    <x v="326"/>
    <s v="Pension Plazza"/>
    <s v="Nyarugenge"/>
    <x v="1"/>
    <x v="2"/>
    <s v="Standard"/>
    <x v="1"/>
    <x v="5"/>
    <n v="4"/>
    <s v="FIBER INTERNET 4MBPS"/>
    <m/>
    <n v="1"/>
    <n v="254237.28813559323"/>
    <n v="254237.28813559323"/>
    <s v="Monthly"/>
    <d v="2025-02-28T00:00:00"/>
    <x v="7"/>
    <x v="2"/>
    <n v="-602"/>
    <x v="1"/>
    <x v="0"/>
    <s v="Judith Umulinga"/>
    <s v="judith.umulinga@udl.rw"/>
    <s v="0788478273"/>
    <m/>
    <m/>
    <m/>
  </r>
  <r>
    <s v="C003810"/>
    <x v="326"/>
    <s v="Kacyiru Executive Apartement "/>
    <s v="Gasabo"/>
    <x v="1"/>
    <x v="2"/>
    <s v="Standard"/>
    <x v="1"/>
    <x v="5"/>
    <n v="15"/>
    <s v="FIBER INTERNET 15MBPS"/>
    <m/>
    <n v="1"/>
    <n v="720000"/>
    <n v="720000"/>
    <s v="Monthly"/>
    <d v="2025-02-28T00:00:00"/>
    <x v="7"/>
    <x v="2"/>
    <n v="-602"/>
    <x v="1"/>
    <x v="0"/>
    <s v="Judith Umulinga"/>
    <s v="judith.umulinga@udl.rw"/>
    <s v="0788478273"/>
    <m/>
    <m/>
    <m/>
  </r>
  <r>
    <s v="C003810"/>
    <x v="326"/>
    <s v="HQ"/>
    <s v="Nyarugenge"/>
    <x v="1"/>
    <x v="2"/>
    <s v="Standard"/>
    <x v="0"/>
    <x v="5"/>
    <n v="20"/>
    <s v="FIBER INTERNET 20MBPS"/>
    <m/>
    <n v="1"/>
    <n v="900000"/>
    <n v="900000"/>
    <s v="Monthly"/>
    <d v="2025-02-28T00:00:00"/>
    <x v="7"/>
    <x v="2"/>
    <n v="-602"/>
    <x v="1"/>
    <x v="0"/>
    <s v="Judith Umulinga"/>
    <s v="judith.umulinga@udl.rw"/>
    <s v="0788478273"/>
    <m/>
    <m/>
    <m/>
  </r>
  <r>
    <s v="C000925"/>
    <x v="102"/>
    <s v="Fiber Internet: ILPD Nyanza"/>
    <s v="Nyanza"/>
    <x v="0"/>
    <x v="4"/>
    <s v="Standard"/>
    <x v="0"/>
    <x v="0"/>
    <n v="30"/>
    <s v="Fiber Broadband Internet 30Mbps"/>
    <m/>
    <n v="1"/>
    <n v="1260000"/>
    <n v="1260000"/>
    <s v="Monthly"/>
    <d v="2025-03-05T00:00:00"/>
    <x v="8"/>
    <x v="2"/>
    <n v="-607"/>
    <x v="1"/>
    <x v="1"/>
    <s v="Ngango Jean Baptiste"/>
    <s v="ngango@ilpd.ac.rw"/>
    <s v="0 784 216484"/>
    <m/>
    <m/>
    <m/>
  </r>
  <r>
    <s v="C000052"/>
    <x v="327"/>
    <s v="Fiber Internet: Afriprecast Masaka"/>
    <s v="Kicukiro"/>
    <x v="1"/>
    <x v="2"/>
    <s v="Standard"/>
    <x v="1"/>
    <x v="5"/>
    <n v="30"/>
    <s v="Fiber Broadband Internet 30Mbps"/>
    <m/>
    <n v="1"/>
    <n v="1000000"/>
    <n v="1000000"/>
    <s v="Monthly"/>
    <d v="2025-03-06T00:00:00"/>
    <x v="8"/>
    <x v="2"/>
    <n v="-608"/>
    <x v="1"/>
    <x v="1"/>
    <s v="Urbain Mugiraneza"/>
    <s v="urbainm@afriprecastltd.com"/>
    <s v="0 788 383 000"/>
    <m/>
    <m/>
    <m/>
  </r>
  <r>
    <s v=" C004377 "/>
    <x v="328"/>
    <s v=" SINELAC "/>
    <s v="Rusizi"/>
    <x v="1"/>
    <x v="7"/>
    <s v=" Standard "/>
    <x v="0"/>
    <x v="5"/>
    <n v="3"/>
    <s v="FIBER INTERNET 3MBS ZERO RATED"/>
    <m/>
    <n v="1"/>
    <n v="484575"/>
    <n v="484575"/>
    <s v="Monthly"/>
    <d v="2025-03-12T00:00:00"/>
    <x v="8"/>
    <x v="2"/>
    <n v="-614"/>
    <x v="1"/>
    <x v="4"/>
    <m/>
    <m/>
    <m/>
    <m/>
    <m/>
    <m/>
  </r>
  <r>
    <s v="C000514"/>
    <x v="329"/>
    <s v="Immigration La corniche (Extension)"/>
    <s v="Musanze"/>
    <x v="0"/>
    <x v="0"/>
    <s v="VIP"/>
    <x v="0"/>
    <x v="0"/>
    <n v="3"/>
    <s v="FIBER VPN 3MBPS"/>
    <m/>
    <n v="1"/>
    <n v="180000"/>
    <n v="180000"/>
    <s v="Monthly"/>
    <d v="2025-03-31T00:00:00"/>
    <x v="8"/>
    <x v="2"/>
    <n v="-633"/>
    <x v="1"/>
    <x v="7"/>
    <s v="Kyllia Diane"/>
    <s v="crwagasore@migration.gov.rw,mrwamwaga@state.gov.rw,dkuwase@state.gov.rw"/>
    <n v="788550338"/>
    <m/>
    <m/>
    <m/>
  </r>
  <r>
    <s v="C000514"/>
    <x v="329"/>
    <s v="Rwamagana  "/>
    <s v="Rwamagana  "/>
    <x v="0"/>
    <x v="0"/>
    <s v="VIP"/>
    <x v="0"/>
    <x v="0"/>
    <n v="3"/>
    <s v="FIBER VPN 3MBPS"/>
    <m/>
    <n v="1"/>
    <n v="180000"/>
    <n v="180000"/>
    <s v="Monthly"/>
    <d v="2025-03-31T00:00:00"/>
    <x v="8"/>
    <x v="2"/>
    <n v="-633"/>
    <x v="1"/>
    <x v="7"/>
    <s v="Kyllia Diane"/>
    <s v="crwagasore@migration.gov.rw,mrwamwaga@state.gov.rw,dkuwase@state.gov.rw"/>
    <n v="788550338"/>
    <m/>
    <m/>
    <m/>
  </r>
  <r>
    <s v="C000514"/>
    <x v="329"/>
    <s v="Muhanga"/>
    <s v="Muhanga"/>
    <x v="0"/>
    <x v="0"/>
    <s v="VIP"/>
    <x v="0"/>
    <x v="0"/>
    <n v="3"/>
    <s v="FIBER VPN 3MBPS"/>
    <m/>
    <n v="1"/>
    <n v="180000"/>
    <n v="180000"/>
    <s v="Monthly"/>
    <d v="2025-03-31T00:00:00"/>
    <x v="8"/>
    <x v="2"/>
    <n v="-633"/>
    <x v="1"/>
    <x v="7"/>
    <s v="Kyllia Diane"/>
    <s v="crwagasore@migration.gov.rw,mrwamwaga@state.gov.rw,dkuwase@state.gov.rw"/>
    <n v="788550338"/>
    <m/>
    <m/>
    <m/>
  </r>
  <r>
    <s v="C000514"/>
    <x v="329"/>
    <s v="Huye"/>
    <s v="Huye"/>
    <x v="0"/>
    <x v="0"/>
    <s v="VIP"/>
    <x v="0"/>
    <x v="0"/>
    <n v="3"/>
    <s v="FIBER VPN 3MBPS"/>
    <m/>
    <n v="1"/>
    <n v="180000"/>
    <n v="180000"/>
    <s v="Monthly"/>
    <d v="2025-03-31T00:00:00"/>
    <x v="8"/>
    <x v="2"/>
    <n v="-633"/>
    <x v="1"/>
    <x v="7"/>
    <s v="Kyllia Diane"/>
    <s v="crwagasore@migration.gov.rw,mrwamwaga@state.gov.rw,dkuwase@state.gov.rw"/>
    <n v="788550338"/>
    <m/>
    <m/>
    <m/>
  </r>
  <r>
    <s v="C000514"/>
    <x v="329"/>
    <s v="Karongi"/>
    <s v="Karongi"/>
    <x v="0"/>
    <x v="0"/>
    <s v="VIP"/>
    <x v="0"/>
    <x v="0"/>
    <n v="3"/>
    <s v="FIBER VPN 3MBPS"/>
    <m/>
    <n v="1"/>
    <n v="180000"/>
    <n v="180000"/>
    <s v="Monthly"/>
    <d v="2025-03-31T00:00:00"/>
    <x v="8"/>
    <x v="2"/>
    <n v="-633"/>
    <x v="1"/>
    <x v="7"/>
    <s v="Kyllia Diane"/>
    <s v="crwagasore@migration.gov.rw,mrwamwaga@state.gov.rw,dkuwase@state.gov.rw"/>
    <n v="788550338"/>
    <m/>
    <m/>
    <m/>
  </r>
  <r>
    <s v="C000514"/>
    <x v="329"/>
    <s v="Nyabihu"/>
    <s v="Nyabihu"/>
    <x v="0"/>
    <x v="0"/>
    <s v="VIP"/>
    <x v="0"/>
    <x v="0"/>
    <n v="3"/>
    <s v="FIBER VPN 3MBPS"/>
    <m/>
    <n v="1"/>
    <n v="180000"/>
    <n v="180000"/>
    <s v="Monthly"/>
    <d v="2025-03-31T00:00:00"/>
    <x v="8"/>
    <x v="2"/>
    <n v="-633"/>
    <x v="1"/>
    <x v="7"/>
    <s v="Kyllia Diane"/>
    <s v="crwagasore@migration.gov.rw,mrwamwaga@state.gov.rw,dkuwase@state.gov.rw"/>
    <n v="788550338"/>
    <m/>
    <m/>
    <m/>
  </r>
  <r>
    <s v="C000514"/>
    <x v="329"/>
    <s v="Ngoma"/>
    <s v="Ngoma"/>
    <x v="0"/>
    <x v="0"/>
    <s v="VIP"/>
    <x v="0"/>
    <x v="0"/>
    <n v="3"/>
    <s v="FIBER VPN 3MBPS"/>
    <m/>
    <n v="1"/>
    <n v="180000"/>
    <n v="180000"/>
    <s v="Monthly"/>
    <d v="2025-03-31T00:00:00"/>
    <x v="8"/>
    <x v="2"/>
    <n v="-633"/>
    <x v="1"/>
    <x v="7"/>
    <s v="Kyllia Diane"/>
    <s v="crwagasore@migration.gov.rw,mrwamwaga@state.gov.rw,dkuwase@state.gov.rw"/>
    <n v="788550338"/>
    <m/>
    <m/>
    <m/>
  </r>
  <r>
    <s v="C000514"/>
    <x v="329"/>
    <s v="Nyagatare"/>
    <s v="Nyagatare"/>
    <x v="0"/>
    <x v="0"/>
    <s v="VIP"/>
    <x v="0"/>
    <x v="0"/>
    <n v="3"/>
    <s v="FIBER VPN 3MBPS"/>
    <m/>
    <n v="1"/>
    <n v="180000"/>
    <n v="180000"/>
    <s v="Monthly"/>
    <d v="2025-03-31T00:00:00"/>
    <x v="8"/>
    <x v="2"/>
    <n v="-633"/>
    <x v="1"/>
    <x v="7"/>
    <s v="Kyllia Diane"/>
    <s v="crwagasore@migration.gov.rw,mrwamwaga@state.gov.rw,dkuwase@state.gov.rw"/>
    <n v="788550338"/>
    <m/>
    <m/>
    <m/>
  </r>
  <r>
    <s v="C000514"/>
    <x v="329"/>
    <s v="Rubavu"/>
    <s v="Rubavu"/>
    <x v="0"/>
    <x v="0"/>
    <s v="VIP"/>
    <x v="0"/>
    <x v="0"/>
    <n v="3"/>
    <s v="FIBER VPN 3MBPS"/>
    <m/>
    <n v="1"/>
    <n v="180000"/>
    <n v="180000"/>
    <s v="Monthly"/>
    <d v="2025-03-31T00:00:00"/>
    <x v="8"/>
    <x v="2"/>
    <n v="-633"/>
    <x v="1"/>
    <x v="7"/>
    <s v="Kyllia Diane"/>
    <s v="crwagasore@migration.gov.rw,mrwamwaga@state.gov.rw,dkuwase@state.gov.rw"/>
    <n v="788550338"/>
    <m/>
    <m/>
    <m/>
  </r>
  <r>
    <s v="C000514"/>
    <x v="329"/>
    <s v="Rusizi"/>
    <s v="Rusizi"/>
    <x v="0"/>
    <x v="0"/>
    <s v="VIP"/>
    <x v="0"/>
    <x v="0"/>
    <n v="3"/>
    <s v="FIBER VPN 3MBPS"/>
    <m/>
    <n v="1"/>
    <n v="180000"/>
    <n v="180000"/>
    <s v="Monthly"/>
    <d v="2025-03-31T00:00:00"/>
    <x v="8"/>
    <x v="2"/>
    <n v="-633"/>
    <x v="1"/>
    <x v="7"/>
    <s v="Kyllia Diane"/>
    <s v="crwagasore@migration.gov.rw,mrwamwaga@state.gov.rw,dkuwase@state.gov.rw"/>
    <n v="788550338"/>
    <m/>
    <m/>
    <m/>
  </r>
  <r>
    <s v="C000514"/>
    <x v="329"/>
    <s v="Gicumbi"/>
    <s v="Gicumbi"/>
    <x v="0"/>
    <x v="0"/>
    <s v="VIP"/>
    <x v="0"/>
    <x v="0"/>
    <n v="3"/>
    <s v="FIBER VPN 3MBPS"/>
    <m/>
    <n v="1"/>
    <n v="180000"/>
    <n v="180000"/>
    <s v="Monthly"/>
    <d v="2025-03-31T00:00:00"/>
    <x v="8"/>
    <x v="2"/>
    <n v="-633"/>
    <x v="1"/>
    <x v="7"/>
    <s v="Kyllia Diane"/>
    <s v="crwagasore@migration.gov.rw,mrwamwaga@state.gov.rw,dkuwase@state.gov.rw"/>
    <n v="788550338"/>
    <m/>
    <m/>
    <m/>
  </r>
  <r>
    <s v="C000514"/>
    <x v="329"/>
    <s v="Bugesera"/>
    <s v="Bugesera"/>
    <x v="0"/>
    <x v="0"/>
    <s v="VIP"/>
    <x v="0"/>
    <x v="0"/>
    <n v="3"/>
    <s v="FIBER VPN 3MBPS"/>
    <m/>
    <n v="1"/>
    <n v="180000"/>
    <n v="180000"/>
    <s v="Monthly"/>
    <d v="2025-03-31T00:00:00"/>
    <x v="8"/>
    <x v="2"/>
    <n v="-633"/>
    <x v="1"/>
    <x v="7"/>
    <s v="Kyllia Diane"/>
    <s v="crwagasore@migration.gov.rw,mrwamwaga@state.gov.rw,dkuwase@state.gov.rw"/>
    <n v="788550338"/>
    <m/>
    <m/>
    <m/>
  </r>
  <r>
    <s v="C000514"/>
    <x v="329"/>
    <s v="Burera"/>
    <s v="Burera"/>
    <x v="0"/>
    <x v="0"/>
    <s v="VIP"/>
    <x v="0"/>
    <x v="0"/>
    <n v="3"/>
    <s v="FIBER VPN 3MBPS"/>
    <m/>
    <n v="1"/>
    <n v="180000"/>
    <n v="180000"/>
    <s v="Monthly"/>
    <d v="2025-03-31T00:00:00"/>
    <x v="8"/>
    <x v="2"/>
    <n v="-633"/>
    <x v="1"/>
    <x v="7"/>
    <s v="Kyllia Diane"/>
    <s v="crwagasore@migration.gov.rw,mrwamwaga@state.gov.rw,dkuwase@state.gov.rw"/>
    <n v="788550338"/>
    <m/>
    <m/>
    <m/>
  </r>
  <r>
    <s v="C000514"/>
    <x v="329"/>
    <s v="Gatsibo"/>
    <s v="Gatsibo"/>
    <x v="0"/>
    <x v="0"/>
    <s v="VIP"/>
    <x v="0"/>
    <x v="0"/>
    <n v="3"/>
    <s v="FIBER VPN 3MBPS"/>
    <m/>
    <n v="1"/>
    <n v="180000"/>
    <n v="180000"/>
    <s v="Monthly"/>
    <d v="2025-03-31T00:00:00"/>
    <x v="8"/>
    <x v="2"/>
    <n v="-633"/>
    <x v="1"/>
    <x v="7"/>
    <s v="Kyllia Diane"/>
    <s v="crwagasore@migration.gov.rw,mrwamwaga@state.gov.rw,dkuwase@state.gov.rw"/>
    <n v="788550338"/>
    <m/>
    <m/>
    <m/>
  </r>
  <r>
    <s v="C000514"/>
    <x v="329"/>
    <s v="Gisagara"/>
    <s v="Gisagara"/>
    <x v="0"/>
    <x v="0"/>
    <s v="VIP"/>
    <x v="0"/>
    <x v="0"/>
    <n v="3"/>
    <s v="FIBER VPN 3MBPS"/>
    <m/>
    <n v="1"/>
    <n v="180000"/>
    <n v="180000"/>
    <s v="Monthly"/>
    <d v="2025-03-31T00:00:00"/>
    <x v="8"/>
    <x v="2"/>
    <n v="-633"/>
    <x v="1"/>
    <x v="7"/>
    <s v="Kyllia Diane"/>
    <s v="crwagasore@migration.gov.rw,mrwamwaga@state.gov.rw,dkuwase@state.gov.rw"/>
    <n v="788550338"/>
    <m/>
    <m/>
    <m/>
  </r>
  <r>
    <s v="C000514"/>
    <x v="329"/>
    <s v="Kayonza"/>
    <s v="Kayonza"/>
    <x v="0"/>
    <x v="0"/>
    <s v="VIP"/>
    <x v="0"/>
    <x v="0"/>
    <n v="3"/>
    <s v="FIBER VPN 3MBPS"/>
    <m/>
    <n v="1"/>
    <n v="180000"/>
    <n v="180000"/>
    <s v="Monthly"/>
    <d v="2025-03-31T00:00:00"/>
    <x v="8"/>
    <x v="2"/>
    <n v="-633"/>
    <x v="1"/>
    <x v="7"/>
    <s v="Kyllia Diane"/>
    <s v="crwagasore@migration.gov.rw,mrwamwaga@state.gov.rw,dkuwase@state.gov.rw"/>
    <n v="788550338"/>
    <m/>
    <m/>
    <m/>
  </r>
  <r>
    <s v="C000514"/>
    <x v="329"/>
    <s v="Kirehe"/>
    <s v="Kirehe"/>
    <x v="0"/>
    <x v="0"/>
    <s v="VIP"/>
    <x v="0"/>
    <x v="0"/>
    <n v="3"/>
    <s v="FIBER VPN 3MBPS"/>
    <m/>
    <n v="1"/>
    <n v="180000"/>
    <n v="180000"/>
    <s v="Monthly"/>
    <d v="2025-03-31T00:00:00"/>
    <x v="8"/>
    <x v="2"/>
    <n v="-633"/>
    <x v="1"/>
    <x v="7"/>
    <s v="Kyllia Diane"/>
    <s v="crwagasore@migration.gov.rw,mrwamwaga@state.gov.rw,dkuwase@state.gov.rw"/>
    <n v="788550338"/>
    <m/>
    <m/>
    <m/>
  </r>
  <r>
    <s v="C000514"/>
    <x v="329"/>
    <s v="Ngororero"/>
    <s v="Ngororero"/>
    <x v="0"/>
    <x v="0"/>
    <s v="VIP"/>
    <x v="0"/>
    <x v="0"/>
    <n v="3"/>
    <s v="FIBER VPN 3MBPS"/>
    <m/>
    <n v="1"/>
    <n v="180000"/>
    <n v="180000"/>
    <s v="Monthly"/>
    <d v="2025-03-31T00:00:00"/>
    <x v="8"/>
    <x v="2"/>
    <n v="-633"/>
    <x v="1"/>
    <x v="7"/>
    <s v="Kyllia Diane"/>
    <s v="crwagasore@migration.gov.rw,mrwamwaga@state.gov.rw,dkuwase@state.gov.rw"/>
    <n v="788550338"/>
    <m/>
    <m/>
    <m/>
  </r>
  <r>
    <s v="C000514"/>
    <x v="329"/>
    <s v="Nyamasheke"/>
    <s v="Nyamasheke"/>
    <x v="0"/>
    <x v="0"/>
    <s v="VIP"/>
    <x v="0"/>
    <x v="0"/>
    <n v="3"/>
    <s v="FIBER VPN 3MBPS"/>
    <m/>
    <n v="1"/>
    <n v="180000"/>
    <n v="180000"/>
    <s v="Monthly"/>
    <d v="2025-03-31T00:00:00"/>
    <x v="8"/>
    <x v="2"/>
    <n v="-633"/>
    <x v="1"/>
    <x v="7"/>
    <s v="Kyllia Diane"/>
    <s v="crwagasore@migration.gov.rw,mrwamwaga@state.gov.rw,dkuwase@state.gov.rw"/>
    <n v="788550338"/>
    <m/>
    <m/>
    <m/>
  </r>
  <r>
    <s v="C000514"/>
    <x v="329"/>
    <s v="Nyaruguru"/>
    <s v="Nyaruguru"/>
    <x v="0"/>
    <x v="0"/>
    <s v="VIP"/>
    <x v="0"/>
    <x v="0"/>
    <n v="3"/>
    <s v="FIBER VPN 3MBPS"/>
    <m/>
    <n v="1"/>
    <n v="180000"/>
    <n v="180000"/>
    <s v="Monthly"/>
    <d v="2025-03-31T00:00:00"/>
    <x v="8"/>
    <x v="2"/>
    <n v="-633"/>
    <x v="1"/>
    <x v="7"/>
    <s v="Kyllia Diane"/>
    <s v="crwagasore@migration.gov.rw,mrwamwaga@state.gov.rw,dkuwase@state.gov.rw"/>
    <n v="788550338"/>
    <m/>
    <m/>
    <m/>
  </r>
  <r>
    <s v="C000514"/>
    <x v="329"/>
    <s v="Rutsiro"/>
    <s v="Rutsiro"/>
    <x v="0"/>
    <x v="0"/>
    <s v="VIP"/>
    <x v="0"/>
    <x v="0"/>
    <n v="3"/>
    <s v="FIBER VPN 3MBPS"/>
    <m/>
    <n v="1"/>
    <n v="180000"/>
    <n v="180000"/>
    <s v="Monthly"/>
    <d v="2025-03-31T00:00:00"/>
    <x v="8"/>
    <x v="2"/>
    <n v="-633"/>
    <x v="1"/>
    <x v="7"/>
    <s v="Kyllia Diane"/>
    <s v="crwagasore@migration.gov.rw,mrwamwaga@state.gov.rw,dkuwase@state.gov.rw"/>
    <n v="788550338"/>
    <m/>
    <m/>
    <m/>
  </r>
  <r>
    <s v="C000514"/>
    <x v="329"/>
    <s v="Nyanza"/>
    <s v="Nyanza"/>
    <x v="0"/>
    <x v="0"/>
    <s v="VIP"/>
    <x v="0"/>
    <x v="0"/>
    <n v="3"/>
    <s v="FIBER VPN 3MBPS"/>
    <m/>
    <n v="1"/>
    <n v="180000"/>
    <n v="180000"/>
    <s v="Monthly"/>
    <d v="2025-03-31T00:00:00"/>
    <x v="8"/>
    <x v="2"/>
    <n v="-633"/>
    <x v="1"/>
    <x v="7"/>
    <s v="Kyllia Diane"/>
    <s v="crwagasore@migration.gov.rw,mrwamwaga@state.gov.rw,dkuwase@state.gov.rw"/>
    <n v="788550338"/>
    <m/>
    <m/>
    <m/>
  </r>
  <r>
    <s v="C000514"/>
    <x v="329"/>
    <s v="Ruhango"/>
    <s v="Ruhango"/>
    <x v="0"/>
    <x v="0"/>
    <s v="VIP"/>
    <x v="0"/>
    <x v="0"/>
    <n v="3"/>
    <s v="FIBER VPN 3MBPS"/>
    <m/>
    <n v="1"/>
    <n v="180000"/>
    <n v="180000"/>
    <s v="Monthly"/>
    <d v="2025-03-31T00:00:00"/>
    <x v="8"/>
    <x v="2"/>
    <n v="-633"/>
    <x v="1"/>
    <x v="7"/>
    <s v="Kyllia Diane"/>
    <s v="crwagasore@migration.gov.rw,mrwamwaga@state.gov.rw,dkuwase@state.gov.rw"/>
    <n v="788550338"/>
    <m/>
    <m/>
    <m/>
  </r>
  <r>
    <s v="C000514"/>
    <x v="329"/>
    <s v="Gakenke"/>
    <s v="Gakenke"/>
    <x v="0"/>
    <x v="0"/>
    <s v="VIP"/>
    <x v="0"/>
    <x v="0"/>
    <n v="3"/>
    <s v="FIBER VPN 3MBPS"/>
    <m/>
    <n v="1"/>
    <n v="180000"/>
    <n v="180000"/>
    <s v="Monthly"/>
    <d v="2025-03-31T00:00:00"/>
    <x v="8"/>
    <x v="2"/>
    <n v="-633"/>
    <x v="1"/>
    <x v="7"/>
    <s v="Kyllia Diane"/>
    <s v="crwagasore@migration.gov.rw,mrwamwaga@state.gov.rw,dkuwase@state.gov.rw"/>
    <n v="788550338"/>
    <m/>
    <m/>
    <m/>
  </r>
  <r>
    <s v="C000514"/>
    <x v="329"/>
    <s v="Kamonyi"/>
    <s v="Kamonyi"/>
    <x v="0"/>
    <x v="0"/>
    <s v="VIP"/>
    <x v="0"/>
    <x v="0"/>
    <n v="3"/>
    <s v="FIBER VPN 3MBPS"/>
    <m/>
    <n v="1"/>
    <n v="180000"/>
    <n v="180000"/>
    <s v="Monthly"/>
    <d v="2025-03-31T00:00:00"/>
    <x v="8"/>
    <x v="2"/>
    <n v="-633"/>
    <x v="1"/>
    <x v="7"/>
    <s v="Kyllia Diane"/>
    <s v="crwagasore@migration.gov.rw,mrwamwaga@state.gov.rw,dkuwase@state.gov.rw"/>
    <n v="788550338"/>
    <m/>
    <m/>
    <m/>
  </r>
  <r>
    <s v="C000514"/>
    <x v="329"/>
    <s v="Nyamagabe"/>
    <s v="Nyamagabe"/>
    <x v="0"/>
    <x v="0"/>
    <s v="VIP"/>
    <x v="0"/>
    <x v="0"/>
    <n v="3"/>
    <s v="FIBER VPN 3MBPS"/>
    <m/>
    <n v="1"/>
    <n v="180000"/>
    <n v="180000"/>
    <s v="Monthly"/>
    <d v="2025-03-31T00:00:00"/>
    <x v="8"/>
    <x v="2"/>
    <n v="-633"/>
    <x v="1"/>
    <x v="7"/>
    <s v="Kyllia Diane"/>
    <s v="crwagasore@migration.gov.rw,mrwamwaga@state.gov.rw,dkuwase@state.gov.rw"/>
    <n v="788550338"/>
    <m/>
    <m/>
    <m/>
  </r>
  <r>
    <s v="C000514"/>
    <x v="329"/>
    <s v="Rulindo"/>
    <s v="Rulindo"/>
    <x v="0"/>
    <x v="0"/>
    <s v="VIP"/>
    <x v="0"/>
    <x v="0"/>
    <n v="3"/>
    <s v="FIBER VPN 3MBPS"/>
    <m/>
    <n v="1"/>
    <n v="180000"/>
    <n v="180000"/>
    <s v="Monthly"/>
    <d v="2025-03-31T00:00:00"/>
    <x v="8"/>
    <x v="2"/>
    <n v="-633"/>
    <x v="1"/>
    <x v="7"/>
    <s v="Kyllia Diane"/>
    <s v="crwagasore@migration.gov.rw,mrwamwaga@state.gov.rw,dkuwase@state.gov.rw"/>
    <n v="788550338"/>
    <m/>
    <m/>
    <m/>
  </r>
  <r>
    <s v="C000514"/>
    <x v="329"/>
    <s v="Cyanika"/>
    <s v="Burera"/>
    <x v="0"/>
    <x v="0"/>
    <s v="VIP"/>
    <x v="0"/>
    <x v="0"/>
    <n v="5"/>
    <s v="FIBER VPN 5MBPS"/>
    <m/>
    <n v="1"/>
    <n v="270000"/>
    <n v="270000"/>
    <s v="Monthly"/>
    <d v="2025-03-31T00:00:00"/>
    <x v="8"/>
    <x v="2"/>
    <n v="-633"/>
    <x v="1"/>
    <x v="7"/>
    <s v="Kyllia Diane"/>
    <s v="crwagasore@migration.gov.rw,mrwamwaga@state.gov.rw,dkuwase@state.gov.rw"/>
    <n v="788550338"/>
    <m/>
    <m/>
    <m/>
  </r>
  <r>
    <s v="C000514"/>
    <x v="329"/>
    <s v="Immigration Gatuna Border "/>
    <s v="Gicumbi"/>
    <x v="0"/>
    <x v="0"/>
    <s v="VIP"/>
    <x v="0"/>
    <x v="0"/>
    <n v="5"/>
    <s v="FIBER VPN 5MBPS"/>
    <m/>
    <n v="1"/>
    <n v="270000"/>
    <n v="270000"/>
    <s v="Monthly"/>
    <d v="2025-03-31T00:00:00"/>
    <x v="8"/>
    <x v="2"/>
    <n v="-633"/>
    <x v="1"/>
    <x v="7"/>
    <s v="Kyllia Diane"/>
    <s v="crwagasore@migration.gov.rw,mrwamwaga@state.gov.rw,dkuwase@state.gov.rw"/>
    <n v="788550338"/>
    <m/>
    <m/>
    <m/>
  </r>
  <r>
    <s v="C000514"/>
    <x v="329"/>
    <s v="Immigration Kagitumba Border (RW)"/>
    <s v="Kirehe"/>
    <x v="0"/>
    <x v="0"/>
    <s v="VIP"/>
    <x v="0"/>
    <x v="0"/>
    <n v="5"/>
    <s v="FIBER VPN 5MBPS"/>
    <m/>
    <n v="1"/>
    <n v="270000"/>
    <n v="270000"/>
    <s v="Monthly"/>
    <d v="2025-03-31T00:00:00"/>
    <x v="8"/>
    <x v="2"/>
    <n v="-633"/>
    <x v="1"/>
    <x v="7"/>
    <s v="Kyllia Diane"/>
    <s v="crwagasore@migration.gov.rw,mrwamwaga@state.gov.rw,dkuwase@state.gov.rw"/>
    <n v="788550338"/>
    <m/>
    <m/>
    <m/>
  </r>
  <r>
    <s v="C000514"/>
    <x v="329"/>
    <s v="Immigration Ruhwa Border "/>
    <s v="Rusizi"/>
    <x v="0"/>
    <x v="0"/>
    <s v="VIP"/>
    <x v="0"/>
    <x v="0"/>
    <n v="5"/>
    <s v="FIBER VPN 5MBPS"/>
    <m/>
    <n v="1"/>
    <n v="270000"/>
    <n v="270000"/>
    <s v="Monthly"/>
    <d v="2025-03-31T00:00:00"/>
    <x v="8"/>
    <x v="2"/>
    <n v="-633"/>
    <x v="1"/>
    <x v="7"/>
    <s v="Kyllia Diane"/>
    <s v="crwagasore@migration.gov.rw,mrwamwaga@state.gov.rw,dkuwase@state.gov.rw"/>
    <n v="788550338"/>
    <m/>
    <m/>
    <m/>
  </r>
  <r>
    <s v="C000514"/>
    <x v="329"/>
    <s v="Immigration Bugarama Border "/>
    <s v="Rusizi"/>
    <x v="0"/>
    <x v="0"/>
    <s v="VIP"/>
    <x v="0"/>
    <x v="0"/>
    <n v="5"/>
    <s v="FIBER VPN 5MBPS"/>
    <m/>
    <n v="1"/>
    <n v="270000"/>
    <n v="270000"/>
    <s v="Monthly"/>
    <d v="2025-03-31T00:00:00"/>
    <x v="8"/>
    <x v="2"/>
    <n v="-633"/>
    <x v="1"/>
    <x v="7"/>
    <s v="Kyllia Diane"/>
    <s v="crwagasore@migration.gov.rw,mrwamwaga@state.gov.rw,dkuwase@state.gov.rw"/>
    <n v="788550338"/>
    <m/>
    <m/>
    <m/>
  </r>
  <r>
    <s v="C000514"/>
    <x v="329"/>
    <s v="Immigration Akanyaru Border "/>
    <s v="Nyanza"/>
    <x v="0"/>
    <x v="0"/>
    <s v="VIP"/>
    <x v="0"/>
    <x v="0"/>
    <n v="5"/>
    <s v="FIBER VPN 5MBPS"/>
    <m/>
    <n v="1"/>
    <n v="270000"/>
    <n v="270000"/>
    <s v="Monthly"/>
    <d v="2025-03-31T00:00:00"/>
    <x v="8"/>
    <x v="2"/>
    <n v="-633"/>
    <x v="1"/>
    <x v="7"/>
    <s v="Kyllia Diane"/>
    <s v="crwagasore@migration.gov.rw,mrwamwaga@state.gov.rw,dkuwase@state.gov.rw"/>
    <n v="788550338"/>
    <m/>
    <m/>
    <m/>
  </r>
  <r>
    <s v="C000514"/>
    <x v="329"/>
    <s v="Immigration Ruhwa Border "/>
    <s v="Rusizi"/>
    <x v="0"/>
    <x v="0"/>
    <s v="VIP"/>
    <x v="0"/>
    <x v="0"/>
    <n v="5"/>
    <s v="FIBER VPN 5MBPS"/>
    <m/>
    <n v="1"/>
    <n v="270000"/>
    <n v="270000"/>
    <s v="Monthly"/>
    <d v="2025-03-31T00:00:00"/>
    <x v="8"/>
    <x v="2"/>
    <n v="-633"/>
    <x v="1"/>
    <x v="7"/>
    <s v="Kyllia Diane"/>
    <s v="crwagasore@migration.gov.rw,mrwamwaga@state.gov.rw,dkuwase@state.gov.rw"/>
    <n v="788550338"/>
    <m/>
    <m/>
    <m/>
  </r>
  <r>
    <s v="C000514"/>
    <x v="329"/>
    <s v="Immigration  Rusizi 2 Border"/>
    <s v="Rusizi"/>
    <x v="0"/>
    <x v="0"/>
    <s v="VIP"/>
    <x v="0"/>
    <x v="0"/>
    <n v="5"/>
    <s v="FIBER VPN 5MBPS"/>
    <m/>
    <n v="1"/>
    <n v="270000"/>
    <n v="270000"/>
    <s v="Monthly"/>
    <d v="2025-03-31T00:00:00"/>
    <x v="8"/>
    <x v="2"/>
    <n v="-633"/>
    <x v="1"/>
    <x v="7"/>
    <s v="Kyllia Diane"/>
    <s v="crwagasore@migration.gov.rw,mrwamwaga@state.gov.rw,dkuwase@state.gov.rw"/>
    <n v="788550338"/>
    <m/>
    <m/>
    <m/>
  </r>
  <r>
    <s v="C000514"/>
    <x v="329"/>
    <s v="Immigration Rusizi 1  Border"/>
    <s v="Rusizi"/>
    <x v="0"/>
    <x v="0"/>
    <s v="VIP"/>
    <x v="0"/>
    <x v="0"/>
    <n v="5"/>
    <s v="FIBER VPN 5MBPS"/>
    <m/>
    <n v="1"/>
    <n v="270000"/>
    <n v="270000"/>
    <s v="Monthly"/>
    <d v="2025-03-31T00:00:00"/>
    <x v="8"/>
    <x v="2"/>
    <n v="-633"/>
    <x v="1"/>
    <x v="7"/>
    <s v="Kyllia Diane"/>
    <s v="crwagasore@migration.gov.rw,mrwamwaga@state.gov.rw,dkuwase@state.gov.rw"/>
    <n v="788550338"/>
    <m/>
    <m/>
    <m/>
  </r>
  <r>
    <s v="C000514"/>
    <x v="329"/>
    <s v="Immigration  Cyanika  Border (UG&amp;RW)"/>
    <s v="Nyamasheke"/>
    <x v="0"/>
    <x v="0"/>
    <s v="VIP"/>
    <x v="0"/>
    <x v="0"/>
    <n v="5"/>
    <s v="FIBER VPN 5MBPS"/>
    <m/>
    <n v="1"/>
    <n v="270000"/>
    <n v="270000"/>
    <s v="Monthly"/>
    <d v="2025-03-31T00:00:00"/>
    <x v="8"/>
    <x v="2"/>
    <n v="-633"/>
    <x v="1"/>
    <x v="7"/>
    <s v="Kyllia Diane"/>
    <s v="crwagasore@migration.gov.rw,mrwamwaga@state.gov.rw,dkuwase@state.gov.rw"/>
    <n v="788550338"/>
    <m/>
    <m/>
    <m/>
  </r>
  <r>
    <s v="C000514"/>
    <x v="329"/>
    <s v="Immigration Kagitumba Border (UG)"/>
    <s v="Kirehe"/>
    <x v="0"/>
    <x v="0"/>
    <s v="VIP"/>
    <x v="0"/>
    <x v="0"/>
    <n v="5"/>
    <s v="FIBER VPN 5MBPS"/>
    <m/>
    <n v="1"/>
    <n v="270000"/>
    <n v="270000"/>
    <s v="Monthly"/>
    <d v="2025-03-31T00:00:00"/>
    <x v="8"/>
    <x v="2"/>
    <n v="-633"/>
    <x v="1"/>
    <x v="7"/>
    <s v="Kyllia Diane"/>
    <s v="crwagasore@migration.gov.rw,mrwamwaga@state.gov.rw,dkuwase@state.gov.rw"/>
    <n v="788550338"/>
    <m/>
    <m/>
    <m/>
  </r>
  <r>
    <s v="C000514"/>
    <x v="329"/>
    <s v="Immigration Petite Barriere (Poid Lourd)"/>
    <s v="Rubavu"/>
    <x v="0"/>
    <x v="0"/>
    <s v="VIP"/>
    <x v="0"/>
    <x v="0"/>
    <n v="5"/>
    <s v="FIBER VPN 5MBPS"/>
    <m/>
    <n v="1"/>
    <n v="270000"/>
    <n v="270000"/>
    <s v="Monthly"/>
    <d v="2025-03-31T00:00:00"/>
    <x v="8"/>
    <x v="2"/>
    <n v="-633"/>
    <x v="1"/>
    <x v="7"/>
    <s v="Kyllia Diane"/>
    <s v="crwagasore@migration.gov.rw,mrwamwaga@state.gov.rw,dkuwase@state.gov.rw"/>
    <n v="788550338"/>
    <m/>
    <m/>
    <m/>
  </r>
  <r>
    <s v="C000514"/>
    <x v="329"/>
    <s v="Immigration  Kanombe  Airport (VIP)"/>
    <s v="Gasabo"/>
    <x v="0"/>
    <x v="0"/>
    <s v="VIP"/>
    <x v="0"/>
    <x v="0"/>
    <n v="5"/>
    <s v="FIBER VPN 5MBPS"/>
    <m/>
    <n v="1"/>
    <n v="270000"/>
    <n v="270000"/>
    <s v="Monthly"/>
    <d v="2025-03-31T00:00:00"/>
    <x v="8"/>
    <x v="2"/>
    <n v="-633"/>
    <x v="1"/>
    <x v="7"/>
    <s v="Kyllia Diane"/>
    <s v="crwagasore@migration.gov.rw,mrwamwaga@state.gov.rw,dkuwase@state.gov.rw"/>
    <n v="788550338"/>
    <m/>
    <m/>
    <m/>
  </r>
  <r>
    <s v="C000514"/>
    <x v="329"/>
    <s v="Immigration  Kanombe  Airport"/>
    <s v="Gasabo"/>
    <x v="0"/>
    <x v="0"/>
    <s v="VIP"/>
    <x v="0"/>
    <x v="0"/>
    <n v="5"/>
    <s v="FIBER VPN 5MBPS"/>
    <m/>
    <n v="1"/>
    <n v="270000"/>
    <n v="270000"/>
    <s v="Monthly"/>
    <d v="2025-03-31T00:00:00"/>
    <x v="8"/>
    <x v="2"/>
    <n v="-633"/>
    <x v="1"/>
    <x v="7"/>
    <s v="Kyllia Diane"/>
    <s v="crwagasore@migration.gov.rw,mrwamwaga@state.gov.rw,dkuwase@state.gov.rw"/>
    <n v="788550338"/>
    <m/>
    <m/>
    <m/>
  </r>
  <r>
    <s v="C000514"/>
    <x v="329"/>
    <s v="Immigration Rusumo -  Border (RW)"/>
    <s v="Kirehe"/>
    <x v="0"/>
    <x v="0"/>
    <s v="VIP"/>
    <x v="0"/>
    <x v="0"/>
    <n v="5"/>
    <s v="FIBER VPN 5MBPS"/>
    <m/>
    <n v="1"/>
    <n v="270000"/>
    <n v="270000"/>
    <s v="Monthly"/>
    <d v="2025-03-31T00:00:00"/>
    <x v="8"/>
    <x v="2"/>
    <n v="-633"/>
    <x v="1"/>
    <x v="7"/>
    <s v="Kyllia Diane"/>
    <s v="crwagasore@migration.gov.rw,mrwamwaga@state.gov.rw,dkuwase@state.gov.rw"/>
    <n v="788550338"/>
    <m/>
    <m/>
    <m/>
  </r>
  <r>
    <s v="C000514"/>
    <x v="329"/>
    <s v="Immigration Rusumo -  Border (GW)"/>
    <s v="Kirehe"/>
    <x v="0"/>
    <x v="0"/>
    <s v="VIP"/>
    <x v="0"/>
    <x v="0"/>
    <n v="5"/>
    <s v="FIBER VPN 5MBPS"/>
    <m/>
    <n v="1"/>
    <n v="270000"/>
    <n v="270000"/>
    <s v="Monthly"/>
    <d v="2025-03-31T00:00:00"/>
    <x v="8"/>
    <x v="2"/>
    <n v="-633"/>
    <x v="1"/>
    <x v="7"/>
    <s v="Kyllia Diane"/>
    <s v="crwagasore@migration.gov.rw,mrwamwaga@state.gov.rw,dkuwase@state.gov.rw"/>
    <n v="788550338"/>
    <m/>
    <m/>
    <m/>
  </r>
  <r>
    <s v="C000514"/>
    <x v="329"/>
    <s v="Immigration Rubavu La Corniche Border"/>
    <s v="Rubavu"/>
    <x v="0"/>
    <x v="0"/>
    <s v="VIP"/>
    <x v="0"/>
    <x v="0"/>
    <n v="5"/>
    <s v="FIBER VPN 5MBPS"/>
    <m/>
    <n v="1"/>
    <n v="270000"/>
    <n v="270000"/>
    <s v="Monthly"/>
    <d v="2025-03-31T00:00:00"/>
    <x v="8"/>
    <x v="2"/>
    <n v="-633"/>
    <x v="1"/>
    <x v="7"/>
    <s v="Kyllia Diane"/>
    <s v="crwagasore@migration.gov.rw,mrwamwaga@state.gov.rw,dkuwase@state.gov.rw"/>
    <n v="788550338"/>
    <m/>
    <m/>
    <m/>
  </r>
  <r>
    <s v="C000514"/>
    <x v="329"/>
    <s v="DGIE Kacyiru"/>
    <s v="Gasabo"/>
    <x v="0"/>
    <x v="0"/>
    <s v="VIP"/>
    <x v="0"/>
    <x v="0"/>
    <n v="50"/>
    <s v="FIBER VPN 50MBPS"/>
    <m/>
    <n v="1"/>
    <n v="1800000"/>
    <n v="1800000"/>
    <s v="Monthly"/>
    <d v="2025-03-31T00:00:00"/>
    <x v="8"/>
    <x v="2"/>
    <n v="-633"/>
    <x v="1"/>
    <x v="7"/>
    <s v="Kyllia Diane"/>
    <s v="crwagasore@migration.gov.rw,mrwamwaga@state.gov.rw,dkuwase@state.gov.rw"/>
    <n v="788550338"/>
    <m/>
    <m/>
    <m/>
  </r>
  <r>
    <s v="C000771"/>
    <x v="43"/>
    <s v="GISENYI-MAIN BRANCH"/>
    <s v="Rubavu"/>
    <x v="0"/>
    <x v="6"/>
    <s v="Standard"/>
    <x v="0"/>
    <x v="0"/>
    <n v="10"/>
    <s v="FIBER VPN 10MBPS"/>
    <m/>
    <n v="1"/>
    <n v="510000"/>
    <n v="510000"/>
    <s v="Monthly"/>
    <d v="2025-03-31T00:00:00"/>
    <x v="8"/>
    <x v="2"/>
    <n v="-633"/>
    <x v="1"/>
    <x v="6"/>
    <s v="NKURUNZIZA Innocent"/>
    <s v="gisenyi.hospital@moh.gov.rw"/>
    <n v="788823232"/>
    <m/>
    <m/>
    <m/>
  </r>
  <r>
    <s v="L000087"/>
    <x v="330"/>
    <s v="HQ"/>
    <s v="Gasabo"/>
    <x v="1"/>
    <x v="4"/>
    <s v="Standard"/>
    <x v="1"/>
    <x v="5"/>
    <n v="25"/>
    <s v="FIBER INTERNET 25MBPS"/>
    <m/>
    <n v="1"/>
    <n v="1000000"/>
    <n v="1000000"/>
    <s v="Monthly"/>
    <d v="2025-03-31T00:00:00"/>
    <x v="8"/>
    <x v="2"/>
    <n v="-633"/>
    <x v="1"/>
    <x v="7"/>
    <s v="Buzare Gershom"/>
    <s v="buzaregershom16@gmail.com"/>
    <n v="782859121"/>
    <m/>
    <m/>
    <m/>
  </r>
  <r>
    <s v="C001407"/>
    <x v="331"/>
    <s v="MINAGRI - Kirehe (NAICO) - Warren Buffet"/>
    <s v="Kirehe"/>
    <x v="0"/>
    <x v="0"/>
    <s v="Standard"/>
    <x v="0"/>
    <x v="0"/>
    <n v="5"/>
    <s v="FIBER VPN 5MBPS"/>
    <m/>
    <n v="1"/>
    <n v="270000"/>
    <n v="270000"/>
    <s v="Monthly"/>
    <d v="2025-03-31T00:00:00"/>
    <x v="8"/>
    <x v="2"/>
    <n v="-633"/>
    <x v="1"/>
    <x v="2"/>
    <s v="Alex Lamberts"/>
    <s v="nashoirrigation@gmail.com"/>
    <s v="0787-520-930"/>
    <m/>
    <m/>
    <m/>
  </r>
  <r>
    <s v="C001755"/>
    <x v="59"/>
    <s v="NGARAMA-MAIN BRANCH"/>
    <s v="Gatsibo"/>
    <x v="0"/>
    <x v="6"/>
    <s v="Standard"/>
    <x v="0"/>
    <x v="0"/>
    <n v="5"/>
    <s v="FIBER VPN 5MBPS"/>
    <m/>
    <n v="1"/>
    <n v="270000"/>
    <n v="270000"/>
    <s v="Monthly"/>
    <d v="2025-03-31T00:00:00"/>
    <x v="8"/>
    <x v="2"/>
    <n v="-633"/>
    <x v="1"/>
    <x v="6"/>
    <s v="NTAWUHIGANIMANA Aimable"/>
    <s v="ngarama.hospital@moh.gov.rw"/>
    <n v="785164119"/>
    <m/>
    <m/>
    <m/>
  </r>
  <r>
    <s v="C001790"/>
    <x v="332"/>
    <s v="NISS Kimihurura"/>
    <s v="Gasabo"/>
    <x v="0"/>
    <x v="0"/>
    <s v="VIP"/>
    <x v="1"/>
    <x v="0"/>
    <n v="1"/>
    <s v="FIBER VPN 1MBPS"/>
    <m/>
    <n v="1"/>
    <n v="90000"/>
    <n v="90000"/>
    <s v="Monthly"/>
    <d v="2025-03-31T00:00:00"/>
    <x v="8"/>
    <x v="2"/>
    <n v="-633"/>
    <x v="1"/>
    <x v="7"/>
    <s v="Kyllia Diane"/>
    <s v="crwagasore@migration.gov.rw,mrwamwaga@state.gov.rw,dkuwase@state.gov.rw"/>
    <n v="788550338"/>
    <m/>
    <m/>
    <m/>
  </r>
  <r>
    <s v="C001790"/>
    <x v="332"/>
    <s v="NISS Kimihurura"/>
    <s v="Gasabo"/>
    <x v="0"/>
    <x v="0"/>
    <s v="VIP"/>
    <x v="1"/>
    <x v="4"/>
    <n v="5"/>
    <s v="Wireless Broadband 5Mbps"/>
    <m/>
    <n v="1"/>
    <n v="245000"/>
    <n v="245000"/>
    <s v="Monthly"/>
    <d v="2025-03-31T00:00:00"/>
    <x v="8"/>
    <x v="2"/>
    <n v="-633"/>
    <x v="1"/>
    <x v="7"/>
    <s v="Kyllia Diane"/>
    <s v="crwagasore@migration.gov.rw,mrwamwaga@state.gov.rw,dkuwase@state.gov.rw"/>
    <n v="788550338"/>
    <m/>
    <m/>
    <m/>
  </r>
  <r>
    <s v="C001790"/>
    <x v="332"/>
    <s v="NISS Kacyiru"/>
    <s v="Gasabo"/>
    <x v="0"/>
    <x v="0"/>
    <s v="VIP"/>
    <x v="0"/>
    <x v="0"/>
    <n v="15"/>
    <s v="FIBER VPN 15MBPS"/>
    <m/>
    <n v="1"/>
    <n v="720000"/>
    <n v="720000"/>
    <s v="Monthly"/>
    <d v="2025-03-31T00:00:00"/>
    <x v="8"/>
    <x v="2"/>
    <n v="-633"/>
    <x v="1"/>
    <x v="7"/>
    <s v="Kyllia Diane"/>
    <s v="crwagasore@migration.gov.rw,mrwamwaga@state.gov.rw,dkuwase@state.gov.rw"/>
    <n v="788550338"/>
    <m/>
    <m/>
    <m/>
  </r>
  <r>
    <s v="C001790"/>
    <x v="332"/>
    <s v="NISS Kacyiru"/>
    <s v="Gasabo"/>
    <x v="0"/>
    <x v="0"/>
    <s v="VIP"/>
    <x v="0"/>
    <x v="0"/>
    <n v="20"/>
    <s v="FIBER VPN 20MBPS"/>
    <m/>
    <n v="1"/>
    <n v="900000"/>
    <n v="900000"/>
    <s v="Monthly"/>
    <d v="2025-03-31T00:00:00"/>
    <x v="8"/>
    <x v="2"/>
    <n v="-633"/>
    <x v="1"/>
    <x v="7"/>
    <s v="Kyllia Diane"/>
    <s v="crwagasore@migration.gov.rw,mrwamwaga@state.gov.rw,dkuwase@state.gov.rw"/>
    <n v="788550338"/>
    <m/>
    <m/>
    <m/>
  </r>
  <r>
    <s v="C001790"/>
    <x v="332"/>
    <s v="NISS Gako"/>
    <s v="Bugesera"/>
    <x v="0"/>
    <x v="0"/>
    <s v="VIP"/>
    <x v="0"/>
    <x v="0"/>
    <n v="30"/>
    <s v="FIBER VPN 30MBPS"/>
    <m/>
    <n v="1"/>
    <n v="1260000"/>
    <n v="1260000"/>
    <s v="Monthly"/>
    <d v="2025-03-31T00:00:00"/>
    <x v="8"/>
    <x v="2"/>
    <n v="-633"/>
    <x v="1"/>
    <x v="7"/>
    <s v="Kyllia Diane"/>
    <s v="crwagasore@migration.gov.rw,mrwamwaga@state.gov.rw,dkuwase@state.gov.rw"/>
    <n v="788550338"/>
    <m/>
    <m/>
    <m/>
  </r>
  <r>
    <s v="C001790"/>
    <x v="332"/>
    <s v="NISS Kimihurura"/>
    <s v="Gasabo"/>
    <x v="0"/>
    <x v="0"/>
    <s v="VIP"/>
    <x v="1"/>
    <x v="0"/>
    <n v="35"/>
    <s v="FIBER VPN 35MBPS"/>
    <m/>
    <n v="1"/>
    <n v="1530000"/>
    <n v="1530000"/>
    <s v="Monthly"/>
    <d v="2025-03-31T00:00:00"/>
    <x v="8"/>
    <x v="2"/>
    <n v="-633"/>
    <x v="1"/>
    <x v="7"/>
    <s v="Kyllia Diane"/>
    <s v="crwagasore@migration.gov.rw,mrwamwaga@state.gov.rw,dkuwase@state.gov.rw"/>
    <n v="788550338"/>
    <m/>
    <m/>
    <m/>
  </r>
  <r>
    <s v="C001790"/>
    <x v="332"/>
    <s v="NISS HQ"/>
    <s v="Gasabo"/>
    <x v="0"/>
    <x v="0"/>
    <s v="VIP"/>
    <x v="0"/>
    <x v="6"/>
    <m/>
    <s v="4G MUP 200GB"/>
    <m/>
    <n v="1"/>
    <n v="448305.08474576275"/>
    <n v="448305.08474576275"/>
    <s v="Monthly"/>
    <d v="2025-03-31T00:00:00"/>
    <x v="8"/>
    <x v="2"/>
    <n v="-633"/>
    <x v="1"/>
    <x v="7"/>
    <s v="Kyllia Diane"/>
    <s v="crwagasore@migration.gov.rw,mrwamwaga@state.gov.rw,dkuwase@state.gov.rw"/>
    <n v="788550338"/>
    <m/>
    <m/>
    <m/>
  </r>
  <r>
    <s v="C001790"/>
    <x v="332"/>
    <s v="NISS HQ"/>
    <s v="Gasabo"/>
    <x v="0"/>
    <x v="0"/>
    <s v="VIP"/>
    <x v="0"/>
    <x v="6"/>
    <m/>
    <s v="4G MUP 100GB"/>
    <m/>
    <n v="1"/>
    <n v="245677.96610200001"/>
    <n v="245677.96610200001"/>
    <s v="Monthly"/>
    <d v="2025-03-31T00:00:00"/>
    <x v="8"/>
    <x v="2"/>
    <n v="-633"/>
    <x v="1"/>
    <x v="7"/>
    <s v="Kyllia Diane"/>
    <s v="crwagasore@migration.gov.rw,mrwamwaga@state.gov.rw,dkuwase@state.gov.rw"/>
    <n v="788550338"/>
    <m/>
    <m/>
    <m/>
  </r>
  <r>
    <s v="C001790"/>
    <x v="332"/>
    <s v=" Bugesera"/>
    <s v="Bugesera"/>
    <x v="0"/>
    <x v="0"/>
    <s v="VIP"/>
    <x v="0"/>
    <x v="0"/>
    <n v="1"/>
    <s v="FIBER VPN 1MBPS"/>
    <m/>
    <n v="1"/>
    <n v="90000"/>
    <n v="90000"/>
    <s v="Monthly"/>
    <d v="2025-03-31T00:00:00"/>
    <x v="8"/>
    <x v="2"/>
    <n v="-633"/>
    <x v="1"/>
    <x v="7"/>
    <s v="Kyllia Diane"/>
    <s v="crwagasore@migration.gov.rw,mrwamwaga@state.gov.rw,dkuwase@state.gov.rw"/>
    <n v="788550338"/>
    <m/>
    <m/>
    <m/>
  </r>
  <r>
    <s v="C001790"/>
    <x v="332"/>
    <s v="Burera"/>
    <s v="Burera"/>
    <x v="0"/>
    <x v="0"/>
    <s v="VIP"/>
    <x v="0"/>
    <x v="0"/>
    <n v="1"/>
    <s v="FIBER VPN 1MBPS"/>
    <m/>
    <n v="1"/>
    <n v="90000"/>
    <n v="90000"/>
    <s v="Monthly"/>
    <d v="2025-03-31T00:00:00"/>
    <x v="8"/>
    <x v="2"/>
    <n v="-633"/>
    <x v="1"/>
    <x v="7"/>
    <s v="Kyllia Diane"/>
    <s v="crwagasore@migration.gov.rw,mrwamwaga@state.gov.rw,dkuwase@state.gov.rw"/>
    <n v="788550338"/>
    <m/>
    <m/>
    <m/>
  </r>
  <r>
    <s v="C001790"/>
    <x v="332"/>
    <s v="NISS Gakenke"/>
    <s v="Gakenke"/>
    <x v="0"/>
    <x v="0"/>
    <s v="VIP"/>
    <x v="0"/>
    <x v="0"/>
    <n v="1"/>
    <s v="FIBER VPN 1MBPS"/>
    <m/>
    <n v="1"/>
    <n v="90000"/>
    <n v="90000"/>
    <s v="Monthly"/>
    <d v="2025-03-31T00:00:00"/>
    <x v="8"/>
    <x v="2"/>
    <n v="-633"/>
    <x v="1"/>
    <x v="7"/>
    <s v="Kyllia Diane"/>
    <s v="crwagasore@migration.gov.rw,mrwamwaga@state.gov.rw,dkuwase@state.gov.rw"/>
    <n v="788550338"/>
    <m/>
    <m/>
    <m/>
  </r>
  <r>
    <s v="C001790"/>
    <x v="332"/>
    <s v="NISS Nemba"/>
    <s v="Gakenke"/>
    <x v="0"/>
    <x v="0"/>
    <s v="VIP"/>
    <x v="0"/>
    <x v="0"/>
    <n v="1"/>
    <s v="FIBER VPN 1MBPS"/>
    <m/>
    <n v="1"/>
    <n v="90000"/>
    <n v="90000"/>
    <s v="Monthly"/>
    <d v="2025-03-31T00:00:00"/>
    <x v="8"/>
    <x v="2"/>
    <n v="-633"/>
    <x v="1"/>
    <x v="7"/>
    <s v="Kyllia Diane"/>
    <s v="crwagasore@migration.gov.rw,mrwamwaga@state.gov.rw,dkuwase@state.gov.rw"/>
    <n v="788550338"/>
    <m/>
    <m/>
    <m/>
  </r>
  <r>
    <s v="C001790"/>
    <x v="332"/>
    <s v=" Gasabo:"/>
    <s v="Gasabo"/>
    <x v="0"/>
    <x v="0"/>
    <s v="VIP"/>
    <x v="0"/>
    <x v="0"/>
    <n v="1"/>
    <s v="FIBER VPN 1MBPS"/>
    <m/>
    <n v="1"/>
    <n v="90000"/>
    <n v="90000"/>
    <s v="Monthly"/>
    <d v="2025-03-31T00:00:00"/>
    <x v="8"/>
    <x v="2"/>
    <n v="-633"/>
    <x v="1"/>
    <x v="7"/>
    <s v="Kyllia Diane"/>
    <s v="crwagasore@migration.gov.rw,mrwamwaga@state.gov.rw,dkuwase@state.gov.rw"/>
    <n v="788550338"/>
    <m/>
    <m/>
    <m/>
  </r>
  <r>
    <s v="C001790"/>
    <x v="332"/>
    <s v="NISS Gatsibo"/>
    <s v="Gatsibo"/>
    <x v="0"/>
    <x v="0"/>
    <s v="VIP"/>
    <x v="0"/>
    <x v="0"/>
    <n v="1"/>
    <s v="FIBER VPN 1MBPS"/>
    <m/>
    <n v="1"/>
    <n v="90000"/>
    <n v="90000"/>
    <s v="Monthly"/>
    <d v="2025-03-31T00:00:00"/>
    <x v="8"/>
    <x v="2"/>
    <n v="-633"/>
    <x v="1"/>
    <x v="7"/>
    <s v="Kyllia Diane"/>
    <s v="crwagasore@migration.gov.rw,mrwamwaga@state.gov.rw,dkuwase@state.gov.rw"/>
    <n v="788550338"/>
    <m/>
    <m/>
    <m/>
  </r>
  <r>
    <s v="C001790"/>
    <x v="332"/>
    <s v="NISS Gicumbi"/>
    <s v="Gicumbi"/>
    <x v="0"/>
    <x v="0"/>
    <s v="VIP"/>
    <x v="0"/>
    <x v="0"/>
    <n v="1"/>
    <s v="FIBER VPN 1MBPS"/>
    <m/>
    <n v="1"/>
    <n v="90000"/>
    <n v="90000"/>
    <s v="Monthly"/>
    <d v="2025-03-31T00:00:00"/>
    <x v="8"/>
    <x v="2"/>
    <n v="-633"/>
    <x v="1"/>
    <x v="7"/>
    <s v="Kyllia Diane"/>
    <s v="crwagasore@migration.gov.rw,mrwamwaga@state.gov.rw,dkuwase@state.gov.rw"/>
    <n v="788550338"/>
    <m/>
    <m/>
    <m/>
  </r>
  <r>
    <s v="C001790"/>
    <x v="332"/>
    <s v="NISS Gatuna"/>
    <s v="Gicumbi"/>
    <x v="0"/>
    <x v="0"/>
    <s v="VIP"/>
    <x v="0"/>
    <x v="0"/>
    <n v="1"/>
    <s v="FIBER VPN 1MBPS"/>
    <m/>
    <n v="1"/>
    <n v="90000"/>
    <n v="90000"/>
    <s v="Monthly"/>
    <d v="2025-03-31T00:00:00"/>
    <x v="8"/>
    <x v="2"/>
    <n v="-633"/>
    <x v="1"/>
    <x v="7"/>
    <s v="Kyllia Diane"/>
    <s v="crwagasore@migration.gov.rw,mrwamwaga@state.gov.rw,dkuwase@state.gov.rw"/>
    <n v="788550338"/>
    <m/>
    <m/>
    <m/>
  </r>
  <r>
    <s v="C001790"/>
    <x v="332"/>
    <s v="NISS Gisagara"/>
    <s v="Gisagara"/>
    <x v="0"/>
    <x v="0"/>
    <s v="VIP"/>
    <x v="0"/>
    <x v="0"/>
    <n v="1"/>
    <s v="FIBER VPN 1MBPS"/>
    <m/>
    <n v="1"/>
    <n v="90000"/>
    <n v="90000"/>
    <s v="Monthly"/>
    <d v="2025-03-31T00:00:00"/>
    <x v="8"/>
    <x v="2"/>
    <n v="-633"/>
    <x v="1"/>
    <x v="7"/>
    <s v="Kyllia Diane"/>
    <s v="crwagasore@migration.gov.rw,mrwamwaga@state.gov.rw,dkuwase@state.gov.rw"/>
    <n v="788550338"/>
    <m/>
    <m/>
    <m/>
  </r>
  <r>
    <s v="C001790"/>
    <x v="332"/>
    <s v="NISS Huye"/>
    <s v="Huye"/>
    <x v="0"/>
    <x v="0"/>
    <s v="VIP"/>
    <x v="0"/>
    <x v="0"/>
    <n v="1"/>
    <s v="FIBER VPN 1MBPS"/>
    <m/>
    <n v="1"/>
    <n v="90000"/>
    <n v="90000"/>
    <s v="Monthly"/>
    <d v="2025-03-31T00:00:00"/>
    <x v="8"/>
    <x v="2"/>
    <n v="-633"/>
    <x v="1"/>
    <x v="7"/>
    <s v="Kyllia Diane"/>
    <s v="crwagasore@migration.gov.rw,mrwamwaga@state.gov.rw,dkuwase@state.gov.rw"/>
    <n v="788550338"/>
    <m/>
    <m/>
    <m/>
  </r>
  <r>
    <s v="C001790"/>
    <x v="332"/>
    <s v="NISS Kamonyi"/>
    <s v="Kamonyi"/>
    <x v="0"/>
    <x v="0"/>
    <s v="VIP"/>
    <x v="0"/>
    <x v="0"/>
    <n v="1"/>
    <s v="FIBER VPN 1MBPS"/>
    <m/>
    <n v="1"/>
    <n v="90000"/>
    <n v="90000"/>
    <s v="Monthly"/>
    <d v="2025-03-31T00:00:00"/>
    <x v="8"/>
    <x v="2"/>
    <n v="-633"/>
    <x v="1"/>
    <x v="7"/>
    <s v="Kyllia Diane"/>
    <s v="crwagasore@migration.gov.rw,mrwamwaga@state.gov.rw,dkuwase@state.gov.rw"/>
    <n v="788550338"/>
    <m/>
    <m/>
    <m/>
  </r>
  <r>
    <s v="C001790"/>
    <x v="332"/>
    <s v="NISS Karongi"/>
    <s v="Karongi"/>
    <x v="0"/>
    <x v="0"/>
    <s v="VIP"/>
    <x v="0"/>
    <x v="0"/>
    <n v="1"/>
    <s v="FIBER VPN 1MBPS"/>
    <m/>
    <n v="1"/>
    <n v="90000"/>
    <n v="90000"/>
    <s v="Monthly"/>
    <d v="2025-03-31T00:00:00"/>
    <x v="8"/>
    <x v="2"/>
    <n v="-633"/>
    <x v="1"/>
    <x v="7"/>
    <s v="Kyllia Diane"/>
    <s v="crwagasore@migration.gov.rw,mrwamwaga@state.gov.rw,dkuwase@state.gov.rw"/>
    <n v="788550338"/>
    <m/>
    <m/>
    <m/>
  </r>
  <r>
    <s v="C001790"/>
    <x v="332"/>
    <s v="NISS Kayonza"/>
    <s v="Kayonza"/>
    <x v="0"/>
    <x v="0"/>
    <s v="VIP"/>
    <x v="0"/>
    <x v="0"/>
    <n v="1"/>
    <s v="FIBER VPN 1MBPS"/>
    <m/>
    <n v="1"/>
    <n v="90000"/>
    <n v="90000"/>
    <s v="Monthly"/>
    <d v="2025-03-31T00:00:00"/>
    <x v="8"/>
    <x v="2"/>
    <n v="-633"/>
    <x v="1"/>
    <x v="7"/>
    <s v="Kyllia Diane"/>
    <s v="crwagasore@migration.gov.rw,mrwamwaga@state.gov.rw,dkuwase@state.gov.rw"/>
    <n v="788550338"/>
    <m/>
    <m/>
    <m/>
  </r>
  <r>
    <s v="C001790"/>
    <x v="332"/>
    <s v="NISS Kagitumba"/>
    <s v="Kayonza"/>
    <x v="0"/>
    <x v="0"/>
    <s v="VIP"/>
    <x v="0"/>
    <x v="0"/>
    <n v="1"/>
    <s v="FIBER VPN 1MBPS"/>
    <m/>
    <n v="1"/>
    <n v="90000"/>
    <n v="90000"/>
    <s v="Monthly"/>
    <d v="2025-03-31T00:00:00"/>
    <x v="8"/>
    <x v="2"/>
    <n v="-633"/>
    <x v="1"/>
    <x v="7"/>
    <s v="Kyllia Diane"/>
    <s v="crwagasore@migration.gov.rw,mrwamwaga@state.gov.rw,dkuwase@state.gov.rw"/>
    <n v="788550338"/>
    <m/>
    <m/>
    <m/>
  </r>
  <r>
    <s v="C001790"/>
    <x v="332"/>
    <s v="NISS Airport"/>
    <s v="Kicukiro"/>
    <x v="0"/>
    <x v="0"/>
    <s v="VIP"/>
    <x v="0"/>
    <x v="0"/>
    <n v="1"/>
    <s v="FIBER VPN 1MBPS"/>
    <m/>
    <n v="1"/>
    <n v="90000"/>
    <n v="90000"/>
    <s v="Monthly"/>
    <d v="2025-03-31T00:00:00"/>
    <x v="8"/>
    <x v="2"/>
    <n v="-633"/>
    <x v="1"/>
    <x v="7"/>
    <s v="Kyllia Diane"/>
    <s v="crwagasore@migration.gov.rw,mrwamwaga@state.gov.rw,dkuwase@state.gov.rw"/>
    <n v="788550338"/>
    <m/>
    <m/>
    <m/>
  </r>
  <r>
    <s v="C001790"/>
    <x v="332"/>
    <s v="NISS Kicukiro"/>
    <s v="Kicukiro"/>
    <x v="0"/>
    <x v="0"/>
    <s v="VIP"/>
    <x v="0"/>
    <x v="0"/>
    <n v="1"/>
    <s v="FIBER VPN 1MBPS"/>
    <m/>
    <n v="1"/>
    <n v="90000"/>
    <n v="90000"/>
    <s v="Monthly"/>
    <d v="2025-03-31T00:00:00"/>
    <x v="8"/>
    <x v="2"/>
    <n v="-633"/>
    <x v="1"/>
    <x v="7"/>
    <s v="Kyllia Diane"/>
    <s v="crwagasore@migration.gov.rw,mrwamwaga@state.gov.rw,dkuwase@state.gov.rw"/>
    <n v="788550338"/>
    <m/>
    <m/>
    <m/>
  </r>
  <r>
    <s v="C001790"/>
    <x v="332"/>
    <s v="NISS Kirehe"/>
    <s v="Kirehe"/>
    <x v="0"/>
    <x v="0"/>
    <s v="VIP"/>
    <x v="0"/>
    <x v="0"/>
    <n v="1"/>
    <s v="FIBER VPN 1MBPS"/>
    <m/>
    <n v="1"/>
    <n v="90000"/>
    <n v="90000"/>
    <s v="Monthly"/>
    <d v="2025-03-31T00:00:00"/>
    <x v="8"/>
    <x v="2"/>
    <n v="-633"/>
    <x v="1"/>
    <x v="7"/>
    <s v="Kyllia Diane"/>
    <s v="crwagasore@migration.gov.rw,mrwamwaga@state.gov.rw,dkuwase@state.gov.rw"/>
    <n v="788550338"/>
    <m/>
    <m/>
    <m/>
  </r>
  <r>
    <s v="C001790"/>
    <x v="332"/>
    <s v="NISS Rusumo"/>
    <s v="Kirehe"/>
    <x v="0"/>
    <x v="0"/>
    <s v="VIP"/>
    <x v="0"/>
    <x v="0"/>
    <n v="1"/>
    <s v="FIBER VPN 1MBPS"/>
    <m/>
    <n v="1"/>
    <n v="90000"/>
    <n v="90000"/>
    <s v="Monthly"/>
    <d v="2025-03-31T00:00:00"/>
    <x v="8"/>
    <x v="2"/>
    <n v="-633"/>
    <x v="1"/>
    <x v="7"/>
    <s v="Kyllia Diane"/>
    <s v="crwagasore@migration.gov.rw,mrwamwaga@state.gov.rw,dkuwase@state.gov.rw"/>
    <n v="788550338"/>
    <m/>
    <m/>
    <m/>
  </r>
  <r>
    <s v="C001790"/>
    <x v="332"/>
    <s v=" Muhanga"/>
    <s v="Muhanga"/>
    <x v="0"/>
    <x v="0"/>
    <s v="VIP"/>
    <x v="0"/>
    <x v="0"/>
    <n v="1"/>
    <s v="FIBER VPN 1MBPS"/>
    <m/>
    <n v="1"/>
    <n v="90000"/>
    <n v="90000"/>
    <s v="Monthly"/>
    <d v="2025-03-31T00:00:00"/>
    <x v="8"/>
    <x v="2"/>
    <n v="-633"/>
    <x v="1"/>
    <x v="7"/>
    <s v="Kyllia Diane"/>
    <s v="crwagasore@migration.gov.rw,mrwamwaga@state.gov.rw,dkuwase@state.gov.rw"/>
    <n v="788550338"/>
    <m/>
    <m/>
    <m/>
  </r>
  <r>
    <s v="C001790"/>
    <x v="332"/>
    <s v=" Musanze"/>
    <s v="Musanze"/>
    <x v="0"/>
    <x v="0"/>
    <s v="VIP"/>
    <x v="0"/>
    <x v="0"/>
    <n v="1"/>
    <s v="FIBER VPN 1MBPS"/>
    <m/>
    <n v="1"/>
    <n v="90000"/>
    <n v="90000"/>
    <s v="Monthly"/>
    <d v="2025-03-31T00:00:00"/>
    <x v="8"/>
    <x v="2"/>
    <n v="-633"/>
    <x v="1"/>
    <x v="7"/>
    <s v="Kyllia Diane"/>
    <s v="crwagasore@migration.gov.rw,mrwamwaga@state.gov.rw,dkuwase@state.gov.rw"/>
    <n v="788550338"/>
    <m/>
    <m/>
    <m/>
  </r>
  <r>
    <s v="C001790"/>
    <x v="332"/>
    <s v="NISS Ngoma"/>
    <s v="Ngoma"/>
    <x v="0"/>
    <x v="0"/>
    <s v="VIP"/>
    <x v="0"/>
    <x v="0"/>
    <n v="1"/>
    <s v="FIBER VPN 1MBPS"/>
    <m/>
    <n v="1"/>
    <n v="90000"/>
    <n v="90000"/>
    <s v="Monthly"/>
    <d v="2025-03-31T00:00:00"/>
    <x v="8"/>
    <x v="2"/>
    <n v="-633"/>
    <x v="1"/>
    <x v="7"/>
    <s v="Kyllia Diane"/>
    <s v="crwagasore@migration.gov.rw,mrwamwaga@state.gov.rw,dkuwase@state.gov.rw"/>
    <n v="788550338"/>
    <m/>
    <m/>
    <m/>
  </r>
  <r>
    <s v="C001790"/>
    <x v="332"/>
    <s v=" Ngororero"/>
    <s v="Ngororero"/>
    <x v="0"/>
    <x v="0"/>
    <s v="VIP"/>
    <x v="0"/>
    <x v="0"/>
    <n v="1"/>
    <s v="FIBER VPN 1MBPS"/>
    <m/>
    <n v="1"/>
    <n v="90000"/>
    <n v="90000"/>
    <s v="Monthly"/>
    <d v="2025-03-31T00:00:00"/>
    <x v="8"/>
    <x v="2"/>
    <n v="-633"/>
    <x v="1"/>
    <x v="7"/>
    <s v="Kyllia Diane"/>
    <s v="crwagasore@migration.gov.rw,mrwamwaga@state.gov.rw,dkuwase@state.gov.rw"/>
    <n v="788550338"/>
    <m/>
    <m/>
    <m/>
  </r>
  <r>
    <s v="C001790"/>
    <x v="332"/>
    <s v=" Nyabihu"/>
    <s v="Nyabihu"/>
    <x v="0"/>
    <x v="0"/>
    <s v="VIP"/>
    <x v="0"/>
    <x v="0"/>
    <n v="1"/>
    <s v="FIBER VPN 1MBPS"/>
    <m/>
    <n v="1"/>
    <n v="90000"/>
    <n v="90000"/>
    <s v="Monthly"/>
    <d v="2025-03-31T00:00:00"/>
    <x v="8"/>
    <x v="2"/>
    <n v="-633"/>
    <x v="1"/>
    <x v="7"/>
    <s v="Kyllia Diane"/>
    <s v="crwagasore@migration.gov.rw,mrwamwaga@state.gov.rw,dkuwase@state.gov.rw"/>
    <n v="788550338"/>
    <m/>
    <m/>
    <m/>
  </r>
  <r>
    <s v="C001790"/>
    <x v="332"/>
    <s v="NISS Nyagatare"/>
    <s v="Nyagatare"/>
    <x v="0"/>
    <x v="0"/>
    <s v="VIP"/>
    <x v="0"/>
    <x v="0"/>
    <n v="1"/>
    <s v="FIBER VPN 1MBPS"/>
    <m/>
    <n v="1"/>
    <n v="90000"/>
    <n v="90000"/>
    <s v="Monthly"/>
    <d v="2025-03-31T00:00:00"/>
    <x v="8"/>
    <x v="2"/>
    <n v="-633"/>
    <x v="1"/>
    <x v="7"/>
    <s v="Kyllia Diane"/>
    <s v="crwagasore@migration.gov.rw,mrwamwaga@state.gov.rw,dkuwase@state.gov.rw"/>
    <n v="788550338"/>
    <m/>
    <m/>
    <m/>
  </r>
  <r>
    <s v="C001790"/>
    <x v="332"/>
    <s v="NISS Nyamagabe"/>
    <s v="Nyamagabe"/>
    <x v="0"/>
    <x v="0"/>
    <s v="VIP"/>
    <x v="0"/>
    <x v="0"/>
    <n v="1"/>
    <s v="FIBER VPN 1MBPS"/>
    <m/>
    <n v="1"/>
    <n v="90000"/>
    <n v="90000"/>
    <s v="Monthly"/>
    <d v="2025-03-31T00:00:00"/>
    <x v="8"/>
    <x v="2"/>
    <n v="-633"/>
    <x v="1"/>
    <x v="7"/>
    <s v="Kyllia Diane"/>
    <s v="crwagasore@migration.gov.rw,mrwamwaga@state.gov.rw,dkuwase@state.gov.rw"/>
    <n v="788550338"/>
    <m/>
    <m/>
    <m/>
  </r>
  <r>
    <s v="C001790"/>
    <x v="332"/>
    <s v=" Cyanika"/>
    <s v="Nyamagabe"/>
    <x v="0"/>
    <x v="0"/>
    <s v="VIP"/>
    <x v="0"/>
    <x v="0"/>
    <n v="1"/>
    <s v="FIBER VPN 1MBPS"/>
    <m/>
    <n v="1"/>
    <n v="90000"/>
    <n v="90000"/>
    <s v="Monthly"/>
    <d v="2025-03-31T00:00:00"/>
    <x v="8"/>
    <x v="2"/>
    <n v="-633"/>
    <x v="1"/>
    <x v="7"/>
    <s v="Kyllia Diane"/>
    <s v="crwagasore@migration.gov.rw,mrwamwaga@state.gov.rw,dkuwase@state.gov.rw"/>
    <n v="788550338"/>
    <m/>
    <m/>
    <m/>
  </r>
  <r>
    <s v="C001790"/>
    <x v="332"/>
    <s v="NISS Nyamasheke"/>
    <s v="Nyamasheke"/>
    <x v="0"/>
    <x v="0"/>
    <s v="VIP"/>
    <x v="0"/>
    <x v="0"/>
    <n v="1"/>
    <s v="FIBER VPN 1MBPS"/>
    <m/>
    <n v="1"/>
    <n v="90000"/>
    <n v="90000"/>
    <s v="Monthly"/>
    <d v="2025-03-31T00:00:00"/>
    <x v="8"/>
    <x v="2"/>
    <n v="-633"/>
    <x v="1"/>
    <x v="7"/>
    <s v="Kyllia Diane"/>
    <s v="crwagasore@migration.gov.rw,mrwamwaga@state.gov.rw,dkuwase@state.gov.rw"/>
    <n v="788550338"/>
    <m/>
    <m/>
    <m/>
  </r>
  <r>
    <s v="C001790"/>
    <x v="332"/>
    <s v="NISS Nyanza"/>
    <s v="Nyanza"/>
    <x v="0"/>
    <x v="0"/>
    <s v="VIP"/>
    <x v="0"/>
    <x v="0"/>
    <n v="1"/>
    <s v="FIBER VPN 1MBPS"/>
    <m/>
    <n v="1"/>
    <n v="90000"/>
    <n v="90000"/>
    <s v="Monthly"/>
    <d v="2025-03-31T00:00:00"/>
    <x v="8"/>
    <x v="2"/>
    <n v="-633"/>
    <x v="1"/>
    <x v="7"/>
    <s v="Kyllia Diane"/>
    <s v="crwagasore@migration.gov.rw,mrwamwaga@state.gov.rw,dkuwase@state.gov.rw"/>
    <n v="788550338"/>
    <m/>
    <m/>
    <m/>
  </r>
  <r>
    <s v="C001790"/>
    <x v="332"/>
    <s v="NISS Akanyaru"/>
    <s v="Nyanza"/>
    <x v="0"/>
    <x v="0"/>
    <s v="VIP"/>
    <x v="0"/>
    <x v="0"/>
    <n v="1"/>
    <s v="FIBER VPN 1MBPS"/>
    <m/>
    <n v="1"/>
    <n v="90000"/>
    <n v="90000"/>
    <s v="Monthly"/>
    <d v="2025-03-31T00:00:00"/>
    <x v="8"/>
    <x v="2"/>
    <n v="-633"/>
    <x v="1"/>
    <x v="7"/>
    <s v="Kyllia Diane"/>
    <s v="crwagasore@migration.gov.rw,mrwamwaga@state.gov.rw,dkuwase@state.gov.rw"/>
    <n v="788550338"/>
    <m/>
    <m/>
    <m/>
  </r>
  <r>
    <s v="C001790"/>
    <x v="332"/>
    <s v="NISS Nyarugenge"/>
    <s v="Nyarugenge"/>
    <x v="0"/>
    <x v="0"/>
    <s v="VIP"/>
    <x v="0"/>
    <x v="0"/>
    <n v="1"/>
    <s v="FIBER VPN 1MBPS"/>
    <m/>
    <n v="1"/>
    <n v="90000"/>
    <n v="90000"/>
    <s v="Monthly"/>
    <d v="2025-03-31T00:00:00"/>
    <x v="8"/>
    <x v="2"/>
    <n v="-633"/>
    <x v="1"/>
    <x v="7"/>
    <s v="Kyllia Diane"/>
    <s v="crwagasore@migration.gov.rw,mrwamwaga@state.gov.rw,dkuwase@state.gov.rw"/>
    <n v="788550338"/>
    <m/>
    <m/>
    <m/>
  </r>
  <r>
    <s v="C001790"/>
    <x v="332"/>
    <s v="Poids lourd"/>
    <s v="Nyarugenge"/>
    <x v="0"/>
    <x v="0"/>
    <s v="VIP"/>
    <x v="0"/>
    <x v="0"/>
    <n v="1"/>
    <s v="FIBER VPN 1MBPS"/>
    <m/>
    <n v="1"/>
    <n v="90000"/>
    <n v="90000"/>
    <s v="Monthly"/>
    <d v="2025-03-31T00:00:00"/>
    <x v="8"/>
    <x v="2"/>
    <n v="-633"/>
    <x v="1"/>
    <x v="7"/>
    <s v="Kyllia Diane"/>
    <s v="crwagasore@migration.gov.rw,mrwamwaga@state.gov.rw,dkuwase@state.gov.rw"/>
    <n v="788550338"/>
    <m/>
    <m/>
    <m/>
  </r>
  <r>
    <s v="C001790"/>
    <x v="332"/>
    <s v="NISS Nyaruguru"/>
    <s v="Nyaruguru"/>
    <x v="0"/>
    <x v="0"/>
    <s v="VIP"/>
    <x v="0"/>
    <x v="0"/>
    <n v="1"/>
    <s v="FIBER VPN 1MBPS"/>
    <m/>
    <n v="1"/>
    <n v="90000"/>
    <n v="90000"/>
    <s v="Monthly"/>
    <d v="2025-03-31T00:00:00"/>
    <x v="8"/>
    <x v="2"/>
    <n v="-633"/>
    <x v="1"/>
    <x v="7"/>
    <s v="Kyllia Diane"/>
    <s v="crwagasore@migration.gov.rw,mrwamwaga@state.gov.rw,dkuwase@state.gov.rw"/>
    <n v="788550338"/>
    <m/>
    <m/>
    <m/>
  </r>
  <r>
    <s v="C001790"/>
    <x v="332"/>
    <s v="NISS Rubavu"/>
    <s v="Rubavu"/>
    <x v="0"/>
    <x v="0"/>
    <s v="VIP"/>
    <x v="0"/>
    <x v="0"/>
    <n v="1"/>
    <s v="FIBER VPN 1MBPS"/>
    <m/>
    <n v="1"/>
    <n v="90000"/>
    <n v="90000"/>
    <s v="Monthly"/>
    <d v="2025-03-31T00:00:00"/>
    <x v="8"/>
    <x v="2"/>
    <n v="-633"/>
    <x v="1"/>
    <x v="7"/>
    <s v="Kyllia Diane"/>
    <s v="crwagasore@migration.gov.rw,mrwamwaga@state.gov.rw,dkuwase@state.gov.rw"/>
    <n v="788550338"/>
    <m/>
    <m/>
    <m/>
  </r>
  <r>
    <s v="C001790"/>
    <x v="332"/>
    <s v="Corniche"/>
    <s v="Rubavu"/>
    <x v="0"/>
    <x v="0"/>
    <s v="VIP"/>
    <x v="0"/>
    <x v="0"/>
    <n v="1"/>
    <s v="FIBER VPN 1MBPS"/>
    <m/>
    <n v="1"/>
    <n v="90000"/>
    <n v="90000"/>
    <s v="Monthly"/>
    <d v="2025-03-31T00:00:00"/>
    <x v="8"/>
    <x v="2"/>
    <n v="-633"/>
    <x v="1"/>
    <x v="7"/>
    <s v="Kyllia Diane"/>
    <s v="crwagasore@migration.gov.rw,mrwamwaga@state.gov.rw,dkuwase@state.gov.rw"/>
    <n v="788550338"/>
    <m/>
    <m/>
    <m/>
  </r>
  <r>
    <s v="C001790"/>
    <x v="332"/>
    <s v="NISS Ruhango"/>
    <s v="Ruhango"/>
    <x v="0"/>
    <x v="0"/>
    <s v="VIP"/>
    <x v="0"/>
    <x v="0"/>
    <n v="1"/>
    <s v="FIBER VPN 1MBPS"/>
    <m/>
    <n v="1"/>
    <n v="90000"/>
    <n v="90000"/>
    <s v="Monthly"/>
    <d v="2025-03-31T00:00:00"/>
    <x v="8"/>
    <x v="2"/>
    <n v="-633"/>
    <x v="1"/>
    <x v="7"/>
    <s v="Kyllia Diane"/>
    <s v="crwagasore@migration.gov.rw,mrwamwaga@state.gov.rw,dkuwase@state.gov.rw"/>
    <n v="788550338"/>
    <m/>
    <m/>
    <m/>
  </r>
  <r>
    <s v="C001790"/>
    <x v="332"/>
    <s v="NISS Rulindo"/>
    <s v="Rulindo"/>
    <x v="0"/>
    <x v="0"/>
    <s v="VIP"/>
    <x v="0"/>
    <x v="0"/>
    <n v="1"/>
    <s v="FIBER VPN 1MBPS"/>
    <m/>
    <n v="1"/>
    <n v="90000"/>
    <n v="90000"/>
    <s v="Monthly"/>
    <d v="2025-03-31T00:00:00"/>
    <x v="8"/>
    <x v="2"/>
    <n v="-633"/>
    <x v="1"/>
    <x v="7"/>
    <s v="Kyllia Diane"/>
    <s v="crwagasore@migration.gov.rw,mrwamwaga@state.gov.rw,dkuwase@state.gov.rw"/>
    <n v="788550338"/>
    <m/>
    <m/>
    <m/>
  </r>
  <r>
    <s v="C001790"/>
    <x v="332"/>
    <s v="NISS Rusizi"/>
    <s v="Rusizi"/>
    <x v="0"/>
    <x v="0"/>
    <s v="VIP"/>
    <x v="0"/>
    <x v="0"/>
    <n v="1"/>
    <s v="FIBER VPN 1MBPS"/>
    <m/>
    <n v="1"/>
    <n v="90000"/>
    <n v="90000"/>
    <s v="Monthly"/>
    <d v="2025-03-31T00:00:00"/>
    <x v="8"/>
    <x v="2"/>
    <n v="-633"/>
    <x v="1"/>
    <x v="7"/>
    <s v="Kyllia Diane"/>
    <s v="crwagasore@migration.gov.rw,mrwamwaga@state.gov.rw,dkuwase@state.gov.rw"/>
    <n v="788550338"/>
    <m/>
    <m/>
    <m/>
  </r>
  <r>
    <s v="C001790"/>
    <x v="332"/>
    <s v="NISS Rusizi 1"/>
    <s v="Rusizi"/>
    <x v="0"/>
    <x v="0"/>
    <s v="VIP"/>
    <x v="0"/>
    <x v="0"/>
    <n v="1"/>
    <s v="FIBER VPN 1MBPS"/>
    <m/>
    <n v="1"/>
    <n v="90000"/>
    <n v="90000"/>
    <s v="Monthly"/>
    <d v="2025-03-31T00:00:00"/>
    <x v="8"/>
    <x v="2"/>
    <n v="-633"/>
    <x v="1"/>
    <x v="7"/>
    <s v="Kyllia Diane"/>
    <s v="crwagasore@migration.gov.rw,mrwamwaga@state.gov.rw,dkuwase@state.gov.rw"/>
    <n v="788550338"/>
    <m/>
    <m/>
    <m/>
  </r>
  <r>
    <s v="C001790"/>
    <x v="332"/>
    <s v="NISS Rusizi 2"/>
    <s v="Rusizi"/>
    <x v="0"/>
    <x v="0"/>
    <s v="VIP"/>
    <x v="0"/>
    <x v="0"/>
    <n v="1"/>
    <s v="FIBER VPN 1MBPS"/>
    <m/>
    <n v="1"/>
    <n v="90000"/>
    <n v="90000"/>
    <s v="Monthly"/>
    <d v="2025-03-31T00:00:00"/>
    <x v="8"/>
    <x v="2"/>
    <n v="-633"/>
    <x v="1"/>
    <x v="7"/>
    <s v="Kyllia Diane"/>
    <s v="crwagasore@migration.gov.rw,mrwamwaga@state.gov.rw,dkuwase@state.gov.rw"/>
    <n v="788550338"/>
    <m/>
    <m/>
    <m/>
  </r>
  <r>
    <s v="C001790"/>
    <x v="332"/>
    <s v="NISS Ruhwa"/>
    <s v="Rusizi"/>
    <x v="0"/>
    <x v="0"/>
    <s v="VIP"/>
    <x v="0"/>
    <x v="0"/>
    <n v="1"/>
    <s v="FIBER VPN 1MBPS"/>
    <m/>
    <n v="1"/>
    <n v="90000"/>
    <n v="90000"/>
    <s v="Monthly"/>
    <d v="2025-03-31T00:00:00"/>
    <x v="8"/>
    <x v="2"/>
    <n v="-633"/>
    <x v="1"/>
    <x v="7"/>
    <s v="Kyllia Diane"/>
    <s v="crwagasore@migration.gov.rw,mrwamwaga@state.gov.rw,dkuwase@state.gov.rw"/>
    <n v="788550338"/>
    <m/>
    <m/>
    <m/>
  </r>
  <r>
    <s v="C001790"/>
    <x v="332"/>
    <s v="Bugarama"/>
    <s v="Rusizi"/>
    <x v="0"/>
    <x v="0"/>
    <s v="VIP"/>
    <x v="0"/>
    <x v="0"/>
    <n v="1"/>
    <s v="FIBER VPN 1MBPS"/>
    <m/>
    <n v="1"/>
    <n v="90000"/>
    <n v="90000"/>
    <s v="Monthly"/>
    <d v="2025-03-31T00:00:00"/>
    <x v="8"/>
    <x v="2"/>
    <n v="-633"/>
    <x v="1"/>
    <x v="7"/>
    <s v="Kyllia Diane"/>
    <s v="crwagasore@migration.gov.rw,mrwamwaga@state.gov.rw,dkuwase@state.gov.rw"/>
    <n v="788550338"/>
    <m/>
    <m/>
    <m/>
  </r>
  <r>
    <s v="C001790"/>
    <x v="332"/>
    <s v="NISS Rutsiro"/>
    <s v="Rutsiro"/>
    <x v="0"/>
    <x v="0"/>
    <s v="VIP"/>
    <x v="0"/>
    <x v="0"/>
    <n v="1"/>
    <s v="FIBER VPN 1MBPS"/>
    <m/>
    <n v="1"/>
    <n v="90000"/>
    <n v="90000"/>
    <s v="Monthly"/>
    <d v="2025-03-31T00:00:00"/>
    <x v="8"/>
    <x v="2"/>
    <n v="-633"/>
    <x v="1"/>
    <x v="7"/>
    <s v="Kyllia Diane"/>
    <s v="crwagasore@migration.gov.rw,mrwamwaga@state.gov.rw,dkuwase@state.gov.rw"/>
    <n v="788550338"/>
    <m/>
    <m/>
    <m/>
  </r>
  <r>
    <s v="C001790"/>
    <x v="332"/>
    <s v="NISS Rwamagana"/>
    <s v="Rwamagana  "/>
    <x v="0"/>
    <x v="0"/>
    <s v="VIP"/>
    <x v="0"/>
    <x v="0"/>
    <n v="1"/>
    <s v="FIBER VPN 1MBPS"/>
    <m/>
    <n v="1"/>
    <n v="90000"/>
    <n v="90000"/>
    <s v="Monthly"/>
    <d v="2025-03-31T00:00:00"/>
    <x v="8"/>
    <x v="2"/>
    <n v="-633"/>
    <x v="1"/>
    <x v="7"/>
    <s v="Kyllia Diane"/>
    <s v="crwagasore@migration.gov.rw,mrwamwaga@state.gov.rw,dkuwase@state.gov.rw"/>
    <n v="788550338"/>
    <m/>
    <m/>
    <m/>
  </r>
  <r>
    <s v="C001790"/>
    <x v="332"/>
    <s v="NISS HQ"/>
    <s v="Gasabo"/>
    <x v="0"/>
    <x v="0"/>
    <s v="VIP"/>
    <x v="0"/>
    <x v="6"/>
    <m/>
    <s v="4G ONE NETWORK 5MBPS"/>
    <m/>
    <n v="2"/>
    <n v="101694.92"/>
    <n v="203389.84"/>
    <s v="Monthly"/>
    <d v="2025-03-31T00:00:00"/>
    <x v="8"/>
    <x v="2"/>
    <n v="-633"/>
    <x v="1"/>
    <x v="7"/>
    <s v="Kyllia Diane"/>
    <s v="crwagasore@migration.gov.rw,mrwamwaga@state.gov.rw,dkuwase@state.gov.rw"/>
    <n v="788550338"/>
    <m/>
    <m/>
    <m/>
  </r>
  <r>
    <s v="C001790"/>
    <x v="332"/>
    <s v="NISS HQ"/>
    <s v="Gasabo"/>
    <x v="0"/>
    <x v="0"/>
    <s v="VIP"/>
    <x v="0"/>
    <x v="6"/>
    <m/>
    <s v="VPN over LTE 1Mbps"/>
    <m/>
    <n v="7"/>
    <n v="122033.89830508475"/>
    <n v="854237.28813559317"/>
    <s v="Monthly"/>
    <d v="2025-03-31T00:00:00"/>
    <x v="8"/>
    <x v="2"/>
    <n v="-633"/>
    <x v="1"/>
    <x v="7"/>
    <s v="Kyllia Diane"/>
    <s v="crwagasore@migration.gov.rw,mrwamwaga@state.gov.rw,dkuwase@state.gov.rw"/>
    <n v="788550338"/>
    <m/>
    <m/>
    <m/>
  </r>
  <r>
    <s v="C001790"/>
    <x v="332"/>
    <s v="NISS HQ"/>
    <s v="Gasabo"/>
    <x v="0"/>
    <x v="0"/>
    <s v="VIP"/>
    <x v="0"/>
    <x v="6"/>
    <m/>
    <s v="4G MUP 2GB/DAY"/>
    <m/>
    <n v="13"/>
    <n v="28305.08"/>
    <n v="367966.04000000004"/>
    <s v="Monthly"/>
    <d v="2025-03-31T00:00:00"/>
    <x v="8"/>
    <x v="2"/>
    <n v="-633"/>
    <x v="1"/>
    <x v="7"/>
    <s v="Kyllia Diane"/>
    <s v="crwagasore@migration.gov.rw,mrwamwaga@state.gov.rw,dkuwase@state.gov.rw"/>
    <n v="788550338"/>
    <m/>
    <m/>
    <m/>
  </r>
  <r>
    <s v="C001790"/>
    <x v="332"/>
    <s v="NISS HQ"/>
    <s v="Gasabo"/>
    <x v="0"/>
    <x v="0"/>
    <s v="VIP"/>
    <x v="0"/>
    <x v="6"/>
    <m/>
    <s v="4G MUP 1GB/DAY"/>
    <m/>
    <n v="26"/>
    <n v="19491.53"/>
    <n v="506779.77999999997"/>
    <s v="Monthly"/>
    <d v="2025-03-31T00:00:00"/>
    <x v="8"/>
    <x v="2"/>
    <n v="-633"/>
    <x v="1"/>
    <x v="7"/>
    <s v="Kyllia Diane"/>
    <s v="crwagasore@migration.gov.rw,mrwamwaga@state.gov.rw,dkuwase@state.gov.rw"/>
    <n v="788550338"/>
    <m/>
    <m/>
    <m/>
  </r>
  <r>
    <s v="C001790"/>
    <x v="332"/>
    <s v="NISS HQ"/>
    <s v="Gasabo"/>
    <x v="0"/>
    <x v="0"/>
    <s v="VIP"/>
    <x v="0"/>
    <x v="6"/>
    <m/>
    <s v=" 4G MUP 4GB/DAY "/>
    <m/>
    <n v="53"/>
    <n v="45338.98"/>
    <n v="2402965.94"/>
    <s v="Monthly"/>
    <d v="2025-03-31T00:00:00"/>
    <x v="8"/>
    <x v="2"/>
    <n v="-633"/>
    <x v="1"/>
    <x v="7"/>
    <s v="Kyllia Diane"/>
    <s v="crwagasore@migration.gov.rw,mrwamwaga@state.gov.rw,dkuwase@state.gov.rw"/>
    <n v="788550338"/>
    <m/>
    <m/>
    <m/>
  </r>
  <r>
    <s v="C003109"/>
    <x v="187"/>
    <s v="Bugesera prison"/>
    <s v="Bugesera"/>
    <x v="0"/>
    <x v="3"/>
    <s v="Standard"/>
    <x v="0"/>
    <x v="0"/>
    <n v="5"/>
    <s v="FIBER VPN 5MBPS"/>
    <m/>
    <n v="1"/>
    <n v="248400"/>
    <n v="248400"/>
    <s v="Monthly"/>
    <d v="2025-03-31T00:00:00"/>
    <x v="8"/>
    <x v="2"/>
    <n v="-633"/>
    <x v="1"/>
    <x v="5"/>
    <s v="Wilson Kabagambe"/>
    <s v="wilson.kabagambe@rcs.gov.rw"/>
    <n v="788828151"/>
    <m/>
    <m/>
    <m/>
  </r>
  <r>
    <s v="C003109"/>
    <x v="187"/>
    <s v="Mpaga Prison"/>
    <s v="Bugesera"/>
    <x v="0"/>
    <x v="3"/>
    <s v="Standard"/>
    <x v="0"/>
    <x v="0"/>
    <n v="5"/>
    <s v="FIBER VPN 5MBPS"/>
    <m/>
    <n v="1"/>
    <n v="248400"/>
    <n v="248400"/>
    <s v="Monthly"/>
    <d v="2025-03-31T00:00:00"/>
    <x v="8"/>
    <x v="2"/>
    <n v="-633"/>
    <x v="1"/>
    <x v="5"/>
    <s v="Wilson Kabagambe"/>
    <s v="wilson.kabagambe@rcs.gov.rw"/>
    <n v="788828151"/>
    <m/>
    <m/>
    <m/>
  </r>
  <r>
    <s v="C003109"/>
    <x v="187"/>
    <s v="Gicumbi Prison"/>
    <s v="Gicumbi"/>
    <x v="0"/>
    <x v="3"/>
    <s v="Standard"/>
    <x v="0"/>
    <x v="0"/>
    <n v="5"/>
    <s v="FIBER VPN 5MBPS"/>
    <m/>
    <n v="1"/>
    <n v="248400"/>
    <n v="248400"/>
    <s v="Monthly"/>
    <d v="2025-03-31T00:00:00"/>
    <x v="8"/>
    <x v="2"/>
    <n v="-633"/>
    <x v="1"/>
    <x v="5"/>
    <s v="Wilson Kabagambe"/>
    <s v="wilson.kabagambe@rcs.gov.rw"/>
    <n v="788828151"/>
    <m/>
    <m/>
    <m/>
  </r>
  <r>
    <s v="C003109"/>
    <x v="187"/>
    <s v="Ngoma Prison"/>
    <s v="Ngoma"/>
    <x v="0"/>
    <x v="3"/>
    <s v="Standard"/>
    <x v="0"/>
    <x v="0"/>
    <n v="5"/>
    <s v="FIBER VPN 5MBPS"/>
    <m/>
    <n v="1"/>
    <n v="248400"/>
    <n v="248400"/>
    <s v="Monthly"/>
    <d v="2025-03-31T00:00:00"/>
    <x v="8"/>
    <x v="2"/>
    <n v="-633"/>
    <x v="1"/>
    <x v="5"/>
    <s v="Wilson Kabagambe"/>
    <s v="wilson.kabagambe@rcs.gov.rw"/>
    <n v="788828151"/>
    <m/>
    <m/>
    <m/>
  </r>
  <r>
    <s v="C003109"/>
    <x v="187"/>
    <s v="Nyagatare Prison"/>
    <s v="Nyagatare"/>
    <x v="0"/>
    <x v="3"/>
    <s v="Standard"/>
    <x v="0"/>
    <x v="0"/>
    <n v="5"/>
    <s v="FIBER VPN 5MBPS"/>
    <m/>
    <n v="1"/>
    <n v="248400"/>
    <n v="248400"/>
    <s v="Monthly"/>
    <d v="2025-03-31T00:00:00"/>
    <x v="8"/>
    <x v="2"/>
    <n v="-633"/>
    <x v="1"/>
    <x v="5"/>
    <s v="Wilson Kabagambe"/>
    <s v="wilson.kabagambe@rcs.gov.rw"/>
    <n v="788828151"/>
    <m/>
    <m/>
    <m/>
  </r>
  <r>
    <s v="C003109"/>
    <x v="187"/>
    <s v="Muhanga Prison"/>
    <s v="Muhanga"/>
    <x v="0"/>
    <x v="3"/>
    <s v="Standard"/>
    <x v="0"/>
    <x v="0"/>
    <n v="8"/>
    <s v="FIBER VPN 8MBPS"/>
    <m/>
    <n v="1"/>
    <n v="414000"/>
    <n v="414000"/>
    <s v="Monthly"/>
    <d v="2025-03-31T00:00:00"/>
    <x v="8"/>
    <x v="2"/>
    <n v="-633"/>
    <x v="1"/>
    <x v="5"/>
    <s v="Wilson Kabagambe"/>
    <s v="wilson.kabagambe@rcs.gov.rw"/>
    <n v="788828151"/>
    <m/>
    <m/>
    <m/>
  </r>
  <r>
    <s v="C003109"/>
    <x v="187"/>
    <s v="Musanze Prison"/>
    <s v="Musanze"/>
    <x v="0"/>
    <x v="3"/>
    <s v="Standard"/>
    <x v="0"/>
    <x v="0"/>
    <n v="8"/>
    <s v="FIBER VPN 8MBPS"/>
    <m/>
    <n v="1"/>
    <n v="414000"/>
    <n v="414000"/>
    <s v="Monthly"/>
    <d v="2025-03-31T00:00:00"/>
    <x v="8"/>
    <x v="2"/>
    <n v="-633"/>
    <x v="1"/>
    <x v="5"/>
    <s v="Wilson Kabagambe"/>
    <s v="wilson.kabagambe@rcs.gov.rw"/>
    <n v="788828151"/>
    <m/>
    <m/>
    <m/>
  </r>
  <r>
    <s v="C003109"/>
    <x v="187"/>
    <s v="Nyamagabe prison"/>
    <s v="Nyamagabe"/>
    <x v="0"/>
    <x v="3"/>
    <s v="Standard"/>
    <x v="0"/>
    <x v="0"/>
    <n v="8"/>
    <s v="FIBER VPN 8MBPS"/>
    <m/>
    <n v="1"/>
    <n v="414000"/>
    <n v="414000"/>
    <s v="Monthly"/>
    <d v="2025-03-31T00:00:00"/>
    <x v="8"/>
    <x v="2"/>
    <n v="-633"/>
    <x v="1"/>
    <x v="5"/>
    <s v="Wilson Kabagambe"/>
    <s v="wilson.kabagambe@rcs.gov.rw"/>
    <n v="788828151"/>
    <m/>
    <m/>
    <m/>
  </r>
  <r>
    <s v="C003109"/>
    <x v="187"/>
    <s v="Rubavu Prison"/>
    <s v="Rubavu"/>
    <x v="0"/>
    <x v="3"/>
    <s v="Standard"/>
    <x v="0"/>
    <x v="0"/>
    <n v="8"/>
    <s v="FIBER VPN 8MBPS"/>
    <m/>
    <n v="1"/>
    <n v="414000"/>
    <n v="414000"/>
    <s v="Monthly"/>
    <d v="2025-03-31T00:00:00"/>
    <x v="8"/>
    <x v="2"/>
    <n v="-633"/>
    <x v="1"/>
    <x v="5"/>
    <s v="Wilson Kabagambe"/>
    <s v="wilson.kabagambe@rcs.gov.rw"/>
    <n v="788828151"/>
    <m/>
    <m/>
    <m/>
  </r>
  <r>
    <s v="C003109"/>
    <x v="187"/>
    <s v="Rusizi Prison"/>
    <s v="Rusizi"/>
    <x v="0"/>
    <x v="3"/>
    <s v="Standard"/>
    <x v="0"/>
    <x v="0"/>
    <n v="8"/>
    <s v="FIBER VPN 8MBPS"/>
    <m/>
    <n v="1"/>
    <n v="414000"/>
    <n v="414000"/>
    <s v="Monthly"/>
    <d v="2025-03-31T00:00:00"/>
    <x v="8"/>
    <x v="2"/>
    <n v="-633"/>
    <x v="1"/>
    <x v="5"/>
    <s v="Wilson Kabagambe"/>
    <s v="wilson.kabagambe@rcs.gov.rw"/>
    <n v="788828151"/>
    <m/>
    <m/>
    <m/>
  </r>
  <r>
    <s v="C003109"/>
    <x v="187"/>
    <s v="Huye prison"/>
    <s v="Huye"/>
    <x v="0"/>
    <x v="3"/>
    <s v="Standard"/>
    <x v="0"/>
    <x v="0"/>
    <n v="12"/>
    <s v="FIBER VPN 12MBPS"/>
    <m/>
    <n v="1"/>
    <n v="607200"/>
    <n v="607200"/>
    <s v="Monthly"/>
    <d v="2025-03-31T00:00:00"/>
    <x v="8"/>
    <x v="2"/>
    <n v="-633"/>
    <x v="1"/>
    <x v="5"/>
    <s v="Wilson Kabagambe"/>
    <s v="wilson.kabagambe@rcs.gov.rw"/>
    <n v="788828151"/>
    <m/>
    <m/>
    <m/>
  </r>
  <r>
    <s v="C003109"/>
    <x v="187"/>
    <s v="Rwamagana Prison"/>
    <s v="Rwamagana  "/>
    <x v="0"/>
    <x v="3"/>
    <s v="Standard"/>
    <x v="0"/>
    <x v="0"/>
    <n v="15"/>
    <s v="FIBER VPN 15MBPS"/>
    <m/>
    <n v="1"/>
    <n v="662400"/>
    <n v="662400"/>
    <s v="Monthly"/>
    <d v="2025-03-31T00:00:00"/>
    <x v="8"/>
    <x v="2"/>
    <n v="-633"/>
    <x v="1"/>
    <x v="5"/>
    <s v="Wilson Kabagambe"/>
    <s v="wilson.kabagambe@rcs.gov.rw"/>
    <n v="788828151"/>
    <m/>
    <m/>
    <m/>
  </r>
  <r>
    <s v="C003109"/>
    <x v="187"/>
    <s v="Rwamagana Trainning school"/>
    <s v="Rwamagana  "/>
    <x v="0"/>
    <x v="3"/>
    <s v="Standard"/>
    <x v="0"/>
    <x v="0"/>
    <n v="20"/>
    <s v="FIBER VPN 20MBPS"/>
    <m/>
    <n v="1"/>
    <n v="828000"/>
    <n v="828000"/>
    <s v="Monthly"/>
    <d v="2025-03-31T00:00:00"/>
    <x v="8"/>
    <x v="2"/>
    <n v="-633"/>
    <x v="1"/>
    <x v="5"/>
    <s v="Wilson Kabagambe"/>
    <s v="wilson.kabagambe@rcs.gov.rw"/>
    <n v="788828151"/>
    <m/>
    <m/>
    <m/>
  </r>
  <r>
    <s v="C003109"/>
    <x v="187"/>
    <s v="RCS HQ"/>
    <s v="Kicukiro"/>
    <x v="0"/>
    <x v="3"/>
    <s v="Standard"/>
    <x v="0"/>
    <x v="0"/>
    <n v="30"/>
    <s v="FIBER VPN 30MBPS"/>
    <m/>
    <n v="1"/>
    <n v="1159200"/>
    <n v="1159200"/>
    <s v="Monthly"/>
    <d v="2025-03-31T00:00:00"/>
    <x v="8"/>
    <x v="2"/>
    <n v="-633"/>
    <x v="1"/>
    <x v="5"/>
    <s v="Wilson Kabagambe"/>
    <s v="wilson.kabagambe@rcs.gov.rw"/>
    <n v="788828151"/>
    <m/>
    <m/>
    <m/>
  </r>
  <r>
    <s v="C003109"/>
    <x v="187"/>
    <s v="Nyarugenge Prison"/>
    <s v="Nyarugenge"/>
    <x v="0"/>
    <x v="3"/>
    <s v="Standard"/>
    <x v="0"/>
    <x v="0"/>
    <n v="30"/>
    <s v="FIBER VPN 30MBPS"/>
    <m/>
    <n v="1"/>
    <n v="1159200"/>
    <n v="1159200"/>
    <s v="Monthly"/>
    <d v="2025-03-31T00:00:00"/>
    <x v="8"/>
    <x v="2"/>
    <n v="-633"/>
    <x v="1"/>
    <x v="5"/>
    <s v="Wilson Kabagambe"/>
    <s v="wilson.kabagambe@rcs.gov.rw"/>
    <n v="788828151"/>
    <m/>
    <m/>
    <m/>
  </r>
  <r>
    <s v="C002112"/>
    <x v="333"/>
    <s v="BUGESERA"/>
    <s v="Bugesera"/>
    <x v="0"/>
    <x v="0"/>
    <s v="Standard"/>
    <x v="0"/>
    <x v="0"/>
    <n v="3"/>
    <s v="FIBER VPN 3MBPS"/>
    <m/>
    <n v="1"/>
    <n v="180000"/>
    <n v="180000"/>
    <s v="Monthly"/>
    <d v="2025-03-31T00:00:00"/>
    <x v="8"/>
    <x v="2"/>
    <n v="-633"/>
    <x v="1"/>
    <x v="5"/>
    <s v="Akumuntu Athanase"/>
    <s v="JeanPierre.Ndayisaba@rlma.rw"/>
    <n v="788355242"/>
    <m/>
    <m/>
    <m/>
  </r>
  <r>
    <s v="C002112"/>
    <x v="333"/>
    <s v="CORS-RDB"/>
    <s v="Gasabo"/>
    <x v="0"/>
    <x v="0"/>
    <s v="Standard"/>
    <x v="0"/>
    <x v="0"/>
    <n v="3"/>
    <s v="FIBER VPN 3MBPS"/>
    <m/>
    <n v="1"/>
    <n v="180000"/>
    <n v="180000"/>
    <s v="Monthly"/>
    <d v="2025-03-31T00:00:00"/>
    <x v="8"/>
    <x v="2"/>
    <n v="-633"/>
    <x v="1"/>
    <x v="5"/>
    <s v="Akumuntu Athanase"/>
    <s v="JeanPierre.Ndayisaba@rlma.rw"/>
    <n v="788355242"/>
    <m/>
    <m/>
    <m/>
  </r>
  <r>
    <s v="C002112"/>
    <x v="333"/>
    <s v="CORS-UR HUYE"/>
    <s v="Huye"/>
    <x v="0"/>
    <x v="0"/>
    <s v="Standard"/>
    <x v="0"/>
    <x v="0"/>
    <n v="3"/>
    <s v="FIBER VPN 3MBPS"/>
    <m/>
    <n v="1"/>
    <n v="180000"/>
    <n v="180000"/>
    <s v="Monthly"/>
    <d v="2025-03-31T00:00:00"/>
    <x v="8"/>
    <x v="2"/>
    <n v="-633"/>
    <x v="1"/>
    <x v="5"/>
    <s v="Akumuntu Athanase"/>
    <s v="JeanPierre.Ndayisaba@rlma.rw"/>
    <n v="788355242"/>
    <m/>
    <m/>
    <m/>
  </r>
  <r>
    <s v="C002112"/>
    <x v="333"/>
    <s v="CORS KARONGI"/>
    <s v="Karongi"/>
    <x v="0"/>
    <x v="0"/>
    <s v="Standard"/>
    <x v="0"/>
    <x v="0"/>
    <n v="3"/>
    <s v="FIBER VPN 3MBPS"/>
    <m/>
    <n v="1"/>
    <n v="180000"/>
    <n v="180000"/>
    <s v="Monthly"/>
    <d v="2025-03-31T00:00:00"/>
    <x v="8"/>
    <x v="2"/>
    <n v="-633"/>
    <x v="1"/>
    <x v="5"/>
    <s v="Akumuntu Athanase"/>
    <s v="JeanPierre.Ndayisaba@rlma.rw"/>
    <n v="788355242"/>
    <m/>
    <m/>
    <m/>
  </r>
  <r>
    <s v="C002112"/>
    <x v="333"/>
    <s v="KARONGI RLMUA"/>
    <s v="Karongi"/>
    <x v="0"/>
    <x v="0"/>
    <s v="Standard"/>
    <x v="0"/>
    <x v="0"/>
    <n v="3"/>
    <s v="FIBER VPN 3MBPS"/>
    <m/>
    <n v="1"/>
    <n v="180000"/>
    <n v="180000"/>
    <s v="Monthly"/>
    <d v="2025-03-31T00:00:00"/>
    <x v="8"/>
    <x v="2"/>
    <n v="-633"/>
    <x v="1"/>
    <x v="5"/>
    <s v="Akumuntu Athanase"/>
    <s v="JeanPierre.Ndayisaba@rlma.rw"/>
    <n v="788355242"/>
    <m/>
    <m/>
    <m/>
  </r>
  <r>
    <s v="C002112"/>
    <x v="333"/>
    <s v="CORS KAYONZA"/>
    <s v="Kayonza"/>
    <x v="0"/>
    <x v="0"/>
    <s v="Standard"/>
    <x v="0"/>
    <x v="0"/>
    <n v="3"/>
    <s v="FIBER VPN 3MBPS"/>
    <m/>
    <n v="1"/>
    <n v="180000"/>
    <n v="180000"/>
    <s v="Monthly"/>
    <d v="2025-03-31T00:00:00"/>
    <x v="8"/>
    <x v="2"/>
    <n v="-633"/>
    <x v="1"/>
    <x v="5"/>
    <s v="Akumuntu Athanase"/>
    <s v="JeanPierre.Ndayisaba@rlma.rw"/>
    <n v="788355242"/>
    <m/>
    <m/>
    <m/>
  </r>
  <r>
    <s v="C002112"/>
    <x v="333"/>
    <s v="KAYONZA RLMUA"/>
    <s v="Kayonza"/>
    <x v="0"/>
    <x v="0"/>
    <s v="Standard"/>
    <x v="0"/>
    <x v="0"/>
    <n v="3"/>
    <s v="FIBER VPN 3MBPS"/>
    <m/>
    <n v="1"/>
    <n v="180000"/>
    <n v="180000"/>
    <s v="Monthly"/>
    <d v="2025-03-31T00:00:00"/>
    <x v="8"/>
    <x v="2"/>
    <n v="-633"/>
    <x v="1"/>
    <x v="5"/>
    <s v="Akumuntu Athanase"/>
    <s v="JeanPierre.Ndayisaba@rlma.rw"/>
    <n v="788355242"/>
    <m/>
    <m/>
    <m/>
  </r>
  <r>
    <s v="C002112"/>
    <x v="333"/>
    <s v="KAYONZA RLMUA"/>
    <s v="Kayonza"/>
    <x v="0"/>
    <x v="0"/>
    <s v="Standard"/>
    <x v="0"/>
    <x v="0"/>
    <n v="3"/>
    <s v="FIBER VPN 3MBPS"/>
    <m/>
    <n v="1"/>
    <n v="180000"/>
    <n v="180000"/>
    <s v="Monthly"/>
    <d v="2025-03-31T00:00:00"/>
    <x v="8"/>
    <x v="2"/>
    <n v="-633"/>
    <x v="1"/>
    <x v="5"/>
    <s v="Akumuntu Athanase"/>
    <s v="JeanPierre.Ndayisaba@rlma.rw"/>
    <n v="788355242"/>
    <m/>
    <m/>
    <m/>
  </r>
  <r>
    <s v="C002112"/>
    <x v="333"/>
    <s v="CARS-KIREHE"/>
    <s v="Kirehe"/>
    <x v="0"/>
    <x v="0"/>
    <s v="Standard"/>
    <x v="0"/>
    <x v="0"/>
    <n v="3"/>
    <s v="FIBER VPN 3MBPS"/>
    <m/>
    <n v="1"/>
    <n v="180000"/>
    <n v="180000"/>
    <s v="Monthly"/>
    <d v="2025-03-31T00:00:00"/>
    <x v="8"/>
    <x v="2"/>
    <n v="-633"/>
    <x v="1"/>
    <x v="5"/>
    <s v="Akumuntu Athanase"/>
    <s v="JeanPierre.Ndayisaba@rlma.rw"/>
    <n v="788355242"/>
    <m/>
    <m/>
    <m/>
  </r>
  <r>
    <s v="C002112"/>
    <x v="333"/>
    <s v="CORS-UR ISAE BUSOGO"/>
    <s v="Musanze"/>
    <x v="0"/>
    <x v="0"/>
    <s v="Standard"/>
    <x v="0"/>
    <x v="0"/>
    <n v="3"/>
    <s v="FIBER VPN 3MBPS"/>
    <m/>
    <n v="1"/>
    <n v="180000"/>
    <n v="180000"/>
    <s v="Monthly"/>
    <d v="2025-03-31T00:00:00"/>
    <x v="8"/>
    <x v="2"/>
    <n v="-633"/>
    <x v="1"/>
    <x v="5"/>
    <s v="Akumuntu Athanase"/>
    <s v="JeanPierre.Ndayisaba@rlma.rw"/>
    <n v="788355242"/>
    <m/>
    <m/>
    <m/>
  </r>
  <r>
    <s v="C002112"/>
    <x v="333"/>
    <s v="MUSANZE"/>
    <s v="Musanze"/>
    <x v="0"/>
    <x v="0"/>
    <s v="Standard"/>
    <x v="0"/>
    <x v="0"/>
    <n v="3"/>
    <s v="FIBER VPN 3MBPS"/>
    <m/>
    <n v="1"/>
    <n v="180000"/>
    <n v="180000"/>
    <s v="Monthly"/>
    <d v="2025-03-31T00:00:00"/>
    <x v="8"/>
    <x v="2"/>
    <n v="-633"/>
    <x v="1"/>
    <x v="5"/>
    <s v="Akumuntu Athanase"/>
    <s v="JeanPierre.Ndayisaba@rlma.rw"/>
    <n v="788355242"/>
    <m/>
    <m/>
    <m/>
  </r>
  <r>
    <s v="C002112"/>
    <x v="333"/>
    <s v="MUSANZE"/>
    <s v="Musanze"/>
    <x v="0"/>
    <x v="0"/>
    <s v="Standard"/>
    <x v="0"/>
    <x v="0"/>
    <n v="3"/>
    <s v="FIBER VPN 3MBPS"/>
    <m/>
    <n v="1"/>
    <n v="180000"/>
    <n v="180000"/>
    <s v="Monthly"/>
    <d v="2025-03-31T00:00:00"/>
    <x v="8"/>
    <x v="2"/>
    <n v="-633"/>
    <x v="1"/>
    <x v="5"/>
    <s v="Akumuntu Athanase"/>
    <s v="JeanPierre.Ndayisaba@rlma.rw"/>
    <n v="788355242"/>
    <m/>
    <m/>
    <m/>
  </r>
  <r>
    <s v="C002112"/>
    <x v="333"/>
    <s v="CORS-NYAGATARE"/>
    <s v="Nyagatare"/>
    <x v="0"/>
    <x v="0"/>
    <s v="Standard"/>
    <x v="0"/>
    <x v="0"/>
    <n v="3"/>
    <s v="FIBER VPN 3MBPS"/>
    <m/>
    <n v="1"/>
    <n v="180000"/>
    <n v="180000"/>
    <s v="Monthly"/>
    <d v="2025-03-31T00:00:00"/>
    <x v="8"/>
    <x v="2"/>
    <n v="-633"/>
    <x v="1"/>
    <x v="5"/>
    <s v="Akumuntu Athanase"/>
    <s v="JeanPierre.Ndayisaba@rlma.rw"/>
    <n v="788355242"/>
    <m/>
    <m/>
    <m/>
  </r>
  <r>
    <s v="C002112"/>
    <x v="333"/>
    <s v="Nyanza RLMUA"/>
    <s v="Nyanza"/>
    <x v="0"/>
    <x v="0"/>
    <s v="Standard"/>
    <x v="0"/>
    <x v="0"/>
    <n v="3"/>
    <s v="FIBER VPN 3MBPS"/>
    <m/>
    <n v="1"/>
    <n v="180000"/>
    <n v="180000"/>
    <s v="Monthly"/>
    <d v="2025-03-31T00:00:00"/>
    <x v="8"/>
    <x v="2"/>
    <n v="-633"/>
    <x v="1"/>
    <x v="5"/>
    <s v="Akumuntu Athanase"/>
    <s v="JeanPierre.Ndayisaba@rlma.rw"/>
    <n v="788355242"/>
    <m/>
    <m/>
    <m/>
  </r>
  <r>
    <s v="C002112"/>
    <x v="333"/>
    <s v="NYANZA RLMUA"/>
    <s v="Nyanza"/>
    <x v="0"/>
    <x v="0"/>
    <s v="Standard"/>
    <x v="0"/>
    <x v="0"/>
    <n v="3"/>
    <s v="FIBER VPN 3MBPS"/>
    <m/>
    <n v="1"/>
    <n v="180000"/>
    <n v="180000"/>
    <s v="Monthly"/>
    <d v="2025-03-31T00:00:00"/>
    <x v="8"/>
    <x v="2"/>
    <n v="-633"/>
    <x v="1"/>
    <x v="5"/>
    <s v="Akumuntu Athanase"/>
    <s v="JeanPierre.Ndayisaba@rlma.rw"/>
    <n v="788355242"/>
    <m/>
    <m/>
    <m/>
  </r>
  <r>
    <s v="C002112"/>
    <x v="333"/>
    <s v="Nyanza RLMUA"/>
    <s v="Nyanza"/>
    <x v="0"/>
    <x v="0"/>
    <s v="Standard"/>
    <x v="0"/>
    <x v="0"/>
    <n v="3"/>
    <s v="FIBER VPN 3MBPS"/>
    <m/>
    <n v="1"/>
    <n v="180000"/>
    <n v="180000"/>
    <s v="Monthly"/>
    <d v="2025-03-31T00:00:00"/>
    <x v="8"/>
    <x v="2"/>
    <n v="-633"/>
    <x v="1"/>
    <x v="5"/>
    <s v="Akumuntu Athanase"/>
    <s v="JeanPierre.Ndayisaba@rlma.rw"/>
    <n v="788355242"/>
    <m/>
    <m/>
    <m/>
  </r>
  <r>
    <s v="C002112"/>
    <x v="333"/>
    <s v="HQ RLMUA"/>
    <s v="Nyarugenge"/>
    <x v="0"/>
    <x v="0"/>
    <s v="Standard"/>
    <x v="0"/>
    <x v="0"/>
    <n v="3"/>
    <s v="FIBER VPN 3MBPS"/>
    <m/>
    <n v="1"/>
    <n v="180000"/>
    <n v="180000"/>
    <s v="Monthly"/>
    <d v="2025-03-31T00:00:00"/>
    <x v="8"/>
    <x v="2"/>
    <n v="-633"/>
    <x v="1"/>
    <x v="5"/>
    <s v="Akumuntu Athanase"/>
    <s v="JeanPierre.Ndayisaba@rlma.rw"/>
    <n v="788355242"/>
    <m/>
    <m/>
    <m/>
  </r>
  <r>
    <s v="C002112"/>
    <x v="333"/>
    <s v="CORS HQ"/>
    <s v="Nyarugenge"/>
    <x v="0"/>
    <x v="0"/>
    <s v="Standard"/>
    <x v="0"/>
    <x v="0"/>
    <n v="3"/>
    <s v="FIBER VPN 3MBPS"/>
    <m/>
    <n v="1"/>
    <n v="180000"/>
    <n v="180000"/>
    <s v="Monthly"/>
    <d v="2025-03-31T00:00:00"/>
    <x v="8"/>
    <x v="2"/>
    <n v="-633"/>
    <x v="1"/>
    <x v="5"/>
    <s v="Akumuntu Athanase"/>
    <s v="JeanPierre.Ndayisaba@rlma.rw"/>
    <n v="788355242"/>
    <m/>
    <m/>
    <m/>
  </r>
  <r>
    <s v="C002112"/>
    <x v="333"/>
    <s v="RUBAVU RLMUA"/>
    <s v="Rubavu"/>
    <x v="0"/>
    <x v="0"/>
    <s v="Standard"/>
    <x v="0"/>
    <x v="0"/>
    <n v="3"/>
    <s v="FIBER VPN 3MBPS"/>
    <m/>
    <n v="1"/>
    <n v="180000"/>
    <n v="180000"/>
    <s v="Monthly"/>
    <d v="2025-03-31T00:00:00"/>
    <x v="8"/>
    <x v="2"/>
    <n v="-633"/>
    <x v="1"/>
    <x v="5"/>
    <s v="Akumuntu Athanase"/>
    <s v="JeanPierre.Ndayisaba@rlma.rw"/>
    <n v="788355242"/>
    <m/>
    <m/>
    <m/>
  </r>
  <r>
    <s v="C002112"/>
    <x v="333"/>
    <s v="RUSIZI HC"/>
    <s v="Rusizi"/>
    <x v="0"/>
    <x v="0"/>
    <s v="Standard"/>
    <x v="0"/>
    <x v="0"/>
    <n v="3"/>
    <s v="FIBER VPN 3MBPS"/>
    <m/>
    <n v="1"/>
    <n v="180000"/>
    <n v="180000"/>
    <s v="Monthly"/>
    <d v="2025-03-31T00:00:00"/>
    <x v="8"/>
    <x v="2"/>
    <n v="-633"/>
    <x v="1"/>
    <x v="5"/>
    <s v="Akumuntu Athanase"/>
    <s v="JeanPierre.Ndayisaba@rlma.rw"/>
    <n v="788355242"/>
    <m/>
    <m/>
    <m/>
  </r>
  <r>
    <s v="C002112"/>
    <x v="333"/>
    <s v="RLMUA HQ"/>
    <s v="Nyarugenge"/>
    <x v="0"/>
    <x v="0"/>
    <s v="Standard"/>
    <x v="0"/>
    <x v="0"/>
    <n v="30"/>
    <s v="FIBER VPN 30MBPS"/>
    <m/>
    <n v="1"/>
    <n v="1260000"/>
    <n v="1260000"/>
    <s v="Monthly"/>
    <d v="2025-03-31T00:00:00"/>
    <x v="8"/>
    <x v="2"/>
    <n v="-633"/>
    <x v="1"/>
    <x v="5"/>
    <s v="Akumuntu Athanase"/>
    <s v="JeanPierre.Ndayisaba@rlma.rw"/>
    <n v="788355242"/>
    <m/>
    <m/>
    <m/>
  </r>
  <r>
    <s v="C002112"/>
    <x v="333"/>
    <s v="RLMUA HQ"/>
    <s v="Nyarugenge"/>
    <x v="0"/>
    <x v="0"/>
    <s v="Standard"/>
    <x v="3"/>
    <x v="7"/>
    <m/>
    <s v="MSS PLATINUM"/>
    <m/>
    <n v="1"/>
    <n v="1478574"/>
    <n v="1478574"/>
    <s v="Monthly"/>
    <d v="2025-03-31T00:00:00"/>
    <x v="8"/>
    <x v="2"/>
    <n v="-633"/>
    <x v="1"/>
    <x v="5"/>
    <s v="Akumuntu Athanase"/>
    <s v="JeanPierre.Ndayisaba@rlma.rw"/>
    <n v="788355242"/>
    <m/>
    <m/>
    <m/>
  </r>
  <r>
    <m/>
    <x v="334"/>
    <s v="ISCO HQ"/>
    <s v="Kicukiro"/>
    <x v="1"/>
    <x v="14"/>
    <s v="Standard"/>
    <x v="1"/>
    <x v="5"/>
    <n v="25"/>
    <s v="Fiber broadband internet  25Mbps"/>
    <m/>
    <n v="1"/>
    <n v="1091228.8135593222"/>
    <n v="1091228.8135593222"/>
    <s v="Monthly"/>
    <d v="2025-04-13T00:00:00"/>
    <x v="9"/>
    <x v="2"/>
    <n v="-646"/>
    <x v="1"/>
    <x v="1"/>
    <s v="Jerome RUZIGANA"/>
    <s v="jruzigana@isco.co.rw"/>
    <s v="0788301481"/>
    <m/>
    <m/>
    <m/>
  </r>
  <r>
    <m/>
    <x v="334"/>
    <s v="Real Contractors HQ"/>
    <s v="Gasabo"/>
    <x v="1"/>
    <x v="14"/>
    <s v="Standard"/>
    <x v="1"/>
    <x v="5"/>
    <n v="22"/>
    <s v="Fiber Broadband Internet 22Mbps"/>
    <m/>
    <n v="1"/>
    <n v="960281.35593220347"/>
    <n v="960281.35593220347"/>
    <s v="Monthly"/>
    <d v="2025-04-13T00:00:00"/>
    <x v="9"/>
    <x v="2"/>
    <n v="-646"/>
    <x v="1"/>
    <x v="1"/>
    <s v="Jerome RUZIGANA"/>
    <s v="jruzigana@isco.co.rw"/>
    <s v="0788301481"/>
    <m/>
    <m/>
    <m/>
  </r>
  <r>
    <m/>
    <x v="334"/>
    <s v="INYANGE Industry Masaka"/>
    <s v="Kicukiro"/>
    <x v="1"/>
    <x v="14"/>
    <s v="Standard"/>
    <x v="1"/>
    <x v="5"/>
    <n v="15"/>
    <s v="Fiber Broadband Internet 15Mbps"/>
    <m/>
    <n v="1"/>
    <n v="654737.28813559329"/>
    <n v="654737.28813559329"/>
    <s v="Monthly"/>
    <d v="2025-04-13T00:00:00"/>
    <x v="9"/>
    <x v="2"/>
    <n v="-646"/>
    <x v="1"/>
    <x v="1"/>
    <s v="Jerome RUZIGANA"/>
    <s v="jruzigana@isco.co.rw"/>
    <s v="0788301481"/>
    <m/>
    <m/>
    <m/>
  </r>
  <r>
    <m/>
    <x v="334"/>
    <s v="Real Contractors (Amahoro Stadium)"/>
    <s v="Gasabo"/>
    <x v="1"/>
    <x v="14"/>
    <s v="Standard"/>
    <x v="1"/>
    <x v="5"/>
    <n v="10"/>
    <s v="Fiber Broadband Internet 10Mbps"/>
    <m/>
    <n v="1"/>
    <n v="436491.52542372886"/>
    <n v="436491.52542372886"/>
    <s v="Monthly"/>
    <d v="2025-04-13T00:00:00"/>
    <x v="9"/>
    <x v="2"/>
    <n v="-646"/>
    <x v="1"/>
    <x v="1"/>
    <s v="Jerome RUZIGANA"/>
    <s v="jruzigana@isco.co.rw"/>
    <s v="0788301481"/>
    <m/>
    <m/>
    <m/>
  </r>
  <r>
    <m/>
    <x v="334"/>
    <s v="Real Contractors Gikondo Production"/>
    <s v="Kicukiro"/>
    <x v="1"/>
    <x v="14"/>
    <s v="Standard"/>
    <x v="1"/>
    <x v="5"/>
    <n v="5"/>
    <s v="Fiber Broadband Internet 5Mbps"/>
    <m/>
    <n v="1"/>
    <n v="218245.76271186443"/>
    <n v="218245.76271186443"/>
    <s v="Monthly"/>
    <d v="2025-04-13T00:00:00"/>
    <x v="9"/>
    <x v="2"/>
    <n v="-646"/>
    <x v="1"/>
    <x v="1"/>
    <s v="Jerome RUZIGANA"/>
    <s v="jruzigana@isco.co.rw"/>
    <s v="0788301481"/>
    <m/>
    <m/>
    <m/>
  </r>
  <r>
    <m/>
    <x v="334"/>
    <s v="SEAL"/>
    <s v="Kicukiro"/>
    <x v="1"/>
    <x v="14"/>
    <s v="Standard"/>
    <x v="1"/>
    <x v="5"/>
    <n v="5"/>
    <s v="Fiber Broadband Internet 5Mbps"/>
    <m/>
    <n v="1"/>
    <n v="218245.76271186443"/>
    <n v="218245.76271186443"/>
    <s v="Monthly"/>
    <d v="2025-04-13T00:00:00"/>
    <x v="9"/>
    <x v="2"/>
    <n v="-646"/>
    <x v="1"/>
    <x v="1"/>
    <s v="Jerome RUZIGANA"/>
    <s v="jruzigana@isco.co.rw"/>
    <s v="0788301481"/>
    <m/>
    <m/>
    <m/>
  </r>
  <r>
    <m/>
    <x v="334"/>
    <s v="NPD KIP"/>
    <s v="Kicukiro"/>
    <x v="1"/>
    <x v="14"/>
    <s v="Standard"/>
    <x v="1"/>
    <x v="5"/>
    <n v="10"/>
    <s v="Fiber Broadband Internet 10Mbps"/>
    <m/>
    <n v="1"/>
    <n v="436491.52542372886"/>
    <n v="436491.52542372886"/>
    <s v="Monthly"/>
    <d v="2025-04-13T00:00:00"/>
    <x v="9"/>
    <x v="2"/>
    <n v="-646"/>
    <x v="1"/>
    <x v="1"/>
    <s v="Jerome RUZIGANA"/>
    <s v="jruzigana@isco.co.rw"/>
    <s v="0788301481"/>
    <m/>
    <m/>
    <m/>
  </r>
  <r>
    <s v="C001196"/>
    <x v="335"/>
    <s v="HQ"/>
    <s v="Gasabo"/>
    <x v="0"/>
    <x v="0"/>
    <s v="Standard"/>
    <x v="0"/>
    <x v="6"/>
    <m/>
    <s v="4G ONE NETWORK 5MBPS"/>
    <m/>
    <n v="1"/>
    <n v="101694.92"/>
    <n v="101694.92"/>
    <s v="Monthly"/>
    <d v="2025-04-19T00:00:00"/>
    <x v="9"/>
    <x v="2"/>
    <n v="-652"/>
    <x v="1"/>
    <x v="0"/>
    <s v="Jean Claude Niyonsaba"/>
    <s v="jeanclaude_niyonsaba13@yahoo.com"/>
    <s v="0789197948"/>
    <m/>
    <m/>
    <m/>
  </r>
  <r>
    <s v="C001196"/>
    <x v="335"/>
    <s v="HQ"/>
    <s v="Gasabo"/>
    <x v="0"/>
    <x v="0"/>
    <s v="Standard"/>
    <x v="0"/>
    <x v="6"/>
    <m/>
    <s v=" 4G MUP 4GB/DAY "/>
    <m/>
    <n v="7"/>
    <n v="45338.98"/>
    <n v="317372.86000000004"/>
    <s v="Monthly"/>
    <d v="2025-04-19T00:00:00"/>
    <x v="9"/>
    <x v="2"/>
    <n v="-652"/>
    <x v="1"/>
    <x v="0"/>
    <s v="Jean Claude Niyonsaba"/>
    <s v="jeanclaude_niyonsaba13@yahoo.com"/>
    <s v="0789197948"/>
    <m/>
    <m/>
    <m/>
  </r>
  <r>
    <s v="C000942"/>
    <x v="336"/>
    <s v="INILAK Nyanza"/>
    <s v="Nyanza"/>
    <x v="0"/>
    <x v="4"/>
    <s v="Standard"/>
    <x v="0"/>
    <x v="0"/>
    <n v="20"/>
    <s v="fiber vpn 20mbps"/>
    <m/>
    <n v="1"/>
    <n v="566800"/>
    <n v="566800"/>
    <s v="Monthly"/>
    <d v="2025-04-30T00:00:00"/>
    <x v="9"/>
    <x v="2"/>
    <n v="-663"/>
    <x v="1"/>
    <x v="4"/>
    <s v="Richard"/>
    <s v="niyo_richard@yahoo.fr;nyenani@gmail.com"/>
    <s v="0738306501/0738306534"/>
    <m/>
    <m/>
    <m/>
  </r>
  <r>
    <s v="C000942"/>
    <x v="336"/>
    <s v="INILAK HQ"/>
    <s v="Gasabo"/>
    <x v="0"/>
    <x v="4"/>
    <s v="Standard"/>
    <x v="1"/>
    <x v="0"/>
    <n v="60"/>
    <s v="fiber vpn 60mbps"/>
    <m/>
    <n v="1"/>
    <n v="1337867.7966101696"/>
    <n v="1337867.7966101696"/>
    <s v="Monthly"/>
    <d v="2025-04-30T00:00:00"/>
    <x v="9"/>
    <x v="2"/>
    <n v="-663"/>
    <x v="1"/>
    <x v="4"/>
    <s v="Richard"/>
    <s v="niyo_richard@yahoo.fr;nyenani@gmail.com"/>
    <s v="0738306501/0738306536"/>
    <m/>
    <m/>
    <m/>
  </r>
  <r>
    <s v="C000942"/>
    <x v="336"/>
    <s v="Maranatha"/>
    <s v="Ruhango"/>
    <x v="1"/>
    <x v="4"/>
    <s v="Standard"/>
    <x v="0"/>
    <x v="5"/>
    <n v="5"/>
    <s v="fiber vpn 5mbps"/>
    <m/>
    <n v="1"/>
    <n v="219500"/>
    <n v="219500"/>
    <s v="Monthly"/>
    <d v="2025-04-30T00:00:00"/>
    <x v="9"/>
    <x v="2"/>
    <n v="-663"/>
    <x v="1"/>
    <x v="4"/>
    <s v="Richard"/>
    <s v="niyo_richard@yahoo.fr;nyenani@gmail.com"/>
    <s v="0738306501/0738306537"/>
    <m/>
    <m/>
    <m/>
  </r>
  <r>
    <s v="C000942"/>
    <x v="336"/>
    <s v="INILAK Rwamagana"/>
    <s v="Rwamagana  "/>
    <x v="1"/>
    <x v="4"/>
    <s v="Standard"/>
    <x v="0"/>
    <x v="5"/>
    <n v="20"/>
    <s v="fiber vpn 20mbps"/>
    <m/>
    <n v="1"/>
    <n v="566800"/>
    <n v="566800"/>
    <s v="Monthly"/>
    <d v="2025-04-30T00:00:00"/>
    <x v="9"/>
    <x v="2"/>
    <n v="-663"/>
    <x v="1"/>
    <x v="4"/>
    <s v="Richard"/>
    <s v="niyo_richard@yahoo.fr;nyenani@gmail.com"/>
    <s v="0738306501/0738306535"/>
    <m/>
    <m/>
    <m/>
  </r>
  <r>
    <s v="C001406"/>
    <x v="337"/>
    <s v="MINAGRI - HQ"/>
    <s v="Gasabo"/>
    <x v="0"/>
    <x v="0"/>
    <s v="Standard"/>
    <x v="1"/>
    <x v="0"/>
    <n v="1"/>
    <s v="FiBER VPN 1MBPS (Kaspersky Server)"/>
    <m/>
    <n v="1"/>
    <n v="90000"/>
    <n v="90000"/>
    <s v="Monthly"/>
    <d v="2025-04-30T00:00:00"/>
    <x v="9"/>
    <x v="2"/>
    <n v="-663"/>
    <x v="1"/>
    <x v="2"/>
    <s v="Martine K. Nezerwa"/>
    <s v="ekwizera@minagri.gov.rw "/>
    <s v="0781-811-253"/>
    <m/>
    <m/>
    <m/>
  </r>
  <r>
    <s v="C001406"/>
    <x v="337"/>
    <s v="MINAGRI - HQ"/>
    <s v="Gasabo"/>
    <x v="0"/>
    <x v="0"/>
    <s v="Standard"/>
    <x v="1"/>
    <x v="0"/>
    <n v="60"/>
    <s v="FIBER VPN 60MBPS"/>
    <m/>
    <n v="1"/>
    <n v="2088000"/>
    <n v="2088000"/>
    <s v="Monthly"/>
    <d v="2025-04-30T00:00:00"/>
    <x v="9"/>
    <x v="2"/>
    <n v="-663"/>
    <x v="1"/>
    <x v="2"/>
    <s v="Martine K. Nezerwa"/>
    <s v="ekwizera@minagri.gov.rw "/>
    <s v="0781-811-253"/>
    <m/>
    <m/>
    <m/>
  </r>
  <r>
    <s v="C001406"/>
    <x v="337"/>
    <s v="MINAGRI - HQ"/>
    <s v="Gasabo"/>
    <x v="0"/>
    <x v="0"/>
    <s v="Standard"/>
    <x v="3"/>
    <x v="7"/>
    <m/>
    <s v="MSS GOLD"/>
    <m/>
    <n v="1"/>
    <n v="369325"/>
    <n v="369325"/>
    <s v="Monthly"/>
    <d v="2025-04-30T00:00:00"/>
    <x v="9"/>
    <x v="2"/>
    <n v="-663"/>
    <x v="1"/>
    <x v="2"/>
    <s v="Martine K. Nezerwa"/>
    <s v="ekwizera@minagri.gov.rw "/>
    <s v="0781-811-253"/>
    <m/>
    <m/>
    <m/>
  </r>
  <r>
    <s v="C001905"/>
    <x v="338"/>
    <s v="NYAMATA-MAIN BRANCH"/>
    <s v="Bugesera"/>
    <x v="0"/>
    <x v="6"/>
    <s v="Standard"/>
    <x v="0"/>
    <x v="0"/>
    <n v="5"/>
    <s v="FIBER VPN 5MBPS"/>
    <m/>
    <n v="1"/>
    <n v="270000"/>
    <n v="270000"/>
    <s v="Monthly"/>
    <d v="2025-04-30T00:00:00"/>
    <x v="9"/>
    <x v="2"/>
    <n v="-663"/>
    <x v="1"/>
    <x v="6"/>
    <s v="SEZIRAHIGA Eugene "/>
    <s v="nyamata.hospital@moh.gov.rw"/>
    <n v="788611859"/>
    <m/>
    <m/>
    <m/>
  </r>
  <r>
    <s v="C001905"/>
    <x v="338"/>
    <s v="NYAMATA-MAIN BRANCH"/>
    <s v="Bugesera"/>
    <x v="0"/>
    <x v="6"/>
    <s v="Standard"/>
    <x v="3"/>
    <x v="7"/>
    <m/>
    <s v="MSS GOLD"/>
    <m/>
    <n v="1"/>
    <n v="369325"/>
    <n v="369325"/>
    <s v="Monthly"/>
    <d v="2025-04-30T00:00:00"/>
    <x v="9"/>
    <x v="2"/>
    <n v="-663"/>
    <x v="1"/>
    <x v="6"/>
    <s v="SEZIRAHIGA Eugene "/>
    <s v="nyamata.hospital@moh.gov.rw"/>
    <n v="788611859"/>
    <m/>
    <m/>
    <m/>
  </r>
  <r>
    <s v="C001937"/>
    <x v="339"/>
    <s v="HQ"/>
    <s v="Nyarugenge"/>
    <x v="0"/>
    <x v="0"/>
    <s v="Standard"/>
    <x v="0"/>
    <x v="0"/>
    <n v="10"/>
    <s v="FIBER VPN 10MBPS"/>
    <m/>
    <n v="1"/>
    <n v="510000"/>
    <n v="510000"/>
    <s v="Monthly"/>
    <d v="2025-04-30T00:00:00"/>
    <x v="9"/>
    <x v="2"/>
    <n v="-663"/>
    <x v="1"/>
    <x v="7"/>
    <s v="Emmanuel Hategekimana"/>
    <s v="ehategekimana@ogs.gov.rw"/>
    <n v="784214284"/>
    <m/>
    <m/>
    <m/>
  </r>
  <r>
    <s v="C001936"/>
    <x v="339"/>
    <s v="HQ"/>
    <s v="Nyarugenge"/>
    <x v="0"/>
    <x v="0"/>
    <s v="Standard"/>
    <x v="0"/>
    <x v="6"/>
    <m/>
    <s v="4G ONE NETWORK 5MBPS"/>
    <m/>
    <n v="1"/>
    <n v="101694.91525400001"/>
    <n v="101694.91525400001"/>
    <s v="Monthly"/>
    <d v="2025-04-30T00:00:00"/>
    <x v="9"/>
    <x v="2"/>
    <n v="-663"/>
    <x v="1"/>
    <x v="7"/>
    <s v="Emmanuel Hategekimana"/>
    <s v="ehategekimana@ogs.gov.rw"/>
    <n v="784214284"/>
    <m/>
    <m/>
    <m/>
  </r>
  <r>
    <s v="C001937"/>
    <x v="339"/>
    <s v="HQ"/>
    <s v="Nyarugenge"/>
    <x v="0"/>
    <x v="0"/>
    <s v="Standard"/>
    <x v="0"/>
    <x v="6"/>
    <m/>
    <s v=" 4G MUP 4GB/DAY "/>
    <m/>
    <n v="25"/>
    <n v="45338.98"/>
    <n v="1133474.5"/>
    <s v="Monthly"/>
    <d v="2025-04-30T00:00:00"/>
    <x v="9"/>
    <x v="2"/>
    <n v="-663"/>
    <x v="1"/>
    <x v="7"/>
    <s v="Emmanuel Hategekimana"/>
    <s v="ehategekimana@ogs.gov.rw"/>
    <n v="784214284"/>
    <m/>
    <m/>
    <m/>
  </r>
  <r>
    <s v="C004226"/>
    <x v="340"/>
    <s v="HQ"/>
    <s v="Kicukiro"/>
    <x v="1"/>
    <x v="8"/>
    <s v="Standard"/>
    <x v="1"/>
    <x v="12"/>
    <m/>
    <s v="10 GB&amp;20mbps"/>
    <m/>
    <n v="1"/>
    <n v="63559"/>
    <n v="63559"/>
    <s v="Monthly"/>
    <d v="2025-04-30T00:00:00"/>
    <x v="9"/>
    <x v="2"/>
    <n v="-663"/>
    <x v="1"/>
    <x v="8"/>
    <s v="RUGAMBYA MAGNIFIQUE GAKUBA"/>
    <s v="info@rmlogistics.rw"/>
    <s v="0788-410-043"/>
    <m/>
    <m/>
    <m/>
  </r>
  <r>
    <s v="C002286"/>
    <x v="130"/>
    <s v="REMA HQ"/>
    <s v="Gasabo"/>
    <x v="0"/>
    <x v="0"/>
    <s v="Standard"/>
    <x v="0"/>
    <x v="0"/>
    <n v="10"/>
    <s v="FIBER VPN 10MBPS"/>
    <m/>
    <n v="1"/>
    <n v="510000"/>
    <n v="510000"/>
    <s v="Monthly"/>
    <d v="2025-04-30T00:00:00"/>
    <x v="9"/>
    <x v="2"/>
    <n v="-663"/>
    <x v="1"/>
    <x v="2"/>
    <s v="Peter songa"/>
    <s v="psonga@rema.gov.rw"/>
    <s v="0788-533-127"/>
    <m/>
    <m/>
    <m/>
  </r>
  <r>
    <s v="C002286"/>
    <x v="130"/>
    <s v="REMA HQ"/>
    <s v="Gasabo"/>
    <x v="0"/>
    <x v="0"/>
    <s v="Standard"/>
    <x v="3"/>
    <x v="7"/>
    <m/>
    <s v="MSS GOLD"/>
    <m/>
    <n v="1"/>
    <n v="369325"/>
    <n v="369325"/>
    <s v="Monthly"/>
    <d v="2025-04-30T00:00:00"/>
    <x v="9"/>
    <x v="2"/>
    <n v="-663"/>
    <x v="1"/>
    <x v="2"/>
    <s v="Peter songa"/>
    <s v="psonga@rema.gov.rw"/>
    <s v="0788-533-127"/>
    <m/>
    <m/>
    <m/>
  </r>
  <r>
    <s v="C002373"/>
    <x v="341"/>
    <s v="RWANDA POLYTECHNIC (RP)"/>
    <s v="Kicukiro"/>
    <x v="0"/>
    <x v="4"/>
    <s v="Standard"/>
    <x v="1"/>
    <x v="0"/>
    <n v="100"/>
    <s v="fiber vpn 100mbps"/>
    <m/>
    <n v="1"/>
    <n v="3240000"/>
    <n v="3240000"/>
    <s v="Monthly"/>
    <d v="2025-04-30T00:00:00"/>
    <x v="9"/>
    <x v="2"/>
    <n v="-663"/>
    <x v="1"/>
    <x v="4"/>
    <s v="David Mugume"/>
    <s v="info@rp.ac.rw;dmugume@rp.ac.rw;dvcaf@rp.ac.rw"/>
    <n v="788752880"/>
    <m/>
    <m/>
    <m/>
  </r>
  <r>
    <s v="C002373"/>
    <x v="341"/>
    <s v="RWANDA POLYTECHNIC (RP)"/>
    <s v="Kicukiro"/>
    <x v="0"/>
    <x v="4"/>
    <s v="Standard"/>
    <x v="0"/>
    <x v="6"/>
    <m/>
    <s v="4G MUP 1GB/DAY"/>
    <m/>
    <n v="1"/>
    <n v="19491.53"/>
    <n v="19491.53"/>
    <s v="Monthly"/>
    <d v="2025-04-30T00:00:00"/>
    <x v="9"/>
    <x v="2"/>
    <n v="-663"/>
    <x v="1"/>
    <x v="4"/>
    <s v="David Mugume"/>
    <s v="info@rp.ac.rw;dmugume@rp.ac.rw;dvcaf@rp.ac.rw"/>
    <n v="788752880"/>
    <m/>
    <m/>
    <m/>
  </r>
  <r>
    <s v="C002373"/>
    <x v="341"/>
    <s v="RWANDA POLYTECHNIC (RP)"/>
    <s v="Kicukiro"/>
    <x v="0"/>
    <x v="4"/>
    <s v="Standard"/>
    <x v="3"/>
    <x v="7"/>
    <m/>
    <s v="MSS Gold"/>
    <m/>
    <n v="1"/>
    <n v="369325"/>
    <n v="369325"/>
    <s v="Monthly"/>
    <d v="2025-04-30T00:00:00"/>
    <x v="9"/>
    <x v="2"/>
    <n v="-663"/>
    <x v="1"/>
    <x v="4"/>
    <s v="David Mugume"/>
    <s v="info@rp.ac.rw;dmugume@rp.ac.rw;dvcaf@rp.ac.rw"/>
    <n v="788752880"/>
    <m/>
    <m/>
    <m/>
  </r>
  <r>
    <s v="C004107"/>
    <x v="342"/>
    <s v="HQ"/>
    <s v="Gasabo"/>
    <x v="1"/>
    <x v="6"/>
    <s v="Standard"/>
    <x v="1"/>
    <x v="5"/>
    <n v="50"/>
    <s v="FIBER INTERNET 50MBPS"/>
    <m/>
    <n v="1"/>
    <n v="3463636.4406779599"/>
    <n v="3463636.4406779599"/>
    <s v="Monthly"/>
    <d v="2025-04-30T00:00:00"/>
    <x v="9"/>
    <x v="2"/>
    <n v="-663"/>
    <x v="1"/>
    <x v="7"/>
    <s v="Rutebuka Hervé "/>
    <s v="hrutebuka@sfhrwanda.org,imigambi@sfhrwanda.org"/>
    <n v="788742922"/>
    <m/>
    <m/>
    <m/>
  </r>
  <r>
    <s v="C004107"/>
    <x v="342"/>
    <s v="HQ"/>
    <s v="Gasabo"/>
    <x v="1"/>
    <x v="6"/>
    <s v="Standard"/>
    <x v="1"/>
    <x v="7"/>
    <m/>
    <s v="MSS Gold"/>
    <m/>
    <n v="1"/>
    <n v="369325.42372881301"/>
    <n v="369325.42372881301"/>
    <s v="Monthly"/>
    <d v="2025-04-30T00:00:00"/>
    <x v="9"/>
    <x v="2"/>
    <n v="-663"/>
    <x v="1"/>
    <x v="7"/>
    <s v="Rutebuka Hervé "/>
    <s v="hrutebuka@sfhrwanda.org,imigambi@sfhrwanda.org"/>
    <n v="788742922"/>
    <m/>
    <m/>
    <m/>
  </r>
  <r>
    <s v="C004107"/>
    <x v="342"/>
    <s v="HQ"/>
    <s v="Gasabo"/>
    <x v="1"/>
    <x v="6"/>
    <s v="Standard"/>
    <x v="0"/>
    <x v="6"/>
    <m/>
    <s v="4G MUP 2GB/DAY"/>
    <m/>
    <n v="20"/>
    <n v="28305.084745762713"/>
    <n v="566101.69491525425"/>
    <s v="Monthly"/>
    <d v="2025-04-30T00:00:00"/>
    <x v="9"/>
    <x v="2"/>
    <n v="-663"/>
    <x v="1"/>
    <x v="7"/>
    <s v="Rutebuka Hervé "/>
    <s v="hrutebuka@sfhrwanda.org,imigambi@sfhrwanda.org"/>
    <n v="788742922"/>
    <m/>
    <m/>
    <m/>
  </r>
  <r>
    <s v="C004142"/>
    <x v="343"/>
    <s v="HQ"/>
    <s v="Kicukiro"/>
    <x v="1"/>
    <x v="14"/>
    <s v="Standard"/>
    <x v="1"/>
    <x v="12"/>
    <m/>
    <s v="10 GB&amp;20mbps"/>
    <m/>
    <n v="1"/>
    <n v="63559"/>
    <n v="63559"/>
    <s v="Monthly"/>
    <d v="2025-04-30T00:00:00"/>
    <x v="9"/>
    <x v="2"/>
    <n v="-663"/>
    <x v="1"/>
    <x v="8"/>
    <s v="CLAUDINE  UMULINGA"/>
    <s v="mwangamj@gmail.com"/>
    <s v="0789-000-340"/>
    <m/>
    <m/>
    <m/>
  </r>
  <r>
    <s v="C001067"/>
    <x v="73"/>
    <s v="KACYIRU-MAIN BRANCH"/>
    <s v="Gasabo"/>
    <x v="0"/>
    <x v="6"/>
    <s v="Standard"/>
    <x v="3"/>
    <x v="7"/>
    <m/>
    <s v="MSS GOLD"/>
    <m/>
    <n v="1"/>
    <n v="369325"/>
    <n v="369325"/>
    <s v="Monthly"/>
    <d v="2025-05-02T00:00:00"/>
    <x v="10"/>
    <x v="2"/>
    <n v="-665"/>
    <x v="1"/>
    <x v="6"/>
    <s v="MUKANKURANGA Janviere"/>
    <s v="kacyiru.hospital@moh.gov.rw"/>
    <n v="788989730"/>
    <m/>
    <m/>
    <m/>
  </r>
  <r>
    <s v="C000825"/>
    <x v="344"/>
    <s v="HQ"/>
    <s v="Nyarugenge"/>
    <x v="1"/>
    <x v="9"/>
    <s v="Standard"/>
    <x v="0"/>
    <x v="5"/>
    <n v="1"/>
    <s v="FIBER VPN1 MBPS PRIV"/>
    <m/>
    <n v="1"/>
    <n v="156700"/>
    <n v="156700"/>
    <s v="Monthly"/>
    <d v="2025-05-05T00:00:00"/>
    <x v="10"/>
    <x v="2"/>
    <n v="-668"/>
    <x v="1"/>
    <x v="0"/>
    <s v="Didier Mugiraneza"/>
    <s v="didier.mugiraneza@gtbank.com "/>
    <s v="0788355818"/>
    <m/>
    <m/>
    <m/>
  </r>
  <r>
    <s v="C000825"/>
    <x v="344"/>
    <s v="HQ"/>
    <s v="Nyarugenge"/>
    <x v="1"/>
    <x v="9"/>
    <s v="Standard"/>
    <x v="0"/>
    <x v="5"/>
    <n v="20"/>
    <s v="FIBER INTERNET 20MBPS"/>
    <m/>
    <n v="1"/>
    <n v="1457000"/>
    <n v="1457000"/>
    <s v="Monthly"/>
    <d v="2025-05-05T00:00:00"/>
    <x v="10"/>
    <x v="2"/>
    <n v="-668"/>
    <x v="1"/>
    <x v="0"/>
    <s v="Didier Mugiraneza"/>
    <s v="didier.mugiraneza@gtbank.com "/>
    <s v="0788355818"/>
    <m/>
    <m/>
    <m/>
  </r>
  <r>
    <s v="C003898"/>
    <x v="345"/>
    <s v="eFiche Limited"/>
    <s v="Gasabo"/>
    <x v="1"/>
    <x v="2"/>
    <s v="Standard"/>
    <x v="1"/>
    <x v="1"/>
    <m/>
    <s v="Cloud 6vCPU. 12GB RAM. 450GB Storage"/>
    <m/>
    <n v="1"/>
    <n v="140294"/>
    <n v="140294"/>
    <s v="Monthly"/>
    <d v="2025-05-10T00:00:00"/>
    <x v="10"/>
    <x v="2"/>
    <n v="-673"/>
    <x v="1"/>
    <x v="2"/>
    <s v="Rene Kabagamba"/>
    <s v="renekabagamba@gmail.com"/>
    <s v="0785-561-509"/>
    <m/>
    <m/>
    <m/>
  </r>
  <r>
    <s v="C003876"/>
    <x v="264"/>
    <s v="NESA HQ."/>
    <s v="Gasabo"/>
    <x v="0"/>
    <x v="4"/>
    <s v="Standard"/>
    <x v="0"/>
    <x v="6"/>
    <m/>
    <s v=" 4G MUP 8GB/DAY "/>
    <m/>
    <n v="13"/>
    <n v="45338.98"/>
    <n v="589406.74"/>
    <s v="Monthly"/>
    <d v="2025-05-13T00:00:00"/>
    <x v="10"/>
    <x v="2"/>
    <n v="-676"/>
    <x v="1"/>
    <x v="2"/>
    <s v="MWIZERWA ERASTO"/>
    <s v="emwizerwa@nesa.gov.rw"/>
    <s v="0788-535-226"/>
    <m/>
    <m/>
    <m/>
  </r>
  <r>
    <s v="C000881"/>
    <x v="30"/>
    <s v="HQ"/>
    <s v="Kicukiro"/>
    <x v="1"/>
    <x v="8"/>
    <s v="Standard"/>
    <x v="0"/>
    <x v="6"/>
    <m/>
    <s v=" 4G MUP 4GB/DAY "/>
    <m/>
    <n v="1"/>
    <n v="45338.98"/>
    <n v="45338.98"/>
    <s v="Monthly"/>
    <d v="2025-05-30T00:00:00"/>
    <x v="10"/>
    <x v="2"/>
    <n v="-693"/>
    <x v="1"/>
    <x v="7"/>
    <s v="Willy Nzitonda"/>
    <s v="willy.nzitonda@horizongroup.rw"/>
    <n v="788639444"/>
    <m/>
    <m/>
    <m/>
  </r>
  <r>
    <s v="C002046"/>
    <x v="185"/>
    <s v="Fiber Internet: PM Residence"/>
    <s v="Kicukiro"/>
    <x v="0"/>
    <x v="0"/>
    <s v="VIP"/>
    <x v="5"/>
    <x v="0"/>
    <n v="30"/>
    <s v="Fiber Broadband Internet 30Mbps"/>
    <m/>
    <n v="1"/>
    <n v="1261654"/>
    <n v="1261654"/>
    <s v="Monthly"/>
    <d v="2025-05-31T00:00:00"/>
    <x v="10"/>
    <x v="2"/>
    <n v="-694"/>
    <x v="1"/>
    <x v="1"/>
    <s v="Gashugi Aimé Claude"/>
    <s v="agashugi@primature.gov.rw"/>
    <s v="0 788 529 042"/>
    <m/>
    <m/>
    <m/>
  </r>
  <r>
    <s v="C001917"/>
    <x v="346"/>
    <s v="HQ"/>
    <s v="Kicukiro"/>
    <x v="0"/>
    <x v="0"/>
    <s v="Standard"/>
    <x v="0"/>
    <x v="6"/>
    <m/>
    <s v="4G ONE NETWORK 8GB/DAY"/>
    <m/>
    <n v="1"/>
    <n v="77711.86"/>
    <n v="77711.86"/>
    <s v="Monthly"/>
    <d v="2025-05-31T00:00:00"/>
    <x v="10"/>
    <x v="2"/>
    <n v="-694"/>
    <x v="1"/>
    <x v="0"/>
    <s v="Innocent Hagenimana"/>
    <s v="nyarugunga@kicukiro.gov.rw"/>
    <s v="0783542526"/>
    <m/>
    <m/>
    <m/>
  </r>
  <r>
    <s v="C001917"/>
    <x v="346"/>
    <s v="HQ"/>
    <s v="Rwamagana  "/>
    <x v="0"/>
    <x v="0"/>
    <s v="Standard"/>
    <x v="0"/>
    <x v="6"/>
    <m/>
    <s v="4G MUP 1GB/DAY"/>
    <m/>
    <n v="1"/>
    <n v="19491.53"/>
    <n v="19491.53"/>
    <s v="Monthly"/>
    <d v="2025-05-31T00:00:00"/>
    <x v="10"/>
    <x v="2"/>
    <n v="-694"/>
    <x v="1"/>
    <x v="0"/>
    <s v="Innocent Hagenimana"/>
    <s v="nyarugunga@kicukiro.gov.rw"/>
    <n v="783542526"/>
    <m/>
    <m/>
    <m/>
  </r>
  <r>
    <s v="C002635"/>
    <x v="347"/>
    <s v="SOLACE MINISTRIES"/>
    <s v="Gasabo"/>
    <x v="1"/>
    <x v="10"/>
    <s v="Standard"/>
    <x v="1"/>
    <x v="5"/>
    <n v="15"/>
    <s v="Fiber Broadband Internet 15Mbps"/>
    <m/>
    <n v="1"/>
    <n v="600000"/>
    <n v="600000"/>
    <s v="Monthly"/>
    <d v="2025-05-31T00:00:00"/>
    <x v="10"/>
    <x v="2"/>
    <n v="-694"/>
    <x v="1"/>
    <x v="2"/>
    <s v="Museveni joseph"/>
    <s v="musevenijoseph@gmail.com"/>
    <s v="0783-259-969"/>
    <m/>
    <m/>
    <m/>
  </r>
  <r>
    <s v="C004077"/>
    <x v="348"/>
    <s v="FINANCIAL INTELLIGENCE CENTER"/>
    <s v="Gasabo"/>
    <x v="0"/>
    <x v="7"/>
    <s v="Standard"/>
    <x v="0"/>
    <x v="0"/>
    <n v="15"/>
    <s v="Fiber VPN 15MBPS "/>
    <m/>
    <n v="1"/>
    <n v="720000"/>
    <n v="720000"/>
    <s v="Monthly"/>
    <d v="2025-06-05T00:00:00"/>
    <x v="1"/>
    <x v="2"/>
    <n v="-699"/>
    <x v="1"/>
    <x v="2"/>
    <s v="Marceline Sugira"/>
    <s v="msugira@fic.gov.rw"/>
    <s v="0785175203"/>
    <m/>
    <m/>
    <m/>
  </r>
  <r>
    <s v="C004077"/>
    <x v="348"/>
    <s v="FINANCIAL INTELLIGENCE CENTER"/>
    <s v="Gasabo"/>
    <x v="0"/>
    <x v="7"/>
    <s v="Standard"/>
    <x v="3"/>
    <x v="7"/>
    <m/>
    <s v="MSS GOLD"/>
    <m/>
    <n v="1"/>
    <n v="369325"/>
    <n v="369325"/>
    <s v="Monthly"/>
    <d v="2025-06-05T00:00:00"/>
    <x v="1"/>
    <x v="2"/>
    <n v="-699"/>
    <x v="1"/>
    <x v="2"/>
    <s v="Marceline Sugira"/>
    <s v="msugira@fic.gov.rw"/>
    <s v="0785175203"/>
    <m/>
    <m/>
    <m/>
  </r>
  <r>
    <s v="C004077"/>
    <x v="348"/>
    <s v="FINANCIAL INTELLIGENCE CENTER"/>
    <s v="Gasabo"/>
    <x v="0"/>
    <x v="7"/>
    <s v="Standard"/>
    <x v="1"/>
    <x v="3"/>
    <m/>
    <s v="IP Range 1-20 Phones"/>
    <m/>
    <n v="1"/>
    <n v="60000"/>
    <n v="60000"/>
    <s v="Monthly"/>
    <d v="2025-06-05T00:00:00"/>
    <x v="1"/>
    <x v="2"/>
    <n v="-699"/>
    <x v="1"/>
    <x v="2"/>
    <s v="Marceline Sugira"/>
    <s v="msugira@fic.gov.rw"/>
    <s v="0785175203"/>
    <m/>
    <m/>
    <m/>
  </r>
  <r>
    <s v="C000717"/>
    <x v="16"/>
    <s v="HQ"/>
    <s v="Gasabo"/>
    <x v="0"/>
    <x v="0"/>
    <s v="Standard"/>
    <x v="0"/>
    <x v="0"/>
    <n v="3"/>
    <s v="FIBER VPN 3MBPS"/>
    <m/>
    <n v="1"/>
    <n v="180000"/>
    <n v="180000"/>
    <s v="Monthly"/>
    <d v="2025-06-30T00:00:00"/>
    <x v="1"/>
    <x v="2"/>
    <n v="-724"/>
    <x v="1"/>
    <x v="0"/>
    <s v="Jean Paul Mahene"/>
    <s v="jeanpaul.mahene@gasabo.gov.rw "/>
    <s v="0788828279"/>
    <m/>
    <m/>
    <m/>
  </r>
  <r>
    <s v="C000717"/>
    <x v="16"/>
    <s v="HQ"/>
    <s v="Gasabo"/>
    <x v="0"/>
    <x v="0"/>
    <s v="Standard"/>
    <x v="0"/>
    <x v="0"/>
    <n v="15"/>
    <s v="FIBER VPN 15MBPS"/>
    <m/>
    <n v="1"/>
    <n v="720000"/>
    <n v="720000"/>
    <s v="Monthly"/>
    <d v="2025-06-30T00:00:00"/>
    <x v="1"/>
    <x v="2"/>
    <n v="-724"/>
    <x v="1"/>
    <x v="0"/>
    <s v="Jean Paul Mahene"/>
    <s v="jeanpaul.mahene@gasabo.gov.rw "/>
    <s v="0788828279"/>
    <m/>
    <m/>
    <m/>
  </r>
  <r>
    <s v="C000717"/>
    <x v="16"/>
    <s v="HQ"/>
    <s v="Gasabo"/>
    <x v="0"/>
    <x v="0"/>
    <s v="Standard"/>
    <x v="1"/>
    <x v="10"/>
    <m/>
    <s v="VIDEO CONFERENCE"/>
    <m/>
    <n v="1"/>
    <n v="258044.92"/>
    <n v="258044.92"/>
    <s v="Monthly"/>
    <d v="2025-06-30T00:00:00"/>
    <x v="1"/>
    <x v="2"/>
    <n v="-724"/>
    <x v="1"/>
    <x v="0"/>
    <s v="Jean Paul Mahene"/>
    <s v="jeanpaul.mahene@gasabo.gov.rw "/>
    <s v="0788828279"/>
    <m/>
    <m/>
    <m/>
  </r>
  <r>
    <s v="C000717"/>
    <x v="16"/>
    <s v="HQ"/>
    <s v="Gasabo"/>
    <x v="0"/>
    <x v="0"/>
    <s v="Standard"/>
    <x v="3"/>
    <x v="7"/>
    <m/>
    <s v="MSS GOLD"/>
    <m/>
    <n v="1"/>
    <n v="369325.42"/>
    <n v="369325.42"/>
    <s v="Monthly"/>
    <d v="2025-06-30T00:00:00"/>
    <x v="1"/>
    <x v="2"/>
    <n v="-724"/>
    <x v="1"/>
    <x v="0"/>
    <s v="Jean Paul Mahene"/>
    <s v="jeanpaul.mahene@gasabo.gov.rw "/>
    <s v="0788828279"/>
    <m/>
    <m/>
    <m/>
  </r>
  <r>
    <s v="C000717"/>
    <x v="16"/>
    <s v="HQ"/>
    <s v="Gasabo"/>
    <x v="0"/>
    <x v="0"/>
    <s v="Standard"/>
    <x v="0"/>
    <x v="6"/>
    <m/>
    <s v="4G MUP 10GB/DAY"/>
    <m/>
    <n v="1"/>
    <n v="110593.22"/>
    <n v="110593.22"/>
    <s v="Monthly"/>
    <d v="2025-06-30T00:00:00"/>
    <x v="1"/>
    <x v="2"/>
    <n v="-724"/>
    <x v="1"/>
    <x v="0"/>
    <s v="Jean Paul Mahene"/>
    <s v="jeanpaul.mahene@gasabo.gov.rw "/>
    <s v="0788828279"/>
    <m/>
    <m/>
    <m/>
  </r>
  <r>
    <s v="C000717"/>
    <x v="16"/>
    <s v="HQ"/>
    <s v="Gasabo"/>
    <x v="0"/>
    <x v="0"/>
    <s v="Standard"/>
    <x v="0"/>
    <x v="6"/>
    <m/>
    <s v="4G ONE NETWORK 5MBPS"/>
    <m/>
    <n v="2"/>
    <n v="101694.92"/>
    <n v="203389.84"/>
    <s v="Monthly"/>
    <d v="2025-06-30T00:00:00"/>
    <x v="1"/>
    <x v="2"/>
    <n v="-724"/>
    <x v="1"/>
    <x v="0"/>
    <s v="Jean Paul Mahene"/>
    <s v="jeanpaul.mahene@gasabo.gov.rw "/>
    <s v="0788828279"/>
    <m/>
    <m/>
    <m/>
  </r>
  <r>
    <s v="C000717"/>
    <x v="16"/>
    <s v="HQ"/>
    <s v="Gasabo"/>
    <x v="0"/>
    <x v="0"/>
    <s v="Standard"/>
    <x v="0"/>
    <x v="6"/>
    <m/>
    <s v="4G MUP 1GB/DAY"/>
    <m/>
    <n v="5"/>
    <n v="19491.53"/>
    <n v="97457.65"/>
    <s v="Monthly"/>
    <d v="2025-06-30T00:00:00"/>
    <x v="1"/>
    <x v="2"/>
    <n v="-724"/>
    <x v="1"/>
    <x v="0"/>
    <s v="Jean Paul Mahene"/>
    <s v="jeanpaul.mahene@gasabo.gov.rw "/>
    <s v="0788828279"/>
    <m/>
    <m/>
    <m/>
  </r>
  <r>
    <s v="C000717"/>
    <x v="16"/>
    <s v="HQ"/>
    <s v="Gasabo"/>
    <x v="0"/>
    <x v="0"/>
    <s v="Standard"/>
    <x v="0"/>
    <x v="6"/>
    <m/>
    <s v="4G MUP 2GB/DAY"/>
    <m/>
    <n v="10"/>
    <n v="28305.08"/>
    <n v="283050.80000000005"/>
    <s v="Monthly"/>
    <d v="2025-06-30T00:00:00"/>
    <x v="1"/>
    <x v="2"/>
    <n v="-724"/>
    <x v="1"/>
    <x v="0"/>
    <s v="Jean Paul Mahene"/>
    <s v="jeanpaul.mahene@gasabo.gov.rw "/>
    <s v="0788828279"/>
    <m/>
    <m/>
    <m/>
  </r>
  <r>
    <s v="C004077"/>
    <x v="348"/>
    <s v="FINANCIAL INTELLIGENCE CENTER"/>
    <s v="Gasabo"/>
    <x v="0"/>
    <x v="7"/>
    <s v="Standard"/>
    <x v="0"/>
    <x v="0"/>
    <n v="1"/>
    <s v="FIBER VPN 1MBPS "/>
    <m/>
    <n v="1"/>
    <n v="90000"/>
    <n v="90000"/>
    <s v="Monthly"/>
    <d v="2025-06-05T00:00:00"/>
    <x v="1"/>
    <x v="2"/>
    <n v="-699"/>
    <x v="1"/>
    <x v="2"/>
    <s v="Marceline Sugira"/>
    <s v="msugira@fic.gov.rw"/>
    <s v="0785175203"/>
    <s v="New Link"/>
    <m/>
    <m/>
  </r>
  <r>
    <s v="C000893"/>
    <x v="349"/>
    <s v="Huye Isange Rehabilitation Center"/>
    <s v="Huye"/>
    <x v="0"/>
    <x v="0"/>
    <s v="Standard"/>
    <x v="0"/>
    <x v="0"/>
    <n v="5"/>
    <s v="FIBER VPN 5MBPS"/>
    <m/>
    <n v="1"/>
    <n v="270000"/>
    <n v="270000"/>
    <s v="Monthly"/>
    <d v="2025-06-30T00:00:00"/>
    <x v="1"/>
    <x v="2"/>
    <n v="-724"/>
    <x v="1"/>
    <x v="2"/>
    <s v="Dr. Patrick Rwagatare"/>
    <s v="isangehuye@gmail.com"/>
    <s v="0788-411-307"/>
    <m/>
    <m/>
    <m/>
  </r>
  <r>
    <s v="C000959"/>
    <x v="350"/>
    <s v="IPRC-KICUKIRO"/>
    <s v="Kicukiro"/>
    <x v="0"/>
    <x v="4"/>
    <s v="Standard"/>
    <x v="0"/>
    <x v="0"/>
    <n v="50"/>
    <s v="FIBER VPN 50MBPS"/>
    <m/>
    <n v="1"/>
    <n v="1800000"/>
    <n v="1800000"/>
    <s v="Monthly"/>
    <d v="2025-06-30T00:00:00"/>
    <x v="1"/>
    <x v="2"/>
    <n v="-724"/>
    <x v="1"/>
    <x v="4"/>
    <s v="Iyamuremye Aimable"/>
    <s v="iaimable@iprckigali.ac.rw"/>
    <n v="785673362"/>
    <m/>
    <m/>
    <m/>
  </r>
  <r>
    <s v="C000959"/>
    <x v="350"/>
    <s v="IPRC 4G One Network"/>
    <s v="Kicukiro"/>
    <x v="0"/>
    <x v="4"/>
    <s v="Standard"/>
    <x v="0"/>
    <x v="6"/>
    <m/>
    <s v=" 4G MUP 4GB/DAY "/>
    <m/>
    <n v="2"/>
    <n v="45338.98"/>
    <n v="90677.96"/>
    <s v="Monthly"/>
    <d v="2025-06-30T00:00:00"/>
    <x v="1"/>
    <x v="2"/>
    <n v="-724"/>
    <x v="1"/>
    <x v="4"/>
    <s v="Iyamuremye Aimable"/>
    <s v="iaimable@iprckigali.ac.rw"/>
    <n v="785673364"/>
    <m/>
    <m/>
    <m/>
  </r>
  <r>
    <s v="C000959"/>
    <x v="350"/>
    <s v="IPRC 4G One Network"/>
    <s v="Kicukiro"/>
    <x v="0"/>
    <x v="4"/>
    <s v="Standard"/>
    <x v="0"/>
    <x v="6"/>
    <m/>
    <s v="4G ONE NETWORK 5MBPS"/>
    <m/>
    <n v="2"/>
    <n v="101694.92"/>
    <n v="203389.84"/>
    <s v="Monthly"/>
    <d v="2025-06-30T00:00:00"/>
    <x v="1"/>
    <x v="2"/>
    <n v="-724"/>
    <x v="1"/>
    <x v="4"/>
    <s v="Iyamuremye Aimable"/>
    <s v="iaimable@iprckigali.ac.rw"/>
    <n v="785673363"/>
    <m/>
    <m/>
    <m/>
  </r>
  <r>
    <s v="C004192"/>
    <x v="351"/>
    <s v="HQ"/>
    <s v="Kicukiro"/>
    <x v="1"/>
    <x v="10"/>
    <s v="Standard"/>
    <x v="1"/>
    <x v="12"/>
    <m/>
    <s v="30gb&amp;20mbps"/>
    <m/>
    <n v="1"/>
    <n v="101695"/>
    <n v="101695"/>
    <s v="Monthly"/>
    <d v="2025-06-30T00:00:00"/>
    <x v="1"/>
    <x v="2"/>
    <n v="-724"/>
    <x v="1"/>
    <x v="8"/>
    <s v="CEDRIC IRADUKUNDA"/>
    <s v="higiro@maicoltd.com"/>
    <s v="0 783-020-220"/>
    <m/>
    <m/>
    <m/>
  </r>
  <r>
    <s v="C001765"/>
    <x v="352"/>
    <s v="Lais"/>
    <s v="Ngoma"/>
    <x v="0"/>
    <x v="0"/>
    <s v="Standard"/>
    <x v="0"/>
    <x v="0"/>
    <n v="3"/>
    <s v="FIBER VPN 3MBPS"/>
    <m/>
    <n v="1"/>
    <n v="180000"/>
    <n v="180000"/>
    <s v="Monthly"/>
    <d v="2025-06-30T00:00:00"/>
    <x v="1"/>
    <x v="2"/>
    <n v="-724"/>
    <x v="1"/>
    <x v="0"/>
    <s v="Patrice Mvuyekure"/>
    <s v="patrice.mvuyekure@ngoma.gov.rw"/>
    <s v="0788466112"/>
    <m/>
    <m/>
    <m/>
  </r>
  <r>
    <s v="C001765"/>
    <x v="352"/>
    <s v="HQ"/>
    <s v="Ngoma"/>
    <x v="0"/>
    <x v="0"/>
    <s v="Standard"/>
    <x v="0"/>
    <x v="0"/>
    <n v="10"/>
    <s v="FIBER VPN 10MBPS"/>
    <m/>
    <n v="1"/>
    <n v="510000"/>
    <n v="510000"/>
    <s v="Monthly"/>
    <d v="2025-06-30T00:00:00"/>
    <x v="1"/>
    <x v="2"/>
    <n v="-724"/>
    <x v="1"/>
    <x v="0"/>
    <s v="Patrice Mvuyekure"/>
    <s v="patrice.mvuyekure@ngoma.gov.rw"/>
    <s v="0788466112"/>
    <m/>
    <m/>
    <m/>
  </r>
  <r>
    <s v="C001765"/>
    <x v="352"/>
    <s v="HQ"/>
    <s v="Ngoma"/>
    <x v="0"/>
    <x v="0"/>
    <s v="Standard"/>
    <x v="1"/>
    <x v="10"/>
    <m/>
    <s v="VIDEO CONFERENCE"/>
    <m/>
    <n v="1"/>
    <n v="258044.92"/>
    <n v="258044.92"/>
    <s v="Monthly"/>
    <d v="2025-06-30T00:00:00"/>
    <x v="1"/>
    <x v="2"/>
    <n v="-724"/>
    <x v="1"/>
    <x v="0"/>
    <s v="Patrice Mvuyekure"/>
    <s v="patrice.mvuyekure@ngoma.gov.rw"/>
    <s v="0788466112"/>
    <m/>
    <m/>
    <m/>
  </r>
  <r>
    <s v="C001765"/>
    <x v="352"/>
    <s v="HQ"/>
    <s v="Ngoma"/>
    <x v="0"/>
    <x v="0"/>
    <s v="Standard"/>
    <x v="3"/>
    <x v="7"/>
    <m/>
    <s v="MSS GOLD"/>
    <m/>
    <n v="1"/>
    <n v="369325.42"/>
    <n v="369325.42"/>
    <s v="Monthly"/>
    <d v="2025-06-30T00:00:00"/>
    <x v="1"/>
    <x v="2"/>
    <n v="-724"/>
    <x v="1"/>
    <x v="0"/>
    <s v="Patrice Mvuyekure"/>
    <s v="patrice.mvuyekure@ngoma.gov.rw"/>
    <s v="0788466112"/>
    <m/>
    <m/>
    <m/>
  </r>
  <r>
    <s v="C001765"/>
    <x v="352"/>
    <s v="HQ"/>
    <s v="Ngoma"/>
    <x v="0"/>
    <x v="0"/>
    <s v="Standard"/>
    <x v="0"/>
    <x v="6"/>
    <m/>
    <s v="4G ONE NETWORK 3MBPS"/>
    <m/>
    <n v="15"/>
    <n v="81355.932203389835"/>
    <n v="1220338.9830508474"/>
    <s v="Monthly"/>
    <d v="2025-06-30T00:00:00"/>
    <x v="1"/>
    <x v="2"/>
    <n v="-724"/>
    <x v="1"/>
    <x v="0"/>
    <s v="Patrice Mvuyekure"/>
    <s v="patrice.mvuyekure@ngoma.gov.rw"/>
    <s v="0788466112"/>
    <m/>
    <m/>
    <m/>
  </r>
  <r>
    <s v="C001765"/>
    <x v="352"/>
    <s v="HQ"/>
    <s v="Ngoma"/>
    <x v="0"/>
    <x v="0"/>
    <s v="Standard"/>
    <x v="0"/>
    <x v="6"/>
    <m/>
    <s v="4G MUP 1GB/DAY"/>
    <m/>
    <n v="73"/>
    <n v="19491.53"/>
    <n v="1422881.69"/>
    <s v="Monthly"/>
    <d v="2025-06-30T00:00:00"/>
    <x v="1"/>
    <x v="2"/>
    <n v="-724"/>
    <x v="1"/>
    <x v="0"/>
    <s v="Patrice Mvuyekure"/>
    <s v="patrice.mvuyekure@ngoma.gov.rw"/>
    <s v="0788466112"/>
    <m/>
    <m/>
    <m/>
  </r>
  <r>
    <s v="C002266"/>
    <x v="261"/>
    <s v="RDRC Mutobo"/>
    <s v="Musanze"/>
    <x v="0"/>
    <x v="0"/>
    <s v="Standard"/>
    <x v="0"/>
    <x v="0"/>
    <n v="3"/>
    <s v="Fiber VPN 3MBPS "/>
    <m/>
    <n v="1"/>
    <n v="180000"/>
    <n v="180000"/>
    <s v="Monthly"/>
    <d v="2025-06-30T00:00:00"/>
    <x v="1"/>
    <x v="2"/>
    <n v="-724"/>
    <x v="1"/>
    <x v="5"/>
    <s v="Hilaire Nduwayo"/>
    <s v="nhilaire@demobrwanda.gov.rw"/>
    <n v="788510870"/>
    <m/>
    <m/>
    <m/>
  </r>
  <r>
    <s v="C003973"/>
    <x v="26"/>
    <s v="HQ"/>
    <s v="Gasabo"/>
    <x v="0"/>
    <x v="7"/>
    <s v="VIP"/>
    <x v="1"/>
    <x v="0"/>
    <n v="50"/>
    <s v="FIBER INTERNET 50MBPS GOV"/>
    <m/>
    <n v="1"/>
    <n v="1800000"/>
    <n v="1800000"/>
    <s v="Monthly"/>
    <d v="2025-06-30T00:00:00"/>
    <x v="1"/>
    <x v="2"/>
    <n v="-724"/>
    <x v="1"/>
    <x v="0"/>
    <s v="Assumpta Mugwaneza"/>
    <s v="amugwaneza@space.gov.rw "/>
    <s v="0788449181"/>
    <m/>
    <m/>
    <m/>
  </r>
  <r>
    <s v="C003973"/>
    <x v="26"/>
    <s v="HQ"/>
    <s v="Gasabo"/>
    <x v="0"/>
    <x v="7"/>
    <s v="VIP"/>
    <x v="0"/>
    <x v="6"/>
    <m/>
    <s v="4G ONE NETWORK 5MBPS"/>
    <m/>
    <n v="5"/>
    <n v="101694.91525423729"/>
    <n v="508474.57627118647"/>
    <s v="Monthly"/>
    <d v="2025-06-30T00:00:00"/>
    <x v="1"/>
    <x v="2"/>
    <n v="-724"/>
    <x v="1"/>
    <x v="0"/>
    <s v="Assumpta Mugwaneza"/>
    <s v="amugwaneza@space.gov.rw "/>
    <s v="0788449181"/>
    <m/>
    <m/>
    <m/>
  </r>
  <r>
    <s v="C002215"/>
    <x v="83"/>
    <s v="RWAMAGANA-MAIN BRANCH"/>
    <s v="Rwamagana  "/>
    <x v="0"/>
    <x v="6"/>
    <s v="Standard"/>
    <x v="0"/>
    <x v="0"/>
    <n v="5"/>
    <s v="FIBER VPN 5MBPS"/>
    <m/>
    <n v="1"/>
    <n v="270000"/>
    <n v="270000"/>
    <s v="Monthly"/>
    <d v="2025-07-28T00:00:00"/>
    <x v="2"/>
    <x v="2"/>
    <n v="-752"/>
    <x v="1"/>
    <x v="6"/>
    <s v="ILITYAYE Aimee"/>
    <s v="rwamagana.hospital@moh.gov.rw"/>
    <n v="788949680"/>
    <m/>
    <m/>
    <m/>
  </r>
  <r>
    <s v="C003254"/>
    <x v="353"/>
    <s v="HQ"/>
    <s v="Kamonyi"/>
    <x v="0"/>
    <x v="0"/>
    <s v="Standard"/>
    <x v="0"/>
    <x v="6"/>
    <m/>
    <s v="4G ONE NETWORK 3MBPS"/>
    <m/>
    <n v="1"/>
    <n v="81355.932203389835"/>
    <n v="81355.932203389835"/>
    <s v="Monthly"/>
    <d v="2025-07-31T00:00:00"/>
    <x v="2"/>
    <x v="2"/>
    <n v="-755"/>
    <x v="1"/>
    <x v="0"/>
    <s v="Aloys Nsekalije "/>
    <s v="ict@kamonyi.gov.rw"/>
    <s v="0788506720"/>
    <m/>
    <m/>
    <m/>
  </r>
  <r>
    <s v="C001684"/>
    <x v="354"/>
    <s v="HQ"/>
    <s v="Nyarugenge"/>
    <x v="0"/>
    <x v="0"/>
    <s v="Standard"/>
    <x v="0"/>
    <x v="6"/>
    <m/>
    <s v=" 4G MUP 4GB/DAY "/>
    <m/>
    <n v="3"/>
    <n v="45338.98"/>
    <n v="136016.94"/>
    <s v="Monthly"/>
    <d v="2025-07-31T00:00:00"/>
    <x v="2"/>
    <x v="2"/>
    <n v="-755"/>
    <x v="1"/>
    <x v="7"/>
    <s v="Kayumba Theogene"/>
    <s v="tkayumba@ncst.gov.rw"/>
    <n v="788319697"/>
    <m/>
    <m/>
    <m/>
  </r>
  <r>
    <s v="C003876"/>
    <x v="264"/>
    <s v="NESA HQ."/>
    <s v="Gasabo"/>
    <x v="0"/>
    <x v="4"/>
    <s v="Standard"/>
    <x v="0"/>
    <x v="0"/>
    <n v="20"/>
    <s v="FIBER VPN 20MBPS"/>
    <m/>
    <n v="1"/>
    <n v="900000"/>
    <n v="900000"/>
    <s v="Monthly"/>
    <d v="2025-07-31T00:00:00"/>
    <x v="2"/>
    <x v="2"/>
    <n v="-755"/>
    <x v="1"/>
    <x v="2"/>
    <s v="Erasto Mwizerwa"/>
    <s v="emwizerwa@nesa.gov.rw"/>
    <s v="0788-535-226"/>
    <m/>
    <m/>
    <m/>
  </r>
  <r>
    <s v="C003876"/>
    <x v="264"/>
    <s v="NESA HQ."/>
    <s v="Gasabo"/>
    <x v="0"/>
    <x v="4"/>
    <s v="Standard"/>
    <x v="3"/>
    <x v="7"/>
    <m/>
    <s v="MSS GOLD"/>
    <m/>
    <n v="1"/>
    <n v="369325"/>
    <n v="369325"/>
    <s v="Monthly"/>
    <d v="2025-07-31T00:00:00"/>
    <x v="2"/>
    <x v="2"/>
    <n v="-755"/>
    <x v="1"/>
    <x v="2"/>
    <s v="Erasto Mwizerwa"/>
    <s v="emwizerwa@nesa.gov.rw"/>
    <s v="0788-535-226"/>
    <m/>
    <m/>
    <m/>
  </r>
  <r>
    <s v="C003255"/>
    <x v="355"/>
    <s v="HQ"/>
    <s v="Kamonyi"/>
    <x v="0"/>
    <x v="0"/>
    <s v="Standard"/>
    <x v="0"/>
    <x v="6"/>
    <m/>
    <s v="4G ONE NETWORK 3MBPS"/>
    <m/>
    <n v="1"/>
    <n v="81355.932203389835"/>
    <n v="81355.932203389835"/>
    <s v="Monthly"/>
    <d v="2025-07-31T00:00:00"/>
    <x v="2"/>
    <x v="2"/>
    <n v="-755"/>
    <x v="1"/>
    <x v="0"/>
    <s v="Aloys Nsekalije "/>
    <s v="ict@kamonyi.gov.rw"/>
    <s v="0788506720"/>
    <m/>
    <m/>
    <m/>
  </r>
  <r>
    <s v="C002050"/>
    <x v="356"/>
    <s v="PRIVATE SECTOR FEDERATION (PSF)"/>
    <s v="Nyarugenge"/>
    <x v="1"/>
    <x v="2"/>
    <s v="Standard"/>
    <x v="0"/>
    <x v="5"/>
    <n v="10"/>
    <s v="FIBER VPN 10MBPS PRIV"/>
    <m/>
    <n v="1"/>
    <n v="510000"/>
    <n v="510000"/>
    <s v="Monthly"/>
    <d v="2025-07-31T00:00:00"/>
    <x v="2"/>
    <x v="2"/>
    <n v="-755"/>
    <x v="1"/>
    <x v="2"/>
    <s v="Hassan Muhire"/>
    <s v="hassanm@psf.org.rw"/>
    <s v="0788-212-020"/>
    <m/>
    <m/>
    <m/>
  </r>
  <r>
    <s v="C000452"/>
    <x v="357"/>
    <s v="HQ"/>
    <s v="Gasabo"/>
    <x v="1"/>
    <x v="1"/>
    <s v="Standard"/>
    <x v="1"/>
    <x v="5"/>
    <n v="15"/>
    <s v="FIBER INTERNET 15MBPS"/>
    <m/>
    <n v="1"/>
    <n v="570000"/>
    <n v="570000"/>
    <s v="Monthly"/>
    <d v="2025-07-31T00:00:00"/>
    <x v="2"/>
    <x v="2"/>
    <n v="-755"/>
    <x v="1"/>
    <x v="0"/>
    <s v="Mark Muyenzi"/>
    <s v="mark@comzafrica.com"/>
    <s v="0733272727"/>
    <m/>
    <m/>
    <m/>
  </r>
  <r>
    <s v="C002929"/>
    <x v="358"/>
    <s v="Kigali Heights"/>
    <s v="Gasabo"/>
    <x v="1"/>
    <x v="6"/>
    <s v="Standard"/>
    <x v="1"/>
    <x v="5"/>
    <n v="5"/>
    <s v="FIBER INTERNET 5Mbps"/>
    <m/>
    <n v="1"/>
    <n v="270000"/>
    <n v="270000"/>
    <s v="Monthly"/>
    <d v="2025-07-31T00:00:00"/>
    <x v="2"/>
    <x v="2"/>
    <n v="-755"/>
    <x v="1"/>
    <x v="0"/>
    <s v="Robert Bita"/>
    <s v="robertbita4@gmail.com "/>
    <s v="0788604447"/>
    <m/>
    <m/>
    <m/>
  </r>
  <r>
    <s v="C002929"/>
    <x v="358"/>
    <s v="HQ"/>
    <s v="Kicukiro"/>
    <x v="1"/>
    <x v="6"/>
    <s v="Standard"/>
    <x v="1"/>
    <x v="5"/>
    <n v="5"/>
    <s v="Wireless Broadband 5MBPS"/>
    <m/>
    <n v="1"/>
    <n v="270000"/>
    <n v="270000"/>
    <s v="Monthly"/>
    <d v="2025-07-31T00:00:00"/>
    <x v="2"/>
    <x v="2"/>
    <n v="-755"/>
    <x v="1"/>
    <x v="0"/>
    <s v="Robert Bita"/>
    <s v="robertbita4@gmail.com "/>
    <s v="0788604447"/>
    <m/>
    <m/>
    <m/>
  </r>
  <r>
    <s v="C002929"/>
    <x v="358"/>
    <s v="Kimironko"/>
    <s v="Gasabo"/>
    <x v="1"/>
    <x v="6"/>
    <s v="Standard"/>
    <x v="0"/>
    <x v="6"/>
    <m/>
    <s v="4G MUP 3GB/DAY PRIV"/>
    <m/>
    <n v="1"/>
    <n v="54237.29"/>
    <n v="54237.29"/>
    <s v="Monthly"/>
    <d v="2025-07-31T00:00:00"/>
    <x v="2"/>
    <x v="2"/>
    <n v="-755"/>
    <x v="1"/>
    <x v="0"/>
    <s v="Robert Bita"/>
    <s v="robertbita4@gmail.com "/>
    <s v="0788604447"/>
    <m/>
    <m/>
    <m/>
  </r>
  <r>
    <s v="C002929"/>
    <x v="358"/>
    <s v="Gacuriro"/>
    <s v="Gasabo"/>
    <x v="1"/>
    <x v="6"/>
    <s v="Standard"/>
    <x v="0"/>
    <x v="6"/>
    <m/>
    <s v="4G ONE NETWORK 5MBPS"/>
    <m/>
    <n v="1"/>
    <n v="101694.92"/>
    <n v="101694.92"/>
    <s v="Monthly"/>
    <d v="2025-07-31T00:00:00"/>
    <x v="2"/>
    <x v="2"/>
    <n v="-755"/>
    <x v="1"/>
    <x v="0"/>
    <s v="Robert Bita"/>
    <s v="robertbita4@gmail.com "/>
    <s v="0788604447"/>
    <m/>
    <m/>
    <m/>
  </r>
  <r>
    <s v="C002929"/>
    <x v="358"/>
    <s v="King Faisal"/>
    <s v="Gasabo"/>
    <x v="1"/>
    <x v="6"/>
    <s v="Standard"/>
    <x v="0"/>
    <x v="6"/>
    <m/>
    <s v="4G ONE NETWORK 5MBPS"/>
    <m/>
    <n v="1"/>
    <n v="101694.92"/>
    <n v="101694.92"/>
    <s v="Monthly"/>
    <d v="2025-07-31T00:00:00"/>
    <x v="2"/>
    <x v="2"/>
    <n v="-755"/>
    <x v="1"/>
    <x v="0"/>
    <s v="Robert Bita"/>
    <s v="robertbita4@gmail.com "/>
    <s v="0788604447"/>
    <m/>
    <m/>
    <m/>
  </r>
  <r>
    <s v="C002929"/>
    <x v="358"/>
    <s v="HQ"/>
    <s v="Kicukiro"/>
    <x v="1"/>
    <x v="6"/>
    <s v="Standard"/>
    <x v="0"/>
    <x v="6"/>
    <m/>
    <s v="4G ONE NETWORK 5MBPS"/>
    <m/>
    <n v="1"/>
    <n v="101694.92"/>
    <n v="101694.92"/>
    <s v="Monthly"/>
    <d v="2025-07-31T00:00:00"/>
    <x v="2"/>
    <x v="2"/>
    <n v="-755"/>
    <x v="1"/>
    <x v="0"/>
    <s v="Robert Bita"/>
    <s v="robertbita4@gmail.com "/>
    <s v="0788604447"/>
    <m/>
    <m/>
    <m/>
  </r>
  <r>
    <s v="C002929"/>
    <x v="358"/>
    <s v="Nyarugunga"/>
    <s v="Kicukiro"/>
    <x v="1"/>
    <x v="6"/>
    <s v="Standard"/>
    <x v="0"/>
    <x v="6"/>
    <m/>
    <s v="4G ONE NETWORK 5MBPS"/>
    <m/>
    <n v="1"/>
    <n v="101694.92"/>
    <n v="101694.92"/>
    <s v="Monthly"/>
    <d v="2025-07-31T00:00:00"/>
    <x v="2"/>
    <x v="2"/>
    <n v="-755"/>
    <x v="1"/>
    <x v="0"/>
    <s v="Robert Bita"/>
    <s v="robertbita4@gmail.com "/>
    <s v="0788604447"/>
    <m/>
    <m/>
    <m/>
  </r>
  <r>
    <s v="C002929"/>
    <x v="358"/>
    <s v="G-Nova Down Town"/>
    <s v="Nyarugenge"/>
    <x v="1"/>
    <x v="6"/>
    <s v="Standard"/>
    <x v="0"/>
    <x v="6"/>
    <m/>
    <s v="4G ONE NETWORK 5MBPS"/>
    <m/>
    <n v="1"/>
    <n v="101694.92"/>
    <n v="101694.92"/>
    <s v="Monthly"/>
    <d v="2025-07-31T00:00:00"/>
    <x v="2"/>
    <x v="2"/>
    <n v="-755"/>
    <x v="1"/>
    <x v="0"/>
    <s v="Robert Bita"/>
    <s v="robertbita4@gmail.com "/>
    <s v="0788604447"/>
    <m/>
    <m/>
    <m/>
  </r>
  <r>
    <s v="C002929"/>
    <x v="358"/>
    <s v="G-Nova Nyarugenge"/>
    <s v="Nyarugenge"/>
    <x v="1"/>
    <x v="6"/>
    <s v="Standard"/>
    <x v="0"/>
    <x v="6"/>
    <m/>
    <s v="4G ONE NETWORK 5MBPS"/>
    <m/>
    <n v="1"/>
    <n v="101694.92"/>
    <n v="101694.92"/>
    <s v="Monthly"/>
    <d v="2025-07-31T00:00:00"/>
    <x v="2"/>
    <x v="2"/>
    <n v="-755"/>
    <x v="1"/>
    <x v="0"/>
    <s v="Robert Bita"/>
    <s v="robertbita4@gmail.com "/>
    <s v="0788604447"/>
    <m/>
    <m/>
    <m/>
  </r>
  <r>
    <s v="C003479"/>
    <x v="359"/>
    <s v="HQ"/>
    <s v="Kamonyi"/>
    <x v="0"/>
    <x v="0"/>
    <s v="Standard"/>
    <x v="0"/>
    <x v="6"/>
    <m/>
    <s v="4G ONE NETWORK 3MBPS"/>
    <m/>
    <n v="1"/>
    <n v="81355.932203389835"/>
    <n v="81355.932203389835"/>
    <s v="Monthly"/>
    <d v="2025-08-22T00:00:00"/>
    <x v="3"/>
    <x v="2"/>
    <n v="-777"/>
    <x v="1"/>
    <x v="0"/>
    <s v="Aloys Nsekalije "/>
    <s v="ict@kamonyi.gov.rw"/>
    <s v="0788506720"/>
    <m/>
    <m/>
    <m/>
  </r>
  <r>
    <s v="C001095"/>
    <x v="360"/>
    <s v="Kamonyi Youth Center"/>
    <s v="Kamonyi"/>
    <x v="0"/>
    <x v="0"/>
    <s v="Standard"/>
    <x v="0"/>
    <x v="6"/>
    <m/>
    <s v="4G ONE NETWORK 5MBPS"/>
    <m/>
    <n v="1"/>
    <n v="101694.91525423729"/>
    <n v="101694.91525423729"/>
    <s v="Monthly"/>
    <d v="2025-08-31T00:00:00"/>
    <x v="3"/>
    <x v="2"/>
    <n v="-786"/>
    <x v="1"/>
    <x v="0"/>
    <s v="Aloys Nsekalije"/>
    <s v="ict@kamonyi.gov.rw"/>
    <s v="0788506720"/>
    <m/>
    <m/>
    <m/>
  </r>
  <r>
    <s v="C001095"/>
    <x v="360"/>
    <s v="HQ"/>
    <s v="Kamonyi"/>
    <x v="0"/>
    <x v="0"/>
    <s v="Standard"/>
    <x v="0"/>
    <x v="6"/>
    <m/>
    <s v="4G ONE NETWORK 3MBPS"/>
    <m/>
    <n v="4"/>
    <n v="81355.932203389835"/>
    <n v="325423.72881355934"/>
    <s v="Monthly"/>
    <d v="2025-08-31T00:00:00"/>
    <x v="3"/>
    <x v="2"/>
    <n v="-786"/>
    <x v="1"/>
    <x v="0"/>
    <s v="Aloys Nsekalije"/>
    <s v="ict@kamonyi.gov.rw"/>
    <s v="0788506720"/>
    <m/>
    <m/>
    <m/>
  </r>
  <r>
    <s v="C001095"/>
    <x v="360"/>
    <s v="HQ"/>
    <s v="Kamonyi"/>
    <x v="0"/>
    <x v="0"/>
    <s v="Standard"/>
    <x v="0"/>
    <x v="6"/>
    <m/>
    <s v="4G MUP 2GB/DAY"/>
    <m/>
    <n v="59"/>
    <n v="28305.08"/>
    <n v="1669999.7200000002"/>
    <s v="Monthly"/>
    <d v="2025-08-31T00:00:00"/>
    <x v="3"/>
    <x v="2"/>
    <n v="-786"/>
    <x v="1"/>
    <x v="0"/>
    <s v="Aloys Nsekalije"/>
    <s v="ict@kamonyi.gov.rw"/>
    <s v="0788506720"/>
    <m/>
    <m/>
    <m/>
  </r>
  <r>
    <s v="C001231"/>
    <x v="361"/>
    <s v="KIGALI TODAY HQ."/>
    <s v="Nyarugenge"/>
    <x v="1"/>
    <x v="2"/>
    <s v="Standard"/>
    <x v="1"/>
    <x v="5"/>
    <n v="1"/>
    <s v="FIBER VPN1 MBPS PRIV"/>
    <m/>
    <n v="1"/>
    <n v="175390"/>
    <n v="175390"/>
    <s v="Monthly"/>
    <d v="2025-08-31T00:00:00"/>
    <x v="3"/>
    <x v="2"/>
    <n v="-786"/>
    <x v="1"/>
    <x v="2"/>
    <s v="Cyrien A"/>
    <s v="riomakaveli@gmail.com"/>
    <s v="0788-680-698"/>
    <m/>
    <m/>
    <m/>
  </r>
  <r>
    <s v="C001231"/>
    <x v="361"/>
    <s v="KIGALI TODAY HQ."/>
    <s v="Nyarugenge"/>
    <x v="1"/>
    <x v="2"/>
    <s v="Standard"/>
    <x v="1"/>
    <x v="5"/>
    <n v="23"/>
    <s v="FIBER INTERNET 23MBPS"/>
    <m/>
    <n v="1"/>
    <n v="1490000"/>
    <n v="1490000"/>
    <s v="Monthly"/>
    <d v="2025-08-31T00:00:00"/>
    <x v="3"/>
    <x v="2"/>
    <n v="-786"/>
    <x v="1"/>
    <x v="2"/>
    <s v="Cyrien A"/>
    <s v="riomakaveli@gmail.com"/>
    <s v="0788-680-698"/>
    <m/>
    <m/>
    <m/>
  </r>
  <r>
    <s v="C000766"/>
    <x v="105"/>
    <s v="GIHUNDWE-MAIN BRANCH"/>
    <s v="Rusizi"/>
    <x v="0"/>
    <x v="6"/>
    <s v="Standard"/>
    <x v="0"/>
    <x v="0"/>
    <n v="10"/>
    <s v="FIBER VPN 10MBPS"/>
    <m/>
    <n v="1"/>
    <n v="510000"/>
    <n v="510000"/>
    <s v="Monthly"/>
    <d v="2025-09-06T00:00:00"/>
    <x v="4"/>
    <x v="2"/>
    <n v="-792"/>
    <x v="1"/>
    <x v="6"/>
    <s v="UWAYEZU Diane"/>
    <s v="gihundwe.hospital@moh.gov.rw"/>
    <n v="782434307"/>
    <m/>
    <m/>
    <m/>
  </r>
  <r>
    <s v="C000072"/>
    <x v="362"/>
    <s v="ICT HUB Remera"/>
    <s v="Gasabo"/>
    <x v="0"/>
    <x v="15"/>
    <s v="Standard"/>
    <x v="0"/>
    <x v="0"/>
    <n v="5"/>
    <s v="Fiber VPN 5MBPS"/>
    <m/>
    <n v="1"/>
    <n v="270000"/>
    <n v="270000"/>
    <s v="Monthly"/>
    <d v="2025-09-10T00:00:00"/>
    <x v="4"/>
    <x v="2"/>
    <n v="-796"/>
    <x v="1"/>
    <x v="5"/>
    <s v="Daniel"/>
    <s v="danny@akageraaviation.com"/>
    <n v="783820776"/>
    <m/>
    <m/>
    <m/>
  </r>
  <r>
    <s v="C000072"/>
    <x v="362"/>
    <s v="Akagera Aviation"/>
    <s v="Kicukiro"/>
    <x v="0"/>
    <x v="15"/>
    <s v="Standard"/>
    <x v="1"/>
    <x v="1"/>
    <m/>
    <s v="2 vCPU, 4GB RAM, 200GB HDD"/>
    <m/>
    <n v="1"/>
    <n v="45500"/>
    <n v="45500"/>
    <s v="Monthly"/>
    <d v="2025-09-10T00:00:00"/>
    <x v="4"/>
    <x v="2"/>
    <n v="-796"/>
    <x v="1"/>
    <x v="5"/>
    <s v="Daniel"/>
    <s v="danny@akageraaviation.com"/>
    <n v="783820776"/>
    <m/>
    <m/>
    <m/>
  </r>
  <r>
    <s v="C000072"/>
    <x v="362"/>
    <s v="Akagera Aviation"/>
    <s v="Kicukiro"/>
    <x v="0"/>
    <x v="15"/>
    <s v="Standard"/>
    <x v="0"/>
    <x v="6"/>
    <m/>
    <s v=" 4G MUP 4GB/DAY "/>
    <m/>
    <n v="1"/>
    <n v="45338.98"/>
    <n v="45338.98"/>
    <s v="Monthly"/>
    <d v="2025-09-10T00:00:00"/>
    <x v="4"/>
    <x v="2"/>
    <n v="-796"/>
    <x v="1"/>
    <x v="5"/>
    <s v="Daniel"/>
    <s v="danny@akageraaviation.com"/>
    <n v="783820776"/>
    <m/>
    <m/>
    <m/>
  </r>
  <r>
    <s v="C004013"/>
    <x v="363"/>
    <s v="Fiber Internet: Ubumuntu HQ"/>
    <s v="Gasabo"/>
    <x v="1"/>
    <x v="2"/>
    <s v="Standard"/>
    <x v="1"/>
    <x v="5"/>
    <n v="5"/>
    <s v="Fiber Broadband Internet 5Mbps"/>
    <m/>
    <n v="1"/>
    <n v="270000"/>
    <n v="270000"/>
    <s v="Monthly"/>
    <d v="2025-09-14T00:00:00"/>
    <x v="4"/>
    <x v="2"/>
    <n v="-800"/>
    <x v="1"/>
    <x v="1"/>
    <s v="Martin Niwenshuti"/>
    <s v="Martin@ubumuntu.art"/>
    <s v="0 788 354 022 "/>
    <m/>
    <m/>
    <m/>
  </r>
  <r>
    <s v="C000072"/>
    <x v="362"/>
    <s v="Akagera Aviation"/>
    <s v="Kicukiro"/>
    <x v="0"/>
    <x v="15"/>
    <s v="Standard"/>
    <x v="1"/>
    <x v="0"/>
    <n v="3"/>
    <s v="Wireless broadband 3mbps"/>
    <m/>
    <n v="1"/>
    <n v="180000"/>
    <n v="180000"/>
    <s v="Monthly"/>
    <d v="2025-09-30T00:00:00"/>
    <x v="4"/>
    <x v="2"/>
    <n v="-816"/>
    <x v="1"/>
    <x v="5"/>
    <s v="Daniel"/>
    <s v="danny@akageraaviation.com"/>
    <n v="783820776"/>
    <m/>
    <m/>
    <m/>
  </r>
  <r>
    <s v="C000410"/>
    <x v="76"/>
    <s v="CHUB-MAIN BRANCH"/>
    <s v="Huye"/>
    <x v="0"/>
    <x v="6"/>
    <s v="Standard"/>
    <x v="1"/>
    <x v="10"/>
    <m/>
    <s v="VC SERVICE"/>
    <m/>
    <n v="1"/>
    <n v="258045"/>
    <n v="258045"/>
    <s v="Monthly"/>
    <d v="2025-09-30T00:00:00"/>
    <x v="4"/>
    <x v="2"/>
    <n v="-816"/>
    <x v="1"/>
    <x v="6"/>
    <s v="Gatera Jean Damascene"/>
    <s v="info@chub.rw;gada@chub.rw"/>
    <n v="788553158"/>
    <m/>
    <m/>
    <m/>
  </r>
  <r>
    <s v="C001684"/>
    <x v="354"/>
    <s v="HQ"/>
    <s v="Nyarugenge"/>
    <x v="0"/>
    <x v="0"/>
    <s v="Standard"/>
    <x v="0"/>
    <x v="0"/>
    <n v="20"/>
    <s v="FIBER INTERNET 20MBPS GOV"/>
    <m/>
    <n v="1"/>
    <n v="900000"/>
    <n v="900000"/>
    <s v="Monthly"/>
    <d v="2025-09-30T00:00:00"/>
    <x v="4"/>
    <x v="2"/>
    <n v="-816"/>
    <x v="1"/>
    <x v="7"/>
    <s v="Kayumba Theogene"/>
    <s v="tkayumba@ncst.gov.rw"/>
    <n v="788319697"/>
    <m/>
    <m/>
    <m/>
  </r>
  <r>
    <s v="C001684"/>
    <x v="354"/>
    <s v="HQ"/>
    <s v="Nyarugenge"/>
    <x v="0"/>
    <x v="0"/>
    <s v="Standard"/>
    <x v="3"/>
    <x v="7"/>
    <m/>
    <s v="MSS SECURE BROWSING"/>
    <m/>
    <n v="1"/>
    <n v="86130"/>
    <n v="86130"/>
    <s v="Monthly"/>
    <d v="2025-09-30T00:00:00"/>
    <x v="4"/>
    <x v="2"/>
    <n v="-816"/>
    <x v="1"/>
    <x v="7"/>
    <s v="Kayumba Theogene"/>
    <s v="tkayumba@ncst.gov.rw"/>
    <n v="788319697"/>
    <m/>
    <m/>
    <m/>
  </r>
  <r>
    <s v="C002093"/>
    <x v="364"/>
    <s v="Kimihurura"/>
    <s v="Gasabo"/>
    <x v="0"/>
    <x v="3"/>
    <s v="VIP"/>
    <x v="0"/>
    <x v="6"/>
    <m/>
    <s v="4G MUP 2GB/DAY"/>
    <m/>
    <n v="1"/>
    <n v="28305.08"/>
    <n v="28305.08"/>
    <s v="Monthly"/>
    <d v="2025-09-30T00:00:00"/>
    <x v="4"/>
    <x v="2"/>
    <n v="-816"/>
    <x v="1"/>
    <x v="7"/>
    <s v="urayeneza Eric"/>
    <s v="urayeneza@rg.gov.rw"/>
    <n v="781740000"/>
    <m/>
    <m/>
    <m/>
  </r>
  <r>
    <s v="C002093"/>
    <x v="364"/>
    <s v="Kimihurura"/>
    <s v="Gasabo"/>
    <x v="0"/>
    <x v="3"/>
    <s v="VIP"/>
    <x v="0"/>
    <x v="6"/>
    <m/>
    <s v="4G MUP 2GB/DAY"/>
    <m/>
    <n v="3"/>
    <n v="28305.08"/>
    <n v="84915.24"/>
    <s v="Monthly"/>
    <d v="2025-09-30T00:00:00"/>
    <x v="4"/>
    <x v="2"/>
    <n v="-816"/>
    <x v="1"/>
    <x v="7"/>
    <s v="urayeneza Eric"/>
    <s v="urayeneza@rg.gov.rw"/>
    <n v="781740000"/>
    <m/>
    <m/>
    <m/>
  </r>
  <r>
    <s v="C002093"/>
    <x v="364"/>
    <s v="Kimihurura"/>
    <s v="Gasabo"/>
    <x v="0"/>
    <x v="3"/>
    <s v="VIP"/>
    <x v="0"/>
    <x v="6"/>
    <m/>
    <s v="4G MUP 1GB/DAY"/>
    <m/>
    <n v="4"/>
    <n v="19491.53"/>
    <n v="77966.12"/>
    <s v="Monthly"/>
    <d v="2025-09-30T00:00:00"/>
    <x v="4"/>
    <x v="2"/>
    <n v="-816"/>
    <x v="1"/>
    <x v="7"/>
    <s v="urayeneza Eric"/>
    <s v="urayeneza@rg.gov.rw"/>
    <n v="781740000"/>
    <m/>
    <m/>
    <m/>
  </r>
  <r>
    <s v="C001165"/>
    <x v="231"/>
    <s v="KIBAGABAGA-MAIN BRANCH"/>
    <s v="Gasabo"/>
    <x v="0"/>
    <x v="6"/>
    <s v="Standard"/>
    <x v="0"/>
    <x v="6"/>
    <m/>
    <s v="4G MUP 2GB/DAY"/>
    <m/>
    <n v="8"/>
    <n v="28305.08"/>
    <n v="226440.64"/>
    <s v="Monthly"/>
    <d v="2025-10-30T00:00:00"/>
    <x v="12"/>
    <x v="2"/>
    <n v="-846"/>
    <x v="1"/>
    <x v="6"/>
    <s v="NSENGIMANA Isidore"/>
    <s v="nsenga1@gmail.com/kibagaba.hospital@moh.gov.rw"/>
    <n v="788718169"/>
    <m/>
    <m/>
    <m/>
  </r>
  <r>
    <s v="C002358"/>
    <x v="365"/>
    <s v="HQ"/>
    <s v="Kicukiro"/>
    <x v="0"/>
    <x v="0"/>
    <s v="Standard"/>
    <x v="0"/>
    <x v="6"/>
    <m/>
    <s v="4G ONE NETWORK 5MBPS"/>
    <m/>
    <n v="1"/>
    <n v="101694.92"/>
    <n v="101694.92"/>
    <s v="Monthly"/>
    <d v="2025-10-31T00:00:00"/>
    <x v="12"/>
    <x v="2"/>
    <n v="-847"/>
    <x v="1"/>
    <x v="0"/>
    <s v="Suzan Mukasano"/>
    <s v="gikondo@kicukiro.gov.rw "/>
    <s v="0788447875"/>
    <m/>
    <m/>
    <m/>
  </r>
  <r>
    <s v="C001165"/>
    <x v="231"/>
    <s v="KIBAGABAGA-MAIN BRANCH"/>
    <s v="Gasabo"/>
    <x v="0"/>
    <x v="6"/>
    <s v="Standard"/>
    <x v="0"/>
    <x v="0"/>
    <n v="10"/>
    <s v="FIBER VPN 10MBPS"/>
    <m/>
    <n v="1"/>
    <n v="510000"/>
    <n v="510000"/>
    <s v="Monthly"/>
    <d v="2025-10-31T00:00:00"/>
    <x v="12"/>
    <x v="2"/>
    <n v="-847"/>
    <x v="1"/>
    <x v="6"/>
    <s v="NSENGIMANA Isidore"/>
    <s v="nsenga1@gmail.com/kibagaba.hospital@moh.gov.rw"/>
    <n v="788718169"/>
    <m/>
    <m/>
    <m/>
  </r>
  <r>
    <s v="C001168"/>
    <x v="232"/>
    <s v="KIBOGORA-MAIN BRANCH"/>
    <s v="Nyamasheke"/>
    <x v="0"/>
    <x v="6"/>
    <s v="Standard"/>
    <x v="0"/>
    <x v="0"/>
    <n v="10"/>
    <s v="FIBER VPN 10MBPS"/>
    <m/>
    <n v="1"/>
    <n v="510000"/>
    <n v="510000"/>
    <s v="Monthly"/>
    <d v="2025-10-31T00:00:00"/>
    <x v="12"/>
    <x v="2"/>
    <n v="-847"/>
    <x v="1"/>
    <x v="6"/>
    <s v="MUHIRE Francis"/>
    <s v="francismuhire1@gmail.com/kibogorahospital@gmail.com/kibogora.hospital@moh.gov.rw"/>
    <s v="0789739401/0788845007"/>
    <m/>
    <m/>
    <m/>
  </r>
  <r>
    <s v="C001654"/>
    <x v="238"/>
    <s v="NAEB"/>
    <s v="Nyarugenge"/>
    <x v="0"/>
    <x v="0"/>
    <s v="Standard"/>
    <x v="0"/>
    <x v="6"/>
    <m/>
    <s v="1gb/day"/>
    <m/>
    <n v="1"/>
    <n v="19491.525423728814"/>
    <n v="19491.525423728814"/>
    <s v="Monthly"/>
    <d v="2025-10-31T00:00:00"/>
    <x v="12"/>
    <x v="2"/>
    <n v="-847"/>
    <x v="1"/>
    <x v="5"/>
    <s v="Uwizeyimana Leonille"/>
    <s v="m.mediatrice@naeb.gov.rw"/>
    <n v="788352491"/>
    <m/>
    <m/>
    <m/>
  </r>
  <r>
    <s v="C002050"/>
    <x v="356"/>
    <s v="PRIVATE SECTOR FEDERATION (PSF)"/>
    <s v="Kicukiro"/>
    <x v="1"/>
    <x v="2"/>
    <s v="Standard"/>
    <x v="1"/>
    <x v="1"/>
    <m/>
    <s v="COLOCATION 2U"/>
    <m/>
    <n v="1"/>
    <n v="256500"/>
    <n v="256500"/>
    <s v="Monthly"/>
    <d v="2025-10-31T00:00:00"/>
    <x v="12"/>
    <x v="2"/>
    <n v="-847"/>
    <x v="1"/>
    <x v="2"/>
    <s v="Hassan Muhire"/>
    <s v="hassanm@psf.org.rw"/>
    <s v="0788-212-020"/>
    <m/>
    <m/>
    <m/>
  </r>
  <r>
    <s v="C002050"/>
    <x v="356"/>
    <s v="PRIVATE SECTOR FEDERATION (PSF)"/>
    <s v="Kicukiro"/>
    <x v="1"/>
    <x v="2"/>
    <s v="Standard"/>
    <x v="1"/>
    <x v="1"/>
    <m/>
    <s v="Cloud 6vCPU. 12GB RAM. 450GB Storage"/>
    <m/>
    <n v="1"/>
    <n v="140294"/>
    <n v="140294"/>
    <s v="Monthly"/>
    <d v="2025-10-31T00:00:00"/>
    <x v="12"/>
    <x v="2"/>
    <n v="-847"/>
    <x v="1"/>
    <x v="2"/>
    <s v="Hassan Muhire"/>
    <s v="hassanm@psf.org.rw"/>
    <s v="0788-212-020"/>
    <m/>
    <m/>
    <m/>
  </r>
  <r>
    <s v="A0000669"/>
    <x v="366"/>
    <s v="HQ"/>
    <s v="Gasabo"/>
    <x v="1"/>
    <x v="2"/>
    <s v="Standard"/>
    <x v="0"/>
    <x v="6"/>
    <m/>
    <s v="4G MUP 1GB/DAY"/>
    <m/>
    <n v="1"/>
    <n v="19491.53"/>
    <n v="19491.53"/>
    <s v="Monthly"/>
    <d v="2025-10-31T00:00:00"/>
    <x v="12"/>
    <x v="2"/>
    <n v="-847"/>
    <x v="1"/>
    <x v="3"/>
    <s v="Kantengwa "/>
    <s v="claudine.kantegwa@kivubacoffee.com"/>
    <s v="0788-540-071"/>
    <m/>
    <m/>
    <m/>
  </r>
  <r>
    <s v="C002863"/>
    <x v="367"/>
    <s v="Gitwe Ruhango"/>
    <s v="Ruhango"/>
    <x v="1"/>
    <x v="4"/>
    <s v="Standard"/>
    <x v="0"/>
    <x v="5"/>
    <n v="20"/>
    <s v="fiber vpn 20 mbps"/>
    <m/>
    <n v="1"/>
    <n v="566800"/>
    <n v="566800"/>
    <s v="Monthly"/>
    <d v="2025-10-31T00:00:00"/>
    <x v="12"/>
    <x v="2"/>
    <n v="-847"/>
    <x v="1"/>
    <x v="4"/>
    <s v="Aaron"/>
    <s v="ict@uog.ac.rw;info@uog.ac.rw;7niyonsenga@gmail.com"/>
    <s v="0784433421/0789044290"/>
    <m/>
    <m/>
    <m/>
  </r>
  <r>
    <s v="C001906"/>
    <x v="368"/>
    <s v="NYAMATA TVET"/>
    <s v="Bugesera"/>
    <x v="0"/>
    <x v="4"/>
    <s v="Standard"/>
    <x v="0"/>
    <x v="0"/>
    <n v="3"/>
    <s v="FIBER VPN 3MBPS"/>
    <m/>
    <n v="1"/>
    <n v="270000"/>
    <n v="270000"/>
    <s v="Monthly"/>
    <d v="2025-11-02T00:00:00"/>
    <x v="5"/>
    <x v="2"/>
    <n v="-849"/>
    <x v="1"/>
    <x v="6"/>
    <s v="SEBATWARE Bienvenu"/>
    <s v="big117466@gmail.com"/>
    <n v="788218417"/>
    <m/>
    <m/>
    <m/>
  </r>
  <r>
    <s v="C002286"/>
    <x v="130"/>
    <s v="REMA HQ."/>
    <s v="Gasabo"/>
    <x v="0"/>
    <x v="0"/>
    <s v="Standard"/>
    <x v="0"/>
    <x v="6"/>
    <m/>
    <s v="4G MUP 8GB/DAY"/>
    <m/>
    <n v="2"/>
    <n v="77711.86"/>
    <n v="155423.72"/>
    <s v="Monthly"/>
    <d v="2025-11-02T00:00:00"/>
    <x v="5"/>
    <x v="2"/>
    <n v="-849"/>
    <x v="1"/>
    <x v="2"/>
    <s v="Peter songa"/>
    <s v="psonga@rema.gov.rw"/>
    <s v="0788-533-127"/>
    <m/>
    <m/>
    <m/>
  </r>
  <r>
    <s v="C003257"/>
    <x v="369"/>
    <s v="HQ"/>
    <s v="Kicukiro"/>
    <x v="0"/>
    <x v="0"/>
    <s v="Standard"/>
    <x v="0"/>
    <x v="6"/>
    <m/>
    <s v="One Network 3Mbps"/>
    <m/>
    <n v="1"/>
    <n v="81355.932203389835"/>
    <n v="81355.932203389835"/>
    <s v="Monthly"/>
    <d v="2025-11-10T00:00:00"/>
    <x v="5"/>
    <x v="2"/>
    <n v="-857"/>
    <x v="1"/>
    <x v="0"/>
    <s v="Aloys Nsekalije "/>
    <s v="ict@kamonyi.gov.rw"/>
    <s v="0788506720"/>
    <m/>
    <m/>
    <m/>
  </r>
  <r>
    <s v="C001910"/>
    <x v="370"/>
    <s v="NYANZA-MAIN BRANCH"/>
    <s v="Nyanza"/>
    <x v="0"/>
    <x v="6"/>
    <s v="Standard"/>
    <x v="0"/>
    <x v="0"/>
    <n v="5"/>
    <s v="FIBER VPN 5MBPS"/>
    <m/>
    <n v="1"/>
    <n v="270000"/>
    <n v="270000"/>
    <s v="Monthly"/>
    <d v="2025-11-12T00:00:00"/>
    <x v="5"/>
    <x v="2"/>
    <n v="-859"/>
    <x v="1"/>
    <x v="6"/>
    <s v="NIYONSHUTI Devothe"/>
    <s v="nyanza.hospital@moh.gov.rw"/>
    <n v="725188043"/>
    <m/>
    <m/>
    <m/>
  </r>
  <r>
    <s v="C001910"/>
    <x v="370"/>
    <s v="NYANZA EXTENSION"/>
    <s v="Nyanza"/>
    <x v="0"/>
    <x v="6"/>
    <s v="Standard"/>
    <x v="0"/>
    <x v="0"/>
    <n v="5"/>
    <s v="FIBER VPN 5MBPS"/>
    <m/>
    <n v="1"/>
    <n v="270000"/>
    <n v="270000"/>
    <s v="Monthly"/>
    <d v="2025-11-12T00:00:00"/>
    <x v="5"/>
    <x v="2"/>
    <n v="-859"/>
    <x v="1"/>
    <x v="6"/>
    <s v="NIYONSHUTI Devothe"/>
    <s v="nyanza.hospital@moh.gov.rw"/>
    <n v="725188043"/>
    <m/>
    <m/>
    <m/>
  </r>
  <r>
    <s v="C001910"/>
    <x v="370"/>
    <s v="NYANZA-MAIN BRANCH"/>
    <s v="Nyanza"/>
    <x v="0"/>
    <x v="6"/>
    <s v="Standard"/>
    <x v="0"/>
    <x v="6"/>
    <m/>
    <s v="4G MUP 2GB/DAY"/>
    <m/>
    <n v="1"/>
    <n v="28305.084745762713"/>
    <n v="28305.084745762713"/>
    <s v="Monthly"/>
    <d v="2025-11-12T00:00:00"/>
    <x v="5"/>
    <x v="2"/>
    <n v="-859"/>
    <x v="1"/>
    <x v="6"/>
    <s v="NIYONSHUTI Devothe"/>
    <s v="nyanza.hospital@moh.gov.rw"/>
    <n v="725188043"/>
    <m/>
    <m/>
    <m/>
  </r>
  <r>
    <s v="C000434"/>
    <x v="371"/>
    <s v="HQ"/>
    <s v="Nyarugenge"/>
    <x v="0"/>
    <x v="4"/>
    <s v="Standard"/>
    <x v="0"/>
    <x v="0"/>
    <n v="3"/>
    <s v="FIBER VPN 3MBPS"/>
    <m/>
    <n v="1"/>
    <n v="180000"/>
    <n v="180000"/>
    <s v="Monthly"/>
    <d v="2025-11-19T00:00:00"/>
    <x v="5"/>
    <x v="2"/>
    <n v="-866"/>
    <x v="1"/>
    <x v="7"/>
    <s v="Janvier"/>
    <s v="oceriba@gmail.com"/>
    <n v="783729172"/>
    <m/>
    <m/>
    <m/>
  </r>
  <r>
    <s v="C000560"/>
    <x v="257"/>
    <s v="HQ"/>
    <s v="Rwamagana  "/>
    <x v="0"/>
    <x v="0"/>
    <s v="VIP"/>
    <x v="0"/>
    <x v="6"/>
    <m/>
    <s v="4G MUP  1GB/DAY GOV"/>
    <m/>
    <n v="1"/>
    <n v="19491.53"/>
    <n v="19491.53"/>
    <s v="Monthly"/>
    <d v="2025-11-24T00:00:00"/>
    <x v="5"/>
    <x v="2"/>
    <n v="-871"/>
    <x v="1"/>
    <x v="0"/>
    <s v="Sandrine Abumucyo"/>
    <s v="ictsandrine@easternprovince.gov.rw "/>
    <s v="0788739679"/>
    <m/>
    <m/>
    <m/>
  </r>
  <r>
    <s v="C000560"/>
    <x v="257"/>
    <s v="HQ"/>
    <s v="Rwamagana  "/>
    <x v="0"/>
    <x v="0"/>
    <s v="VIP"/>
    <x v="0"/>
    <x v="6"/>
    <m/>
    <s v="4G ONE NETWORK 3MBPS"/>
    <m/>
    <n v="1"/>
    <n v="81355.932203389835"/>
    <n v="81355.932203389835"/>
    <s v="Monthly"/>
    <d v="2025-11-24T00:00:00"/>
    <x v="5"/>
    <x v="2"/>
    <n v="-871"/>
    <x v="1"/>
    <x v="0"/>
    <s v="Sandrine Abumucyo"/>
    <s v="ictsandrine@easternprovince.gov.rw "/>
    <s v="0788739679"/>
    <m/>
    <m/>
    <m/>
  </r>
  <r>
    <s v="C000560"/>
    <x v="257"/>
    <s v="HQ"/>
    <s v="Rwamagana  "/>
    <x v="0"/>
    <x v="0"/>
    <s v="VIP"/>
    <x v="0"/>
    <x v="6"/>
    <m/>
    <s v="4G MUP 2GB/DAY"/>
    <m/>
    <n v="1"/>
    <n v="28305.08"/>
    <n v="28305.08"/>
    <s v="Monthly"/>
    <d v="2025-11-24T00:00:00"/>
    <x v="5"/>
    <x v="2"/>
    <n v="-871"/>
    <x v="1"/>
    <x v="0"/>
    <s v="Sandrine Abumucyo"/>
    <s v="ictsandrine@easternprovince.gov.rw "/>
    <s v="0788739679"/>
    <m/>
    <m/>
    <m/>
  </r>
  <r>
    <s v="C000772"/>
    <x v="372"/>
    <s v="Gishali Integrated Polytechnique"/>
    <s v="Rwamagana  "/>
    <x v="0"/>
    <x v="4"/>
    <s v="Standard"/>
    <x v="0"/>
    <x v="0"/>
    <n v="20"/>
    <s v="fiber vpn 20mbps"/>
    <m/>
    <n v="1"/>
    <n v="900000"/>
    <n v="900000"/>
    <s v="Monthly"/>
    <d v="2025-11-30T00:00:00"/>
    <x v="5"/>
    <x v="2"/>
    <n v="-877"/>
    <x v="1"/>
    <x v="4"/>
    <s v="James Nkurunziza"/>
    <s v="jnkurunziza@iprcgishari.rp.ac.rw; nkurunzizajames8@gmail.com;info@iprcgishari.rp.ac.rw"/>
    <n v="785839178"/>
    <m/>
    <m/>
    <m/>
  </r>
  <r>
    <s v="C000772"/>
    <x v="372"/>
    <s v="Gishali 4G"/>
    <s v="Rwamagana  "/>
    <x v="0"/>
    <x v="4"/>
    <s v="Standard"/>
    <x v="0"/>
    <x v="6"/>
    <m/>
    <s v=" 4G MUP 4GB/DAY "/>
    <m/>
    <n v="1"/>
    <n v="45338.98"/>
    <n v="45338.98"/>
    <s v="Monthly"/>
    <d v="2025-11-30T00:00:00"/>
    <x v="5"/>
    <x v="2"/>
    <n v="-877"/>
    <x v="1"/>
    <x v="4"/>
    <s v="James Nkurunziza"/>
    <s v="jnkurunziza@iprcgishari.rp.ac.rw; nkurunzizajames8@gmail.com;info@iprcgishari.rp.ac.rw"/>
    <n v="785839179"/>
    <m/>
    <m/>
    <m/>
  </r>
  <r>
    <s v="C000772"/>
    <x v="372"/>
    <s v="Gishali 4G"/>
    <s v="Rwamagana  "/>
    <x v="0"/>
    <x v="4"/>
    <s v="Standard"/>
    <x v="0"/>
    <x v="6"/>
    <m/>
    <s v="4G ONE NETWORK 5MBPS"/>
    <m/>
    <n v="9"/>
    <n v="101694.91525400001"/>
    <n v="915254.23728600005"/>
    <s v="Monthly"/>
    <d v="2025-11-30T00:00:00"/>
    <x v="5"/>
    <x v="2"/>
    <n v="-877"/>
    <x v="1"/>
    <x v="4"/>
    <s v="James Nkurunziza"/>
    <s v="jnkurunziza@iprcgishari.rp.ac.rw; nkurunzizajames8@gmail.com;info@iprcgishari.rp.ac.rw"/>
    <n v="785839180"/>
    <m/>
    <m/>
    <m/>
  </r>
  <r>
    <s v="C000772"/>
    <x v="372"/>
    <s v="Gishali 4G"/>
    <s v="Rwamagana  "/>
    <x v="0"/>
    <x v="4"/>
    <s v="Standard"/>
    <x v="0"/>
    <x v="6"/>
    <m/>
    <s v="4G MUP 10GB/DAY 118, 500"/>
    <m/>
    <n v="2"/>
    <n v="100424"/>
    <n v="200848"/>
    <s v="Monthly"/>
    <d v="2025-11-30T00:00:00"/>
    <x v="5"/>
    <x v="2"/>
    <n v="-877"/>
    <x v="1"/>
    <x v="4"/>
    <s v="James Nkurunziza"/>
    <s v="jnkurunziza@iprcgishari.rp.ac.rw; nkurunzizajames8@gmail.com;info@iprcgishari.rp.ac.rw"/>
    <n v="785839180"/>
    <m/>
    <m/>
    <m/>
  </r>
  <r>
    <s v="C000772"/>
    <x v="372"/>
    <s v="Gishali Integrated Polytechnique"/>
    <s v="Rwamagana  "/>
    <x v="0"/>
    <x v="4"/>
    <s v="Standard"/>
    <x v="0"/>
    <x v="6"/>
    <m/>
    <s v="4G ONE NETWORK 8GB/DAY"/>
    <m/>
    <n v="5"/>
    <n v="77711.86"/>
    <n v="388559.3"/>
    <s v="Monthly"/>
    <d v="2025-11-30T00:00:00"/>
    <x v="5"/>
    <x v="2"/>
    <n v="-877"/>
    <x v="1"/>
    <x v="4"/>
    <s v="James Nkurunziza"/>
    <s v="jnkurunziza@iprcgishari.rp.ac.rw; nkurunzizajames8@gmail.com;info@iprcgishari.rp.ac.rw"/>
    <n v="785839178"/>
    <m/>
    <m/>
    <m/>
  </r>
  <r>
    <s v="C001095"/>
    <x v="360"/>
    <s v="Lais"/>
    <s v="Kamonyi"/>
    <x v="0"/>
    <x v="0"/>
    <s v="Standard"/>
    <x v="0"/>
    <x v="0"/>
    <n v="3"/>
    <s v="FIBER VPN 3MBPS"/>
    <m/>
    <n v="1"/>
    <n v="180000"/>
    <n v="180000"/>
    <s v="Monthly"/>
    <d v="2025-11-30T00:00:00"/>
    <x v="5"/>
    <x v="2"/>
    <n v="-877"/>
    <x v="1"/>
    <x v="0"/>
    <s v="Aloys Nsekalije"/>
    <s v="ict@kamonyi.gov.rw"/>
    <s v="0788506720"/>
    <m/>
    <m/>
    <m/>
  </r>
  <r>
    <s v="C001095"/>
    <x v="360"/>
    <s v="HQ"/>
    <s v="Kamonyi"/>
    <x v="0"/>
    <x v="0"/>
    <s v="Standard"/>
    <x v="0"/>
    <x v="0"/>
    <n v="10"/>
    <s v="FIBER VPN 10MBPS"/>
    <m/>
    <n v="1"/>
    <n v="510000"/>
    <n v="510000"/>
    <s v="Monthly"/>
    <d v="2025-11-30T00:00:00"/>
    <x v="5"/>
    <x v="2"/>
    <n v="-877"/>
    <x v="1"/>
    <x v="0"/>
    <s v="Aloys Nsekalije"/>
    <s v="ict@kamonyi.gov.rw"/>
    <s v="0788506720"/>
    <m/>
    <m/>
    <m/>
  </r>
  <r>
    <s v="C001095"/>
    <x v="360"/>
    <s v="HQ"/>
    <s v="Kamonyi"/>
    <x v="0"/>
    <x v="0"/>
    <s v="Standard"/>
    <x v="1"/>
    <x v="10"/>
    <m/>
    <s v="VIDEO CONFERENCE"/>
    <m/>
    <n v="1"/>
    <n v="258044.92"/>
    <n v="258044.92"/>
    <s v="Monthly"/>
    <d v="2025-11-30T00:00:00"/>
    <x v="5"/>
    <x v="2"/>
    <n v="-877"/>
    <x v="1"/>
    <x v="0"/>
    <s v="Aloys Nsekalije"/>
    <s v="ict@kamonyi.gov.rw"/>
    <s v="0788506720"/>
    <m/>
    <m/>
    <m/>
  </r>
  <r>
    <s v="C001095"/>
    <x v="360"/>
    <s v="HQ"/>
    <s v="Kamonyi"/>
    <x v="0"/>
    <x v="0"/>
    <s v="Standard"/>
    <x v="3"/>
    <x v="7"/>
    <m/>
    <s v="MSS GOLD"/>
    <m/>
    <n v="1"/>
    <n v="369325.42"/>
    <n v="369325.42"/>
    <s v="Monthly"/>
    <d v="2025-11-30T00:00:00"/>
    <x v="5"/>
    <x v="2"/>
    <n v="-877"/>
    <x v="1"/>
    <x v="0"/>
    <s v="Aloys Nsekalije"/>
    <s v="ict@kamonyi.gov.rw"/>
    <s v="0788506720"/>
    <m/>
    <m/>
    <m/>
  </r>
  <r>
    <s v="C004071"/>
    <x v="373"/>
    <s v="MUNINI-MAIN BRANCH"/>
    <s v="Nyaruguru"/>
    <x v="0"/>
    <x v="6"/>
    <s v="Standard"/>
    <x v="0"/>
    <x v="0"/>
    <n v="20"/>
    <s v="FIBER VPN 20MBPS"/>
    <m/>
    <n v="1"/>
    <n v="900000"/>
    <n v="900000"/>
    <s v="Monthly"/>
    <d v="2025-11-30T00:00:00"/>
    <x v="5"/>
    <x v="2"/>
    <n v="-877"/>
    <x v="1"/>
    <x v="6"/>
    <s v="FURERE Charles"/>
    <s v="muninihospital@moh.gov.rw"/>
    <n v="788506029"/>
    <m/>
    <m/>
    <m/>
  </r>
  <r>
    <s v="C001905"/>
    <x v="338"/>
    <s v="NYAMATA-MAIN BRANCH"/>
    <s v="Bugesera"/>
    <x v="0"/>
    <x v="6"/>
    <s v="Standard"/>
    <x v="0"/>
    <x v="0"/>
    <n v="5"/>
    <s v="FIBER VPN 5MBPS"/>
    <m/>
    <n v="1"/>
    <n v="270000"/>
    <n v="270000"/>
    <s v="Monthly"/>
    <d v="2025-11-30T00:00:00"/>
    <x v="5"/>
    <x v="2"/>
    <n v="-877"/>
    <x v="1"/>
    <x v="6"/>
    <s v="SEZIRAHIGA Eugene "/>
    <s v="nyamata.hospital@moh.gov.rw"/>
    <n v="788611859"/>
    <m/>
    <m/>
    <m/>
  </r>
  <r>
    <s v="C002326"/>
    <x v="374"/>
    <s v="HQ &amp; AOS"/>
    <s v="Nyarugenge"/>
    <x v="0"/>
    <x v="0"/>
    <s v="Standard"/>
    <x v="0"/>
    <x v="0"/>
    <n v="3"/>
    <s v="FIBER VPN 3MBPS"/>
    <m/>
    <n v="1"/>
    <n v="180000"/>
    <n v="180000"/>
    <s v="Monthly"/>
    <d v="2025-11-30T00:00:00"/>
    <x v="5"/>
    <x v="2"/>
    <n v="-877"/>
    <x v="1"/>
    <x v="7"/>
    <s v="Jean Bonfils TUYISHIMIRE"/>
    <s v="it.support@rmb.gov.rw,jbonfils.tuyishimire@rmb.gov.rw"/>
    <n v="788870836"/>
    <m/>
    <m/>
    <m/>
  </r>
  <r>
    <s v="C002326"/>
    <x v="374"/>
    <s v="HQ 2nd Link"/>
    <s v="Nyarugenge"/>
    <x v="0"/>
    <x v="0"/>
    <s v="Standard"/>
    <x v="0"/>
    <x v="0"/>
    <n v="3"/>
    <s v="FIBER VPN 3MBPS"/>
    <m/>
    <n v="1"/>
    <n v="180000"/>
    <n v="180000"/>
    <s v="Monthly"/>
    <d v="2025-11-30T00:00:00"/>
    <x v="5"/>
    <x v="2"/>
    <n v="-877"/>
    <x v="1"/>
    <x v="7"/>
    <s v="Jean Bonfils TUYISHIMIRE"/>
    <s v="it.support@rmb.gov.rw,jbonfils.tuyishimire@rmb.gov.rw"/>
    <n v="788870836"/>
    <m/>
    <m/>
    <m/>
  </r>
  <r>
    <s v="C002326"/>
    <x v="374"/>
    <s v="HQ"/>
    <s v="Nyarugenge"/>
    <x v="0"/>
    <x v="0"/>
    <s v="Standard"/>
    <x v="0"/>
    <x v="0"/>
    <n v="30"/>
    <s v="FIBER VPN 30MBPS"/>
    <m/>
    <n v="1"/>
    <n v="1260000"/>
    <n v="1260000"/>
    <s v="Monthly"/>
    <d v="2025-11-30T00:00:00"/>
    <x v="5"/>
    <x v="2"/>
    <n v="-877"/>
    <x v="1"/>
    <x v="7"/>
    <s v="Jean Bonfils TUYISHIMIRE"/>
    <s v="it.support@rmb.gov.rw,jbonfils.tuyishimire@rmb.gov.rw"/>
    <n v="788870836"/>
    <m/>
    <m/>
    <m/>
  </r>
  <r>
    <s v="C002326"/>
    <x v="374"/>
    <s v="HQ"/>
    <s v="Nyarugenge"/>
    <x v="0"/>
    <x v="0"/>
    <s v="Standard"/>
    <x v="3"/>
    <x v="7"/>
    <m/>
    <s v="MSS GOLD"/>
    <m/>
    <n v="1"/>
    <n v="369325"/>
    <n v="369325"/>
    <s v="Monthly"/>
    <d v="2025-11-30T00:00:00"/>
    <x v="5"/>
    <x v="2"/>
    <n v="-877"/>
    <x v="1"/>
    <x v="7"/>
    <s v="Jean Bonfils TUYISHIMIRE"/>
    <s v="it.support@rmb.gov.rw,jbonfils.tuyishimire@rmb.gov.rw"/>
    <n v="788870836"/>
    <m/>
    <m/>
    <m/>
  </r>
  <r>
    <s v="C002326"/>
    <x v="374"/>
    <s v="HQ"/>
    <s v="Nyarugenge"/>
    <x v="0"/>
    <x v="0"/>
    <s v="Standard"/>
    <x v="0"/>
    <x v="6"/>
    <m/>
    <s v=" 4G MUP 4GB/DAY "/>
    <m/>
    <n v="1"/>
    <n v="45338.98"/>
    <n v="45338.98"/>
    <s v="Monthly"/>
    <d v="2025-11-30T00:00:00"/>
    <x v="5"/>
    <x v="2"/>
    <n v="-877"/>
    <x v="1"/>
    <x v="7"/>
    <s v="Jean Bonfils TUYISHIMIRE"/>
    <s v="it.support@rmb.gov.rw,jbonfils.tuyishimire@rmb.gov.rw"/>
    <n v="788870836"/>
    <m/>
    <m/>
    <m/>
  </r>
  <r>
    <s v="C002143"/>
    <x v="218"/>
    <s v="Cells"/>
    <s v="Rubavu"/>
    <x v="0"/>
    <x v="0"/>
    <s v="Standard"/>
    <x v="0"/>
    <x v="6"/>
    <m/>
    <s v="One Network 5MBPS"/>
    <m/>
    <n v="1"/>
    <n v="101694.91525423729"/>
    <n v="101694.91525423729"/>
    <s v="Monthly"/>
    <d v="2025-12-07T00:00:00"/>
    <x v="0"/>
    <x v="2"/>
    <n v="-884"/>
    <x v="1"/>
    <x v="0"/>
    <s v="Joel Gasagure"/>
    <s v="rubavudistrict@rubavu.gov.rw "/>
    <s v="0788578289"/>
    <m/>
    <m/>
    <m/>
  </r>
  <r>
    <s v="C002143"/>
    <x v="218"/>
    <s v="Cells"/>
    <s v="Rubavu"/>
    <x v="0"/>
    <x v="0"/>
    <s v="Standard"/>
    <x v="0"/>
    <x v="6"/>
    <m/>
    <s v="One Network 3MBPS"/>
    <m/>
    <n v="13"/>
    <n v="81355.932203389835"/>
    <n v="1057627.1186440678"/>
    <s v="Monthly"/>
    <d v="2025-12-07T00:00:00"/>
    <x v="0"/>
    <x v="2"/>
    <n v="-884"/>
    <x v="1"/>
    <x v="0"/>
    <s v="Joel Gasagure"/>
    <s v="rubavudistrict@rubavu.gov.rw "/>
    <s v="0788578289"/>
    <m/>
    <m/>
    <m/>
  </r>
  <r>
    <s v="C002143"/>
    <x v="218"/>
    <s v="Cells"/>
    <s v="Rubavu"/>
    <x v="0"/>
    <x v="0"/>
    <s v="Standard"/>
    <x v="0"/>
    <x v="6"/>
    <m/>
    <s v="4G MUP 2GB/DAY"/>
    <m/>
    <n v="18"/>
    <n v="28305.084745762713"/>
    <n v="509491.52542372886"/>
    <s v="Monthly"/>
    <d v="2025-12-07T00:00:00"/>
    <x v="0"/>
    <x v="2"/>
    <n v="-884"/>
    <x v="1"/>
    <x v="0"/>
    <s v="Joel Gasagure"/>
    <s v="rubavudistrict@rubavu.gov.rw "/>
    <s v="0788578289"/>
    <m/>
    <m/>
    <m/>
  </r>
  <r>
    <s v="C001063"/>
    <x v="375"/>
    <s v="KABGAYI -MAIN BRANCH"/>
    <s v="Muhanga"/>
    <x v="0"/>
    <x v="6"/>
    <s v="Standard"/>
    <x v="0"/>
    <x v="6"/>
    <m/>
    <s v="4G MUP 2GB/DAY"/>
    <m/>
    <n v="1"/>
    <n v="28305.08"/>
    <n v="28305.08"/>
    <s v="Monthly"/>
    <d v="2025-12-10T00:00:00"/>
    <x v="0"/>
    <x v="2"/>
    <n v="-887"/>
    <x v="1"/>
    <x v="6"/>
    <s v="BIRAHO Pantaleon"/>
    <s v="pantaleon.biraho@kabgayihospital.rw;info@kabgayihospital.rw"/>
    <n v="788857767"/>
    <m/>
    <m/>
    <m/>
  </r>
  <r>
    <s v="C004102"/>
    <x v="376"/>
    <s v="HQ"/>
    <s v="Gasabo"/>
    <x v="1"/>
    <x v="1"/>
    <s v="Standard"/>
    <x v="0"/>
    <x v="6"/>
    <m/>
    <s v="4G MUP 4GB/DAY"/>
    <m/>
    <n v="1"/>
    <n v="72033.898304999995"/>
    <n v="72033.898304999995"/>
    <s v="Monthly"/>
    <d v="2025-12-13T00:00:00"/>
    <x v="0"/>
    <x v="2"/>
    <n v="-890"/>
    <x v="1"/>
    <x v="9"/>
    <s v="NINETTE NSABIMANA"/>
    <s v="nnsabimana@qtsoftwareltd.com"/>
    <n v="781141576"/>
    <m/>
    <m/>
    <m/>
  </r>
  <r>
    <s v="C000072"/>
    <x v="377"/>
    <s v="HQ"/>
    <s v="Gasabo"/>
    <x v="0"/>
    <x v="15"/>
    <s v="Standard"/>
    <x v="1"/>
    <x v="1"/>
    <m/>
    <s v="8GB RAM,4VCPU &amp;300GBSTORAGE "/>
    <m/>
    <n v="1"/>
    <n v="99710"/>
    <n v="99710"/>
    <s v="Monthly"/>
    <d v="2025-12-31T00:00:00"/>
    <x v="0"/>
    <x v="2"/>
    <n v="-908"/>
    <x v="1"/>
    <x v="5"/>
    <s v="DANIEL "/>
    <s v="danny@akageraaviation.com"/>
    <n v="785920129"/>
    <m/>
    <m/>
    <m/>
  </r>
  <r>
    <s v="C001169"/>
    <x v="378"/>
    <s v="KIBOGORA GUEST HOUSE"/>
    <s v="Nyamasheke"/>
    <x v="0"/>
    <x v="6"/>
    <s v="Standard"/>
    <x v="0"/>
    <x v="0"/>
    <n v="3"/>
    <s v="FIBER VPN 3MBPS"/>
    <m/>
    <n v="1"/>
    <n v="180000"/>
    <n v="180000"/>
    <s v="Monthly"/>
    <d v="2025-12-31T00:00:00"/>
    <x v="0"/>
    <x v="2"/>
    <n v="-908"/>
    <x v="1"/>
    <x v="6"/>
    <s v="Betty"/>
    <s v="kibogorabookings@gmail.com"/>
    <n v="784418431"/>
    <m/>
    <m/>
    <m/>
  </r>
  <r>
    <s v="C001472"/>
    <x v="307"/>
    <s v="Fiber Service: Minecofin HQ"/>
    <s v="Gasabo"/>
    <x v="0"/>
    <x v="0"/>
    <s v="Standard"/>
    <x v="0"/>
    <x v="0"/>
    <n v="20"/>
    <s v="Fiber Broadband Internet 20Mbps"/>
    <m/>
    <n v="1"/>
    <n v="900000"/>
    <n v="900000"/>
    <s v="Monthly"/>
    <d v="2025-12-31T00:00:00"/>
    <x v="0"/>
    <x v="2"/>
    <n v="-908"/>
    <x v="1"/>
    <x v="1"/>
    <s v="Egide Mugwaneza "/>
    <s v="egide.mugwaneza@minijust.gov.rw"/>
    <s v="0 784 304 647"/>
    <m/>
    <m/>
    <m/>
  </r>
  <r>
    <s v="C001472"/>
    <x v="307"/>
    <s v="VOIP Service"/>
    <s v="Gasabo"/>
    <x v="0"/>
    <x v="0"/>
    <s v="Standard"/>
    <x v="1"/>
    <x v="3"/>
    <m/>
    <s v="VoIP PHONES 1-20"/>
    <m/>
    <n v="1"/>
    <n v="60000"/>
    <n v="60000"/>
    <s v="Monthly"/>
    <d v="2025-12-31T00:00:00"/>
    <x v="0"/>
    <x v="2"/>
    <n v="-908"/>
    <x v="1"/>
    <x v="1"/>
    <s v="Egide Mugwaneza "/>
    <s v="egide.mugwaneza@minijust.gov.rw"/>
    <s v="0 784 304 647"/>
    <m/>
    <m/>
    <m/>
  </r>
  <r>
    <s v="C001472"/>
    <x v="307"/>
    <s v="MINIJUST 4G Service"/>
    <s v="Gasabo"/>
    <x v="0"/>
    <x v="0"/>
    <s v="Standard"/>
    <x v="0"/>
    <x v="6"/>
    <m/>
    <s v="4G MUP 2GB/DAY"/>
    <m/>
    <n v="10"/>
    <n v="28305.084746"/>
    <n v="283050.84746000002"/>
    <s v="Monthly"/>
    <d v="2025-12-31T00:00:00"/>
    <x v="0"/>
    <x v="2"/>
    <n v="-908"/>
    <x v="1"/>
    <x v="1"/>
    <s v="Egide Mugwaneza "/>
    <s v="egide.mugwaneza@minijust.gov.rw"/>
    <s v="0 784 304 647"/>
    <m/>
    <m/>
    <m/>
  </r>
  <r>
    <s v="C001944"/>
    <x v="379"/>
    <s v="Kacyiru"/>
    <s v="Gasabo"/>
    <x v="0"/>
    <x v="0"/>
    <s v="VIP"/>
    <x v="0"/>
    <x v="0"/>
    <n v="10"/>
    <s v="FIBER VPN 10MBPS"/>
    <m/>
    <n v="1"/>
    <n v="510000"/>
    <n v="510000"/>
    <s v="Monthly"/>
    <d v="2025-12-31T00:00:00"/>
    <x v="0"/>
    <x v="2"/>
    <n v="-908"/>
    <x v="1"/>
    <x v="7"/>
    <s v="Arthur Uwisibo"/>
    <s v="auwisibo@presidency.gov.rw"/>
    <n v="788306555"/>
    <m/>
    <m/>
    <m/>
  </r>
  <r>
    <s v="C001944"/>
    <x v="379"/>
    <s v="Kacyiru"/>
    <s v="Gasabo"/>
    <x v="0"/>
    <x v="0"/>
    <s v="VIP"/>
    <x v="0"/>
    <x v="0"/>
    <n v="10"/>
    <s v="FIBER VPN 10MBPS"/>
    <m/>
    <n v="1"/>
    <n v="510000"/>
    <n v="510000"/>
    <s v="Monthly"/>
    <d v="2025-12-31T00:00:00"/>
    <x v="0"/>
    <x v="2"/>
    <n v="-908"/>
    <x v="1"/>
    <x v="7"/>
    <s v="Arthur Uwisibo"/>
    <s v="auwisibo@presidency.gov.rw"/>
    <n v="788306555"/>
    <m/>
    <m/>
    <m/>
  </r>
  <r>
    <s v="C001944"/>
    <x v="379"/>
    <s v="Kacyiru"/>
    <s v="Gasabo"/>
    <x v="0"/>
    <x v="0"/>
    <s v="VIP"/>
    <x v="0"/>
    <x v="0"/>
    <n v="10"/>
    <s v="FIBER VPN 10MBPS"/>
    <m/>
    <n v="1"/>
    <n v="510000"/>
    <n v="510000"/>
    <s v="Monthly"/>
    <d v="2025-12-31T00:00:00"/>
    <x v="0"/>
    <x v="2"/>
    <n v="-908"/>
    <x v="1"/>
    <x v="7"/>
    <s v="Arthur Uwisibo"/>
    <s v="auwisibo@presidency.gov.rw"/>
    <n v="788306555"/>
    <m/>
    <m/>
    <m/>
  </r>
  <r>
    <s v="C001944"/>
    <x v="379"/>
    <s v="Kacyiru"/>
    <s v="Gasabo"/>
    <x v="0"/>
    <x v="0"/>
    <s v="VIP"/>
    <x v="0"/>
    <x v="0"/>
    <n v="10"/>
    <s v="FIBER VPN 10MBPS"/>
    <m/>
    <n v="1"/>
    <n v="510000"/>
    <n v="510000"/>
    <s v="Monthly"/>
    <d v="2025-12-31T00:00:00"/>
    <x v="0"/>
    <x v="2"/>
    <n v="-908"/>
    <x v="1"/>
    <x v="7"/>
    <s v="Arthur Uwisibo"/>
    <s v="auwisibo@presidency.gov.rw"/>
    <n v="788306555"/>
    <m/>
    <m/>
    <m/>
  </r>
  <r>
    <s v="C001944"/>
    <x v="379"/>
    <s v="Kacyiru"/>
    <s v="Gasabo"/>
    <x v="0"/>
    <x v="0"/>
    <s v="VIP"/>
    <x v="0"/>
    <x v="0"/>
    <n v="10"/>
    <s v="FIBER VPN 10MBPS"/>
    <m/>
    <n v="1"/>
    <n v="510000"/>
    <n v="510000"/>
    <s v="Monthly"/>
    <d v="2025-12-31T00:00:00"/>
    <x v="0"/>
    <x v="2"/>
    <n v="-908"/>
    <x v="1"/>
    <x v="7"/>
    <s v="Arthur Uwisibo"/>
    <s v="auwisibo@presidency.gov.rw"/>
    <n v="788306555"/>
    <m/>
    <m/>
    <m/>
  </r>
  <r>
    <s v="C001944"/>
    <x v="379"/>
    <s v="Kacyiru"/>
    <s v="Gasabo"/>
    <x v="0"/>
    <x v="0"/>
    <s v="VIP"/>
    <x v="0"/>
    <x v="0"/>
    <n v="10"/>
    <s v="FIBER VPN 10MBPS"/>
    <m/>
    <n v="1"/>
    <n v="510000"/>
    <n v="510000"/>
    <s v="Monthly"/>
    <d v="2025-12-31T00:00:00"/>
    <x v="0"/>
    <x v="2"/>
    <n v="-908"/>
    <x v="1"/>
    <x v="7"/>
    <s v="Arthur Uwisibo"/>
    <s v="auwisibo@presidency.gov.rw"/>
    <n v="788306555"/>
    <m/>
    <m/>
    <m/>
  </r>
  <r>
    <s v="C001944"/>
    <x v="379"/>
    <s v="Kacyiru"/>
    <s v="Gasabo"/>
    <x v="0"/>
    <x v="0"/>
    <s v="VIP"/>
    <x v="0"/>
    <x v="0"/>
    <n v="25"/>
    <s v="FIBER VPN 25MBPS"/>
    <m/>
    <n v="1"/>
    <n v="1080000"/>
    <n v="1080000"/>
    <s v="Monthly"/>
    <d v="2025-12-31T00:00:00"/>
    <x v="0"/>
    <x v="2"/>
    <n v="-908"/>
    <x v="1"/>
    <x v="7"/>
    <s v="Arthur Uwisibo"/>
    <s v="auwisibo@presidency.gov.rw"/>
    <n v="788306555"/>
    <m/>
    <m/>
    <m/>
  </r>
  <r>
    <s v="C001944"/>
    <x v="379"/>
    <s v="RG-Kacyiru"/>
    <s v="Gasabo"/>
    <x v="0"/>
    <x v="0"/>
    <s v="VIP"/>
    <x v="0"/>
    <x v="0"/>
    <n v="5"/>
    <s v="FIBER Internet 5MBPS"/>
    <m/>
    <n v="1"/>
    <n v="270000"/>
    <n v="270000"/>
    <s v="Monthly"/>
    <d v="2025-12-31T00:00:00"/>
    <x v="0"/>
    <x v="2"/>
    <n v="-908"/>
    <x v="1"/>
    <x v="7"/>
    <s v="Arthur Uwisibo"/>
    <s v="auwisibo@presidency.gov.rw"/>
    <n v="788306555"/>
    <m/>
    <m/>
    <m/>
  </r>
  <r>
    <s v="C001944"/>
    <x v="379"/>
    <s v="RG-Kacyiru"/>
    <s v="Gasabo"/>
    <x v="0"/>
    <x v="0"/>
    <s v="VIP"/>
    <x v="3"/>
    <x v="7"/>
    <m/>
    <s v="MSS Gold"/>
    <m/>
    <n v="1"/>
    <n v="369325"/>
    <n v="369325"/>
    <s v="Monthly"/>
    <d v="2025-12-31T00:00:00"/>
    <x v="0"/>
    <x v="2"/>
    <n v="-908"/>
    <x v="1"/>
    <x v="7"/>
    <s v="Arthur Uwisibo"/>
    <s v="auwisibo@presidency.gov.rw"/>
    <n v="788306555"/>
    <m/>
    <m/>
    <m/>
  </r>
  <r>
    <s v="C004054"/>
    <x v="72"/>
    <s v="Fiber Internet: RGB HQ"/>
    <s v="Gasabo"/>
    <x v="0"/>
    <x v="0"/>
    <s v="Standard"/>
    <x v="0"/>
    <x v="0"/>
    <n v="30"/>
    <s v="Fiber Broadband Internet 30Mbps"/>
    <m/>
    <n v="1"/>
    <n v="1260000"/>
    <n v="1260000"/>
    <s v="Monthly"/>
    <d v="2025-12-31T00:00:00"/>
    <x v="0"/>
    <x v="2"/>
    <n v="-908"/>
    <x v="1"/>
    <x v="1"/>
    <s v="Pacifique Niyonkuru"/>
    <s v="nipacifique@rgb.rw"/>
    <s v="0 788 523 853 "/>
    <m/>
    <m/>
    <m/>
  </r>
  <r>
    <s v="C004054"/>
    <x v="72"/>
    <s v="CSOs Project: 4G"/>
    <s v="Gasabo"/>
    <x v="0"/>
    <x v="0"/>
    <s v="Standard"/>
    <x v="0"/>
    <x v="6"/>
    <m/>
    <s v="4G MUP 4GB/DAY"/>
    <m/>
    <n v="3"/>
    <n v="53500"/>
    <n v="160500"/>
    <s v="Monthly"/>
    <d v="2025-12-31T00:00:00"/>
    <x v="0"/>
    <x v="2"/>
    <n v="-908"/>
    <x v="1"/>
    <x v="1"/>
    <s v="Pacifique Niyonkuru"/>
    <s v="nipacifique@rgb.rw"/>
    <s v="0 788 523 853 "/>
    <m/>
    <m/>
    <m/>
  </r>
  <r>
    <s v="C004054"/>
    <x v="72"/>
    <s v="DDAG Project: 4G"/>
    <s v="Gasabo"/>
    <x v="0"/>
    <x v="0"/>
    <s v="Standard"/>
    <x v="0"/>
    <x v="6"/>
    <m/>
    <s v="4G MUP 2GB/DAY"/>
    <m/>
    <n v="11"/>
    <n v="33400"/>
    <n v="367400"/>
    <s v="Monthly"/>
    <d v="2025-12-31T00:00:00"/>
    <x v="0"/>
    <x v="2"/>
    <n v="-908"/>
    <x v="1"/>
    <x v="1"/>
    <s v="Pacifique Niyonkuru"/>
    <s v="nipacifique@rgb.rw"/>
    <s v="0 788 523 853 "/>
    <m/>
    <m/>
    <m/>
  </r>
  <r>
    <s v="C003536"/>
    <x v="380"/>
    <s v="RICA"/>
    <s v="Kicukiro"/>
    <x v="0"/>
    <x v="16"/>
    <s v="Standard"/>
    <x v="1"/>
    <x v="0"/>
    <n v="25"/>
    <s v="FIBER INTERNET 25MBPS"/>
    <m/>
    <n v="1"/>
    <n v="1080000"/>
    <n v="1080000"/>
    <s v="Monthly"/>
    <d v="2025-12-31T00:00:00"/>
    <x v="0"/>
    <x v="2"/>
    <n v="-908"/>
    <x v="1"/>
    <x v="2"/>
    <s v="Longin Dusengeyezu"/>
    <s v="Longin Dusengeyezu &lt;ldusengeyezu@rica.gov.rw&gt;"/>
    <s v="0787-344-599"/>
    <m/>
    <m/>
    <m/>
  </r>
  <r>
    <s v="C003536"/>
    <x v="380"/>
    <s v="RICA"/>
    <s v="Kicukiro"/>
    <x v="0"/>
    <x v="16"/>
    <s v="Standard"/>
    <x v="3"/>
    <x v="7"/>
    <m/>
    <s v="MSS GOLD"/>
    <m/>
    <n v="1"/>
    <n v="369325"/>
    <n v="369325"/>
    <s v="Monthly"/>
    <d v="2025-12-31T00:00:00"/>
    <x v="0"/>
    <x v="2"/>
    <n v="-908"/>
    <x v="1"/>
    <x v="2"/>
    <s v="Longin Dusengeyezu"/>
    <s v="Longin Dusengeyezu &lt;ldusengeyezu@rica.gov.rw&gt;"/>
    <s v="0787-344-599"/>
    <m/>
    <m/>
    <m/>
  </r>
  <r>
    <s v="C003537"/>
    <x v="380"/>
    <s v="RICA"/>
    <s v="Kicukiro"/>
    <x v="0"/>
    <x v="16"/>
    <s v="Standard"/>
    <x v="0"/>
    <x v="6"/>
    <m/>
    <s v="4G MUP 2GB/DAY"/>
    <m/>
    <n v="1"/>
    <n v="28305.084745762713"/>
    <n v="28305.084745762713"/>
    <s v="Monthly"/>
    <d v="2025-12-31T00:00:00"/>
    <x v="0"/>
    <x v="2"/>
    <n v="-908"/>
    <x v="1"/>
    <x v="2"/>
    <s v="Longin Dusengeyezu"/>
    <s v="Longin Dusengeyezu &lt;ldusengeyezu@rica.gov.rw&gt;"/>
    <s v="0787-344-599"/>
    <m/>
    <m/>
    <m/>
  </r>
  <r>
    <s v="C003536"/>
    <x v="380"/>
    <s v="RICA"/>
    <s v="Kicukiro"/>
    <x v="0"/>
    <x v="16"/>
    <s v="Standard"/>
    <x v="0"/>
    <x v="6"/>
    <m/>
    <s v="4G MUP 1GB/DAY"/>
    <m/>
    <n v="69"/>
    <n v="19491.525423728814"/>
    <n v="1344915.2542372881"/>
    <s v="Monthly"/>
    <d v="2025-12-31T00:00:00"/>
    <x v="0"/>
    <x v="2"/>
    <n v="-908"/>
    <x v="1"/>
    <x v="2"/>
    <s v="Longin Dusengeyezu"/>
    <s v="Longin Dusengeyezu &lt;ldusengeyezu@rica.gov.rw&gt;"/>
    <s v="0787-344-599"/>
    <m/>
    <m/>
    <m/>
  </r>
  <r>
    <s v="C002484"/>
    <x v="381"/>
    <s v="RTDA HQ"/>
    <s v="Gasabo"/>
    <x v="0"/>
    <x v="0"/>
    <s v="Standard"/>
    <x v="0"/>
    <x v="0"/>
    <n v="5"/>
    <s v="FIBER VPN 5MBPS"/>
    <m/>
    <n v="1"/>
    <n v="270000"/>
    <n v="270000"/>
    <s v="Monthly"/>
    <d v="2025-12-31T00:00:00"/>
    <x v="0"/>
    <x v="2"/>
    <n v="-908"/>
    <x v="1"/>
    <x v="5"/>
    <s v="FELIX"/>
    <s v="felix.nshimiyimana@rtda.gov.rw"/>
    <n v="784412486"/>
    <m/>
    <m/>
    <m/>
  </r>
  <r>
    <s v="C002484"/>
    <x v="381"/>
    <s v="RTDA HQ"/>
    <s v="Gasabo"/>
    <x v="0"/>
    <x v="0"/>
    <s v="Standard"/>
    <x v="0"/>
    <x v="0"/>
    <n v="40"/>
    <s v="FIBER VPN 40MBPS"/>
    <m/>
    <n v="1"/>
    <n v="1529661"/>
    <n v="1529661"/>
    <s v="Monthly"/>
    <d v="2025-12-31T00:00:00"/>
    <x v="0"/>
    <x v="2"/>
    <n v="-908"/>
    <x v="1"/>
    <x v="5"/>
    <s v="FELIX"/>
    <s v="felix.nshimiyimana@rtda.gov.rw"/>
    <n v="784412486"/>
    <m/>
    <m/>
    <m/>
  </r>
  <r>
    <s v="C002484"/>
    <x v="381"/>
    <s v="RTDA HQ"/>
    <s v="Gasabo"/>
    <x v="0"/>
    <x v="0"/>
    <s v="Standard"/>
    <x v="1"/>
    <x v="10"/>
    <m/>
    <s v="VIDEO CONFERENCE"/>
    <m/>
    <n v="1"/>
    <n v="258044.92"/>
    <n v="258044.92"/>
    <s v="Monthly"/>
    <d v="2025-12-31T00:00:00"/>
    <x v="0"/>
    <x v="2"/>
    <n v="-908"/>
    <x v="1"/>
    <x v="5"/>
    <s v="FELIX"/>
    <s v="felix.nshimiyimana@rtda.gov.rw"/>
    <n v="784412486"/>
    <m/>
    <m/>
    <m/>
  </r>
  <r>
    <s v="C002484"/>
    <x v="381"/>
    <s v="RTDA HQ"/>
    <s v="Gasabo"/>
    <x v="0"/>
    <x v="0"/>
    <s v="Standard"/>
    <x v="3"/>
    <x v="7"/>
    <m/>
    <s v="MSS GOLD"/>
    <m/>
    <n v="1"/>
    <n v="369325.42"/>
    <n v="369325.42"/>
    <s v="Monthly"/>
    <d v="2025-12-31T00:00:00"/>
    <x v="0"/>
    <x v="2"/>
    <n v="-908"/>
    <x v="1"/>
    <x v="5"/>
    <s v="FELIX"/>
    <s v="felix.nshimiyimana@rtda.gov.rw"/>
    <n v="784412486"/>
    <m/>
    <m/>
    <m/>
  </r>
  <r>
    <s v="C002486"/>
    <x v="251"/>
    <s v="HQ"/>
    <s v="Nyarugenge"/>
    <x v="0"/>
    <x v="0"/>
    <s v="VIP"/>
    <x v="0"/>
    <x v="0"/>
    <n v="30"/>
    <s v="FIBER INTERNET 30MBPS GOV"/>
    <m/>
    <n v="1"/>
    <n v="2875000"/>
    <n v="2875000"/>
    <s v="Monthly"/>
    <d v="2025-12-31T00:00:00"/>
    <x v="0"/>
    <x v="2"/>
    <n v="-908"/>
    <x v="1"/>
    <x v="7"/>
    <s v="Antoine Twizere"/>
    <s v="antoine.twizere@rura.rw"/>
    <n v="788839202"/>
    <m/>
    <m/>
    <m/>
  </r>
  <r>
    <s v="C002486"/>
    <x v="251"/>
    <s v="HQ"/>
    <s v="Nyarugenge"/>
    <x v="0"/>
    <x v="0"/>
    <s v="VIP"/>
    <x v="0"/>
    <x v="6"/>
    <m/>
    <s v="4G MUP 1GB/DAY PRIV"/>
    <m/>
    <n v="1"/>
    <n v="20338.98"/>
    <n v="20338.98"/>
    <s v="Monthly"/>
    <d v="2025-12-31T00:00:00"/>
    <x v="0"/>
    <x v="2"/>
    <n v="-908"/>
    <x v="1"/>
    <x v="7"/>
    <s v="Antoine Twizere"/>
    <s v="antoine.twizere@rura.rw"/>
    <n v="788839202"/>
    <m/>
    <m/>
    <m/>
  </r>
  <r>
    <s v="C002486"/>
    <x v="251"/>
    <s v="RURA HQ- MTN Remera"/>
    <s v="Nyarugenge"/>
    <x v="0"/>
    <x v="0"/>
    <s v="VIP"/>
    <x v="0"/>
    <x v="2"/>
    <m/>
    <s v="Dark Fiber Lease  10Kms/2Cores"/>
    <n v="10"/>
    <n v="1"/>
    <n v="1097711.7999999998"/>
    <n v="1097711.7999999998"/>
    <s v="Monthly"/>
    <d v="2025-12-31T00:00:00"/>
    <x v="0"/>
    <x v="2"/>
    <n v="-908"/>
    <x v="1"/>
    <x v="7"/>
    <s v="Antoine Twizere"/>
    <s v="antoine.twizere@rura.rw"/>
    <n v="788839202"/>
    <m/>
    <m/>
    <m/>
  </r>
  <r>
    <s v="C002486"/>
    <x v="251"/>
    <s v="Rura Agencies"/>
    <s v="Nyarugenge"/>
    <x v="0"/>
    <x v="0"/>
    <s v="VIP"/>
    <x v="0"/>
    <x v="0"/>
    <n v="5"/>
    <s v="FIBER VPN1 MBPS"/>
    <m/>
    <n v="5"/>
    <n v="90000"/>
    <n v="450000"/>
    <s v="Monthly"/>
    <d v="2025-12-31T00:00:00"/>
    <x v="0"/>
    <x v="2"/>
    <n v="-908"/>
    <x v="1"/>
    <x v="7"/>
    <s v="Antoine Twizere"/>
    <s v="antoine.twizere@rura.rw"/>
    <n v="788839202"/>
    <m/>
    <m/>
    <m/>
  </r>
  <r>
    <s v="C002131"/>
    <x v="382"/>
    <s v="Cross-connect: LTR"/>
    <s v="Gasabo"/>
    <x v="1"/>
    <x v="1"/>
    <s v="Standard"/>
    <x v="1"/>
    <x v="1"/>
    <m/>
    <s v="Cross-connect"/>
    <m/>
    <n v="1"/>
    <n v="100000"/>
    <n v="100000"/>
    <s v="Monthly"/>
    <d v="2025-12-31T00:00:00"/>
    <x v="0"/>
    <x v="2"/>
    <n v="-908"/>
    <x v="1"/>
    <x v="1"/>
    <s v="Michael Mukasa"/>
    <s v="accounts@roketelkom.co.ug"/>
    <s v="00 256 772 918826"/>
    <m/>
    <m/>
    <m/>
  </r>
  <r>
    <s v="C002862"/>
    <x v="383"/>
    <s v="UGHE"/>
    <s v="Rusizi"/>
    <x v="1"/>
    <x v="4"/>
    <s v="VIP"/>
    <x v="1"/>
    <x v="5"/>
    <n v="150"/>
    <s v="FIBER VPN 150MBPS"/>
    <m/>
    <n v="1"/>
    <n v="4440000"/>
    <n v="4440000"/>
    <s v="Monthly"/>
    <d v="2025-12-31T00:00:00"/>
    <x v="0"/>
    <x v="2"/>
    <n v="-908"/>
    <x v="1"/>
    <x v="4"/>
    <s v="Clement MUHIRE"/>
    <s v="cmuhire@ughe.org;tbiseruka@ughe.org;singabire@ughe.org"/>
    <s v="786992021/0788301025"/>
    <m/>
    <m/>
    <m/>
  </r>
  <r>
    <s v="C002131"/>
    <x v="382"/>
    <s v="Cross-connect: Axiom"/>
    <s v="Gasabo"/>
    <x v="1"/>
    <x v="1"/>
    <s v="Standard"/>
    <x v="1"/>
    <x v="1"/>
    <m/>
    <s v="Cross-connect"/>
    <m/>
    <n v="1"/>
    <n v="100000"/>
    <n v="100000"/>
    <s v="Monthly"/>
    <d v="2025-12-31T00:00:00"/>
    <x v="0"/>
    <x v="2"/>
    <n v="-908"/>
    <x v="1"/>
    <x v="1"/>
    <s v="Michael Mukasa"/>
    <s v="accounts@roketelkom.co.ug"/>
    <s v="00 256 772 918826"/>
    <m/>
    <m/>
    <m/>
  </r>
  <r>
    <s v="C002131"/>
    <x v="382"/>
    <s v="Cross-connect: BCS"/>
    <s v="Gasabo"/>
    <x v="1"/>
    <x v="1"/>
    <s v="Standard"/>
    <x v="1"/>
    <x v="1"/>
    <m/>
    <s v="Cross-connect"/>
    <m/>
    <n v="1"/>
    <n v="100000"/>
    <n v="100000"/>
    <s v="Monthly"/>
    <d v="2025-12-31T00:00:00"/>
    <x v="0"/>
    <x v="2"/>
    <n v="-908"/>
    <x v="1"/>
    <x v="1"/>
    <s v="Michael Mukasa"/>
    <s v="accounts@roketelkom.co.ug"/>
    <s v="00 256 772 918826"/>
    <m/>
    <m/>
    <m/>
  </r>
  <r>
    <s v="C002131"/>
    <x v="382"/>
    <s v="Colocation Services"/>
    <s v="Gasabo"/>
    <x v="1"/>
    <x v="1"/>
    <s v="Standard"/>
    <x v="1"/>
    <x v="1"/>
    <m/>
    <s v="Colocation Service: 5U"/>
    <m/>
    <n v="1"/>
    <n v="400000"/>
    <n v="400000"/>
    <s v="Monthly"/>
    <d v="2025-12-31T00:00:00"/>
    <x v="0"/>
    <x v="2"/>
    <n v="-908"/>
    <x v="1"/>
    <x v="1"/>
    <s v="Michael Mukasa"/>
    <s v="accounts@roketelkom.co.ug"/>
    <s v="00 256 772 918826"/>
    <m/>
    <m/>
    <m/>
  </r>
  <r>
    <s v="C002978"/>
    <x v="384"/>
    <s v="HQ"/>
    <s v="Nyarugenge"/>
    <x v="1"/>
    <x v="16"/>
    <s v="Standard"/>
    <x v="1"/>
    <x v="5"/>
    <n v="10"/>
    <s v="PS"/>
    <m/>
    <n v="1"/>
    <n v="466101.69491525425"/>
    <n v="466101.69491525425"/>
    <s v="Monthly"/>
    <d v="2025-12-31T00:00:00"/>
    <x v="0"/>
    <x v="2"/>
    <n v="-908"/>
    <x v="1"/>
    <x v="0"/>
    <s v="Pascal Mwemayire"/>
    <s v="pmwemayire@gmail.com "/>
    <s v="0783280962"/>
    <m/>
    <m/>
    <m/>
  </r>
  <r>
    <s v="C000727"/>
    <x v="385"/>
    <s v="GASHORA GIRLS SCHOOL"/>
    <s v="Bugesera"/>
    <x v="1"/>
    <x v="4"/>
    <s v="Standard"/>
    <x v="0"/>
    <x v="5"/>
    <n v="20"/>
    <s v="FIBER VPN 20MBPS"/>
    <m/>
    <n v="1"/>
    <n v="900000"/>
    <n v="900000"/>
    <s v="Monthly"/>
    <d v="2025-12-31T00:00:00"/>
    <x v="0"/>
    <x v="2"/>
    <n v="-908"/>
    <x v="1"/>
    <x v="6"/>
    <s v="KURADUSENGE Benjamin"/>
    <s v="kuradusengeb@gashoragirlsacademy.org"/>
    <n v="788407941"/>
    <m/>
    <m/>
    <m/>
  </r>
  <r>
    <s v="C002479"/>
    <x v="386"/>
    <s v="RWANDA STOCK EXCHANGE HQ"/>
    <s v="Nyarugenge"/>
    <x v="0"/>
    <x v="0"/>
    <s v="Standard"/>
    <x v="0"/>
    <x v="0"/>
    <n v="10"/>
    <s v="FIBER VPN 10MBPS"/>
    <m/>
    <n v="1"/>
    <n v="510000"/>
    <n v="510000"/>
    <s v="Monthly"/>
    <d v="2026-01-03T00:00:00"/>
    <x v="6"/>
    <x v="6"/>
    <n v="-911"/>
    <x v="1"/>
    <x v="2"/>
    <s v="Robert Twagira"/>
    <s v="rtwagira@rse.rw"/>
    <s v="0788-516-021"/>
    <m/>
    <m/>
    <m/>
  </r>
  <r>
    <s v="C002479"/>
    <x v="386"/>
    <s v="RWANDA STOCK EXCHANGE HQ"/>
    <s v="Nyarugenge"/>
    <x v="0"/>
    <x v="0"/>
    <s v="Standard"/>
    <x v="0"/>
    <x v="6"/>
    <m/>
    <s v="4G ONE NETWORK 3MBPS PRIV"/>
    <m/>
    <n v="1"/>
    <n v="81355.929999999993"/>
    <n v="81355.929999999993"/>
    <s v="Monthly"/>
    <d v="2026-01-03T00:00:00"/>
    <x v="6"/>
    <x v="6"/>
    <n v="-911"/>
    <x v="1"/>
    <x v="2"/>
    <s v="Robert Twagira"/>
    <s v="rtwagira@rse.rw"/>
    <s v="0788-516-021"/>
    <m/>
    <m/>
    <m/>
  </r>
  <r>
    <s v="C001657"/>
    <x v="387"/>
    <s v="BNR AB Bank "/>
    <s v="Nyarugenge"/>
    <x v="0"/>
    <x v="12"/>
    <s v="VIP"/>
    <x v="0"/>
    <x v="0"/>
    <n v="1"/>
    <s v="Fiber VPN 1MBPS"/>
    <m/>
    <n v="1"/>
    <n v="90000"/>
    <n v="90000"/>
    <s v="Monthly"/>
    <d v="2026-01-04T00:00:00"/>
    <x v="6"/>
    <x v="6"/>
    <n v="-912"/>
    <x v="1"/>
    <x v="5"/>
    <s v="Emmanuel Ngirinshuti"/>
    <s v="ENgirinshuti@bnr.rw"/>
    <n v="788317747"/>
    <m/>
    <m/>
    <m/>
  </r>
  <r>
    <s v="C001657"/>
    <x v="387"/>
    <s v="BNR Access Bank HQ"/>
    <s v="Nyarugenge"/>
    <x v="0"/>
    <x v="12"/>
    <s v="VIP"/>
    <x v="0"/>
    <x v="0"/>
    <n v="1"/>
    <s v="Fiber VPN 1MBPS"/>
    <m/>
    <n v="1"/>
    <n v="90000"/>
    <n v="90000"/>
    <s v="Monthly"/>
    <d v="2026-01-04T00:00:00"/>
    <x v="6"/>
    <x v="6"/>
    <n v="-912"/>
    <x v="1"/>
    <x v="5"/>
    <s v="Emmanuel Ngirinshuti"/>
    <s v="ENgirinshuti@bnr.rw"/>
    <n v="788317747"/>
    <m/>
    <m/>
    <m/>
  </r>
  <r>
    <s v="C001657"/>
    <x v="387"/>
    <s v="BNR Bank OF AFRICA HQ"/>
    <s v="Nyarugenge"/>
    <x v="0"/>
    <x v="12"/>
    <s v="VIP"/>
    <x v="0"/>
    <x v="0"/>
    <n v="1"/>
    <s v="Fiber VPN 1MBPS"/>
    <m/>
    <n v="1"/>
    <n v="90000"/>
    <n v="90000"/>
    <s v="Monthly"/>
    <d v="2026-01-04T00:00:00"/>
    <x v="6"/>
    <x v="6"/>
    <n v="-912"/>
    <x v="1"/>
    <x v="5"/>
    <s v="Emmanuel Ngirinshuti"/>
    <s v="ENgirinshuti@bnr.rw"/>
    <n v="788317747"/>
    <m/>
    <m/>
    <m/>
  </r>
  <r>
    <s v="C001657"/>
    <x v="387"/>
    <s v="BNR Bank of Kigali"/>
    <s v="Nyarugenge"/>
    <x v="0"/>
    <x v="12"/>
    <s v="VIP"/>
    <x v="0"/>
    <x v="0"/>
    <n v="1"/>
    <s v="Fiber VPN 1MBPS"/>
    <m/>
    <n v="1"/>
    <n v="90000"/>
    <n v="90000"/>
    <s v="Monthly"/>
    <d v="2026-01-04T00:00:00"/>
    <x v="6"/>
    <x v="6"/>
    <n v="-912"/>
    <x v="1"/>
    <x v="5"/>
    <s v="Emmanuel Ngirinshuti"/>
    <s v="ENgirinshuti@bnr.rw"/>
    <n v="788317747"/>
    <m/>
    <m/>
    <m/>
  </r>
  <r>
    <s v="C001657"/>
    <x v="387"/>
    <s v="BNR BPR HQ"/>
    <s v="Nyarugenge"/>
    <x v="0"/>
    <x v="12"/>
    <s v="VIP"/>
    <x v="0"/>
    <x v="0"/>
    <n v="1"/>
    <s v="Fiber VPN 1MBPS"/>
    <m/>
    <n v="1"/>
    <n v="90000"/>
    <n v="90000"/>
    <s v="Monthly"/>
    <d v="2026-01-04T00:00:00"/>
    <x v="6"/>
    <x v="6"/>
    <n v="-912"/>
    <x v="1"/>
    <x v="5"/>
    <s v="Emmanuel Ngirinshuti"/>
    <s v="ENgirinshuti@bnr.rw"/>
    <n v="788317747"/>
    <m/>
    <m/>
    <m/>
  </r>
  <r>
    <s v="C001657"/>
    <x v="387"/>
    <s v="BNR BRD HQ"/>
    <s v="Nyarugenge"/>
    <x v="0"/>
    <x v="12"/>
    <s v="VIP"/>
    <x v="0"/>
    <x v="0"/>
    <n v="1"/>
    <s v="Fiber VPN 1MBPS"/>
    <m/>
    <n v="1"/>
    <n v="90000"/>
    <n v="90000"/>
    <s v="Monthly"/>
    <d v="2026-01-04T00:00:00"/>
    <x v="6"/>
    <x v="6"/>
    <n v="-912"/>
    <x v="1"/>
    <x v="5"/>
    <s v="Emmanuel Ngirinshuti"/>
    <s v="ENgirinshuti@bnr.rw"/>
    <n v="788317747"/>
    <m/>
    <m/>
    <m/>
  </r>
  <r>
    <s v="C001657"/>
    <x v="387"/>
    <s v="BNR Cogebank HQ"/>
    <s v="Nyarugenge"/>
    <x v="0"/>
    <x v="12"/>
    <s v="VIP"/>
    <x v="0"/>
    <x v="0"/>
    <n v="1"/>
    <s v="Fiber VPN 1MBPS"/>
    <m/>
    <n v="1"/>
    <n v="90000"/>
    <n v="90000"/>
    <s v="Monthly"/>
    <d v="2026-01-04T00:00:00"/>
    <x v="6"/>
    <x v="6"/>
    <n v="-912"/>
    <x v="1"/>
    <x v="5"/>
    <s v="Emmanuel Ngirinshuti"/>
    <s v="ENgirinshuti@bnr.rw"/>
    <n v="788317747"/>
    <m/>
    <m/>
    <m/>
  </r>
  <r>
    <s v="C001657"/>
    <x v="387"/>
    <s v="BNR CRANE BANK"/>
    <s v="Nyarugenge"/>
    <x v="0"/>
    <x v="12"/>
    <s v="VIP"/>
    <x v="0"/>
    <x v="0"/>
    <n v="1"/>
    <s v="Fiber VPN 1MBPS"/>
    <m/>
    <n v="1"/>
    <n v="90000"/>
    <n v="90000"/>
    <s v="Monthly"/>
    <d v="2026-01-04T00:00:00"/>
    <x v="6"/>
    <x v="6"/>
    <n v="-912"/>
    <x v="1"/>
    <x v="5"/>
    <s v="Emmanuel Ngirinshuti"/>
    <s v="ENgirinshuti@bnr.rw"/>
    <n v="788317747"/>
    <m/>
    <m/>
    <m/>
  </r>
  <r>
    <s v="C001657"/>
    <x v="387"/>
    <s v="BNR Ecobank HQ"/>
    <s v="Nyarugenge"/>
    <x v="0"/>
    <x v="12"/>
    <s v="VIP"/>
    <x v="0"/>
    <x v="0"/>
    <n v="1"/>
    <s v="Fiber VPN 1MBPS"/>
    <m/>
    <n v="1"/>
    <n v="90000"/>
    <n v="90000"/>
    <s v="Monthly"/>
    <d v="2026-01-04T00:00:00"/>
    <x v="6"/>
    <x v="6"/>
    <n v="-912"/>
    <x v="1"/>
    <x v="5"/>
    <s v="Emmanuel Ngirinshuti"/>
    <s v="ENgirinshuti@bnr.rw"/>
    <n v="788317747"/>
    <m/>
    <m/>
    <m/>
  </r>
  <r>
    <s v="C001657"/>
    <x v="387"/>
    <s v="BNR Equity HQ"/>
    <s v="Nyarugenge"/>
    <x v="0"/>
    <x v="12"/>
    <s v="VIP"/>
    <x v="0"/>
    <x v="0"/>
    <n v="1"/>
    <s v="Fiber VPN 1MBPS"/>
    <m/>
    <n v="1"/>
    <n v="90000"/>
    <n v="90000"/>
    <s v="Monthly"/>
    <d v="2026-01-04T00:00:00"/>
    <x v="6"/>
    <x v="6"/>
    <n v="-912"/>
    <x v="1"/>
    <x v="5"/>
    <s v="Emmanuel Ngirinshuti"/>
    <s v="ENgirinshuti@bnr.rw"/>
    <n v="788317747"/>
    <m/>
    <m/>
    <m/>
  </r>
  <r>
    <s v="C001657"/>
    <x v="387"/>
    <s v="BNR GT BANK"/>
    <s v="Nyarugenge"/>
    <x v="0"/>
    <x v="12"/>
    <s v="VIP"/>
    <x v="0"/>
    <x v="0"/>
    <n v="1"/>
    <s v="Fiber VPN 1MBPS"/>
    <m/>
    <n v="1"/>
    <n v="90000"/>
    <n v="90000"/>
    <s v="Monthly"/>
    <d v="2026-01-04T00:00:00"/>
    <x v="6"/>
    <x v="6"/>
    <n v="-912"/>
    <x v="1"/>
    <x v="5"/>
    <s v="Emmanuel Ngirinshuti"/>
    <s v="ENgirinshuti@bnr.rw"/>
    <n v="788317747"/>
    <m/>
    <m/>
    <m/>
  </r>
  <r>
    <s v="C001657"/>
    <x v="387"/>
    <s v="BNR I&amp;M Bank HQ"/>
    <s v="Nyarugenge"/>
    <x v="0"/>
    <x v="12"/>
    <s v="VIP"/>
    <x v="0"/>
    <x v="0"/>
    <n v="1"/>
    <s v="Fiber VPN 1MBPS"/>
    <m/>
    <n v="1"/>
    <n v="90000"/>
    <n v="90000"/>
    <s v="Monthly"/>
    <d v="2026-01-04T00:00:00"/>
    <x v="6"/>
    <x v="6"/>
    <n v="-912"/>
    <x v="1"/>
    <x v="5"/>
    <s v="Emmanuel Ngirinshuti"/>
    <s v="ENgirinshuti@bnr.rw"/>
    <n v="788317747"/>
    <m/>
    <m/>
    <m/>
  </r>
  <r>
    <s v="C001657"/>
    <x v="387"/>
    <s v="BNR KCB HQ"/>
    <s v="Nyarugenge"/>
    <x v="0"/>
    <x v="12"/>
    <s v="VIP"/>
    <x v="0"/>
    <x v="0"/>
    <n v="1"/>
    <s v="Fiber VPN 1MBPS"/>
    <m/>
    <n v="1"/>
    <n v="90000"/>
    <n v="90000"/>
    <s v="Monthly"/>
    <d v="2026-01-04T00:00:00"/>
    <x v="6"/>
    <x v="6"/>
    <n v="-912"/>
    <x v="1"/>
    <x v="5"/>
    <s v="Emmanuel Ngirinshuti"/>
    <s v="ENgirinshuti@bnr.rw"/>
    <n v="788317747"/>
    <m/>
    <m/>
    <m/>
  </r>
  <r>
    <s v="C001657"/>
    <x v="387"/>
    <s v="BNR R-SWITCH"/>
    <s v="Nyarugenge"/>
    <x v="0"/>
    <x v="12"/>
    <s v="VIP"/>
    <x v="0"/>
    <x v="0"/>
    <n v="1"/>
    <s v="Fiber VPN 1MBPS"/>
    <m/>
    <n v="1"/>
    <n v="90000"/>
    <n v="90000"/>
    <s v="Monthly"/>
    <d v="2026-01-04T00:00:00"/>
    <x v="6"/>
    <x v="6"/>
    <n v="-912"/>
    <x v="1"/>
    <x v="5"/>
    <s v="Emmanuel Ngirinshuti"/>
    <s v="ENgirinshuti@bnr.rw"/>
    <n v="788317747"/>
    <m/>
    <m/>
    <m/>
  </r>
  <r>
    <s v="C001657"/>
    <x v="387"/>
    <s v="BNR Rwamagana DR Site"/>
    <s v="Nyarugenge"/>
    <x v="0"/>
    <x v="12"/>
    <s v="VIP"/>
    <x v="0"/>
    <x v="0"/>
    <n v="1"/>
    <s v="Fiber VPN 1MBPS"/>
    <m/>
    <n v="1"/>
    <n v="90000"/>
    <n v="90000"/>
    <s v="Monthly"/>
    <d v="2026-01-04T00:00:00"/>
    <x v="6"/>
    <x v="6"/>
    <n v="-912"/>
    <x v="1"/>
    <x v="5"/>
    <s v="Emmanuel Ngirinshuti"/>
    <s v="ENgirinshuti@bnr.rw"/>
    <n v="788317747"/>
    <m/>
    <m/>
    <m/>
  </r>
  <r>
    <s v="C001657"/>
    <x v="387"/>
    <s v="BNR Unguka HQ"/>
    <s v="Nyarugenge"/>
    <x v="0"/>
    <x v="12"/>
    <s v="VIP"/>
    <x v="0"/>
    <x v="0"/>
    <n v="1"/>
    <s v="Fiber VPN 1MBPS"/>
    <m/>
    <n v="1"/>
    <n v="90000"/>
    <n v="90000"/>
    <s v="Monthly"/>
    <d v="2026-01-04T00:00:00"/>
    <x v="6"/>
    <x v="6"/>
    <n v="-912"/>
    <x v="1"/>
    <x v="5"/>
    <s v="Emmanuel Ngirinshuti"/>
    <s v="ENgirinshuti@bnr.rw"/>
    <n v="788317747"/>
    <m/>
    <m/>
    <m/>
  </r>
  <r>
    <s v="C001657"/>
    <x v="387"/>
    <s v="BNR Urewgo Opportunity Bank"/>
    <s v="Nyarugenge"/>
    <x v="0"/>
    <x v="12"/>
    <s v="VIP"/>
    <x v="0"/>
    <x v="0"/>
    <n v="1"/>
    <s v="Fiber VPN 1MBPS"/>
    <m/>
    <n v="1"/>
    <n v="90000"/>
    <n v="90000"/>
    <s v="Monthly"/>
    <d v="2026-01-04T00:00:00"/>
    <x v="6"/>
    <x v="6"/>
    <n v="-912"/>
    <x v="1"/>
    <x v="5"/>
    <s v="Emmanuel Ngirinshuti"/>
    <s v="ENgirinshuti@bnr.rw"/>
    <n v="788317747"/>
    <m/>
    <m/>
    <m/>
  </r>
  <r>
    <s v="C001657"/>
    <x v="387"/>
    <s v="BNR Zigama CSS"/>
    <s v="Nyarugenge"/>
    <x v="0"/>
    <x v="12"/>
    <s v="VIP"/>
    <x v="0"/>
    <x v="0"/>
    <n v="1"/>
    <s v="Fiber VPN 1MBPS"/>
    <m/>
    <n v="1"/>
    <n v="90000"/>
    <n v="90000"/>
    <s v="Monthly"/>
    <d v="2026-01-04T00:00:00"/>
    <x v="6"/>
    <x v="6"/>
    <n v="-912"/>
    <x v="1"/>
    <x v="5"/>
    <s v="Emmanuel Ngirinshuti"/>
    <s v="ENgirinshuti@bnr.rw"/>
    <n v="788317747"/>
    <m/>
    <m/>
    <m/>
  </r>
  <r>
    <s v="C001657"/>
    <x v="387"/>
    <s v="BNR Huye"/>
    <s v="Nyarugenge"/>
    <x v="0"/>
    <x v="12"/>
    <s v="VIP"/>
    <x v="0"/>
    <x v="0"/>
    <n v="3"/>
    <s v="Fiber VPN 3MBPS"/>
    <m/>
    <n v="1"/>
    <n v="180000"/>
    <n v="180000"/>
    <s v="Monthly"/>
    <d v="2026-01-04T00:00:00"/>
    <x v="6"/>
    <x v="6"/>
    <n v="-912"/>
    <x v="1"/>
    <x v="5"/>
    <s v="Emmanuel Ngirinshuti"/>
    <s v="ENgirinshuti@bnr.rw"/>
    <n v="788317747"/>
    <m/>
    <m/>
    <m/>
  </r>
  <r>
    <s v="C001657"/>
    <x v="387"/>
    <s v="BNR Musanze"/>
    <s v="Nyarugenge"/>
    <x v="0"/>
    <x v="12"/>
    <s v="VIP"/>
    <x v="0"/>
    <x v="0"/>
    <n v="3"/>
    <s v="Fiber VPN 3MBPS"/>
    <m/>
    <n v="1"/>
    <n v="180000"/>
    <n v="180000"/>
    <s v="Monthly"/>
    <d v="2026-01-04T00:00:00"/>
    <x v="6"/>
    <x v="6"/>
    <n v="-912"/>
    <x v="1"/>
    <x v="5"/>
    <s v="Emmanuel Ngirinshuti"/>
    <s v="ENgirinshuti@bnr.rw"/>
    <n v="788317747"/>
    <m/>
    <m/>
    <m/>
  </r>
  <r>
    <s v="C001657"/>
    <x v="387"/>
    <s v="BNR Rubavu"/>
    <s v="Nyarugenge"/>
    <x v="0"/>
    <x v="12"/>
    <s v="VIP"/>
    <x v="0"/>
    <x v="0"/>
    <n v="3"/>
    <s v="Fiber VPN 3MBPS"/>
    <m/>
    <n v="1"/>
    <n v="180000"/>
    <n v="180000"/>
    <s v="Monthly"/>
    <d v="2026-01-04T00:00:00"/>
    <x v="6"/>
    <x v="6"/>
    <n v="-912"/>
    <x v="1"/>
    <x v="5"/>
    <s v="Emmanuel Ngirinshuti"/>
    <s v="ENgirinshuti@bnr.rw"/>
    <n v="788317747"/>
    <m/>
    <m/>
    <m/>
  </r>
  <r>
    <s v="C001657"/>
    <x v="387"/>
    <s v="BNR Rusizi"/>
    <s v="Nyarugenge"/>
    <x v="0"/>
    <x v="12"/>
    <s v="VIP"/>
    <x v="0"/>
    <x v="0"/>
    <n v="3"/>
    <s v="Fiber VPN 3MBPS"/>
    <m/>
    <n v="1"/>
    <n v="180000"/>
    <n v="180000"/>
    <s v="Monthly"/>
    <d v="2026-01-04T00:00:00"/>
    <x v="6"/>
    <x v="6"/>
    <n v="-912"/>
    <x v="1"/>
    <x v="5"/>
    <s v="Emmanuel Ngirinshuti"/>
    <s v="ENgirinshuti@bnr.rw"/>
    <n v="788317747"/>
    <m/>
    <m/>
    <m/>
  </r>
  <r>
    <s v="C001657"/>
    <x v="387"/>
    <s v="BNR Rwamagana"/>
    <s v="Nyarugenge"/>
    <x v="0"/>
    <x v="12"/>
    <s v="VIP"/>
    <x v="0"/>
    <x v="0"/>
    <n v="3"/>
    <s v="Fiber VPN 3MBPS"/>
    <m/>
    <n v="1"/>
    <n v="180000"/>
    <n v="180000"/>
    <s v="Monthly"/>
    <d v="2026-01-04T00:00:00"/>
    <x v="6"/>
    <x v="6"/>
    <n v="-912"/>
    <x v="1"/>
    <x v="5"/>
    <s v="Emmanuel Ngirinshuti"/>
    <s v="ENgirinshuti@bnr.rw"/>
    <n v="788317747"/>
    <m/>
    <m/>
    <m/>
  </r>
  <r>
    <s v="C001657"/>
    <x v="387"/>
    <s v="VPN BNR HQ"/>
    <s v="Nyarugenge"/>
    <x v="0"/>
    <x v="12"/>
    <s v="VIP"/>
    <x v="0"/>
    <x v="0"/>
    <n v="5"/>
    <s v="Fiber VPN 5MBPS"/>
    <m/>
    <n v="1"/>
    <n v="270000"/>
    <n v="270000"/>
    <s v="Monthly"/>
    <d v="2026-01-04T00:00:00"/>
    <x v="6"/>
    <x v="6"/>
    <n v="-912"/>
    <x v="1"/>
    <x v="5"/>
    <s v="Emmanuel Ngirinshuti"/>
    <s v="ENgirinshuti@bnr.rw"/>
    <n v="788317747"/>
    <m/>
    <m/>
    <m/>
  </r>
  <r>
    <s v="C001657"/>
    <x v="387"/>
    <s v="DARKFIBER"/>
    <s v="Nyarugenge"/>
    <x v="0"/>
    <x v="12"/>
    <s v="VIP"/>
    <x v="0"/>
    <x v="2"/>
    <m/>
    <s v="DARKFIBER"/>
    <n v="66.8"/>
    <n v="1"/>
    <n v="6678345"/>
    <n v="6678345"/>
    <s v="Monthly"/>
    <d v="2026-01-04T00:00:00"/>
    <x v="6"/>
    <x v="6"/>
    <n v="-912"/>
    <x v="1"/>
    <x v="5"/>
    <s v="Emmanuel Ngirinshuti"/>
    <s v="ENgirinshuti@bnr.rw"/>
    <n v="788317747"/>
    <m/>
    <m/>
    <m/>
  </r>
  <r>
    <s v="C001657"/>
    <x v="387"/>
    <s v="BNR HQ"/>
    <s v="Nyarugenge"/>
    <x v="0"/>
    <x v="12"/>
    <s v="VIP"/>
    <x v="0"/>
    <x v="0"/>
    <n v="100"/>
    <s v="Fiber VPN 100MBPS"/>
    <m/>
    <n v="1"/>
    <n v="4216949.1525423732"/>
    <n v="4216949.1525423732"/>
    <s v="Monthly"/>
    <d v="2026-01-04T00:00:00"/>
    <x v="6"/>
    <x v="6"/>
    <n v="-912"/>
    <x v="1"/>
    <x v="5"/>
    <s v="Emmanuel Ngirinshuti"/>
    <s v="ENgirinshuti@bnr.rw"/>
    <n v="788317747"/>
    <m/>
    <m/>
    <m/>
  </r>
  <r>
    <s v="C001686"/>
    <x v="388"/>
    <s v="HQ"/>
    <s v="Gasabo"/>
    <x v="0"/>
    <x v="0"/>
    <s v="Standard"/>
    <x v="1"/>
    <x v="0"/>
    <n v="10"/>
    <s v="FIBER INTERNET 10MBPS GOV"/>
    <m/>
    <n v="1"/>
    <n v="510000"/>
    <n v="510000"/>
    <s v="Monthly"/>
    <d v="2026-01-31T00:00:00"/>
    <x v="6"/>
    <x v="6"/>
    <n v="-939"/>
    <x v="1"/>
    <x v="7"/>
    <s v="Felicien Rimenyande"/>
    <s v="frimenyande@ncpd.gov.rw"/>
    <n v="788445236"/>
    <m/>
    <m/>
    <m/>
  </r>
  <r>
    <s v="C002460"/>
    <x v="389"/>
    <s v="HQ"/>
    <s v="Gasabo"/>
    <x v="0"/>
    <x v="0"/>
    <s v="Standard"/>
    <x v="0"/>
    <x v="6"/>
    <m/>
    <s v="4G ONE NETWORK 5MBPS"/>
    <m/>
    <n v="1"/>
    <n v="101694.92"/>
    <n v="101694.92"/>
    <s v="Monthly"/>
    <d v="2026-01-31T00:00:00"/>
    <x v="6"/>
    <x v="6"/>
    <n v="-939"/>
    <x v="1"/>
    <x v="0"/>
    <s v="Brigitte Niyonsaba "/>
    <s v="ca"/>
    <s v="0788287405"/>
    <m/>
    <m/>
    <m/>
  </r>
  <r>
    <s v="C002460"/>
    <x v="389"/>
    <s v="HQ"/>
    <s v="Gasabo"/>
    <x v="0"/>
    <x v="0"/>
    <s v="Standard"/>
    <x v="0"/>
    <x v="6"/>
    <m/>
    <s v="4G MUP 1GB/DAY"/>
    <m/>
    <n v="8"/>
    <n v="19491.53"/>
    <n v="155932.24"/>
    <s v="Monthly"/>
    <d v="2026-01-31T00:00:00"/>
    <x v="6"/>
    <x v="6"/>
    <n v="-939"/>
    <x v="1"/>
    <x v="0"/>
    <s v="Brigitte Niyonsaba "/>
    <s v="nderasector@gasabo.gov.rw"/>
    <s v="0788287405"/>
    <m/>
    <m/>
    <m/>
  </r>
  <r>
    <s v="C004399"/>
    <x v="390"/>
    <s v="HQ"/>
    <s v="Nyarugenge"/>
    <x v="1"/>
    <x v="5"/>
    <s v="Standard"/>
    <x v="1"/>
    <x v="5"/>
    <n v="120"/>
    <s v="FIBER INTERNET 120MBPS"/>
    <m/>
    <n v="1"/>
    <n v="3100000"/>
    <n v="3100000"/>
    <s v="Monthly"/>
    <d v="2026-01-31T00:00:00"/>
    <x v="6"/>
    <x v="6"/>
    <n v="-939"/>
    <x v="1"/>
    <x v="0"/>
    <s v="Simon Pierre Sharamanzi"/>
    <s v="simon.sharamanzi@parkinn.com"/>
    <s v="0788670646"/>
    <m/>
    <m/>
    <m/>
  </r>
  <r>
    <s v="C000892"/>
    <x v="391"/>
    <s v="HQ"/>
    <s v="Huye"/>
    <x v="0"/>
    <x v="0"/>
    <s v="Standard"/>
    <x v="0"/>
    <x v="0"/>
    <n v="3"/>
    <s v="FIBER VPN 3MBPS"/>
    <m/>
    <n v="1"/>
    <n v="180000"/>
    <n v="180000"/>
    <s v="Monthly"/>
    <d v="2026-02-28T00:00:00"/>
    <x v="7"/>
    <x v="6"/>
    <n v="-967"/>
    <x v="1"/>
    <x v="0"/>
    <s v="Philbert Karenzi"/>
    <s v="ictofficer@huye.gov.rw "/>
    <s v="0788967751"/>
    <m/>
    <m/>
    <m/>
  </r>
  <r>
    <s v="C000892"/>
    <x v="391"/>
    <s v="HQ"/>
    <s v="Huye"/>
    <x v="0"/>
    <x v="0"/>
    <s v="Standard"/>
    <x v="0"/>
    <x v="0"/>
    <n v="12"/>
    <s v="FIBER VPN 12 MBPS"/>
    <m/>
    <n v="1"/>
    <n v="650000"/>
    <n v="650000"/>
    <s v="Monthly"/>
    <d v="2026-02-28T00:00:00"/>
    <x v="7"/>
    <x v="6"/>
    <n v="-967"/>
    <x v="1"/>
    <x v="0"/>
    <s v="Philbert Karenzi"/>
    <s v="ictofficer@huye.gov.rw "/>
    <s v="0788967751"/>
    <m/>
    <m/>
    <m/>
  </r>
  <r>
    <s v="C000892"/>
    <x v="391"/>
    <s v="HQ"/>
    <s v="Huye"/>
    <x v="0"/>
    <x v="0"/>
    <s v="Standard"/>
    <x v="1"/>
    <x v="10"/>
    <m/>
    <s v="VIDEO CONFERENCE"/>
    <m/>
    <n v="1"/>
    <n v="258044.92"/>
    <n v="258044.92"/>
    <s v="Monthly"/>
    <d v="2026-02-28T00:00:00"/>
    <x v="7"/>
    <x v="6"/>
    <n v="-967"/>
    <x v="1"/>
    <x v="0"/>
    <s v="Philbert Karenzi"/>
    <s v="ictofficer@huye.gov.rw "/>
    <s v="0788967751"/>
    <m/>
    <m/>
    <m/>
  </r>
  <r>
    <s v="C000892"/>
    <x v="391"/>
    <s v="HQ"/>
    <s v="Huye"/>
    <x v="0"/>
    <x v="0"/>
    <s v="Standard"/>
    <x v="3"/>
    <x v="7"/>
    <m/>
    <s v="MSS GOLD"/>
    <m/>
    <n v="1"/>
    <n v="369325.42"/>
    <n v="369325.42"/>
    <s v="Monthly"/>
    <d v="2026-02-28T00:00:00"/>
    <x v="7"/>
    <x v="6"/>
    <n v="-967"/>
    <x v="1"/>
    <x v="0"/>
    <s v="Philbert Karenzi"/>
    <s v="ictofficer@huye.gov.rw "/>
    <s v="0788967751"/>
    <m/>
    <m/>
    <m/>
  </r>
  <r>
    <s v="C002035"/>
    <x v="89"/>
    <s v="POST OFFICE HQ"/>
    <s v="Nyarugenge"/>
    <x v="0"/>
    <x v="0"/>
    <s v="Standard"/>
    <x v="0"/>
    <x v="0"/>
    <n v="10"/>
    <s v="FIBER VPN 10MBPS"/>
    <m/>
    <n v="1"/>
    <n v="510000"/>
    <n v="510000"/>
    <s v="Monthly"/>
    <d v="2026-02-28T00:00:00"/>
    <x v="7"/>
    <x v="6"/>
    <n v="-967"/>
    <x v="1"/>
    <x v="2"/>
    <s v="Uwizewe Jean d'Amour"/>
    <s v="uwizewe@i-posita.rw"/>
    <s v="0788-672-782"/>
    <m/>
    <m/>
    <m/>
  </r>
  <r>
    <s v="C002035"/>
    <x v="89"/>
    <s v="POST OFFICE HQ"/>
    <s v="Nyarugenge"/>
    <x v="0"/>
    <x v="0"/>
    <s v="Standard"/>
    <x v="3"/>
    <x v="7"/>
    <m/>
    <s v="MSS SECURE BROWSING"/>
    <m/>
    <n v="1"/>
    <n v="86130"/>
    <n v="86130"/>
    <s v="Monthly"/>
    <d v="2026-02-28T00:00:00"/>
    <x v="7"/>
    <x v="6"/>
    <n v="-967"/>
    <x v="1"/>
    <x v="2"/>
    <s v="Uwizewe Jean d'Amour"/>
    <s v="uwizewe@i-posita.rw"/>
    <s v="0788-672-782"/>
    <m/>
    <m/>
    <m/>
  </r>
  <r>
    <s v="C004038"/>
    <x v="392"/>
    <s v="HQ"/>
    <s v="Gasabo"/>
    <x v="1"/>
    <x v="2"/>
    <s v="Standard"/>
    <x v="0"/>
    <x v="6"/>
    <m/>
    <s v="4G Broadband- 5Mbps"/>
    <m/>
    <n v="1"/>
    <n v="360593.220338983"/>
    <n v="360593.220338983"/>
    <s v="Monthly"/>
    <d v="2026-03-30T00:00:00"/>
    <x v="8"/>
    <x v="6"/>
    <n v="-997"/>
    <x v="1"/>
    <x v="9"/>
    <s v="SANDRINE DUSHIMIMANA"/>
    <s v="dusandrine@yahoo.com"/>
    <n v="784166111"/>
    <m/>
    <m/>
    <m/>
  </r>
  <r>
    <s v="C002107"/>
    <x v="193"/>
    <s v="HQ Secretariat"/>
    <s v="Gasabo"/>
    <x v="0"/>
    <x v="0"/>
    <s v="VIP"/>
    <x v="0"/>
    <x v="6"/>
    <m/>
    <s v="4G ONE NETWORK 5MBPS "/>
    <m/>
    <n v="1"/>
    <n v="101694.91525400001"/>
    <n v="101694.91525400001"/>
    <s v="Monthly"/>
    <d v="2026-03-30T00:00:00"/>
    <x v="8"/>
    <x v="6"/>
    <n v="-997"/>
    <x v="1"/>
    <x v="0"/>
    <s v="Deo Kimonyo "/>
    <s v="deo.kimonyo@risa.gov.rw"/>
    <s v="0788524094"/>
    <m/>
    <m/>
    <m/>
  </r>
  <r>
    <s v="C004367"/>
    <x v="393"/>
    <s v="HQ"/>
    <s v="Nyarugenge"/>
    <x v="1"/>
    <x v="14"/>
    <s v="Standard"/>
    <x v="1"/>
    <x v="5"/>
    <n v="30"/>
    <s v="FiberInternet 30Mbps"/>
    <m/>
    <n v="1"/>
    <n v="1144068"/>
    <n v="1144068"/>
    <s v="Monthly"/>
    <d v="2026-03-31T00:00:00"/>
    <x v="8"/>
    <x v="6"/>
    <n v="-998"/>
    <x v="1"/>
    <x v="7"/>
    <s v="Kabango Joseph"/>
    <s v="joseph@creng.solar"/>
    <n v="788813346"/>
    <m/>
    <m/>
    <m/>
  </r>
  <r>
    <s v="C001691"/>
    <x v="301"/>
    <s v="Fiber Internet: NPSC HQ"/>
    <s v="Nyagatare"/>
    <x v="0"/>
    <x v="0"/>
    <s v="Standard"/>
    <x v="0"/>
    <x v="0"/>
    <n v="5"/>
    <s v="Fiber Broadband Internet 5Mbps"/>
    <m/>
    <n v="1"/>
    <n v="270000"/>
    <n v="270000"/>
    <s v="Monthly"/>
    <d v="2026-03-31T00:00:00"/>
    <x v="8"/>
    <x v="6"/>
    <n v="-998"/>
    <x v="1"/>
    <x v="1"/>
    <s v="Remy Ntwali"/>
    <s v="remy.ntwali@npsc.gov.rw"/>
    <s v="0 783 427 843"/>
    <m/>
    <m/>
    <m/>
  </r>
  <r>
    <s v="C002046"/>
    <x v="185"/>
    <s v="Fiber Internet: PMO HQ"/>
    <s v="Gasabo"/>
    <x v="0"/>
    <x v="0"/>
    <s v="VIP"/>
    <x v="0"/>
    <x v="0"/>
    <n v="30"/>
    <s v="Fiber Broadband Internet 30Mbps"/>
    <m/>
    <n v="1"/>
    <n v="1260000"/>
    <n v="1260000"/>
    <s v="Monthly"/>
    <d v="2026-03-31T00:00:00"/>
    <x v="8"/>
    <x v="6"/>
    <n v="-998"/>
    <x v="1"/>
    <x v="1"/>
    <s v="Gashugi Aimé Claude"/>
    <s v="agashugi@primature.gov.rw"/>
    <s v="0 788 529 042"/>
    <m/>
    <m/>
    <m/>
  </r>
  <r>
    <s v="C002155"/>
    <x v="394"/>
    <s v="Ruhango Sector"/>
    <s v="Ruhango"/>
    <x v="0"/>
    <x v="0"/>
    <s v="Standard"/>
    <x v="0"/>
    <x v="0"/>
    <n v="1"/>
    <s v="FIBER VPN1 MBPS"/>
    <m/>
    <n v="1"/>
    <n v="90000"/>
    <n v="90000"/>
    <s v="Monthly"/>
    <d v="2026-03-31T00:00:00"/>
    <x v="8"/>
    <x v="6"/>
    <n v="-998"/>
    <x v="1"/>
    <x v="0"/>
    <s v="Marine Ishimwe"/>
    <s v="ict@ruhango.gov.rw"/>
    <s v="0788323878"/>
    <m/>
    <m/>
    <m/>
  </r>
  <r>
    <s v="C002155"/>
    <x v="394"/>
    <s v="Lais"/>
    <s v="Ruhango"/>
    <x v="0"/>
    <x v="0"/>
    <s v="Standard"/>
    <x v="0"/>
    <x v="0"/>
    <n v="3"/>
    <s v="FIBER VPN 3MBPS"/>
    <m/>
    <n v="1"/>
    <n v="180000"/>
    <n v="180000"/>
    <s v="Monthly"/>
    <d v="2026-03-31T00:00:00"/>
    <x v="8"/>
    <x v="6"/>
    <n v="-998"/>
    <x v="1"/>
    <x v="0"/>
    <s v="Marine Ishimwe"/>
    <s v="ict@ruhango.gov.rw"/>
    <s v="0788323878"/>
    <m/>
    <m/>
    <m/>
  </r>
  <r>
    <s v="C002155"/>
    <x v="394"/>
    <s v="HQ"/>
    <s v="Ruhango"/>
    <x v="0"/>
    <x v="0"/>
    <s v="Standard"/>
    <x v="0"/>
    <x v="0"/>
    <n v="10"/>
    <s v="FIBER VPN 10MBPS"/>
    <m/>
    <n v="1"/>
    <n v="510000"/>
    <n v="510000"/>
    <s v="Monthly"/>
    <d v="2026-03-31T00:00:00"/>
    <x v="8"/>
    <x v="6"/>
    <n v="-998"/>
    <x v="1"/>
    <x v="0"/>
    <s v="Marine Ishimwe"/>
    <s v="ict@ruhango.gov.rw"/>
    <s v="0788323878"/>
    <m/>
    <m/>
    <m/>
  </r>
  <r>
    <s v="C002155"/>
    <x v="394"/>
    <s v="Ruhango Youth Center"/>
    <s v="Ruhango"/>
    <x v="0"/>
    <x v="0"/>
    <s v="Standard"/>
    <x v="0"/>
    <x v="6"/>
    <m/>
    <s v="4G ONE NETWORK 3MBPS"/>
    <m/>
    <n v="1"/>
    <n v="81355.932203389835"/>
    <n v="81355.932203389835"/>
    <s v="Monthly"/>
    <d v="2026-03-31T00:00:00"/>
    <x v="8"/>
    <x v="6"/>
    <n v="-998"/>
    <x v="1"/>
    <x v="0"/>
    <s v="Marine Ishimwe"/>
    <s v="ict@ruhango.gov.rw"/>
    <s v="0788323878"/>
    <m/>
    <m/>
    <m/>
  </r>
  <r>
    <s v="C002155"/>
    <x v="394"/>
    <s v="HQ"/>
    <s v="Ruhango"/>
    <x v="0"/>
    <x v="0"/>
    <s v="Standard"/>
    <x v="0"/>
    <x v="10"/>
    <m/>
    <s v="VIDEO CONFERENCE"/>
    <m/>
    <n v="1"/>
    <n v="258044.92"/>
    <n v="258044.92"/>
    <s v="Monthly"/>
    <d v="2026-03-31T00:00:00"/>
    <x v="8"/>
    <x v="6"/>
    <n v="-998"/>
    <x v="1"/>
    <x v="0"/>
    <s v="Marine Ishimwe"/>
    <s v="ict@ruhango.gov.rw"/>
    <s v="0788323878"/>
    <m/>
    <m/>
    <m/>
  </r>
  <r>
    <s v="C002155"/>
    <x v="394"/>
    <s v="HQ"/>
    <s v="Ruhango"/>
    <x v="0"/>
    <x v="0"/>
    <s v="Standard"/>
    <x v="3"/>
    <x v="7"/>
    <m/>
    <s v="MSS GOLD"/>
    <m/>
    <n v="1"/>
    <n v="369325.42"/>
    <n v="369325.42"/>
    <s v="Monthly"/>
    <d v="2026-03-31T00:00:00"/>
    <x v="8"/>
    <x v="6"/>
    <n v="-998"/>
    <x v="1"/>
    <x v="0"/>
    <s v="Marine Ishimwe"/>
    <s v="ict@ruhango.gov.rw"/>
    <s v="0788323878"/>
    <m/>
    <m/>
    <m/>
  </r>
  <r>
    <s v="C002155"/>
    <x v="394"/>
    <s v="HQ"/>
    <s v="Ruhango"/>
    <x v="0"/>
    <x v="0"/>
    <s v="Standard"/>
    <x v="0"/>
    <x v="6"/>
    <m/>
    <s v="4G ONE NETWORK 3MBPS"/>
    <m/>
    <n v="3"/>
    <n v="81355.932203389835"/>
    <n v="244067.79661016952"/>
    <s v="Monthly"/>
    <d v="2026-03-31T00:00:00"/>
    <x v="8"/>
    <x v="6"/>
    <n v="-998"/>
    <x v="1"/>
    <x v="0"/>
    <s v="Marine Ishimwe"/>
    <s v="ict@ruhango.gov.rw"/>
    <s v="0788323878"/>
    <m/>
    <m/>
    <m/>
  </r>
  <r>
    <s v="C002155"/>
    <x v="394"/>
    <s v="HQ"/>
    <s v="Ruhango"/>
    <x v="0"/>
    <x v="0"/>
    <s v="Standard"/>
    <x v="0"/>
    <x v="6"/>
    <m/>
    <s v="4G MUP 4GB/DAY"/>
    <m/>
    <n v="9"/>
    <n v="45338.983050847462"/>
    <n v="408050.84745762718"/>
    <s v="Monthly"/>
    <d v="2026-03-31T00:00:00"/>
    <x v="8"/>
    <x v="6"/>
    <n v="-998"/>
    <x v="1"/>
    <x v="0"/>
    <s v="Marine Ishimwe"/>
    <s v="ict@ruhango.gov.rw"/>
    <s v="0788323878"/>
    <m/>
    <m/>
    <m/>
  </r>
  <r>
    <s v="C002155"/>
    <x v="394"/>
    <s v="HQ"/>
    <s v="Ruhango"/>
    <x v="0"/>
    <x v="0"/>
    <s v="Standard"/>
    <x v="0"/>
    <x v="6"/>
    <m/>
    <s v="4G MUP 1GB/DAY"/>
    <m/>
    <n v="16"/>
    <n v="19491.53"/>
    <n v="311864.48"/>
    <s v="Monthly"/>
    <d v="2026-03-31T00:00:00"/>
    <x v="8"/>
    <x v="6"/>
    <n v="-998"/>
    <x v="1"/>
    <x v="0"/>
    <s v="Marine Ishimwe"/>
    <s v="ict@ruhango.gov.rw"/>
    <s v="0788323878"/>
    <m/>
    <m/>
    <m/>
  </r>
  <r>
    <s v="C002155"/>
    <x v="394"/>
    <s v="HQ"/>
    <s v="Ruhango"/>
    <x v="0"/>
    <x v="0"/>
    <s v="Standard"/>
    <x v="0"/>
    <x v="6"/>
    <m/>
    <s v="4G MUP 2GB/DAY"/>
    <m/>
    <n v="60"/>
    <n v="28305.08"/>
    <n v="1698304.8"/>
    <s v="Monthly"/>
    <d v="2026-03-31T00:00:00"/>
    <x v="8"/>
    <x v="6"/>
    <n v="-998"/>
    <x v="1"/>
    <x v="0"/>
    <s v="Marine Ishimwe"/>
    <s v="ict@ruhango.gov.rw"/>
    <s v="0788323878"/>
    <m/>
    <m/>
    <m/>
  </r>
  <r>
    <s v="C002374"/>
    <x v="395"/>
    <s v="HQ"/>
    <s v="Gasabo"/>
    <x v="0"/>
    <x v="2"/>
    <s v="Standard"/>
    <x v="1"/>
    <x v="0"/>
    <n v="15"/>
    <s v="FIBER INTERNET 15MBPS"/>
    <m/>
    <n v="1"/>
    <n v="720000"/>
    <n v="720000"/>
    <s v="Monthly"/>
    <d v="2026-03-31T00:00:00"/>
    <x v="8"/>
    <x v="6"/>
    <n v="-998"/>
    <x v="1"/>
    <x v="7"/>
    <s v="NIYOMUGABO ERIC "/>
    <s v="eric.niyo@rpc.rw"/>
    <n v="780334387"/>
    <m/>
    <m/>
    <m/>
  </r>
  <r>
    <s v="C000883"/>
    <x v="396"/>
    <s v="HQ"/>
    <s v="Gasabo"/>
    <x v="1"/>
    <x v="8"/>
    <s v="Standard"/>
    <x v="1"/>
    <x v="5"/>
    <n v="10"/>
    <s v="FIBER INTERNET 10MBPS"/>
    <m/>
    <n v="1"/>
    <n v="510000"/>
    <n v="510000"/>
    <s v="Monthly"/>
    <d v="2026-04-16T00:00:00"/>
    <x v="9"/>
    <x v="6"/>
    <n v="-1014"/>
    <x v="1"/>
    <x v="7"/>
    <s v="Willy Nzitonda"/>
    <s v="willy.nzitonda@horizongroup.rw"/>
    <n v="788639444"/>
    <m/>
    <m/>
    <m/>
  </r>
  <r>
    <s v="C001519"/>
    <x v="234"/>
    <s v="MUGONERO-MAIN BRANCH"/>
    <s v="Karongi"/>
    <x v="0"/>
    <x v="6"/>
    <s v="Standard"/>
    <x v="0"/>
    <x v="0"/>
    <n v="3"/>
    <s v="FIBER VPN 3MBPS"/>
    <m/>
    <n v="1"/>
    <n v="180000"/>
    <n v="180000"/>
    <s v="Monthly"/>
    <d v="2026-04-19T00:00:00"/>
    <x v="9"/>
    <x v="6"/>
    <n v="-1017"/>
    <x v="1"/>
    <x v="6"/>
    <s v="KAYIBANDA Erneste"/>
    <s v="mugonero.hospital@moh.gov.rw"/>
    <n v="782165443"/>
    <m/>
    <m/>
    <m/>
  </r>
  <r>
    <s v="C000444"/>
    <x v="397"/>
    <s v="College du christ roi"/>
    <s v="Nyanza"/>
    <x v="0"/>
    <x v="4"/>
    <s v="Standard"/>
    <x v="0"/>
    <x v="0"/>
    <n v="3"/>
    <s v="fiber vpn 3mbps"/>
    <m/>
    <n v="1"/>
    <n v="180000"/>
    <n v="180000"/>
    <s v="Monthly"/>
    <d v="2026-04-30T00:00:00"/>
    <x v="9"/>
    <x v="7"/>
    <n v="-1028"/>
    <x v="1"/>
    <x v="4"/>
    <s v="Jacques"/>
    <s v="hakizimanajacques2007@yahoo.fr"/>
    <s v="0783087705/0788833622"/>
    <m/>
    <m/>
    <m/>
  </r>
  <r>
    <s v="C000810"/>
    <x v="398"/>
    <s v="GS MATER DEI"/>
    <s v="Nyanza"/>
    <x v="0"/>
    <x v="4"/>
    <s v="Standard"/>
    <x v="0"/>
    <x v="0"/>
    <n v="3"/>
    <s v="fiber vpn 3mbps"/>
    <m/>
    <n v="1"/>
    <n v="180000"/>
    <n v="180000"/>
    <s v="Monthly"/>
    <d v="2026-04-30T00:00:00"/>
    <x v="9"/>
    <x v="6"/>
    <n v="-1028"/>
    <x v="1"/>
    <x v="4"/>
    <s v="Pelagie"/>
    <s v="gsmaterdeinyanz@yahoo.fr;pelagiemat@gmail.com"/>
    <n v="788300888"/>
    <m/>
    <m/>
    <m/>
  </r>
  <r>
    <s v="C000814"/>
    <x v="399"/>
    <s v="GS ND D'AFRIQUE"/>
    <s v="Rubavu"/>
    <x v="0"/>
    <x v="4"/>
    <s v="Standard"/>
    <x v="0"/>
    <x v="0"/>
    <n v="1"/>
    <s v="fiber vpn 1mbps"/>
    <m/>
    <n v="1"/>
    <n v="90000"/>
    <n v="90000"/>
    <s v="Monthly"/>
    <d v="2026-04-30T00:00:00"/>
    <x v="9"/>
    <x v="6"/>
    <n v="-1028"/>
    <x v="1"/>
    <x v="4"/>
    <s v="Clementine"/>
    <s v="gsndanyundo1985@gmail.com"/>
    <s v="788648586/0788415095"/>
    <m/>
    <m/>
    <m/>
  </r>
  <r>
    <s v="C000822"/>
    <x v="400"/>
    <s v="GS ST PHILIPE NERI"/>
    <s v="Gisagara"/>
    <x v="0"/>
    <x v="4"/>
    <s v="Standard"/>
    <x v="0"/>
    <x v="0"/>
    <n v="3"/>
    <s v="fiber vpn 3mbps"/>
    <m/>
    <n v="1"/>
    <n v="180000"/>
    <n v="180000"/>
    <s v="Monthly"/>
    <d v="2026-04-30T00:00:00"/>
    <x v="9"/>
    <x v="7"/>
    <n v="-1028"/>
    <x v="1"/>
    <x v="4"/>
    <s v="Anselme"/>
    <s v="philippenerigisagara@gmail.com"/>
    <n v="788748996"/>
    <m/>
    <m/>
    <m/>
  </r>
  <r>
    <s v="C001600"/>
    <x v="401"/>
    <s v="IPRC Musanze"/>
    <s v="Musanze"/>
    <x v="0"/>
    <x v="4"/>
    <s v="Standard"/>
    <x v="1"/>
    <x v="0"/>
    <n v="60"/>
    <s v="fiber vpn 60mbps"/>
    <m/>
    <n v="1"/>
    <n v="2295000"/>
    <n v="2295000"/>
    <s v="Monthly"/>
    <d v="2026-04-30T00:00:00"/>
    <x v="9"/>
    <x v="6"/>
    <n v="-1028"/>
    <x v="1"/>
    <x v="4"/>
    <s v="Hodari"/>
    <s v="ahodari@iprcmusanze.rp.ac.rw;info@iprcmusanze.rp.ac.rw;df@iprcmusanze.rp.ac.rw"/>
    <n v="788689002"/>
    <s v="20mbps on ktrn , 40mbps on BSC"/>
    <m/>
    <m/>
  </r>
  <r>
    <s v="C001600"/>
    <x v="401"/>
    <s v="IPRC Musanze"/>
    <s v="Musanze"/>
    <x v="0"/>
    <x v="4"/>
    <s v="Standard"/>
    <x v="1"/>
    <x v="0"/>
    <n v="4"/>
    <s v="4g MUP 4GB/DAY (4 sim cards)"/>
    <m/>
    <n v="4"/>
    <n v="77712"/>
    <n v="310848"/>
    <s v="Monthly"/>
    <d v="2026-04-30T00:00:00"/>
    <x v="9"/>
    <x v="6"/>
    <n v="-1028"/>
    <x v="1"/>
    <x v="4"/>
    <s v="Hodari"/>
    <s v="ahodari@iprcmusanze.rp.ac.rw;info@iprcmusanze.rp.ac.rw;df@iprcmusanze.rp.ac.rw"/>
    <n v="788689002"/>
    <m/>
    <m/>
    <m/>
  </r>
  <r>
    <s v="C001063"/>
    <x v="375"/>
    <s v="KABGAYI -MAIN BRANCH"/>
    <s v="Muhanga"/>
    <x v="0"/>
    <x v="6"/>
    <s v="Standard"/>
    <x v="0"/>
    <x v="0"/>
    <n v="10"/>
    <s v="FIBER VPN 10MBPS"/>
    <m/>
    <n v="1"/>
    <n v="510000"/>
    <n v="510000"/>
    <s v="Monthly"/>
    <d v="2026-04-30T00:00:00"/>
    <x v="9"/>
    <x v="6"/>
    <n v="-1028"/>
    <x v="1"/>
    <x v="6"/>
    <s v="BIRAHO Pantaleon"/>
    <s v="pantaleon.biraho@kabgayihospital.rw;info@kabgayihospital.rw"/>
    <n v="788857767"/>
    <m/>
    <m/>
    <m/>
  </r>
  <r>
    <s v="C001063"/>
    <x v="375"/>
    <s v="KABGAYI -MAIN BRANCH"/>
    <s v="Muhanga"/>
    <x v="0"/>
    <x v="6"/>
    <s v="Standard"/>
    <x v="3"/>
    <x v="7"/>
    <m/>
    <s v="MSS GOLD"/>
    <m/>
    <n v="1"/>
    <n v="369325"/>
    <n v="369325"/>
    <s v="Monthly"/>
    <d v="2026-04-30T00:00:00"/>
    <x v="9"/>
    <x v="6"/>
    <n v="-1028"/>
    <x v="1"/>
    <x v="6"/>
    <s v="BIRAHO Pantaleon"/>
    <s v="pantaleon.biraho@kabgayihospital.rw;info@kabgayihospital.rw"/>
    <n v="788857767"/>
    <m/>
    <m/>
    <m/>
  </r>
  <r>
    <s v="C001654"/>
    <x v="238"/>
    <s v="NAEB"/>
    <s v="Nyarugenge"/>
    <x v="0"/>
    <x v="0"/>
    <s v="Standard"/>
    <x v="0"/>
    <x v="6"/>
    <m/>
    <s v="5Mbps One Network"/>
    <m/>
    <n v="1"/>
    <n v="101694.91525423729"/>
    <n v="101694.91525423729"/>
    <s v="Monthly"/>
    <d v="2026-05-01T00:00:00"/>
    <x v="10"/>
    <x v="6"/>
    <n v="-1029"/>
    <x v="1"/>
    <x v="5"/>
    <s v="Uwizeyimana Leonille"/>
    <s v="m.mediatrice@naeb.gov.rw"/>
    <n v="788352491"/>
    <m/>
    <m/>
    <m/>
  </r>
  <r>
    <s v="C004187"/>
    <x v="402"/>
    <s v="STECOMA-MAIN BRANCH"/>
    <s v="Gasabo"/>
    <x v="1"/>
    <x v="2"/>
    <s v="Standard"/>
    <x v="1"/>
    <x v="1"/>
    <m/>
    <s v="1GB RAM,1VCPU &amp; 30GB STORAGE"/>
    <m/>
    <n v="1"/>
    <n v="15451.000000000002"/>
    <n v="15451.000000000002"/>
    <s v="Bi-Annually"/>
    <d v="2026-05-07T00:00:00"/>
    <x v="10"/>
    <x v="6"/>
    <n v="-1035"/>
    <x v="1"/>
    <x v="6"/>
    <s v="HAKUZWEYEZU Placide"/>
    <s v="info@stecoma.org.rw"/>
    <n v="784762982"/>
    <m/>
    <m/>
    <m/>
  </r>
  <r>
    <s v="C001903"/>
    <x v="403"/>
    <s v="HQ"/>
    <s v="Nyamasheke"/>
    <x v="0"/>
    <x v="0"/>
    <s v="Standard"/>
    <x v="0"/>
    <x v="0"/>
    <n v="3"/>
    <s v="FIBER VPN 3MBPS"/>
    <m/>
    <n v="1"/>
    <n v="180000"/>
    <n v="180000"/>
    <s v="Monthly"/>
    <d v="2026-05-17T00:00:00"/>
    <x v="10"/>
    <x v="6"/>
    <n v="-1045"/>
    <x v="1"/>
    <x v="5"/>
    <s v="Paulin "/>
    <s v="ict@nyamasheke.gov.rw"/>
    <n v="788500943"/>
    <m/>
    <m/>
    <m/>
  </r>
  <r>
    <s v="C001903"/>
    <x v="403"/>
    <s v="HQ"/>
    <s v="Nyamasheke"/>
    <x v="0"/>
    <x v="0"/>
    <s v="Standard"/>
    <x v="0"/>
    <x v="0"/>
    <n v="5"/>
    <s v="FIBER VPN 5MBPS"/>
    <m/>
    <n v="1"/>
    <n v="270000"/>
    <n v="270000"/>
    <s v="Monthly"/>
    <d v="2026-05-17T00:00:00"/>
    <x v="10"/>
    <x v="6"/>
    <n v="-1045"/>
    <x v="1"/>
    <x v="5"/>
    <s v="Paulin "/>
    <s v="ict@nyamasheke.gov.rw"/>
    <n v="788500943"/>
    <m/>
    <m/>
    <m/>
  </r>
  <r>
    <s v="C001903"/>
    <x v="403"/>
    <s v="HQ"/>
    <s v="Nyamasheke"/>
    <x v="0"/>
    <x v="0"/>
    <s v="Standard"/>
    <x v="1"/>
    <x v="10"/>
    <m/>
    <s v="VIDEO CONFERENCE"/>
    <m/>
    <n v="1"/>
    <n v="258044.92"/>
    <n v="258044.92"/>
    <s v="Monthly"/>
    <d v="2026-05-17T00:00:00"/>
    <x v="10"/>
    <x v="6"/>
    <n v="-1045"/>
    <x v="1"/>
    <x v="5"/>
    <s v="Paulin "/>
    <s v="ict@nyamasheke.gov.rw"/>
    <n v="788500943"/>
    <m/>
    <m/>
    <m/>
  </r>
  <r>
    <s v="C001903"/>
    <x v="403"/>
    <s v="CELL"/>
    <s v="Nyamasheke"/>
    <x v="0"/>
    <x v="0"/>
    <s v="Standard"/>
    <x v="3"/>
    <x v="7"/>
    <m/>
    <s v="MSS GOLD"/>
    <m/>
    <n v="1"/>
    <n v="369325.42"/>
    <n v="369325.42"/>
    <s v="Monthly"/>
    <d v="2026-05-17T00:00:00"/>
    <x v="10"/>
    <x v="6"/>
    <n v="-1045"/>
    <x v="1"/>
    <x v="5"/>
    <s v="Paulin "/>
    <s v="ict@nyamasheke.gov.rw"/>
    <n v="788500943"/>
    <m/>
    <m/>
    <m/>
  </r>
  <r>
    <s v="C001903"/>
    <x v="403"/>
    <s v="CELL"/>
    <s v="Nyamasheke"/>
    <x v="0"/>
    <x v="0"/>
    <s v="Standard"/>
    <x v="0"/>
    <x v="6"/>
    <m/>
    <s v=" 4G MUP 4GB/DAY "/>
    <m/>
    <n v="33"/>
    <n v="45338.98"/>
    <n v="1496186.34"/>
    <s v="Monthly"/>
    <d v="2026-05-17T00:00:00"/>
    <x v="10"/>
    <x v="6"/>
    <n v="-1045"/>
    <x v="1"/>
    <x v="5"/>
    <s v="Paulin "/>
    <s v="ict@nyamasheke.gov.rw"/>
    <n v="788500943"/>
    <m/>
    <m/>
    <m/>
  </r>
  <r>
    <s v="C001903"/>
    <x v="403"/>
    <s v="CELL"/>
    <s v="Nyamasheke"/>
    <x v="0"/>
    <x v="0"/>
    <s v="Standard"/>
    <x v="0"/>
    <x v="6"/>
    <m/>
    <s v="4G MUP 2GB/DAY"/>
    <m/>
    <n v="68"/>
    <n v="28305.08"/>
    <n v="1924745.4400000002"/>
    <s v="Monthly"/>
    <d v="2026-05-17T00:00:00"/>
    <x v="10"/>
    <x v="6"/>
    <n v="-1045"/>
    <x v="1"/>
    <x v="5"/>
    <s v="Paulin "/>
    <s v="ict@nyamasheke.gov.rw"/>
    <n v="788500943"/>
    <m/>
    <m/>
    <m/>
  </r>
  <r>
    <s v="C000460"/>
    <x v="404"/>
    <s v="COPED LTD"/>
    <s v="Nyarugenge"/>
    <x v="1"/>
    <x v="2"/>
    <s v="Standard"/>
    <x v="1"/>
    <x v="1"/>
    <m/>
    <s v="1vCPU, 2GB RAM &amp; 100GB "/>
    <m/>
    <n v="1"/>
    <n v="53563"/>
    <n v="53563"/>
    <s v="Monthly"/>
    <d v="2026-05-31T00:00:00"/>
    <x v="10"/>
    <x v="6"/>
    <n v="-1059"/>
    <x v="1"/>
    <x v="5"/>
    <s v="Paulin Buregeya"/>
    <s v="bpaulin@copedgroup.com"/>
    <n v="785920129"/>
    <m/>
    <m/>
    <m/>
  </r>
  <r>
    <s v="C004181"/>
    <x v="405"/>
    <s v="HQ "/>
    <s v="Kicukiro"/>
    <x v="1"/>
    <x v="2"/>
    <s v="Standard"/>
    <x v="1"/>
    <x v="5"/>
    <n v="10"/>
    <s v="Fiber Internet 10Mbps"/>
    <m/>
    <n v="1"/>
    <n v="510000"/>
    <n v="510000"/>
    <s v="Monthly"/>
    <d v="2026-05-31T00:00:00"/>
    <x v="10"/>
    <x v="6"/>
    <n v="-1059"/>
    <x v="1"/>
    <x v="0"/>
    <s v="Jean Pierre Ndayisaba "/>
    <s v="jeanpierre.ndayisaba@ggr.co.rw"/>
    <s v="0788313018"/>
    <m/>
    <m/>
    <m/>
  </r>
  <r>
    <s v="C000884"/>
    <x v="406"/>
    <s v="HQ"/>
    <s v="Gasabo"/>
    <x v="0"/>
    <x v="8"/>
    <s v="Standard"/>
    <x v="0"/>
    <x v="5"/>
    <n v="3"/>
    <s v="Fiber Broadband Internet 3Mbps"/>
    <m/>
    <n v="1"/>
    <n v="180000"/>
    <n v="180000"/>
    <s v="Monthly"/>
    <d v="2026-05-31T00:00:00"/>
    <x v="10"/>
    <x v="6"/>
    <n v="-1059"/>
    <x v="1"/>
    <x v="7"/>
    <s v="Willy Nzitonda"/>
    <s v="willy.nzitonda@horizongroup.rw"/>
    <n v="788639444"/>
    <m/>
    <m/>
    <m/>
  </r>
  <r>
    <s v="C001828"/>
    <x v="62"/>
    <s v="Fiber VPN: IECMS - Gasabo"/>
    <s v="Gasabo"/>
    <x v="0"/>
    <x v="11"/>
    <s v="Standard"/>
    <x v="0"/>
    <x v="0"/>
    <n v="1"/>
    <s v="Fiber VPN 1Mbps"/>
    <m/>
    <n v="1"/>
    <n v="90000"/>
    <n v="90000"/>
    <s v="Monthly"/>
    <d v="2026-05-31T00:00:00"/>
    <x v="10"/>
    <x v="6"/>
    <n v="-1059"/>
    <x v="1"/>
    <x v="1"/>
    <s v="Sosthene Nsabimaba"/>
    <s v="sosthene.nsabimana@nppa.gov.rw"/>
    <s v="0 783 332 059"/>
    <m/>
    <m/>
    <m/>
  </r>
  <r>
    <s v="C001828"/>
    <x v="62"/>
    <s v="Fiber VPN: IECMS - Musanze"/>
    <s v="Gicumbi"/>
    <x v="0"/>
    <x v="11"/>
    <s v="Standard"/>
    <x v="0"/>
    <x v="0"/>
    <n v="1"/>
    <s v="Fiber VPN 1Mbps"/>
    <m/>
    <n v="1"/>
    <n v="90000"/>
    <n v="90000"/>
    <s v="Monthly"/>
    <d v="2026-05-31T00:00:00"/>
    <x v="10"/>
    <x v="6"/>
    <n v="-1059"/>
    <x v="1"/>
    <x v="1"/>
    <s v="Sosthene Nsabimaba"/>
    <s v="sosthene.nsabimana@nppa.gov.rw"/>
    <s v="0 783 332 059"/>
    <m/>
    <m/>
    <m/>
  </r>
  <r>
    <s v="C001828"/>
    <x v="62"/>
    <s v="Fiber VPN: IECMS - Rubavu"/>
    <s v="Huye"/>
    <x v="0"/>
    <x v="11"/>
    <s v="Standard"/>
    <x v="0"/>
    <x v="0"/>
    <n v="1"/>
    <s v="Fiber VPN 1Mbps"/>
    <m/>
    <n v="1"/>
    <n v="90000"/>
    <n v="90000"/>
    <s v="Monthly"/>
    <d v="2026-05-31T00:00:00"/>
    <x v="10"/>
    <x v="6"/>
    <n v="-1059"/>
    <x v="1"/>
    <x v="1"/>
    <s v="Sosthene Nsabimaba"/>
    <s v="sosthene.nsabimana@nppa.gov.rw"/>
    <s v="0 783 332 059"/>
    <m/>
    <m/>
    <m/>
  </r>
  <r>
    <s v="C001828"/>
    <x v="62"/>
    <s v="Fiber VPN: IECMS - Rusizi"/>
    <s v="Karongi"/>
    <x v="0"/>
    <x v="11"/>
    <s v="Standard"/>
    <x v="0"/>
    <x v="0"/>
    <n v="1"/>
    <s v="Fiber VPN 1Mbps"/>
    <m/>
    <n v="1"/>
    <n v="90000"/>
    <n v="90000"/>
    <s v="Monthly"/>
    <d v="2026-05-31T00:00:00"/>
    <x v="10"/>
    <x v="6"/>
    <n v="-1059"/>
    <x v="1"/>
    <x v="1"/>
    <s v="Sosthene Nsabimaba"/>
    <s v="sosthene.nsabimana@nppa.gov.rw"/>
    <s v="0 783 332 059"/>
    <m/>
    <m/>
    <m/>
  </r>
  <r>
    <s v="C001828"/>
    <x v="62"/>
    <s v="Fiber VPN: IECMS - Gicumbi"/>
    <s v="Muhanga"/>
    <x v="0"/>
    <x v="11"/>
    <s v="Standard"/>
    <x v="0"/>
    <x v="0"/>
    <n v="1"/>
    <s v="Fiber VPN 1Mbps"/>
    <m/>
    <n v="1"/>
    <n v="90000"/>
    <n v="90000"/>
    <s v="Monthly"/>
    <d v="2026-05-31T00:00:00"/>
    <x v="10"/>
    <x v="6"/>
    <n v="-1059"/>
    <x v="1"/>
    <x v="1"/>
    <s v="Sosthene Nsabimaba"/>
    <s v="sosthene.nsabimana@nppa.gov.rw"/>
    <s v="0 783 332 059"/>
    <m/>
    <m/>
    <m/>
  </r>
  <r>
    <s v="C001828"/>
    <x v="62"/>
    <s v="Fiber VPN: IECMS - Huye"/>
    <s v="Musanze"/>
    <x v="0"/>
    <x v="11"/>
    <s v="Standard"/>
    <x v="0"/>
    <x v="0"/>
    <n v="1"/>
    <s v="Fiber VPN 1Mbps"/>
    <m/>
    <n v="1"/>
    <n v="90000"/>
    <n v="90000"/>
    <s v="Monthly"/>
    <d v="2026-05-31T00:00:00"/>
    <x v="10"/>
    <x v="6"/>
    <n v="-1059"/>
    <x v="1"/>
    <x v="1"/>
    <s v="Sosthene Nsabimaba"/>
    <s v="sosthene.nsabimana@nppa.gov.rw"/>
    <s v="0 783 332 059"/>
    <m/>
    <m/>
    <m/>
  </r>
  <r>
    <s v="C001828"/>
    <x v="62"/>
    <s v="Fiber VPN: IECMS - Karongi"/>
    <s v="Musanze"/>
    <x v="0"/>
    <x v="11"/>
    <s v="Standard"/>
    <x v="0"/>
    <x v="0"/>
    <n v="1"/>
    <s v="Fiber VPN 1Mbps"/>
    <m/>
    <n v="1"/>
    <n v="90000"/>
    <n v="90000"/>
    <s v="Monthly"/>
    <d v="2026-05-31T00:00:00"/>
    <x v="10"/>
    <x v="6"/>
    <n v="-1059"/>
    <x v="1"/>
    <x v="1"/>
    <s v="Sosthene Nsabimaba"/>
    <s v="sosthene.nsabimana@nppa.gov.rw"/>
    <s v="0 783 332 059"/>
    <m/>
    <m/>
    <m/>
  </r>
  <r>
    <s v="C001828"/>
    <x v="62"/>
    <s v="Fiber VPN: IECMS - Nyamagabe"/>
    <s v="Ngoma"/>
    <x v="0"/>
    <x v="11"/>
    <s v="Standard"/>
    <x v="0"/>
    <x v="0"/>
    <n v="1"/>
    <s v="Fiber VPN 1Mbps"/>
    <m/>
    <n v="1"/>
    <n v="90000"/>
    <n v="90000"/>
    <s v="Monthly"/>
    <d v="2026-05-31T00:00:00"/>
    <x v="10"/>
    <x v="6"/>
    <n v="-1059"/>
    <x v="1"/>
    <x v="1"/>
    <s v="Sosthene Nsabimaba"/>
    <s v="sosthene.nsabimana@nppa.gov.rw"/>
    <s v="0 783 332 059"/>
    <m/>
    <m/>
    <m/>
  </r>
  <r>
    <s v="C001828"/>
    <x v="62"/>
    <s v="Fiber VPN: IECMS - Ngoma"/>
    <s v="Nyagatare"/>
    <x v="0"/>
    <x v="11"/>
    <s v="Standard"/>
    <x v="0"/>
    <x v="0"/>
    <n v="1"/>
    <s v="Fiber VPN 1Mbps"/>
    <m/>
    <n v="1"/>
    <n v="90000"/>
    <n v="90000"/>
    <s v="Monthly"/>
    <d v="2026-05-31T00:00:00"/>
    <x v="10"/>
    <x v="6"/>
    <n v="-1059"/>
    <x v="1"/>
    <x v="1"/>
    <s v="Sosthene Nsabimaba"/>
    <s v="sosthene.nsabimana@nppa.gov.rw"/>
    <s v="0 783 332 059"/>
    <m/>
    <m/>
    <m/>
  </r>
  <r>
    <s v="C001828"/>
    <x v="62"/>
    <s v="Fiber VPN: IECMS - Muhanga"/>
    <s v="Nyamagabe"/>
    <x v="0"/>
    <x v="11"/>
    <s v="Standard"/>
    <x v="0"/>
    <x v="0"/>
    <n v="1"/>
    <s v="Fiber VPN 1Mbps"/>
    <m/>
    <n v="1"/>
    <n v="90000"/>
    <n v="90000"/>
    <s v="Monthly"/>
    <d v="2026-05-31T00:00:00"/>
    <x v="10"/>
    <x v="6"/>
    <n v="-1059"/>
    <x v="1"/>
    <x v="1"/>
    <s v="Sosthene Nsabimaba"/>
    <s v="sosthene.nsabimana@nppa.gov.rw"/>
    <s v="0 783 332 059"/>
    <m/>
    <m/>
    <m/>
  </r>
  <r>
    <s v="C001828"/>
    <x v="62"/>
    <s v="Fiber VPN: IECMS - Nyagatare"/>
    <s v="Nyarugenge"/>
    <x v="0"/>
    <x v="11"/>
    <s v="Standard"/>
    <x v="0"/>
    <x v="0"/>
    <n v="1"/>
    <s v="Fiber VPN 1Mbps"/>
    <m/>
    <n v="1"/>
    <n v="90000"/>
    <n v="90000"/>
    <s v="Monthly"/>
    <d v="2026-05-31T00:00:00"/>
    <x v="10"/>
    <x v="6"/>
    <n v="-1059"/>
    <x v="1"/>
    <x v="1"/>
    <s v="Sosthene Nsabimaba"/>
    <s v="sosthene.nsabimana@nppa.gov.rw"/>
    <s v="0 783 332 059"/>
    <m/>
    <m/>
    <m/>
  </r>
  <r>
    <s v="C001828"/>
    <x v="62"/>
    <s v="Fiber VPN: IECMS - Nyarugenge"/>
    <s v="Nyarugenge"/>
    <x v="0"/>
    <x v="11"/>
    <s v="Standard"/>
    <x v="0"/>
    <x v="0"/>
    <n v="1"/>
    <s v="Fiber VPN 1Mbps"/>
    <m/>
    <n v="1"/>
    <n v="90000"/>
    <n v="90000"/>
    <s v="Monthly"/>
    <d v="2026-05-31T00:00:00"/>
    <x v="10"/>
    <x v="6"/>
    <n v="-1059"/>
    <x v="1"/>
    <x v="1"/>
    <s v="Sosthene Nsabimaba"/>
    <s v="sosthene.nsabimana@nppa.gov.rw"/>
    <s v="0 783 332 059"/>
    <m/>
    <m/>
    <m/>
  </r>
  <r>
    <s v="C001828"/>
    <x v="62"/>
    <s v="Fiber VPN: IECMS - Nyarugenge Base"/>
    <s v="Rubavu"/>
    <x v="0"/>
    <x v="11"/>
    <s v="Standard"/>
    <x v="0"/>
    <x v="0"/>
    <n v="1"/>
    <s v="Fiber VPN 1Mbps"/>
    <m/>
    <n v="1"/>
    <n v="90000"/>
    <n v="90000"/>
    <s v="Monthly"/>
    <d v="2026-05-31T00:00:00"/>
    <x v="10"/>
    <x v="6"/>
    <n v="-1059"/>
    <x v="1"/>
    <x v="1"/>
    <s v="Sosthene Nsabimaba"/>
    <s v="sosthene.nsabimana@nppa.gov.rw"/>
    <s v="0 783 332 059"/>
    <m/>
    <m/>
    <m/>
  </r>
  <r>
    <s v="C001828"/>
    <x v="62"/>
    <s v="Fiber VPN: IECMS - Kicukiro "/>
    <s v="Rusizi"/>
    <x v="0"/>
    <x v="11"/>
    <s v="Standard"/>
    <x v="0"/>
    <x v="0"/>
    <n v="1"/>
    <s v="Fiber VPN 1Mbps"/>
    <m/>
    <n v="1"/>
    <n v="90000"/>
    <n v="90000"/>
    <s v="Monthly"/>
    <d v="2026-05-31T00:00:00"/>
    <x v="10"/>
    <x v="6"/>
    <n v="-1059"/>
    <x v="1"/>
    <x v="1"/>
    <s v="Sosthene Nsabimaba"/>
    <s v="sosthene.nsabimana@nppa.gov.rw"/>
    <s v="0 783 332 059"/>
    <m/>
    <m/>
    <m/>
  </r>
  <r>
    <s v="C001828"/>
    <x v="62"/>
    <s v="Fiber Internet: Gasabo"/>
    <s v="Gasabo"/>
    <x v="0"/>
    <x v="11"/>
    <s v="Standard"/>
    <x v="0"/>
    <x v="0"/>
    <n v="3"/>
    <s v="Fiber Broadband Internet 3Mbps"/>
    <m/>
    <n v="1"/>
    <n v="180000"/>
    <n v="180000"/>
    <s v="Monthly"/>
    <d v="2026-05-31T00:00:00"/>
    <x v="10"/>
    <x v="6"/>
    <n v="-1059"/>
    <x v="1"/>
    <x v="1"/>
    <s v="Sosthene Nsabimaba"/>
    <s v="sosthene.nsabimana@nppa.gov.rw"/>
    <s v="0 783 332 059"/>
    <m/>
    <m/>
    <m/>
  </r>
  <r>
    <s v="C001828"/>
    <x v="62"/>
    <s v="Fiber Internet: Gicumbi"/>
    <s v="Gicumbi"/>
    <x v="0"/>
    <x v="11"/>
    <s v="Standard"/>
    <x v="0"/>
    <x v="0"/>
    <n v="3"/>
    <s v="Fiber Broadband Internet 3Mbps"/>
    <m/>
    <n v="1"/>
    <n v="180000"/>
    <n v="180000"/>
    <s v="Monthly"/>
    <d v="2026-05-31T00:00:00"/>
    <x v="10"/>
    <x v="6"/>
    <n v="-1059"/>
    <x v="1"/>
    <x v="1"/>
    <s v="Sosthene Nsabimaba"/>
    <s v="sosthene.nsabimana@nppa.gov.rw"/>
    <s v="0 783 332 059"/>
    <m/>
    <m/>
    <m/>
  </r>
  <r>
    <s v="C001828"/>
    <x v="62"/>
    <s v="Fiber Internet: Huye"/>
    <s v="Huye"/>
    <x v="0"/>
    <x v="11"/>
    <s v="Standard"/>
    <x v="0"/>
    <x v="0"/>
    <n v="3"/>
    <s v="Fiber Broadband Internet 3Mbps"/>
    <m/>
    <n v="1"/>
    <n v="180000"/>
    <n v="180000"/>
    <s v="Monthly"/>
    <d v="2026-05-31T00:00:00"/>
    <x v="10"/>
    <x v="6"/>
    <n v="-1059"/>
    <x v="1"/>
    <x v="1"/>
    <s v="Sosthene Nsabimaba"/>
    <s v="sosthene.nsabimana@nppa.gov.rw"/>
    <s v="0 783 332 059"/>
    <m/>
    <m/>
    <m/>
  </r>
  <r>
    <s v="C001828"/>
    <x v="62"/>
    <s v="Fiber Internet: Karongi"/>
    <s v="Karongi"/>
    <x v="0"/>
    <x v="11"/>
    <s v="Standard"/>
    <x v="0"/>
    <x v="0"/>
    <n v="3"/>
    <s v="Fiber Broadband Internet 3Mbps"/>
    <m/>
    <n v="1"/>
    <n v="180000"/>
    <n v="180000"/>
    <s v="Monthly"/>
    <d v="2026-05-31T00:00:00"/>
    <x v="10"/>
    <x v="6"/>
    <n v="-1059"/>
    <x v="1"/>
    <x v="1"/>
    <s v="Sosthene Nsabimaba"/>
    <s v="sosthene.nsabimana@nppa.gov.rw"/>
    <s v="0 783 332 059"/>
    <m/>
    <m/>
    <m/>
  </r>
  <r>
    <s v="C001828"/>
    <x v="62"/>
    <s v="Fiber Internet: Kicukiro (Nyarugunga)"/>
    <s v="Kicukiro"/>
    <x v="0"/>
    <x v="11"/>
    <s v="Standard"/>
    <x v="0"/>
    <x v="0"/>
    <n v="3"/>
    <s v="Fiber Broadband Internet 3Mbps"/>
    <m/>
    <n v="1"/>
    <n v="180000"/>
    <n v="180000"/>
    <s v="Monthly"/>
    <d v="2026-05-31T00:00:00"/>
    <x v="10"/>
    <x v="6"/>
    <n v="-1059"/>
    <x v="1"/>
    <x v="1"/>
    <s v="Sosthene Nsabimaba"/>
    <s v="sosthene.nsabimana@nppa.gov.rw"/>
    <s v="0 783 332 059"/>
    <m/>
    <m/>
    <m/>
  </r>
  <r>
    <s v="C001828"/>
    <x v="62"/>
    <s v="Fiber Internet: Muhanga "/>
    <s v="Muhanga"/>
    <x v="0"/>
    <x v="11"/>
    <s v="Standard"/>
    <x v="0"/>
    <x v="0"/>
    <n v="3"/>
    <s v="Fiber Broadband Internet 3Mbps"/>
    <m/>
    <n v="1"/>
    <n v="180000"/>
    <n v="180000"/>
    <s v="Monthly"/>
    <d v="2026-05-31T00:00:00"/>
    <x v="10"/>
    <x v="6"/>
    <n v="-1059"/>
    <x v="1"/>
    <x v="1"/>
    <s v="Sosthene Nsabimaba"/>
    <s v="sosthene.nsabimana@nppa.gov.rw"/>
    <s v="0 783 332 059"/>
    <m/>
    <m/>
    <m/>
  </r>
  <r>
    <s v="C001828"/>
    <x v="62"/>
    <s v="Fiber Internet: Musanze"/>
    <s v="Musanze"/>
    <x v="0"/>
    <x v="11"/>
    <s v="Standard"/>
    <x v="0"/>
    <x v="0"/>
    <n v="3"/>
    <s v="Fiber Broadband Internet 3Mbps"/>
    <m/>
    <n v="1"/>
    <n v="180000"/>
    <n v="180000"/>
    <s v="Monthly"/>
    <d v="2026-05-31T00:00:00"/>
    <x v="10"/>
    <x v="6"/>
    <n v="-1059"/>
    <x v="1"/>
    <x v="1"/>
    <s v="Sosthene Nsabimaba"/>
    <s v="sosthene.nsabimana@nppa.gov.rw"/>
    <s v="0 783 332 059"/>
    <m/>
    <m/>
    <m/>
  </r>
  <r>
    <s v="C001828"/>
    <x v="62"/>
    <s v="Fiber Internet: Ngoma"/>
    <s v="Ngoma"/>
    <x v="0"/>
    <x v="11"/>
    <s v="Standard"/>
    <x v="0"/>
    <x v="0"/>
    <n v="3"/>
    <s v="Fiber Broadband Internet 3Mbps"/>
    <m/>
    <n v="1"/>
    <n v="180000"/>
    <n v="180000"/>
    <s v="Monthly"/>
    <d v="2026-05-31T00:00:00"/>
    <x v="10"/>
    <x v="6"/>
    <n v="-1059"/>
    <x v="1"/>
    <x v="1"/>
    <s v="Sosthene Nsabimaba"/>
    <s v="sosthene.nsabimana@nppa.gov.rw"/>
    <s v="0 783 332 059"/>
    <m/>
    <m/>
    <m/>
  </r>
  <r>
    <s v="C001828"/>
    <x v="62"/>
    <s v="Fiber Internet: Nyagatare"/>
    <s v="Nyagatare"/>
    <x v="0"/>
    <x v="11"/>
    <s v="Standard"/>
    <x v="0"/>
    <x v="0"/>
    <n v="3"/>
    <s v="Fiber Broadband Internet 3Mbps"/>
    <m/>
    <n v="1"/>
    <n v="180000"/>
    <n v="180000"/>
    <s v="Monthly"/>
    <d v="2026-05-31T00:00:00"/>
    <x v="10"/>
    <x v="6"/>
    <n v="-1059"/>
    <x v="1"/>
    <x v="1"/>
    <s v="Sosthene Nsabimaba"/>
    <s v="sosthene.nsabimana@nppa.gov.rw"/>
    <s v="0 783 332 059"/>
    <m/>
    <m/>
    <m/>
  </r>
  <r>
    <s v="C001828"/>
    <x v="62"/>
    <s v="Fiber Internet: Nyamagabe"/>
    <s v="Nyamagabe"/>
    <x v="0"/>
    <x v="11"/>
    <s v="Standard"/>
    <x v="0"/>
    <x v="0"/>
    <n v="3"/>
    <s v="Fiber Broadband Internet 3Mbps"/>
    <m/>
    <n v="1"/>
    <n v="180000"/>
    <n v="180000"/>
    <s v="Monthly"/>
    <d v="2026-05-31T00:00:00"/>
    <x v="10"/>
    <x v="6"/>
    <n v="-1059"/>
    <x v="1"/>
    <x v="1"/>
    <s v="Sosthene Nsabimaba"/>
    <s v="sosthene.nsabimana@nppa.gov.rw"/>
    <s v="0 783 332 059"/>
    <m/>
    <m/>
    <m/>
  </r>
  <r>
    <s v="C001828"/>
    <x v="62"/>
    <s v="Fiber Internet: Nyarugenge"/>
    <s v="Nyarugenge"/>
    <x v="0"/>
    <x v="11"/>
    <s v="Standard"/>
    <x v="0"/>
    <x v="0"/>
    <n v="3"/>
    <s v="Fiber Broadband Internet 3Mbps"/>
    <m/>
    <n v="1"/>
    <n v="180000"/>
    <n v="180000"/>
    <s v="Monthly"/>
    <d v="2026-05-31T00:00:00"/>
    <x v="10"/>
    <x v="6"/>
    <n v="-1059"/>
    <x v="1"/>
    <x v="1"/>
    <s v="Sosthene Nsabimaba"/>
    <s v="sosthene.nsabimana@nppa.gov.rw"/>
    <s v="0 783 332 059"/>
    <m/>
    <m/>
    <m/>
  </r>
  <r>
    <s v="C001828"/>
    <x v="62"/>
    <s v="Fiber Internet: Nyarugenge Base"/>
    <s v="Nyarugenge"/>
    <x v="0"/>
    <x v="11"/>
    <s v="Standard"/>
    <x v="0"/>
    <x v="0"/>
    <n v="3"/>
    <s v="Fiber Broadband Internet 3Mbps"/>
    <m/>
    <n v="1"/>
    <n v="180000"/>
    <n v="180000"/>
    <s v="Monthly"/>
    <d v="2026-05-31T00:00:00"/>
    <x v="10"/>
    <x v="6"/>
    <n v="-1059"/>
    <x v="1"/>
    <x v="1"/>
    <s v="Sosthene Nsabimaba"/>
    <s v="sosthene.nsabimana@nppa.gov.rw"/>
    <s v="0 783 332 059"/>
    <m/>
    <m/>
    <m/>
  </r>
  <r>
    <s v="C001828"/>
    <x v="62"/>
    <s v="Fiber Internet: Rubavu  "/>
    <s v="Rubavu"/>
    <x v="0"/>
    <x v="11"/>
    <s v="Standard"/>
    <x v="0"/>
    <x v="0"/>
    <n v="3"/>
    <s v="Fiber Broadband Internet 3Mbps"/>
    <m/>
    <n v="1"/>
    <n v="180000"/>
    <n v="180000"/>
    <s v="Monthly"/>
    <d v="2026-05-31T00:00:00"/>
    <x v="10"/>
    <x v="6"/>
    <n v="-1059"/>
    <x v="1"/>
    <x v="1"/>
    <s v="Sosthene Nsabimaba"/>
    <s v="sosthene.nsabimana@nppa.gov.rw"/>
    <s v="0 783 332 059"/>
    <m/>
    <m/>
    <m/>
  </r>
  <r>
    <s v="C001828"/>
    <x v="62"/>
    <s v="Fiber Internet: Rusizi"/>
    <s v="Rusizi"/>
    <x v="0"/>
    <x v="11"/>
    <s v="Standard"/>
    <x v="0"/>
    <x v="0"/>
    <n v="3"/>
    <s v="Fiber Broadband Internet 3Mbps"/>
    <m/>
    <n v="1"/>
    <n v="180000"/>
    <n v="180000"/>
    <s v="Monthly"/>
    <d v="2026-05-31T00:00:00"/>
    <x v="10"/>
    <x v="6"/>
    <n v="-1059"/>
    <x v="1"/>
    <x v="1"/>
    <s v="Sosthene Nsabimaba"/>
    <s v="sosthene.nsabimana@nppa.gov.rw"/>
    <s v="0 783 332 059"/>
    <m/>
    <m/>
    <m/>
  </r>
  <r>
    <s v="C001828"/>
    <x v="62"/>
    <s v="Fiber VPN: NPPA HQ-AOS "/>
    <s v="Gasabo"/>
    <x v="0"/>
    <x v="11"/>
    <s v="Standard"/>
    <x v="0"/>
    <x v="0"/>
    <n v="3"/>
    <s v="Fiber Broadband Internet 3Mbps"/>
    <m/>
    <n v="1"/>
    <n v="180000"/>
    <n v="180000"/>
    <s v="Monthly"/>
    <d v="2026-05-31T00:00:00"/>
    <x v="10"/>
    <x v="6"/>
    <n v="-1059"/>
    <x v="1"/>
    <x v="1"/>
    <s v="Sosthene Nsabimaba"/>
    <s v="sosthene.nsabimana@nppa.gov.rw"/>
    <s v="0 783 332 059"/>
    <m/>
    <m/>
    <m/>
  </r>
  <r>
    <s v="C001828"/>
    <x v="62"/>
    <s v="Fiber Internet: NPPA HQ"/>
    <s v="Gasabo"/>
    <x v="0"/>
    <x v="11"/>
    <s v="Standard"/>
    <x v="0"/>
    <x v="0"/>
    <n v="47"/>
    <s v="Fiber Broadband Internet 47Mbps"/>
    <m/>
    <n v="1"/>
    <n v="1620000"/>
    <n v="1620000"/>
    <s v="Monthly"/>
    <d v="2026-05-31T00:00:00"/>
    <x v="10"/>
    <x v="6"/>
    <n v="-1059"/>
    <x v="1"/>
    <x v="1"/>
    <s v="Sosthene Nsabimaba"/>
    <s v="sosthene.nsabimana@nppa.gov.rw"/>
    <s v="0 783 332 059"/>
    <m/>
    <m/>
    <m/>
  </r>
  <r>
    <s v="C000740"/>
    <x v="407"/>
    <s v="HQ"/>
    <s v="Gatsibo"/>
    <x v="0"/>
    <x v="0"/>
    <s v="Standard"/>
    <x v="0"/>
    <x v="0"/>
    <n v="3"/>
    <s v="FIBER VPN 3MBPS"/>
    <m/>
    <n v="1"/>
    <n v="180000"/>
    <n v="180000"/>
    <s v="Monthly"/>
    <d v="2026-06-30T00:00:00"/>
    <x v="1"/>
    <x v="6"/>
    <n v="-1089"/>
    <x v="1"/>
    <x v="5"/>
    <s v="FIDELE"/>
    <s v="gatsibodistrict@gatsibo.gov.rw"/>
    <n v="728556003"/>
    <m/>
    <m/>
    <m/>
  </r>
  <r>
    <s v="C000740"/>
    <x v="407"/>
    <s v="HQ"/>
    <s v="Gatsibo"/>
    <x v="0"/>
    <x v="0"/>
    <s v="Standard"/>
    <x v="0"/>
    <x v="0"/>
    <n v="10"/>
    <s v="FIBER VPN 10MBPS"/>
    <m/>
    <n v="1"/>
    <n v="510000"/>
    <n v="510000"/>
    <s v="Monthly"/>
    <d v="2026-06-30T00:00:00"/>
    <x v="1"/>
    <x v="6"/>
    <n v="-1089"/>
    <x v="1"/>
    <x v="5"/>
    <s v="FIDELE"/>
    <s v="gatsibodistrict@gatsibo.gov.rw"/>
    <n v="728556003"/>
    <m/>
    <m/>
    <m/>
  </r>
  <r>
    <s v="C000740"/>
    <x v="407"/>
    <s v="CELL"/>
    <s v="Gatsibo"/>
    <x v="0"/>
    <x v="0"/>
    <s v="Standard"/>
    <x v="0"/>
    <x v="6"/>
    <m/>
    <s v="4G MUP 2GB/DAY"/>
    <m/>
    <n v="1"/>
    <n v="28305.08"/>
    <n v="28305.08"/>
    <s v="Monthly"/>
    <d v="2026-06-30T00:00:00"/>
    <x v="1"/>
    <x v="6"/>
    <n v="-1089"/>
    <x v="1"/>
    <x v="5"/>
    <s v="FIDELE"/>
    <s v="gatsibodistrict@gatsibo.gov.rw"/>
    <n v="728556003"/>
    <m/>
    <m/>
    <m/>
  </r>
  <r>
    <s v="C000740"/>
    <x v="407"/>
    <s v="HQ"/>
    <s v="Gatsibo"/>
    <x v="0"/>
    <x v="0"/>
    <s v="Standard"/>
    <x v="1"/>
    <x v="10"/>
    <m/>
    <s v="VIDEO CONFERENCE"/>
    <m/>
    <n v="1"/>
    <n v="258044.92"/>
    <n v="258044.92"/>
    <s v="Monthly"/>
    <d v="2026-06-30T00:00:00"/>
    <x v="1"/>
    <x v="6"/>
    <n v="-1089"/>
    <x v="1"/>
    <x v="5"/>
    <s v="FIDELE"/>
    <s v="gatsibodistrict@gatsibo.gov.rw"/>
    <n v="728556003"/>
    <m/>
    <m/>
    <m/>
  </r>
  <r>
    <s v="C000740"/>
    <x v="407"/>
    <s v="HQ"/>
    <s v="Gatsibo"/>
    <x v="0"/>
    <x v="0"/>
    <s v="Standard"/>
    <x v="3"/>
    <x v="7"/>
    <m/>
    <s v="MSS GOLD"/>
    <m/>
    <n v="1"/>
    <n v="369325.42"/>
    <n v="369325.42"/>
    <s v="Monthly"/>
    <d v="2026-06-30T00:00:00"/>
    <x v="1"/>
    <x v="6"/>
    <n v="-1089"/>
    <x v="1"/>
    <x v="5"/>
    <s v="FIDELE"/>
    <s v="gatsibodistrict@gatsibo.gov.rw"/>
    <n v="728556003"/>
    <m/>
    <m/>
    <m/>
  </r>
  <r>
    <s v="C000740"/>
    <x v="407"/>
    <s v="CELL"/>
    <s v="Gatsibo"/>
    <x v="0"/>
    <x v="0"/>
    <s v="Standard"/>
    <x v="0"/>
    <x v="6"/>
    <m/>
    <s v=" 4G MUP 4GB/DAY "/>
    <m/>
    <n v="2"/>
    <n v="45338.98"/>
    <n v="90677.96"/>
    <s v="Monthly"/>
    <d v="2026-06-30T00:00:00"/>
    <x v="1"/>
    <x v="6"/>
    <n v="-1089"/>
    <x v="1"/>
    <x v="5"/>
    <s v="FIDELE"/>
    <s v="gatsibodistrict@gatsibo.gov.rw"/>
    <n v="728556003"/>
    <m/>
    <m/>
    <m/>
  </r>
  <r>
    <s v="C000740"/>
    <x v="407"/>
    <s v="CELL"/>
    <s v="Gatsibo"/>
    <x v="0"/>
    <x v="0"/>
    <s v="Standard"/>
    <x v="0"/>
    <x v="6"/>
    <m/>
    <s v="4G MUP 1GB/DAY"/>
    <m/>
    <n v="6"/>
    <n v="19491.53"/>
    <n v="116949.18"/>
    <s v="Monthly"/>
    <d v="2026-06-30T00:00:00"/>
    <x v="1"/>
    <x v="6"/>
    <n v="-1089"/>
    <x v="1"/>
    <x v="5"/>
    <s v="FIDELE"/>
    <s v="gatsibodistrict@gatsibo.gov.rw"/>
    <n v="728556003"/>
    <m/>
    <m/>
    <m/>
  </r>
  <r>
    <s v="C000740"/>
    <x v="407"/>
    <s v="CELL"/>
    <s v="Gatsibo"/>
    <x v="0"/>
    <x v="0"/>
    <s v="Standard"/>
    <x v="0"/>
    <x v="6"/>
    <m/>
    <s v="4G MUP 1GB/DAY"/>
    <m/>
    <n v="11"/>
    <n v="19491.53"/>
    <n v="214406.83"/>
    <s v="Monthly"/>
    <d v="2026-06-30T00:00:00"/>
    <x v="1"/>
    <x v="6"/>
    <n v="-1089"/>
    <x v="1"/>
    <x v="5"/>
    <s v="FIDELE"/>
    <s v="gatsibodistrict@gatsibo.gov.rw"/>
    <n v="728556003"/>
    <m/>
    <m/>
    <m/>
  </r>
  <r>
    <s v="C000740"/>
    <x v="407"/>
    <s v="CELL"/>
    <s v="Gatsibo"/>
    <x v="0"/>
    <x v="0"/>
    <s v="Standard"/>
    <x v="0"/>
    <x v="6"/>
    <m/>
    <s v="4G MUP 1GB/DAY"/>
    <m/>
    <n v="59"/>
    <n v="19491.53"/>
    <n v="1150000.27"/>
    <s v="Monthly"/>
    <d v="2026-06-30T00:00:00"/>
    <x v="1"/>
    <x v="6"/>
    <n v="-1089"/>
    <x v="1"/>
    <x v="5"/>
    <s v="FIDELE"/>
    <s v="gatsibodistrict@gatsibo.gov.rw"/>
    <n v="728556003"/>
    <m/>
    <m/>
    <m/>
  </r>
  <r>
    <s v="C000769"/>
    <x v="408"/>
    <s v="GISAGARA District HQ - VPN LAIS."/>
    <s v="Gisagara"/>
    <x v="0"/>
    <x v="0"/>
    <s v="Standard"/>
    <x v="0"/>
    <x v="0"/>
    <n v="3"/>
    <s v="FIBER VPN 3MBPS"/>
    <m/>
    <n v="1"/>
    <n v="180000"/>
    <n v="180000"/>
    <s v="Monthly"/>
    <d v="2026-06-30T00:00:00"/>
    <x v="1"/>
    <x v="6"/>
    <n v="-1089"/>
    <x v="1"/>
    <x v="2"/>
    <s v="TEMA Jean"/>
    <s v="ictofficer@gisagara.gov.rw "/>
    <s v="0788-807-478"/>
    <m/>
    <m/>
    <m/>
  </r>
  <r>
    <s v="C000769"/>
    <x v="408"/>
    <s v="GISAGARA District HQ"/>
    <s v="Gisagara"/>
    <x v="0"/>
    <x v="0"/>
    <s v="Standard"/>
    <x v="0"/>
    <x v="0"/>
    <n v="20"/>
    <s v="FIBER VPN 20MBPS"/>
    <m/>
    <n v="1"/>
    <n v="900000"/>
    <n v="900000"/>
    <s v="Monthly"/>
    <d v="2026-06-30T00:00:00"/>
    <x v="1"/>
    <x v="6"/>
    <n v="-1089"/>
    <x v="1"/>
    <x v="2"/>
    <s v="TEMA Jean"/>
    <s v="ictofficer@gisagara.gov.rw "/>
    <s v="0788-807-478"/>
    <m/>
    <m/>
    <m/>
  </r>
  <r>
    <s v="C000769"/>
    <x v="408"/>
    <s v="GISAGARA District HQ"/>
    <s v="Gisagara"/>
    <x v="0"/>
    <x v="0"/>
    <s v="Standard"/>
    <x v="1"/>
    <x v="10"/>
    <m/>
    <s v="VIDEO CONFERENCE"/>
    <m/>
    <n v="1"/>
    <n v="258044.92"/>
    <n v="258044.92"/>
    <s v="Monthly"/>
    <d v="2026-06-30T00:00:00"/>
    <x v="1"/>
    <x v="6"/>
    <n v="-1089"/>
    <x v="1"/>
    <x v="2"/>
    <s v="TEMA Jean"/>
    <s v="ictofficer@gisagara.gov.rw "/>
    <s v="0788-807-478"/>
    <m/>
    <m/>
    <m/>
  </r>
  <r>
    <s v="C000769"/>
    <x v="408"/>
    <s v="GISAGARA District HQ"/>
    <s v="Gisagara"/>
    <x v="0"/>
    <x v="0"/>
    <s v="Standard"/>
    <x v="3"/>
    <x v="7"/>
    <m/>
    <s v="MSS GOLD"/>
    <m/>
    <n v="1"/>
    <n v="369324.58"/>
    <n v="369324.58"/>
    <s v="Monthly"/>
    <d v="2026-06-30T00:00:00"/>
    <x v="1"/>
    <x v="6"/>
    <n v="-1089"/>
    <x v="1"/>
    <x v="2"/>
    <s v="TEMA Jean"/>
    <s v="ictofficer@gisagara.gov.rw "/>
    <s v="0788-807-478"/>
    <m/>
    <m/>
    <m/>
  </r>
  <r>
    <s v="C002356"/>
    <x v="312"/>
    <s v="DPU Bugesera"/>
    <s v="Bugesera"/>
    <x v="0"/>
    <x v="3"/>
    <s v="VIP"/>
    <x v="0"/>
    <x v="0"/>
    <n v="1"/>
    <s v="FIBER VPN1 MBPS"/>
    <m/>
    <n v="1"/>
    <n v="90000"/>
    <n v="90000"/>
    <s v="Monthly"/>
    <d v="2026-06-30T00:00:00"/>
    <x v="1"/>
    <x v="6"/>
    <n v="-1089"/>
    <x v="1"/>
    <x v="4"/>
    <s v="Elie KUBWIMANA"/>
    <s v="dit@police.gov.rw"/>
    <s v="0788-311-706"/>
    <m/>
    <m/>
    <m/>
  </r>
  <r>
    <s v="C002356"/>
    <x v="312"/>
    <s v="DPU Burera"/>
    <s v="Burera"/>
    <x v="0"/>
    <x v="3"/>
    <s v="VIP"/>
    <x v="0"/>
    <x v="0"/>
    <n v="1"/>
    <s v="FIBER VPN1 MBPS"/>
    <m/>
    <n v="1"/>
    <n v="90000"/>
    <n v="90000"/>
    <s v="Monthly"/>
    <d v="2026-06-30T00:00:00"/>
    <x v="1"/>
    <x v="6"/>
    <n v="-1089"/>
    <x v="1"/>
    <x v="4"/>
    <s v="Elie KUBWIMANA"/>
    <s v="dit@police.gov.rw"/>
    <s v="0788-311-706"/>
    <m/>
    <m/>
    <m/>
  </r>
  <r>
    <s v="C002356"/>
    <x v="312"/>
    <s v="DPU Gakenke"/>
    <s v="Gakenke"/>
    <x v="0"/>
    <x v="3"/>
    <s v="VIP"/>
    <x v="0"/>
    <x v="0"/>
    <n v="1"/>
    <s v="FIBER VPN1 MBPS"/>
    <m/>
    <n v="1"/>
    <n v="90000"/>
    <n v="90000"/>
    <s v="Monthly"/>
    <d v="2026-06-30T00:00:00"/>
    <x v="1"/>
    <x v="6"/>
    <n v="-1089"/>
    <x v="1"/>
    <x v="4"/>
    <s v="Elie KUBWIMANA"/>
    <s v="dit@police.gov.rw"/>
    <s v="0788-311-706"/>
    <m/>
    <m/>
    <m/>
  </r>
  <r>
    <s v="C002356"/>
    <x v="312"/>
    <s v="RNP VPN Link RRA"/>
    <s v="Gasabo"/>
    <x v="0"/>
    <x v="3"/>
    <s v="VIP"/>
    <x v="0"/>
    <x v="0"/>
    <n v="1"/>
    <s v="FIBER VPN1 MBPS"/>
    <m/>
    <n v="1"/>
    <n v="90000"/>
    <n v="90000"/>
    <s v="Monthly"/>
    <d v="2026-06-30T00:00:00"/>
    <x v="1"/>
    <x v="6"/>
    <n v="-1089"/>
    <x v="1"/>
    <x v="4"/>
    <s v="Elie KUBWIMANA"/>
    <s v="dit@police.gov.rw"/>
    <s v="0788-311-706"/>
    <m/>
    <m/>
    <m/>
  </r>
  <r>
    <s v="C002356"/>
    <x v="312"/>
    <s v="RNP VPN Link INTERPOL"/>
    <s v="Gasabo"/>
    <x v="0"/>
    <x v="3"/>
    <s v="VIP"/>
    <x v="0"/>
    <x v="0"/>
    <n v="1"/>
    <s v="FIBER VPN 1MBPS"/>
    <m/>
    <n v="1"/>
    <n v="90000"/>
    <n v="90000"/>
    <s v="Monthly"/>
    <d v="2026-06-30T00:00:00"/>
    <x v="1"/>
    <x v="6"/>
    <n v="-1089"/>
    <x v="1"/>
    <x v="4"/>
    <s v="Elie KUBWIMANA"/>
    <s v="dit@police.gov.rw"/>
    <s v="0788-311-706"/>
    <m/>
    <m/>
    <m/>
  </r>
  <r>
    <s v="C002356"/>
    <x v="312"/>
    <s v="DPU Gicumbi"/>
    <s v="Gicumbi"/>
    <x v="0"/>
    <x v="3"/>
    <s v="VIP"/>
    <x v="0"/>
    <x v="0"/>
    <n v="1"/>
    <s v="FIBER VPN1 MBPS"/>
    <m/>
    <n v="1"/>
    <n v="90000"/>
    <n v="90000"/>
    <s v="Monthly"/>
    <d v="2026-06-30T00:00:00"/>
    <x v="1"/>
    <x v="6"/>
    <n v="-1089"/>
    <x v="1"/>
    <x v="4"/>
    <s v="Elie KUBWIMANA"/>
    <s v="dit@police.gov.rw"/>
    <s v="0788-311-706"/>
    <m/>
    <m/>
    <m/>
  </r>
  <r>
    <s v="C002356"/>
    <x v="312"/>
    <s v="DPU Kamonyi"/>
    <s v="Kamonyi"/>
    <x v="0"/>
    <x v="3"/>
    <s v="VIP"/>
    <x v="0"/>
    <x v="0"/>
    <n v="1"/>
    <s v="FIBER VPN1 MBPS"/>
    <m/>
    <n v="1"/>
    <n v="90000"/>
    <n v="90000"/>
    <s v="Monthly"/>
    <d v="2026-06-30T00:00:00"/>
    <x v="1"/>
    <x v="6"/>
    <n v="-1089"/>
    <x v="1"/>
    <x v="4"/>
    <s v="Elie KUBWIMANA"/>
    <s v="dit@police.gov.rw"/>
    <s v="0788-311-706"/>
    <m/>
    <m/>
    <m/>
  </r>
  <r>
    <s v="C002356"/>
    <x v="312"/>
    <s v="DPU Kicukiro"/>
    <s v="Kicukiro"/>
    <x v="0"/>
    <x v="3"/>
    <s v="VIP"/>
    <x v="0"/>
    <x v="0"/>
    <n v="1"/>
    <s v="FIBER VPN1 MBPS"/>
    <m/>
    <n v="1"/>
    <n v="90000"/>
    <n v="90000"/>
    <s v="Monthly"/>
    <d v="2026-06-30T00:00:00"/>
    <x v="1"/>
    <x v="6"/>
    <n v="-1089"/>
    <x v="1"/>
    <x v="4"/>
    <s v="Elie KUBWIMANA"/>
    <s v="dit@police.gov.rw"/>
    <s v="0788-311-706"/>
    <m/>
    <m/>
    <m/>
  </r>
  <r>
    <s v="C002356"/>
    <x v="312"/>
    <s v="DPU Muhanga"/>
    <s v="Muhanga"/>
    <x v="0"/>
    <x v="3"/>
    <s v="VIP"/>
    <x v="0"/>
    <x v="0"/>
    <n v="1"/>
    <s v="FIBER VPN1 MBPS"/>
    <m/>
    <n v="1"/>
    <n v="90000"/>
    <n v="90000"/>
    <s v="Monthly"/>
    <d v="2026-06-30T00:00:00"/>
    <x v="1"/>
    <x v="6"/>
    <n v="-1089"/>
    <x v="1"/>
    <x v="4"/>
    <s v="Elie KUBWIMANA"/>
    <s v="dit@police.gov.rw"/>
    <s v="0788-311-706"/>
    <m/>
    <m/>
    <m/>
  </r>
  <r>
    <s v="C002356"/>
    <x v="312"/>
    <s v="DPU Musanze"/>
    <s v="Musanze"/>
    <x v="0"/>
    <x v="3"/>
    <s v="VIP"/>
    <x v="0"/>
    <x v="0"/>
    <n v="1"/>
    <s v="FIBER VPN1 MBPS"/>
    <m/>
    <n v="1"/>
    <n v="90000"/>
    <n v="90000"/>
    <s v="Monthly"/>
    <d v="2026-06-30T00:00:00"/>
    <x v="1"/>
    <x v="6"/>
    <n v="-1089"/>
    <x v="1"/>
    <x v="4"/>
    <s v="Elie KUBWIMANA"/>
    <s v="dit@police.gov.rw"/>
    <s v="0788-311-706"/>
    <m/>
    <m/>
    <m/>
  </r>
  <r>
    <s v="C002356"/>
    <x v="312"/>
    <s v="RNP Musanze Regional Unit"/>
    <s v="Musanze"/>
    <x v="0"/>
    <x v="3"/>
    <s v="VIP"/>
    <x v="0"/>
    <x v="0"/>
    <n v="1"/>
    <s v="FIBER VPN1 MBPS"/>
    <m/>
    <n v="1"/>
    <n v="90000"/>
    <n v="90000"/>
    <s v="Monthly"/>
    <d v="2026-06-30T00:00:00"/>
    <x v="1"/>
    <x v="6"/>
    <n v="-1089"/>
    <x v="1"/>
    <x v="4"/>
    <s v="Elie KUBWIMANA"/>
    <s v="dit@police.gov.rw"/>
    <s v="0788-311-706"/>
    <m/>
    <m/>
    <m/>
  </r>
  <r>
    <s v="C002356"/>
    <x v="312"/>
    <s v="DPU Ngoma"/>
    <s v="Ngoma"/>
    <x v="0"/>
    <x v="3"/>
    <s v="VIP"/>
    <x v="0"/>
    <x v="0"/>
    <n v="1"/>
    <s v="FIBER VPN1 MBPS"/>
    <m/>
    <n v="1"/>
    <n v="83700"/>
    <n v="83700"/>
    <s v="Monthly"/>
    <d v="2026-06-30T00:00:00"/>
    <x v="1"/>
    <x v="6"/>
    <n v="-1089"/>
    <x v="1"/>
    <x v="4"/>
    <s v="Elie KUBWIMANA"/>
    <s v="dit@police.gov.rw"/>
    <s v="0788-311-706"/>
    <m/>
    <m/>
    <m/>
  </r>
  <r>
    <s v="C002356"/>
    <x v="312"/>
    <s v="DPU Nyagatare"/>
    <s v="Nyagatare"/>
    <x v="0"/>
    <x v="3"/>
    <s v="VIP"/>
    <x v="0"/>
    <x v="0"/>
    <n v="1"/>
    <s v="FIBER VPN1 MBPS"/>
    <m/>
    <n v="1"/>
    <n v="90000"/>
    <n v="90000"/>
    <s v="Monthly"/>
    <d v="2026-06-30T00:00:00"/>
    <x v="1"/>
    <x v="6"/>
    <n v="-1089"/>
    <x v="1"/>
    <x v="4"/>
    <s v="Elie KUBWIMANA"/>
    <s v="dit@police.gov.rw"/>
    <s v="0788-311-706"/>
    <m/>
    <m/>
    <m/>
  </r>
  <r>
    <s v="C002356"/>
    <x v="312"/>
    <s v="DPU Nyamagabe"/>
    <s v="Nyamasheke"/>
    <x v="0"/>
    <x v="3"/>
    <s v="VIP"/>
    <x v="0"/>
    <x v="0"/>
    <n v="1"/>
    <s v="FIBER VPN1 MBPS"/>
    <m/>
    <n v="1"/>
    <n v="90000"/>
    <n v="90000"/>
    <s v="Monthly"/>
    <d v="2026-06-30T00:00:00"/>
    <x v="1"/>
    <x v="6"/>
    <n v="-1089"/>
    <x v="1"/>
    <x v="4"/>
    <s v="Elie KUBWIMANA"/>
    <s v="dit@police.gov.rw"/>
    <s v="0788-311-706"/>
    <m/>
    <m/>
    <m/>
  </r>
  <r>
    <s v="C002356"/>
    <x v="312"/>
    <s v="DPU Nyanza"/>
    <s v="Nyanza"/>
    <x v="0"/>
    <x v="3"/>
    <s v="VIP"/>
    <x v="0"/>
    <x v="0"/>
    <n v="1"/>
    <s v="FIBER VPN 1MBPS"/>
    <m/>
    <n v="1"/>
    <n v="90000"/>
    <n v="90000"/>
    <s v="Monthly"/>
    <d v="2026-06-30T00:00:00"/>
    <x v="1"/>
    <x v="6"/>
    <n v="-1089"/>
    <x v="1"/>
    <x v="4"/>
    <s v="Elie KUBWIMANA"/>
    <s v="dit@police.gov.rw"/>
    <s v="0788-311-706"/>
    <m/>
    <m/>
    <m/>
  </r>
  <r>
    <s v="C002356"/>
    <x v="312"/>
    <s v="DPU Rubavu"/>
    <s v="Rubavu"/>
    <x v="0"/>
    <x v="3"/>
    <s v="VIP"/>
    <x v="0"/>
    <x v="0"/>
    <n v="1"/>
    <s v="FIBER VPN1 MBPS"/>
    <m/>
    <n v="1"/>
    <n v="90000"/>
    <n v="90000"/>
    <s v="Monthly"/>
    <d v="2026-06-30T00:00:00"/>
    <x v="1"/>
    <x v="6"/>
    <n v="-1089"/>
    <x v="1"/>
    <x v="4"/>
    <s v="Elie KUBWIMANA"/>
    <s v="dit@police.gov.rw"/>
    <s v="0788-311-706"/>
    <m/>
    <m/>
    <m/>
  </r>
  <r>
    <s v="C002356"/>
    <x v="312"/>
    <s v="DPU Rulindo"/>
    <s v="Rulindo"/>
    <x v="0"/>
    <x v="3"/>
    <s v="VIP"/>
    <x v="0"/>
    <x v="0"/>
    <n v="1"/>
    <s v="FIBER VPN1 MBPS"/>
    <m/>
    <n v="1"/>
    <n v="90000"/>
    <n v="90000"/>
    <s v="Monthly"/>
    <d v="2026-06-30T00:00:00"/>
    <x v="1"/>
    <x v="6"/>
    <n v="-1089"/>
    <x v="1"/>
    <x v="4"/>
    <s v="Elie KUBWIMANA"/>
    <s v="dit@police.gov.rw"/>
    <s v="0788-311-706"/>
    <m/>
    <m/>
    <m/>
  </r>
  <r>
    <s v="C002356"/>
    <x v="312"/>
    <s v="South Soudan - Mission"/>
    <s v="South Sudan"/>
    <x v="0"/>
    <x v="3"/>
    <s v="VIP"/>
    <x v="1"/>
    <x v="8"/>
    <n v="3"/>
    <s v="VSAT Internet 3Mbps"/>
    <m/>
    <n v="1"/>
    <n v="2947241"/>
    <n v="2947241"/>
    <s v="Monthly"/>
    <d v="2026-06-30T00:00:00"/>
    <x v="1"/>
    <x v="6"/>
    <n v="-1089"/>
    <x v="1"/>
    <x v="4"/>
    <s v="Elie KUBWIMANA"/>
    <s v="dit@police.gov.rw"/>
    <s v="0788-311-706"/>
    <m/>
    <m/>
    <m/>
  </r>
  <r>
    <s v="C002356"/>
    <x v="312"/>
    <s v="RNP Gasabo Regional + DPU"/>
    <s v="Gasabo"/>
    <x v="0"/>
    <x v="3"/>
    <s v="VIP"/>
    <x v="0"/>
    <x v="0"/>
    <n v="3"/>
    <s v="FIBER VPN 3MBPS"/>
    <m/>
    <n v="1"/>
    <n v="180000"/>
    <n v="180000"/>
    <s v="Monthly"/>
    <d v="2026-06-30T00:00:00"/>
    <x v="1"/>
    <x v="6"/>
    <n v="-1089"/>
    <x v="1"/>
    <x v="4"/>
    <s v="Elie KUBWIMANA"/>
    <s v="dit@police.gov.rw"/>
    <s v="0788-311-706"/>
    <m/>
    <m/>
    <m/>
  </r>
  <r>
    <s v="C002356"/>
    <x v="312"/>
    <s v="RNP Huye HQ+ DPU"/>
    <s v="Huye"/>
    <x v="0"/>
    <x v="3"/>
    <s v="VIP"/>
    <x v="0"/>
    <x v="0"/>
    <n v="3"/>
    <s v="FIBER VPN 3MBPS"/>
    <m/>
    <n v="1"/>
    <n v="180000"/>
    <n v="180000"/>
    <s v="Monthly"/>
    <d v="2026-06-30T00:00:00"/>
    <x v="1"/>
    <x v="6"/>
    <n v="-1089"/>
    <x v="1"/>
    <x v="4"/>
    <s v="Elie KUBWIMANA"/>
    <s v="dit@police.gov.rw"/>
    <s v="0788-311-706"/>
    <m/>
    <m/>
    <m/>
  </r>
  <r>
    <s v="C002356"/>
    <x v="312"/>
    <s v="RNP MIC Huye"/>
    <s v="Huye"/>
    <x v="0"/>
    <x v="3"/>
    <s v="VIP"/>
    <x v="0"/>
    <x v="0"/>
    <n v="3"/>
    <s v="FIBER VPN 3MBPS"/>
    <m/>
    <n v="1"/>
    <n v="180000"/>
    <n v="180000"/>
    <s v="Monthly"/>
    <d v="2026-06-30T00:00:00"/>
    <x v="1"/>
    <x v="6"/>
    <n v="-1089"/>
    <x v="1"/>
    <x v="4"/>
    <s v="Elie KUBWIMANA"/>
    <s v="dit@police.gov.rw"/>
    <s v="0788-311-706"/>
    <m/>
    <m/>
    <m/>
  </r>
  <r>
    <s v="C002356"/>
    <x v="312"/>
    <s v="RNP Musanze CID School"/>
    <s v="Musanze"/>
    <x v="0"/>
    <x v="3"/>
    <s v="VIP"/>
    <x v="0"/>
    <x v="0"/>
    <n v="3"/>
    <s v="FIBER VPN 3MBPS"/>
    <m/>
    <n v="1"/>
    <n v="180000"/>
    <n v="180000"/>
    <s v="Monthly"/>
    <d v="2026-06-30T00:00:00"/>
    <x v="1"/>
    <x v="6"/>
    <n v="-1089"/>
    <x v="1"/>
    <x v="4"/>
    <s v="Elie KUBWIMANA"/>
    <s v="dit@police.gov.rw"/>
    <s v="0788-311-706"/>
    <m/>
    <m/>
    <m/>
  </r>
  <r>
    <s v="C002356"/>
    <x v="312"/>
    <s v="RNP MIC Musanze"/>
    <s v="Musanze"/>
    <x v="0"/>
    <x v="3"/>
    <s v="VIP"/>
    <x v="0"/>
    <x v="0"/>
    <n v="3"/>
    <s v="FIBER VPN 3MBPS"/>
    <m/>
    <n v="1"/>
    <n v="180000"/>
    <n v="180000"/>
    <s v="Monthly"/>
    <d v="2026-06-30T00:00:00"/>
    <x v="1"/>
    <x v="6"/>
    <n v="-1089"/>
    <x v="1"/>
    <x v="4"/>
    <s v="Elie KUBWIMANA"/>
    <s v="dit@police.gov.rw"/>
    <s v="0788-311-706"/>
    <m/>
    <m/>
    <m/>
  </r>
  <r>
    <s v="C002356"/>
    <x v="312"/>
    <s v="RNP Rwamagana Training School"/>
    <s v="Rwamagana  "/>
    <x v="0"/>
    <x v="3"/>
    <s v="VIP"/>
    <x v="0"/>
    <x v="0"/>
    <n v="3"/>
    <s v="FIBER VPN 3MBPS"/>
    <m/>
    <n v="1"/>
    <n v="180000"/>
    <n v="180000"/>
    <s v="Monthly"/>
    <d v="2026-06-30T00:00:00"/>
    <x v="1"/>
    <x v="6"/>
    <n v="-1089"/>
    <x v="1"/>
    <x v="4"/>
    <s v="Elie KUBWIMANA"/>
    <s v="dit@police.gov.rw"/>
    <s v="0788-311-706"/>
    <m/>
    <m/>
    <m/>
  </r>
  <r>
    <s v="C002356"/>
    <x v="312"/>
    <s v="RNP Rwamagana Regional + DPU + Station"/>
    <s v="Rwamagana  "/>
    <x v="0"/>
    <x v="3"/>
    <s v="VIP"/>
    <x v="0"/>
    <x v="0"/>
    <n v="3"/>
    <s v="FIBER VPN 3MBPS"/>
    <m/>
    <n v="1"/>
    <n v="180000"/>
    <n v="180000"/>
    <s v="Monthly"/>
    <d v="2026-06-30T00:00:00"/>
    <x v="1"/>
    <x v="6"/>
    <n v="-1089"/>
    <x v="1"/>
    <x v="4"/>
    <s v="Elie KUBWIMANA"/>
    <s v="dit@police.gov.rw"/>
    <s v="0788-311-706"/>
    <m/>
    <m/>
    <m/>
  </r>
  <r>
    <s v="C002356"/>
    <x v="312"/>
    <s v="RNP MIC Rwamagana"/>
    <s v="Rwamagana  "/>
    <x v="0"/>
    <x v="3"/>
    <s v="VIP"/>
    <x v="0"/>
    <x v="0"/>
    <n v="3"/>
    <s v="FIBER VPN 3MBPS"/>
    <m/>
    <n v="1"/>
    <n v="180000"/>
    <n v="180000"/>
    <s v="Monthly"/>
    <d v="2026-06-30T00:00:00"/>
    <x v="1"/>
    <x v="6"/>
    <n v="-1089"/>
    <x v="1"/>
    <x v="4"/>
    <s v="Elie KUBWIMANA"/>
    <s v="dit@police.gov.rw"/>
    <s v="0788-311-706"/>
    <m/>
    <m/>
    <m/>
  </r>
  <r>
    <s v="C002356"/>
    <x v="312"/>
    <s v="Muhima Online Examination Center"/>
    <s v="Nyarugenge"/>
    <x v="0"/>
    <x v="3"/>
    <s v="VIP"/>
    <x v="0"/>
    <x v="0"/>
    <n v="5"/>
    <s v="FIBER VPN 5MBPS"/>
    <m/>
    <n v="1"/>
    <n v="270000"/>
    <n v="270000"/>
    <s v="Monthly"/>
    <d v="2026-06-30T00:00:00"/>
    <x v="1"/>
    <x v="6"/>
    <n v="-1089"/>
    <x v="1"/>
    <x v="4"/>
    <s v="Elie KUBWIMANA"/>
    <s v="dit@police.gov.rw"/>
    <s v="0788-311-706"/>
    <m/>
    <m/>
    <m/>
  </r>
  <r>
    <s v="C002356"/>
    <x v="312"/>
    <s v="Gishali - Extension."/>
    <s v="Rwamagana  "/>
    <x v="0"/>
    <x v="3"/>
    <s v="VIP"/>
    <x v="0"/>
    <x v="0"/>
    <n v="5"/>
    <s v="FIBER VPN 5MBPS"/>
    <m/>
    <n v="1"/>
    <n v="270000"/>
    <n v="270000"/>
    <s v="Monthly"/>
    <d v="2026-06-30T00:00:00"/>
    <x v="1"/>
    <x v="6"/>
    <n v="-1089"/>
    <x v="1"/>
    <x v="4"/>
    <s v="Elie KUBWIMANA"/>
    <s v="dit@police.gov.rw"/>
    <s v="0788-311-706"/>
    <m/>
    <m/>
    <m/>
  </r>
  <r>
    <s v="C002356"/>
    <x v="312"/>
    <s v="RNP Moto Vehicle Inspection"/>
    <s v="Gasabo"/>
    <x v="0"/>
    <x v="3"/>
    <s v="VIP"/>
    <x v="0"/>
    <x v="0"/>
    <n v="10"/>
    <s v="FIBER VPN 10MBPS"/>
    <m/>
    <n v="1"/>
    <n v="510000"/>
    <n v="510000"/>
    <s v="Monthly"/>
    <d v="2026-06-30T00:00:00"/>
    <x v="1"/>
    <x v="6"/>
    <n v="-1089"/>
    <x v="1"/>
    <x v="4"/>
    <s v="Elie KUBWIMANA"/>
    <s v="dit@police.gov.rw"/>
    <s v="0788-311-706"/>
    <m/>
    <m/>
    <m/>
  </r>
  <r>
    <s v="C002356"/>
    <x v="312"/>
    <s v="RNP Kigali Metropolitan"/>
    <s v="Nyarugenge"/>
    <x v="0"/>
    <x v="3"/>
    <s v="VIP"/>
    <x v="1"/>
    <x v="0"/>
    <n v="10"/>
    <s v="FIBER VPN 10MBPS"/>
    <m/>
    <n v="1"/>
    <n v="510000"/>
    <n v="510000"/>
    <s v="Monthly"/>
    <d v="2026-06-30T00:00:00"/>
    <x v="1"/>
    <x v="6"/>
    <n v="-1089"/>
    <x v="1"/>
    <x v="4"/>
    <s v="Elie KUBWIMANA"/>
    <s v="dit@police.gov.rw"/>
    <s v="0788-311-706"/>
    <m/>
    <m/>
    <m/>
  </r>
  <r>
    <s v="C002356"/>
    <x v="312"/>
    <s v="Busanza Driving Test Center."/>
    <s v="Gasabo"/>
    <x v="0"/>
    <x v="3"/>
    <s v="VIP"/>
    <x v="0"/>
    <x v="0"/>
    <n v="25"/>
    <s v="FIBER VPN 25MBPS"/>
    <m/>
    <n v="1"/>
    <n v="1080000"/>
    <n v="1080000"/>
    <s v="Monthly"/>
    <d v="2026-06-30T00:00:00"/>
    <x v="1"/>
    <x v="6"/>
    <n v="-1089"/>
    <x v="1"/>
    <x v="4"/>
    <s v="Elie KUBWIMANA"/>
    <s v="dit@police.gov.rw"/>
    <s v="0788-311-706"/>
    <m/>
    <m/>
    <m/>
  </r>
  <r>
    <s v="C002356"/>
    <x v="312"/>
    <s v="IGP - Wireless broadband Link."/>
    <s v="Gasabo"/>
    <x v="0"/>
    <x v="3"/>
    <s v="VIP"/>
    <x v="1"/>
    <x v="4"/>
    <n v="25"/>
    <s v="Wireless Broadband 25MBPS"/>
    <m/>
    <n v="1"/>
    <n v="750000"/>
    <n v="750000"/>
    <s v="Monthly"/>
    <d v="2026-06-30T00:00:00"/>
    <x v="1"/>
    <x v="6"/>
    <n v="-1089"/>
    <x v="1"/>
    <x v="4"/>
    <s v="Elie KUBWIMANA"/>
    <s v="dit@police.gov.rw"/>
    <s v="0788-311-706"/>
    <m/>
    <m/>
    <m/>
  </r>
  <r>
    <s v="C002356"/>
    <x v="312"/>
    <s v="RNP - Busanza Driving Test Center."/>
    <s v="Kicukiro"/>
    <x v="0"/>
    <x v="3"/>
    <s v="VIP"/>
    <x v="0"/>
    <x v="0"/>
    <n v="25"/>
    <s v="FIBER VPN 25MBPS"/>
    <m/>
    <n v="1"/>
    <n v="1080000"/>
    <n v="1080000"/>
    <s v="Monthly"/>
    <d v="2026-06-30T00:00:00"/>
    <x v="6"/>
    <x v="6"/>
    <n v="-1089"/>
    <x v="1"/>
    <x v="4"/>
    <s v="Elie KUBWIMANA"/>
    <s v="dit@police.gov.rw"/>
    <s v="0788-311-706"/>
    <m/>
    <m/>
    <m/>
  </r>
  <r>
    <s v="C002356"/>
    <x v="312"/>
    <s v="RNP Intelligence Gikondo"/>
    <s v="Kicukiro"/>
    <x v="0"/>
    <x v="3"/>
    <s v="VIP"/>
    <x v="0"/>
    <x v="0"/>
    <n v="25"/>
    <s v="FIBER VPN 25MBPS"/>
    <m/>
    <n v="1"/>
    <n v="1080000"/>
    <n v="1080000"/>
    <s v="Monthly"/>
    <d v="2026-06-30T00:00:00"/>
    <x v="1"/>
    <x v="6"/>
    <n v="-1089"/>
    <x v="1"/>
    <x v="4"/>
    <s v="Elie KUBWIMANA"/>
    <s v="dit@police.gov.rw"/>
    <s v="0788-311-706"/>
    <m/>
    <m/>
    <m/>
  </r>
  <r>
    <s v="C002356"/>
    <x v="312"/>
    <s v="Rwanda National Police (RNP)- HQ"/>
    <s v="Gasabo"/>
    <x v="0"/>
    <x v="3"/>
    <s v="VIP"/>
    <x v="0"/>
    <x v="0"/>
    <n v="35"/>
    <s v="FIBER VPN 35MBPS"/>
    <m/>
    <n v="1"/>
    <n v="1500000"/>
    <n v="1500000"/>
    <s v="Monthly"/>
    <d v="2026-06-30T00:00:00"/>
    <x v="1"/>
    <x v="6"/>
    <n v="-1089"/>
    <x v="1"/>
    <x v="4"/>
    <s v="Elie KUBWIMANA"/>
    <s v="dit@police.gov.rw"/>
    <s v="0788-311-706"/>
    <m/>
    <m/>
    <m/>
  </r>
  <r>
    <s v="C002356"/>
    <x v="312"/>
    <s v="RNP Musanze College"/>
    <s v="Musanze"/>
    <x v="0"/>
    <x v="3"/>
    <s v="VIP"/>
    <x v="0"/>
    <x v="0"/>
    <n v="60"/>
    <s v="FIBER VPN 60MBPS"/>
    <m/>
    <n v="1"/>
    <n v="2088000"/>
    <n v="2088000"/>
    <s v="Monthly"/>
    <d v="2026-06-30T00:00:00"/>
    <x v="1"/>
    <x v="6"/>
    <n v="-1089"/>
    <x v="1"/>
    <x v="4"/>
    <s v="Elie KUBWIMANA"/>
    <s v="dit@police.gov.rw"/>
    <s v="0788-311-706"/>
    <m/>
    <m/>
    <m/>
  </r>
  <r>
    <s v="C002356"/>
    <x v="312"/>
    <s v="Rwanda National Police (RNP)- HQ"/>
    <s v="Gasabo"/>
    <x v="0"/>
    <x v="3"/>
    <s v="VIP"/>
    <x v="0"/>
    <x v="6"/>
    <m/>
    <s v="4G ONE NETWORK 10GB/DAY"/>
    <m/>
    <n v="1"/>
    <n v="100424"/>
    <n v="100424"/>
    <s v="Monthly"/>
    <d v="2026-06-30T00:00:00"/>
    <x v="1"/>
    <x v="6"/>
    <n v="-1089"/>
    <x v="1"/>
    <x v="4"/>
    <s v="Elie KUBWIMANA"/>
    <s v="dit@police.gov.rw"/>
    <s v="0788-311-707"/>
    <m/>
    <m/>
    <m/>
  </r>
  <r>
    <s v="C002356"/>
    <x v="312"/>
    <s v="Rwanda National Police (RNP)- HQ"/>
    <s v="Gasabo"/>
    <x v="0"/>
    <x v="3"/>
    <s v="VIP"/>
    <x v="0"/>
    <x v="6"/>
    <m/>
    <s v="4G ONE NETWORK VPN 3MBPS"/>
    <m/>
    <n v="1"/>
    <n v="81356"/>
    <n v="81356"/>
    <s v="Monthly"/>
    <d v="2026-06-30T00:00:00"/>
    <x v="1"/>
    <x v="6"/>
    <n v="-1089"/>
    <x v="1"/>
    <x v="4"/>
    <s v="Elie KUBWIMANA"/>
    <s v="dit@police.gov.rw"/>
    <s v="0788-311-706"/>
    <m/>
    <m/>
    <m/>
  </r>
  <r>
    <s v=" C002356 "/>
    <x v="312"/>
    <s v=" Rwanda National Police (RNP)- HQ "/>
    <s v="Gasabo"/>
    <x v="0"/>
    <x v="3"/>
    <s v="VIP"/>
    <x v="0"/>
    <x v="6"/>
    <m/>
    <s v="200GB Unlimited"/>
    <m/>
    <n v="4"/>
    <n v="101094"/>
    <n v="404376"/>
    <s v="Monthly"/>
    <d v="2026-06-30T00:00:00"/>
    <x v="1"/>
    <x v="6"/>
    <n v="-1089"/>
    <x v="1"/>
    <x v="4"/>
    <s v=" Elie KUBWIMANA "/>
    <s v=" dit@police.gov.rw "/>
    <s v=" 0788-311-706 "/>
    <m/>
    <m/>
    <m/>
  </r>
  <r>
    <s v="C002356"/>
    <x v="312"/>
    <s v="Rwanda National Police (RNP)- HQ"/>
    <s v="Gasabo"/>
    <x v="0"/>
    <x v="3"/>
    <s v="VIP"/>
    <x v="0"/>
    <x v="6"/>
    <m/>
    <s v="4G ONE NETWORK 8GB/DAY"/>
    <m/>
    <n v="14"/>
    <n v="77711.86"/>
    <n v="1087966.04"/>
    <s v="Monthly"/>
    <d v="2026-06-30T00:00:00"/>
    <x v="1"/>
    <x v="6"/>
    <n v="-1089"/>
    <x v="1"/>
    <x v="4"/>
    <s v="Elie KUBWIMANA"/>
    <s v="dit@police.gov.rw"/>
    <s v="0788-311-706"/>
    <m/>
    <m/>
    <m/>
  </r>
  <r>
    <s v="C002356"/>
    <x v="312"/>
    <s v="Rwanda National Police (RNP)- HQ"/>
    <s v="Gasabo"/>
    <x v="0"/>
    <x v="3"/>
    <s v="VIP"/>
    <x v="0"/>
    <x v="6"/>
    <m/>
    <s v="4G MUP 2GB/DAY"/>
    <m/>
    <n v="36"/>
    <n v="28305.08"/>
    <n v="1018982.8800000001"/>
    <s v="Monthly"/>
    <d v="2026-06-30T00:00:00"/>
    <x v="1"/>
    <x v="6"/>
    <n v="-1089"/>
    <x v="1"/>
    <x v="4"/>
    <s v="Elie KUBWIMANA"/>
    <s v="dit@police.gov.rw"/>
    <s v="0788-311-706"/>
    <m/>
    <m/>
    <m/>
  </r>
  <r>
    <s v="C002356"/>
    <x v="312"/>
    <s v="Rwanda National Police (RNP)- HQ"/>
    <s v="Gasabo"/>
    <x v="0"/>
    <x v="3"/>
    <s v="VIP"/>
    <x v="0"/>
    <x v="6"/>
    <m/>
    <s v=" 4G MUP 4GB/DAY "/>
    <m/>
    <n v="73"/>
    <n v="45338.98"/>
    <n v="3309745.54"/>
    <s v="Monthly"/>
    <d v="2026-06-30T00:00:00"/>
    <x v="1"/>
    <x v="6"/>
    <n v="-1089"/>
    <x v="1"/>
    <x v="4"/>
    <s v="Elie KUBWIMANA"/>
    <s v="dit@police.gov.rw"/>
    <s v="0788-311-706"/>
    <m/>
    <m/>
    <m/>
  </r>
  <r>
    <s v="C004242"/>
    <x v="409"/>
    <s v="HQ"/>
    <s v="Rusizi"/>
    <x v="1"/>
    <x v="7"/>
    <s v="Standard"/>
    <x v="1"/>
    <x v="5"/>
    <n v="20"/>
    <s v="Fiber internet 20Mbps"/>
    <m/>
    <n v="1"/>
    <n v="1045000"/>
    <n v="1045000"/>
    <s v="Monthly"/>
    <d v="2026-07-17T00:00:00"/>
    <x v="2"/>
    <x v="6"/>
    <n v="-1106"/>
    <x v="1"/>
    <x v="7"/>
    <s v="Denise Mugisha"/>
    <s v="denise.mugisha@gasmeth.com"/>
    <n v="788216866"/>
    <m/>
    <m/>
    <m/>
  </r>
  <r>
    <s v="C004242"/>
    <x v="409"/>
    <s v="HQ"/>
    <s v="Rusizi"/>
    <x v="1"/>
    <x v="7"/>
    <s v="Standard"/>
    <x v="2"/>
    <x v="2"/>
    <m/>
    <s v="Dark Fiber lease 8KMs/1Core"/>
    <n v="8"/>
    <n v="1"/>
    <n v="220000"/>
    <n v="220000"/>
    <s v="Monthly"/>
    <d v="2026-07-17T00:00:00"/>
    <x v="2"/>
    <x v="6"/>
    <n v="-1106"/>
    <x v="1"/>
    <x v="7"/>
    <s v="Denise Mugisha"/>
    <s v="denise.mugisha@gasmeth.com"/>
    <n v="788216866"/>
    <m/>
    <m/>
    <m/>
  </r>
  <r>
    <s v="C001067"/>
    <x v="73"/>
    <s v="KACYIRU-MAIN BRANCH"/>
    <s v="Gasabo"/>
    <x v="0"/>
    <x v="6"/>
    <s v="Standard"/>
    <x v="0"/>
    <x v="6"/>
    <m/>
    <s v=" 4G MUP 4GB/DAY "/>
    <m/>
    <n v="2"/>
    <n v="45338.98"/>
    <n v="90677.96"/>
    <s v="Monthly"/>
    <d v="2026-07-19T00:00:00"/>
    <x v="2"/>
    <x v="6"/>
    <n v="-1108"/>
    <x v="1"/>
    <x v="6"/>
    <s v="MUKANKURANGA Janviere"/>
    <s v="kacyiru.hospital@moh.gov.rw"/>
    <n v="788989730"/>
    <m/>
    <m/>
    <m/>
  </r>
  <r>
    <s v="C001903"/>
    <x v="403"/>
    <s v="CELL"/>
    <s v="Nyamasheke"/>
    <x v="0"/>
    <x v="0"/>
    <s v="Standard"/>
    <x v="0"/>
    <x v="6"/>
    <m/>
    <s v="4G ONE NETWORK 3MBPS"/>
    <m/>
    <n v="23"/>
    <n v="81355.932203000004"/>
    <n v="1871186.4406690001"/>
    <s v="Monthly"/>
    <d v="2026-05-17T00:00:00"/>
    <x v="10"/>
    <x v="6"/>
    <n v="-1146"/>
    <x v="1"/>
    <x v="5"/>
    <s v="Paulin "/>
    <s v="ict@nyamasheke.gov.rw"/>
    <n v="788500943"/>
    <m/>
    <m/>
    <m/>
  </r>
  <r>
    <s v="C000344"/>
    <x v="265"/>
    <s v="BYUMBA -MAIN BRANCH"/>
    <s v="Gicumbi"/>
    <x v="0"/>
    <x v="6"/>
    <s v="Standard"/>
    <x v="1"/>
    <x v="3"/>
    <m/>
    <s v="VoIP PHONES 1-20"/>
    <m/>
    <n v="1"/>
    <n v="60000"/>
    <n v="60000"/>
    <s v="Monthly"/>
    <d v="2026-07-30T00:00:00"/>
    <x v="2"/>
    <x v="6"/>
    <n v="-1119"/>
    <x v="1"/>
    <x v="6"/>
    <s v="Christine MUKANEZA"/>
    <s v="chrisneza@gmail.com"/>
    <n v="788464399"/>
    <m/>
    <m/>
    <m/>
  </r>
  <r>
    <s v="C000410"/>
    <x v="76"/>
    <s v="CHUB-MAIN BRANCH"/>
    <s v="Huye"/>
    <x v="0"/>
    <x v="6"/>
    <s v="Standard"/>
    <x v="0"/>
    <x v="6"/>
    <m/>
    <s v="4G MUP 8GB/DAY"/>
    <m/>
    <n v="1"/>
    <n v="77711.86"/>
    <n v="77711.86"/>
    <s v="Monthly"/>
    <d v="2026-07-31T00:00:00"/>
    <x v="2"/>
    <x v="6"/>
    <n v="-1120"/>
    <x v="1"/>
    <x v="6"/>
    <s v="Gatera Jean Damascene"/>
    <s v="info@chub.rw;gada@chub.rw"/>
    <n v="788553158"/>
    <m/>
    <m/>
    <m/>
  </r>
  <r>
    <s v="C000410"/>
    <x v="76"/>
    <s v="CHUB-MAIN BRANCH"/>
    <s v="Huye"/>
    <x v="0"/>
    <x v="6"/>
    <s v="Standard"/>
    <x v="0"/>
    <x v="6"/>
    <m/>
    <s v="4G MUP 1GB/DAY"/>
    <m/>
    <n v="3"/>
    <n v="19491.53"/>
    <n v="58474.59"/>
    <s v="Monthly"/>
    <d v="2026-07-31T00:00:00"/>
    <x v="2"/>
    <x v="6"/>
    <n v="-1120"/>
    <x v="1"/>
    <x v="6"/>
    <s v="Gatera Jean Damascene"/>
    <s v="info@chub.rw;gada@chub.rw"/>
    <n v="788553158"/>
    <m/>
    <m/>
    <m/>
  </r>
  <r>
    <s v="C002289"/>
    <x v="40"/>
    <s v="RFL HQ."/>
    <s v="Gasabo"/>
    <x v="0"/>
    <x v="3"/>
    <s v="Standard"/>
    <x v="0"/>
    <x v="0"/>
    <n v="20"/>
    <s v="FIBER VPN 20MBPS"/>
    <m/>
    <n v="1"/>
    <n v="900000"/>
    <n v="900000"/>
    <s v="Monthly"/>
    <d v="2026-07-31T00:00:00"/>
    <x v="2"/>
    <x v="6"/>
    <n v="-1120"/>
    <x v="1"/>
    <x v="2"/>
    <s v="Theobald Bayingana"/>
    <s v="theobard.bayingana@rfl.gov.rw"/>
    <s v="0788-688-466"/>
    <m/>
    <m/>
    <m/>
  </r>
  <r>
    <s v="C004235"/>
    <x v="410"/>
    <s v="NYABIKENKE-MAIN BRANCH"/>
    <s v="Muhanga"/>
    <x v="0"/>
    <x v="6"/>
    <s v="Standard"/>
    <x v="0"/>
    <x v="6"/>
    <m/>
    <s v="4G ONE NETWORK 5MBPS"/>
    <m/>
    <n v="1"/>
    <n v="101694.92"/>
    <n v="101694.92"/>
    <s v="Monthly"/>
    <d v="2026-08-31T00:00:00"/>
    <x v="3"/>
    <x v="6"/>
    <n v="-1151"/>
    <x v="1"/>
    <x v="6"/>
    <s v="NKIKABIHIZI Fulgence"/>
    <s v="nyabikenke.hospital@moh.gov.rw"/>
    <n v="788583716"/>
    <m/>
    <m/>
    <m/>
  </r>
  <r>
    <s v="C004235"/>
    <x v="410"/>
    <s v="NYABIKENKE-MAIN BRANCH"/>
    <s v="Muhanga"/>
    <x v="0"/>
    <x v="6"/>
    <s v="Standard"/>
    <x v="0"/>
    <x v="6"/>
    <m/>
    <s v="4G MUP 2GB/DAY"/>
    <m/>
    <n v="2"/>
    <n v="28305.08"/>
    <n v="56610.16"/>
    <s v="Monthly"/>
    <d v="2026-08-31T00:00:00"/>
    <x v="3"/>
    <x v="6"/>
    <n v="-1151"/>
    <x v="1"/>
    <x v="6"/>
    <s v="NKIKABIHIZI Fulgence"/>
    <s v="nyabikenke.hospital@moh.gov.rw"/>
    <n v="788583716"/>
    <m/>
    <m/>
    <m/>
  </r>
  <r>
    <s v="C003025"/>
    <x v="411"/>
    <s v="Ngororero Mining Company."/>
    <s v="Ngororero"/>
    <x v="1"/>
    <x v="2"/>
    <s v="Standard"/>
    <x v="0"/>
    <x v="5"/>
    <n v="3"/>
    <s v="FIBER INTERNET 3MBPS"/>
    <m/>
    <n v="1"/>
    <n v="282915"/>
    <n v="282915"/>
    <s v="Monthly"/>
    <d v="2026-08-31T00:00:00"/>
    <x v="3"/>
    <x v="6"/>
    <n v="-1151"/>
    <x v="1"/>
    <x v="2"/>
    <s v="Anaclet Muyombayire"/>
    <s v="amuyombayire@rwandamountaintea.com"/>
    <s v="0788-309-011"/>
    <m/>
    <m/>
    <m/>
  </r>
  <r>
    <s v="C000359"/>
    <x v="263"/>
    <s v="CARAES-HUYE"/>
    <s v="Huye"/>
    <x v="0"/>
    <x v="6"/>
    <s v="Standard"/>
    <x v="0"/>
    <x v="0"/>
    <n v="5"/>
    <s v="FIBER VPN 5MBPS"/>
    <m/>
    <n v="1"/>
    <n v="270000"/>
    <n v="270000"/>
    <s v="Monthly"/>
    <d v="2026-09-09T00:00:00"/>
    <x v="4"/>
    <x v="6"/>
    <n v="-1160"/>
    <x v="1"/>
    <x v="6"/>
    <s v="Evode Muhire"/>
    <s v="ndera.hospital@moh.gov.rw"/>
    <n v="788827364"/>
    <m/>
    <m/>
    <m/>
  </r>
  <r>
    <s v="C002843"/>
    <x v="412"/>
    <s v="Bugesera"/>
    <s v="Bugesera"/>
    <x v="0"/>
    <x v="12"/>
    <s v="Standard"/>
    <x v="0"/>
    <x v="0"/>
    <n v="3"/>
    <s v="FIBER VPN 3MBPS"/>
    <m/>
    <n v="1"/>
    <n v="180000"/>
    <n v="180000"/>
    <s v="Monthly"/>
    <d v="2026-09-28T00:00:00"/>
    <x v="4"/>
    <x v="6"/>
    <n v="-1179"/>
    <x v="1"/>
    <x v="5"/>
    <s v="THIERRY"/>
    <s v="thierry.mugisha@umwalimusacco.rw"/>
    <n v="788212672"/>
    <m/>
    <m/>
    <m/>
  </r>
  <r>
    <s v="C002843"/>
    <x v="412"/>
    <s v="Burera"/>
    <s v="Burera"/>
    <x v="0"/>
    <x v="12"/>
    <s v="Standard"/>
    <x v="0"/>
    <x v="0"/>
    <n v="3"/>
    <s v="FIBER VPN 3MBPS"/>
    <m/>
    <n v="1"/>
    <n v="180000"/>
    <n v="180000"/>
    <s v="Monthly"/>
    <d v="2026-09-28T00:00:00"/>
    <x v="4"/>
    <x v="6"/>
    <n v="-1179"/>
    <x v="1"/>
    <x v="5"/>
    <s v="THIERRY"/>
    <s v="thierry.mugisha@umwalimusacco.rw"/>
    <n v="788212672"/>
    <m/>
    <m/>
    <m/>
  </r>
  <r>
    <s v="C002843"/>
    <x v="412"/>
    <s v="Gicumbi"/>
    <s v="Gicumbi"/>
    <x v="0"/>
    <x v="12"/>
    <s v="Standard"/>
    <x v="0"/>
    <x v="0"/>
    <n v="3"/>
    <s v="FIBER VPN 3MBPS"/>
    <m/>
    <n v="1"/>
    <n v="180000"/>
    <n v="180000"/>
    <s v="Monthly"/>
    <d v="2026-09-28T00:00:00"/>
    <x v="4"/>
    <x v="6"/>
    <n v="-1179"/>
    <x v="1"/>
    <x v="5"/>
    <s v="THIERRY"/>
    <s v="thierry.mugisha@umwalimusacco.rw"/>
    <n v="788212672"/>
    <m/>
    <m/>
    <m/>
  </r>
  <r>
    <s v="C002843"/>
    <x v="412"/>
    <s v="Huye"/>
    <s v="Huye"/>
    <x v="0"/>
    <x v="12"/>
    <s v="Standard"/>
    <x v="0"/>
    <x v="0"/>
    <n v="3"/>
    <s v="FIBER VPN 3MBPS"/>
    <m/>
    <n v="1"/>
    <n v="180000"/>
    <n v="180000"/>
    <s v="Monthly"/>
    <d v="2026-09-28T00:00:00"/>
    <x v="4"/>
    <x v="6"/>
    <n v="-1179"/>
    <x v="1"/>
    <x v="5"/>
    <s v="THIERRY"/>
    <s v="thierry.mugisha@umwalimusacco.rw"/>
    <n v="788212672"/>
    <m/>
    <m/>
    <m/>
  </r>
  <r>
    <s v="C002843"/>
    <x v="412"/>
    <s v="karongi"/>
    <s v="Karongi"/>
    <x v="0"/>
    <x v="12"/>
    <s v="Standard"/>
    <x v="0"/>
    <x v="0"/>
    <n v="3"/>
    <s v="FIBER VPN 3MBPS"/>
    <m/>
    <n v="1"/>
    <n v="180000"/>
    <n v="180000"/>
    <s v="Monthly"/>
    <d v="2026-09-28T00:00:00"/>
    <x v="4"/>
    <x v="6"/>
    <n v="-1179"/>
    <x v="1"/>
    <x v="5"/>
    <s v="THIERRY"/>
    <s v="thierry.mugisha@umwalimusacco.rw"/>
    <n v="788212672"/>
    <m/>
    <m/>
    <m/>
  </r>
  <r>
    <s v="C002843"/>
    <x v="412"/>
    <s v="kayonza"/>
    <s v="Kayonza"/>
    <x v="0"/>
    <x v="12"/>
    <s v="Standard"/>
    <x v="0"/>
    <x v="0"/>
    <n v="3"/>
    <s v="FIBER VPN 3MBPS"/>
    <m/>
    <n v="1"/>
    <n v="180000"/>
    <n v="180000"/>
    <s v="Monthly"/>
    <d v="2026-09-28T00:00:00"/>
    <x v="4"/>
    <x v="6"/>
    <n v="-1179"/>
    <x v="1"/>
    <x v="5"/>
    <s v="THIERRY"/>
    <s v="thierry.mugisha@umwalimusacco.rw"/>
    <n v="788212672"/>
    <m/>
    <m/>
    <m/>
  </r>
  <r>
    <s v="C002843"/>
    <x v="412"/>
    <s v="Kirehe"/>
    <s v="Kirehe"/>
    <x v="0"/>
    <x v="12"/>
    <s v="Standard"/>
    <x v="0"/>
    <x v="0"/>
    <n v="3"/>
    <s v="FIBER VPN 3MBPS"/>
    <m/>
    <n v="1"/>
    <n v="180000"/>
    <n v="180000"/>
    <s v="Monthly"/>
    <d v="2026-09-28T00:00:00"/>
    <x v="4"/>
    <x v="6"/>
    <n v="-1179"/>
    <x v="1"/>
    <x v="5"/>
    <s v="THIERRY"/>
    <s v="thierry.mugisha@umwalimusacco.rw"/>
    <n v="788212672"/>
    <m/>
    <m/>
    <m/>
  </r>
  <r>
    <s v="C002843"/>
    <x v="412"/>
    <s v="Musanze"/>
    <s v="Musanze"/>
    <x v="0"/>
    <x v="12"/>
    <s v="Standard"/>
    <x v="0"/>
    <x v="0"/>
    <n v="3"/>
    <s v="FIBER VPN 3MBPS"/>
    <m/>
    <n v="1"/>
    <n v="180000"/>
    <n v="180000"/>
    <s v="Monthly"/>
    <d v="2026-09-28T00:00:00"/>
    <x v="4"/>
    <x v="6"/>
    <n v="-1179"/>
    <x v="1"/>
    <x v="5"/>
    <s v="THIERRY"/>
    <s v="thierry.mugisha@umwalimusacco.rw"/>
    <n v="788212672"/>
    <m/>
    <m/>
    <m/>
  </r>
  <r>
    <s v="C002843"/>
    <x v="412"/>
    <s v="HQ"/>
    <s v="Ngororero"/>
    <x v="0"/>
    <x v="12"/>
    <s v="Standard"/>
    <x v="0"/>
    <x v="0"/>
    <n v="3"/>
    <s v="FIBER VPN 3MBPS"/>
    <m/>
    <n v="1"/>
    <n v="180000"/>
    <n v="180000"/>
    <s v="Monthly"/>
    <d v="2026-09-28T00:00:00"/>
    <x v="4"/>
    <x v="6"/>
    <n v="-1179"/>
    <x v="1"/>
    <x v="5"/>
    <s v="THIERRY"/>
    <s v="thierry.mugisha@umwalimusacco.rw"/>
    <n v="788212672"/>
    <m/>
    <m/>
    <m/>
  </r>
  <r>
    <s v="C002843"/>
    <x v="412"/>
    <s v="Ngororero"/>
    <s v="Ngororero"/>
    <x v="0"/>
    <x v="12"/>
    <s v="Standard"/>
    <x v="0"/>
    <x v="0"/>
    <n v="3"/>
    <s v="FIBER VPN 3MBPS"/>
    <m/>
    <n v="1"/>
    <n v="180000"/>
    <n v="180000"/>
    <s v="Monthly"/>
    <d v="2026-09-28T00:00:00"/>
    <x v="4"/>
    <x v="6"/>
    <n v="-1179"/>
    <x v="1"/>
    <x v="5"/>
    <s v="THIERRY"/>
    <s v="thierry.mugisha@umwalimusacco.rw"/>
    <n v="788212672"/>
    <m/>
    <m/>
    <m/>
  </r>
  <r>
    <s v="C002843"/>
    <x v="412"/>
    <s v="Nyarugenge"/>
    <s v="Nyarugenge"/>
    <x v="0"/>
    <x v="12"/>
    <s v="Standard"/>
    <x v="1"/>
    <x v="0"/>
    <n v="3"/>
    <s v="Wireless Broadband 3MBPS (1)"/>
    <m/>
    <n v="1"/>
    <n v="308000"/>
    <n v="308000"/>
    <s v="Monthly"/>
    <d v="2026-09-28T00:00:00"/>
    <x v="4"/>
    <x v="6"/>
    <n v="-1179"/>
    <x v="1"/>
    <x v="5"/>
    <s v="THIERRY"/>
    <s v="thierry.mugisha@umwalimusacco.rw"/>
    <n v="788212672"/>
    <m/>
    <m/>
    <m/>
  </r>
  <r>
    <s v="C002843"/>
    <x v="412"/>
    <s v="Ruhango"/>
    <s v="Ruhango"/>
    <x v="0"/>
    <x v="12"/>
    <s v="Standard"/>
    <x v="0"/>
    <x v="0"/>
    <n v="3"/>
    <s v="FIBER VPN 3MBPS"/>
    <m/>
    <n v="1"/>
    <n v="180000"/>
    <n v="180000"/>
    <s v="Monthly"/>
    <d v="2026-09-28T00:00:00"/>
    <x v="4"/>
    <x v="6"/>
    <n v="-1179"/>
    <x v="1"/>
    <x v="5"/>
    <s v="THIERRY"/>
    <s v="thierry.mugisha@umwalimusacco.rw"/>
    <n v="788212672"/>
    <m/>
    <m/>
    <m/>
  </r>
  <r>
    <s v="C002843"/>
    <x v="412"/>
    <s v="Rwamagana"/>
    <s v="Rwamagana  "/>
    <x v="0"/>
    <x v="12"/>
    <s v="Standard"/>
    <x v="0"/>
    <x v="0"/>
    <n v="3"/>
    <s v="FIBER VPN 3MBPS"/>
    <m/>
    <n v="1"/>
    <n v="180000"/>
    <n v="180000"/>
    <s v="Monthly"/>
    <d v="2026-09-28T00:00:00"/>
    <x v="4"/>
    <x v="6"/>
    <n v="-1179"/>
    <x v="1"/>
    <x v="5"/>
    <s v="THIERRY"/>
    <s v="thierry.mugisha@umwalimusacco.rw"/>
    <n v="788212672"/>
    <m/>
    <m/>
    <m/>
  </r>
  <r>
    <s v="C002843"/>
    <x v="412"/>
    <s v="HQ VPN"/>
    <s v="Gasabo"/>
    <x v="0"/>
    <x v="12"/>
    <s v="Standard"/>
    <x v="0"/>
    <x v="0"/>
    <n v="10"/>
    <s v="FIBER VPN 10MBPS "/>
    <m/>
    <n v="1"/>
    <n v="510000"/>
    <n v="510000"/>
    <s v="Monthly"/>
    <d v="2026-09-28T00:00:00"/>
    <x v="4"/>
    <x v="6"/>
    <n v="-1179"/>
    <x v="1"/>
    <x v="5"/>
    <s v="THIERRY"/>
    <s v="thierry.mugisha@umwalimusacco.rw"/>
    <n v="788212672"/>
    <m/>
    <m/>
    <m/>
  </r>
  <r>
    <s v="C002843"/>
    <x v="412"/>
    <s v="Nyamasheke"/>
    <s v="Nyamasheke"/>
    <x v="0"/>
    <x v="12"/>
    <s v="Standard"/>
    <x v="0"/>
    <x v="0"/>
    <n v="30"/>
    <s v="FIBER INTERNET 30MBPS"/>
    <m/>
    <n v="1"/>
    <n v="1260000"/>
    <n v="1260000"/>
    <s v="Monthly"/>
    <d v="2026-09-28T00:00:00"/>
    <x v="4"/>
    <x v="6"/>
    <n v="-1179"/>
    <x v="1"/>
    <x v="5"/>
    <s v="THIERRY"/>
    <s v="thierry.mugisha@umwalimusacco.rw"/>
    <n v="788212672"/>
    <m/>
    <m/>
    <m/>
  </r>
  <r>
    <s v="C004022"/>
    <x v="413"/>
    <s v="GATONDE-MAIN BRANCH"/>
    <s v="Muhanga"/>
    <x v="0"/>
    <x v="6"/>
    <s v="Standard"/>
    <x v="0"/>
    <x v="6"/>
    <m/>
    <s v="4G ONE NETWORK 5MBPS"/>
    <m/>
    <n v="3"/>
    <n v="101694.92"/>
    <n v="305084.76"/>
    <s v="Monthly"/>
    <d v="2026-09-29T00:00:00"/>
    <x v="4"/>
    <x v="6"/>
    <n v="-1180"/>
    <x v="1"/>
    <x v="6"/>
    <s v="INGAMBA Emile"/>
    <s v="ngamile31@gmail.com;gatonde.hospital@moh.gov.rw"/>
    <n v="782570906"/>
    <m/>
    <m/>
    <m/>
  </r>
  <r>
    <s v="C000359"/>
    <x v="263"/>
    <s v="CARAES-KICUKIRO"/>
    <s v="Kicukiro"/>
    <x v="0"/>
    <x v="6"/>
    <s v="Standard"/>
    <x v="0"/>
    <x v="0"/>
    <n v="5"/>
    <s v="FIBER VPN 5MBPS"/>
    <m/>
    <n v="1"/>
    <n v="270000"/>
    <n v="270000"/>
    <s v="Monthly"/>
    <d v="2026-09-30T00:00:00"/>
    <x v="4"/>
    <x v="6"/>
    <n v="-1181"/>
    <x v="1"/>
    <x v="6"/>
    <s v="Evode Muhire"/>
    <s v="ndera.hospital@moh.gov.rw"/>
    <n v="788827364"/>
    <m/>
    <m/>
    <m/>
  </r>
  <r>
    <s v="C000359"/>
    <x v="263"/>
    <s v="CARAES NDERA"/>
    <s v="Gasabo"/>
    <x v="0"/>
    <x v="6"/>
    <s v="Standard"/>
    <x v="0"/>
    <x v="0"/>
    <n v="50"/>
    <s v="FIBER VPN 50MBPS"/>
    <m/>
    <n v="1"/>
    <n v="1800000"/>
    <n v="1800000"/>
    <s v="Monthly"/>
    <d v="2026-09-30T00:00:00"/>
    <x v="4"/>
    <x v="6"/>
    <n v="-1181"/>
    <x v="1"/>
    <x v="6"/>
    <s v="Evode Muhire"/>
    <s v="ndera.hospital@moh.gov.rw"/>
    <n v="788827364"/>
    <m/>
    <m/>
    <m/>
  </r>
  <r>
    <s v="C000771"/>
    <x v="43"/>
    <s v="GISENYI-MAIN BRANCH"/>
    <s v="Rubavu"/>
    <x v="0"/>
    <x v="6"/>
    <s v="Standard"/>
    <x v="3"/>
    <x v="7"/>
    <m/>
    <s v="MSS GOLD"/>
    <m/>
    <n v="1"/>
    <n v="369325"/>
    <n v="369325"/>
    <s v="Monthly"/>
    <d v="2026-09-30T00:00:00"/>
    <x v="4"/>
    <x v="6"/>
    <n v="-1181"/>
    <x v="1"/>
    <x v="6"/>
    <s v="NKURUNZIZA Innocent"/>
    <s v="gisenyi.hospital@moh.gov.rw"/>
    <n v="788823232"/>
    <m/>
    <m/>
    <m/>
  </r>
  <r>
    <s v="C000771"/>
    <x v="43"/>
    <s v="GISENYI-MAIN BRANCH"/>
    <s v="Rubavu"/>
    <x v="0"/>
    <x v="6"/>
    <s v="Standard"/>
    <x v="0"/>
    <x v="6"/>
    <m/>
    <s v="4G ONE NETWORK 3MBPS"/>
    <m/>
    <n v="3"/>
    <n v="81355.932203389835"/>
    <n v="244067.79661016952"/>
    <s v="Monthly"/>
    <d v="2026-09-30T00:00:00"/>
    <x v="4"/>
    <x v="6"/>
    <n v="-1181"/>
    <x v="1"/>
    <x v="6"/>
    <s v="NKURUNZIZA Innocent"/>
    <s v="gisenyi.hospital@moh.gov.rw"/>
    <n v="788823232"/>
    <m/>
    <m/>
    <m/>
  </r>
  <r>
    <s v="C001723"/>
    <x v="414"/>
    <s v="HQ"/>
    <s v="Gasabo"/>
    <x v="0"/>
    <x v="0"/>
    <s v="Standard"/>
    <x v="0"/>
    <x v="6"/>
    <m/>
    <s v="4G ONE NETWORK 5MBPS"/>
    <m/>
    <n v="1"/>
    <n v="101694.92"/>
    <n v="101694.92"/>
    <s v="Monthly"/>
    <d v="2026-09-30T00:00:00"/>
    <x v="4"/>
    <x v="6"/>
    <n v="-1181"/>
    <x v="1"/>
    <x v="0"/>
    <s v="Rukundo Francois"/>
    <s v="ndubasector@yahoo.com"/>
    <s v="0788665853"/>
    <m/>
    <m/>
    <m/>
  </r>
  <r>
    <s v="C001723"/>
    <x v="414"/>
    <s v="HQ"/>
    <s v="Gasabo"/>
    <x v="0"/>
    <x v="0"/>
    <s v="Standard"/>
    <x v="0"/>
    <x v="6"/>
    <m/>
    <s v="4G MUP 1GB/DAY"/>
    <m/>
    <n v="3"/>
    <n v="19491.53"/>
    <n v="58474.59"/>
    <s v="Monthly"/>
    <d v="2026-09-30T00:00:00"/>
    <x v="4"/>
    <x v="6"/>
    <n v="-1181"/>
    <x v="1"/>
    <x v="0"/>
    <s v="Rukundo Francois"/>
    <s v="ndubasector@yahoo.com"/>
    <s v="0788665853"/>
    <m/>
    <m/>
    <m/>
  </r>
  <r>
    <s v="C001723"/>
    <x v="414"/>
    <s v="HQ"/>
    <s v="Gasabo"/>
    <x v="0"/>
    <x v="0"/>
    <s v="Standard"/>
    <x v="0"/>
    <x v="6"/>
    <m/>
    <s v="4G MUP 2GB/DAY"/>
    <m/>
    <n v="5"/>
    <n v="28305.08"/>
    <n v="141525.40000000002"/>
    <s v="Monthly"/>
    <d v="2026-09-30T00:00:00"/>
    <x v="4"/>
    <x v="6"/>
    <n v="-1181"/>
    <x v="1"/>
    <x v="0"/>
    <s v="Rukundo Francois"/>
    <s v="ndubasector@yahoo.com"/>
    <s v="0788665853"/>
    <m/>
    <m/>
    <m/>
  </r>
  <r>
    <s v="C003888"/>
    <x v="415"/>
    <s v="HQ"/>
    <s v="Nyarugenge"/>
    <x v="1"/>
    <x v="7"/>
    <s v="Standard"/>
    <x v="2"/>
    <x v="2"/>
    <m/>
    <s v="Dark Fiber lease 5KMs/2Cores"/>
    <n v="5"/>
    <n v="1"/>
    <n v="263750"/>
    <n v="263750"/>
    <s v="Monthly"/>
    <d v="2026-09-30T00:00:00"/>
    <x v="4"/>
    <x v="6"/>
    <n v="-1181"/>
    <x v="1"/>
    <x v="7"/>
    <s v="Alfred Dushimimana"/>
    <s v="adushimimana@wasac.rw"/>
    <n v="788303523"/>
    <m/>
    <m/>
    <m/>
  </r>
  <r>
    <s v="C003888"/>
    <x v="415"/>
    <s v="Wasac Datacenter"/>
    <s v="Nyarugenge"/>
    <x v="1"/>
    <x v="7"/>
    <s v="Standard"/>
    <x v="1"/>
    <x v="5"/>
    <n v="40"/>
    <s v="Fiber internet 40Mbps"/>
    <m/>
    <n v="1"/>
    <n v="1548500"/>
    <n v="1548500"/>
    <s v="Monthly"/>
    <d v="2026-09-30T00:00:00"/>
    <x v="4"/>
    <x v="6"/>
    <n v="-1181"/>
    <x v="1"/>
    <x v="7"/>
    <s v="Alfred Dushimimana"/>
    <s v="adushimimana@wasac.rw"/>
    <n v="788303523"/>
    <m/>
    <m/>
    <m/>
  </r>
  <r>
    <s v="C002861"/>
    <x v="416"/>
    <s v="CHUK-MAIN BRANCH"/>
    <s v="Nyarugenge"/>
    <x v="0"/>
    <x v="6"/>
    <s v="VIP"/>
    <x v="0"/>
    <x v="0"/>
    <n v="100"/>
    <s v="FIBER VPN 100MBPS"/>
    <m/>
    <n v="1"/>
    <n v="3240000"/>
    <n v="3240000"/>
    <s v="Monthly"/>
    <d v="2026-10-13T00:00:00"/>
    <x v="12"/>
    <x v="6"/>
    <n v="-1194"/>
    <x v="1"/>
    <x v="6"/>
    <s v="Alpha-Arsene Marara"/>
    <s v="alpaarsne.marara@chuk.rw"/>
    <n v="788649898"/>
    <m/>
    <m/>
    <m/>
  </r>
  <r>
    <s v="C002861"/>
    <x v="416"/>
    <s v="CHUK-MAIN BRANCH"/>
    <s v="Nyarugenge"/>
    <x v="0"/>
    <x v="6"/>
    <s v="VIP"/>
    <x v="3"/>
    <x v="7"/>
    <m/>
    <s v="MSS GOLD"/>
    <m/>
    <n v="1"/>
    <n v="369325"/>
    <n v="369325"/>
    <s v="Monthly"/>
    <d v="2026-10-13T00:00:00"/>
    <x v="12"/>
    <x v="6"/>
    <n v="-1194"/>
    <x v="1"/>
    <x v="6"/>
    <s v="Alpha-Arsene Marara"/>
    <s v="alpaarsne.marara@chuk.rw"/>
    <n v="788649898"/>
    <m/>
    <m/>
    <m/>
  </r>
  <r>
    <s v="C001197"/>
    <x v="417"/>
    <s v="Lais"/>
    <s v="Kirehe"/>
    <x v="0"/>
    <x v="0"/>
    <s v="Standard"/>
    <x v="0"/>
    <x v="0"/>
    <n v="3"/>
    <s v="FIBER VPN 3MBPS"/>
    <m/>
    <n v="1"/>
    <n v="180000"/>
    <n v="180000"/>
    <s v="Monthly"/>
    <d v="2026-10-31T00:00:00"/>
    <x v="12"/>
    <x v="6"/>
    <n v="-1212"/>
    <x v="1"/>
    <x v="0"/>
    <s v="Desire Ininahazwe"/>
    <s v="ictofficer@kirehe.gov.rw"/>
    <s v="0783715426"/>
    <m/>
    <m/>
    <m/>
  </r>
  <r>
    <s v="C001197"/>
    <x v="417"/>
    <s v="HQ"/>
    <s v="Kirehe"/>
    <x v="0"/>
    <x v="0"/>
    <s v="Standard"/>
    <x v="0"/>
    <x v="0"/>
    <n v="10"/>
    <s v="FIBER VPN 10MBPS"/>
    <m/>
    <n v="1"/>
    <n v="510000"/>
    <n v="510000"/>
    <s v="Monthly"/>
    <d v="2026-10-31T00:00:00"/>
    <x v="12"/>
    <x v="6"/>
    <n v="-1212"/>
    <x v="1"/>
    <x v="0"/>
    <s v="Desire Ininahazwe"/>
    <s v="ictofficer@kirehe.gov.rw"/>
    <s v="0783715426"/>
    <m/>
    <m/>
    <m/>
  </r>
  <r>
    <s v="C001197"/>
    <x v="417"/>
    <s v="HQ"/>
    <s v="Kirehe"/>
    <x v="0"/>
    <x v="0"/>
    <s v="Standard"/>
    <x v="3"/>
    <x v="7"/>
    <m/>
    <s v="MSS GOLD"/>
    <m/>
    <n v="1"/>
    <n v="369325.42"/>
    <n v="369325.42"/>
    <s v="Monthly"/>
    <d v="2026-10-31T00:00:00"/>
    <x v="12"/>
    <x v="6"/>
    <n v="-1212"/>
    <x v="1"/>
    <x v="0"/>
    <s v="Desire Ininahazwe"/>
    <s v="ictofficer@kirehe.gov.rw"/>
    <s v="0783715426"/>
    <m/>
    <m/>
    <m/>
  </r>
  <r>
    <s v="C001197"/>
    <x v="417"/>
    <s v="HQ"/>
    <s v="Kirehe"/>
    <x v="0"/>
    <x v="0"/>
    <s v="Standard"/>
    <x v="0"/>
    <x v="6"/>
    <m/>
    <s v="4G ONE NETWORK 5MBPS"/>
    <m/>
    <n v="3"/>
    <n v="101694.92"/>
    <n v="305084.76"/>
    <s v="Monthly"/>
    <d v="2026-11-30T00:00:00"/>
    <x v="5"/>
    <x v="6"/>
    <n v="-1242"/>
    <x v="1"/>
    <x v="0"/>
    <s v="Desire Ininahazwe"/>
    <s v="ictofficer@kirehe.gov.rw"/>
    <s v="0783715426"/>
    <m/>
    <m/>
    <m/>
  </r>
  <r>
    <s v="C001197"/>
    <x v="417"/>
    <s v="HQ"/>
    <s v="Kirehe"/>
    <x v="0"/>
    <x v="0"/>
    <s v="Standard"/>
    <x v="0"/>
    <x v="6"/>
    <m/>
    <s v="4G ONE NETWORK 3MBPS"/>
    <m/>
    <n v="12"/>
    <n v="81355.932203389835"/>
    <n v="976271.18644067808"/>
    <s v="Monthly"/>
    <d v="2026-11-30T00:00:00"/>
    <x v="5"/>
    <x v="6"/>
    <n v="-1242"/>
    <x v="1"/>
    <x v="0"/>
    <s v="Desire Ininahazwe"/>
    <s v="ictofficer@kirehe.gov.rw"/>
    <s v="0783715426"/>
    <m/>
    <m/>
    <m/>
  </r>
  <r>
    <s v="C001197"/>
    <x v="417"/>
    <s v="HQ"/>
    <s v="Kirehe"/>
    <x v="0"/>
    <x v="0"/>
    <s v="Standard"/>
    <x v="0"/>
    <x v="6"/>
    <m/>
    <s v="4G MUP 1GB/DAY"/>
    <m/>
    <n v="65"/>
    <n v="19491.53"/>
    <n v="1266949.45"/>
    <s v="Monthly"/>
    <d v="2026-11-30T00:00:00"/>
    <x v="5"/>
    <x v="6"/>
    <n v="-1242"/>
    <x v="1"/>
    <x v="0"/>
    <s v="Desire Ininahazwe"/>
    <s v="ictofficer@kirehe.gov.rw"/>
    <s v="0783715426"/>
    <m/>
    <m/>
    <m/>
  </r>
  <r>
    <s v="C001149"/>
    <x v="418"/>
    <s v="VPN LINK"/>
    <s v="Kayonza"/>
    <x v="0"/>
    <x v="0"/>
    <s v="Standard"/>
    <x v="0"/>
    <x v="0"/>
    <n v="1"/>
    <s v="FIBER VPN1 MBPS"/>
    <m/>
    <n v="1"/>
    <n v="90000"/>
    <n v="90000"/>
    <s v="Monthly"/>
    <d v="2026-12-30T00:00:00"/>
    <x v="0"/>
    <x v="6"/>
    <n v="-1272"/>
    <x v="1"/>
    <x v="5"/>
    <s v="Gatete Augustine"/>
    <s v="augustin.gatete@kayonza.gov.rw"/>
    <n v="783407484"/>
    <m/>
    <m/>
    <m/>
  </r>
  <r>
    <s v="C001149"/>
    <x v="418"/>
    <s v="VPN LINK"/>
    <s v="Kayonza"/>
    <x v="0"/>
    <x v="0"/>
    <s v="Standard"/>
    <x v="0"/>
    <x v="0"/>
    <n v="1"/>
    <s v="FIBER VPN1 MBPS"/>
    <m/>
    <n v="1"/>
    <n v="90000"/>
    <n v="90000"/>
    <s v="Monthly"/>
    <d v="2026-12-30T00:00:00"/>
    <x v="0"/>
    <x v="6"/>
    <n v="-1272"/>
    <x v="1"/>
    <x v="5"/>
    <s v="Gatete Augustine"/>
    <s v="augustin.gatete@kayonza.gov.rw"/>
    <n v="783407484"/>
    <m/>
    <m/>
    <m/>
  </r>
  <r>
    <s v="C001149"/>
    <x v="418"/>
    <s v="VPN LINK"/>
    <s v="Kayonza"/>
    <x v="0"/>
    <x v="0"/>
    <s v="Standard"/>
    <x v="0"/>
    <x v="0"/>
    <n v="1"/>
    <s v="FIBER VPN1 MBPS"/>
    <m/>
    <n v="1"/>
    <n v="90000"/>
    <n v="90000"/>
    <s v="Monthly"/>
    <d v="2026-12-30T00:00:00"/>
    <x v="0"/>
    <x v="6"/>
    <n v="-1272"/>
    <x v="1"/>
    <x v="5"/>
    <s v="Gatete Augustine"/>
    <s v="augustin.gatete@kayonza.gov.rw"/>
    <n v="783407484"/>
    <m/>
    <m/>
    <m/>
  </r>
  <r>
    <s v="C001149"/>
    <x v="418"/>
    <s v="VPN LINK"/>
    <s v="Kayonza"/>
    <x v="0"/>
    <x v="0"/>
    <s v="Standard"/>
    <x v="0"/>
    <x v="0"/>
    <n v="3"/>
    <s v="FIBER VPN 3MBPS"/>
    <m/>
    <n v="1"/>
    <n v="180000"/>
    <n v="180000"/>
    <s v="Monthly"/>
    <d v="2026-12-30T00:00:00"/>
    <x v="0"/>
    <x v="6"/>
    <n v="-1272"/>
    <x v="1"/>
    <x v="5"/>
    <s v="Gatete Augustine"/>
    <s v="augustin.gatete@kayonza.gov.rw"/>
    <n v="783407484"/>
    <m/>
    <m/>
    <m/>
  </r>
  <r>
    <s v="C001149"/>
    <x v="418"/>
    <s v="Kayonza Cell"/>
    <s v="Kayonza"/>
    <x v="0"/>
    <x v="0"/>
    <s v="Standard"/>
    <x v="0"/>
    <x v="6"/>
    <m/>
    <s v="4G ONE NETWORK 3MBPS"/>
    <m/>
    <n v="1"/>
    <n v="81355.932203389835"/>
    <n v="81355.932203389835"/>
    <s v="Monthly"/>
    <d v="2026-12-30T00:00:00"/>
    <x v="0"/>
    <x v="6"/>
    <n v="-1272"/>
    <x v="1"/>
    <x v="5"/>
    <s v="Gatete Augustine"/>
    <s v="augustin.gatete@kayonza.gov.rw"/>
    <n v="783407484"/>
    <m/>
    <m/>
    <m/>
  </r>
  <r>
    <s v="C001149"/>
    <x v="418"/>
    <s v="Kayonza HQ"/>
    <s v="Kayonza"/>
    <x v="0"/>
    <x v="0"/>
    <s v="Standard"/>
    <x v="1"/>
    <x v="10"/>
    <m/>
    <s v="VIDEO CONFERENCE"/>
    <m/>
    <n v="1"/>
    <n v="258044"/>
    <n v="258044"/>
    <s v="Monthly"/>
    <d v="2026-12-30T00:00:00"/>
    <x v="0"/>
    <x v="6"/>
    <n v="-1272"/>
    <x v="1"/>
    <x v="5"/>
    <s v="Gatete Augustine"/>
    <s v="augustin.gatete@kayonza.gov.rw"/>
    <n v="783407484"/>
    <m/>
    <m/>
    <m/>
  </r>
  <r>
    <s v="C001149"/>
    <x v="418"/>
    <s v="Kayonza HQ"/>
    <s v="Kayonza"/>
    <x v="0"/>
    <x v="0"/>
    <s v="Standard"/>
    <x v="3"/>
    <x v="7"/>
    <m/>
    <s v="MSS GOLD"/>
    <m/>
    <n v="1"/>
    <n v="369325"/>
    <n v="369325"/>
    <s v="Monthly"/>
    <d v="2026-12-30T00:00:00"/>
    <x v="0"/>
    <x v="6"/>
    <n v="-1272"/>
    <x v="1"/>
    <x v="5"/>
    <s v="Gatete Augustine"/>
    <s v="augustin.gatete@kayonza.gov.rw"/>
    <n v="783407484"/>
    <m/>
    <m/>
    <m/>
  </r>
  <r>
    <s v="C001149"/>
    <x v="418"/>
    <s v="Kayonza Cell"/>
    <s v="Kayonza"/>
    <x v="0"/>
    <x v="0"/>
    <s v="Standard"/>
    <x v="0"/>
    <x v="6"/>
    <m/>
    <s v="4G ONE NETWORK 3MBPS"/>
    <m/>
    <n v="1"/>
    <n v="81355.932203389835"/>
    <n v="81355.932203389835"/>
    <s v="Monthly"/>
    <d v="2026-12-30T00:00:00"/>
    <x v="0"/>
    <x v="6"/>
    <n v="-1272"/>
    <x v="1"/>
    <x v="5"/>
    <s v="Gatete Augustine"/>
    <s v="augustin.gatete@kayonza.gov.rw"/>
    <n v="783407484"/>
    <m/>
    <m/>
    <m/>
  </r>
  <r>
    <s v="C001149"/>
    <x v="418"/>
    <s v="Kayonza Cell"/>
    <s v="Kayonza"/>
    <x v="0"/>
    <x v="0"/>
    <s v="Standard"/>
    <x v="0"/>
    <x v="6"/>
    <m/>
    <s v="4G ONE NETWORK 3MBPS"/>
    <m/>
    <n v="1"/>
    <n v="81355.932203389835"/>
    <n v="81355.932203389835"/>
    <s v="Monthly"/>
    <d v="2026-12-30T00:00:00"/>
    <x v="0"/>
    <x v="6"/>
    <n v="-1272"/>
    <x v="1"/>
    <x v="5"/>
    <s v="Gatete Augustine"/>
    <s v="augustin.gatete@kayonza.gov.rw"/>
    <n v="783407484"/>
    <m/>
    <m/>
    <m/>
  </r>
  <r>
    <s v="C001149"/>
    <x v="418"/>
    <s v="Kayonza Cell"/>
    <s v="Kayonza"/>
    <x v="0"/>
    <x v="0"/>
    <s v="Standard"/>
    <x v="0"/>
    <x v="6"/>
    <m/>
    <s v="4G ONE NETWORK 3MBPS"/>
    <m/>
    <n v="1"/>
    <n v="81355.932203389835"/>
    <n v="81355.932203389835"/>
    <s v="Monthly"/>
    <d v="2026-12-30T00:00:00"/>
    <x v="0"/>
    <x v="6"/>
    <n v="-1272"/>
    <x v="1"/>
    <x v="5"/>
    <s v="Gatete Augustine"/>
    <s v="augustin.gatete@kayonza.gov.rw"/>
    <n v="783407484"/>
    <m/>
    <m/>
    <m/>
  </r>
  <r>
    <s v="C001149"/>
    <x v="418"/>
    <s v="Kayonza Cell"/>
    <s v="Kayonza"/>
    <x v="0"/>
    <x v="0"/>
    <s v="Standard"/>
    <x v="0"/>
    <x v="6"/>
    <m/>
    <s v="4G ONE NETWORK 3MBPS"/>
    <m/>
    <n v="1"/>
    <n v="81355.932203389835"/>
    <n v="81355.932203389835"/>
    <s v="Monthly"/>
    <d v="2026-12-30T00:00:00"/>
    <x v="0"/>
    <x v="6"/>
    <n v="-1272"/>
    <x v="1"/>
    <x v="5"/>
    <s v="Gatete Augustine"/>
    <s v="augustin.gatete@kayonza.gov.rw"/>
    <n v="783407484"/>
    <m/>
    <m/>
    <m/>
  </r>
  <r>
    <s v="C001149"/>
    <x v="418"/>
    <s v="Kayonza Cell"/>
    <s v="Kayonza"/>
    <x v="0"/>
    <x v="0"/>
    <s v="Standard"/>
    <x v="0"/>
    <x v="6"/>
    <m/>
    <s v="4G ONE NETWORK 3MBPS"/>
    <m/>
    <n v="1"/>
    <n v="81355.932203389835"/>
    <n v="81355.932203389835"/>
    <s v="Monthly"/>
    <d v="2026-12-30T00:00:00"/>
    <x v="0"/>
    <x v="6"/>
    <n v="-1272"/>
    <x v="1"/>
    <x v="5"/>
    <s v="Gatete Augustine"/>
    <s v="augustin.gatete@kayonza.gov.rw"/>
    <n v="783407484"/>
    <m/>
    <m/>
    <m/>
  </r>
  <r>
    <s v="C001149"/>
    <x v="418"/>
    <s v="Kayonza Cell"/>
    <s v="Kayonza"/>
    <x v="0"/>
    <x v="0"/>
    <s v="Standard"/>
    <x v="0"/>
    <x v="6"/>
    <m/>
    <s v="4G ONE NETWORK 3MBPS"/>
    <m/>
    <n v="1"/>
    <n v="81355.932203389835"/>
    <n v="81355.932203389835"/>
    <s v="Monthly"/>
    <d v="2026-12-30T00:00:00"/>
    <x v="0"/>
    <x v="6"/>
    <n v="-1272"/>
    <x v="1"/>
    <x v="5"/>
    <s v="Gatete Augustine"/>
    <s v="augustin.gatete@kayonza.gov.rw"/>
    <n v="783407484"/>
    <m/>
    <m/>
    <m/>
  </r>
  <r>
    <s v="C001149"/>
    <x v="418"/>
    <s v="Kayonza Cell"/>
    <s v="Kayonza"/>
    <x v="0"/>
    <x v="0"/>
    <s v="Standard"/>
    <x v="0"/>
    <x v="6"/>
    <m/>
    <s v="4G ONE NETWORK 3MBPS"/>
    <m/>
    <n v="1"/>
    <n v="81355.932203389835"/>
    <n v="81355.932203389835"/>
    <s v="Monthly"/>
    <d v="2026-12-30T00:00:00"/>
    <x v="0"/>
    <x v="6"/>
    <n v="-1272"/>
    <x v="1"/>
    <x v="5"/>
    <s v="Gatete Augustine"/>
    <s v="augustin.gatete@kayonza.gov.rw"/>
    <n v="783407484"/>
    <m/>
    <m/>
    <m/>
  </r>
  <r>
    <s v="C001149"/>
    <x v="418"/>
    <s v="Kayonza Cell"/>
    <s v="Kayonza"/>
    <x v="0"/>
    <x v="0"/>
    <s v="Standard"/>
    <x v="0"/>
    <x v="6"/>
    <m/>
    <s v="4G ONE NETWORK 3MBPS"/>
    <m/>
    <n v="1"/>
    <n v="81355.932203389835"/>
    <n v="81355.932203389835"/>
    <s v="Monthly"/>
    <d v="2026-12-30T00:00:00"/>
    <x v="0"/>
    <x v="6"/>
    <n v="-1272"/>
    <x v="1"/>
    <x v="5"/>
    <s v="Gatete Augustine"/>
    <s v="augustin.gatete@kayonza.gov.rw"/>
    <n v="783407484"/>
    <m/>
    <m/>
    <m/>
  </r>
  <r>
    <s v="C001149"/>
    <x v="418"/>
    <s v="Kayonza HQ"/>
    <s v="Kayonza"/>
    <x v="0"/>
    <x v="0"/>
    <s v="Standard"/>
    <x v="0"/>
    <x v="0"/>
    <n v="30"/>
    <s v="FIBER VPN 10MBPS"/>
    <m/>
    <n v="3"/>
    <n v="510000"/>
    <n v="1530000"/>
    <s v="Monthly"/>
    <d v="2026-12-30T00:00:00"/>
    <x v="0"/>
    <x v="6"/>
    <n v="-1272"/>
    <x v="1"/>
    <x v="5"/>
    <s v="Gatete Augustine"/>
    <s v="augustin.gatete@kayonza.gov.rw"/>
    <n v="783407484"/>
    <m/>
    <m/>
    <m/>
  </r>
  <r>
    <s v="C001149"/>
    <x v="418"/>
    <s v="Kayonza Cell"/>
    <s v="Kayonza"/>
    <x v="0"/>
    <x v="0"/>
    <s v="Standard"/>
    <x v="0"/>
    <x v="6"/>
    <m/>
    <s v="4G MUP 2GB/DAY"/>
    <m/>
    <n v="60"/>
    <n v="28305.08"/>
    <n v="1698304.8"/>
    <s v="Monthly"/>
    <d v="2026-12-30T00:00:00"/>
    <x v="0"/>
    <x v="6"/>
    <n v="-1272"/>
    <x v="1"/>
    <x v="5"/>
    <s v="Gatete Augustine"/>
    <s v="augustin.gatete@kayonza.gov.rw"/>
    <n v="783407484"/>
    <m/>
    <m/>
    <m/>
  </r>
  <r>
    <s v="C000973"/>
    <x v="419"/>
    <s v="IPRC Huye"/>
    <s v="Huye"/>
    <x v="0"/>
    <x v="4"/>
    <s v="Standard"/>
    <x v="0"/>
    <x v="0"/>
    <n v="50"/>
    <s v="fiber vpn 50mbps"/>
    <m/>
    <n v="1"/>
    <n v="1800000"/>
    <n v="1800000"/>
    <s v="Monthly"/>
    <d v="2026-12-31T00:00:00"/>
    <x v="0"/>
    <x v="6"/>
    <n v="-1273"/>
    <x v="1"/>
    <x v="4"/>
    <s v="Mugisha"/>
    <s v="jckabayiza@iprcsouth.ac.rw;imugisha@iprchuye.rp.ac.rw;cajem123@gmail.com"/>
    <s v="788808321/0783130939"/>
    <m/>
    <m/>
    <m/>
  </r>
  <r>
    <s v="C001063"/>
    <x v="375"/>
    <s v="KABGAYI -MAIN BRANCH"/>
    <s v="Muhanga"/>
    <x v="0"/>
    <x v="6"/>
    <s v="Standard"/>
    <x v="0"/>
    <x v="0"/>
    <n v="5"/>
    <s v="FIBER VPN 5MBPS"/>
    <m/>
    <n v="1"/>
    <n v="270000"/>
    <n v="270000"/>
    <s v="Monthly"/>
    <d v="2026-12-31T00:00:00"/>
    <x v="0"/>
    <x v="6"/>
    <n v="-1273"/>
    <x v="1"/>
    <x v="6"/>
    <s v="BIRAHO Pantaleon"/>
    <s v="pantaleon.biraho@kabgayihospital.rw;info@kabgayihospital.rw"/>
    <n v="788857767"/>
    <m/>
    <m/>
    <m/>
  </r>
  <r>
    <s v="C001914"/>
    <x v="48"/>
    <s v="HQ"/>
    <s v="Nyarugenge"/>
    <x v="0"/>
    <x v="0"/>
    <s v="Standard"/>
    <x v="0"/>
    <x v="6"/>
    <m/>
    <s v="One Network 3Mbps"/>
    <m/>
    <n v="1"/>
    <n v="81355.932203389835"/>
    <n v="81355.932203389835"/>
    <s v="Monthly"/>
    <d v="2026-12-31T00:00:00"/>
    <x v="0"/>
    <x v="6"/>
    <n v="-1273"/>
    <x v="1"/>
    <x v="0"/>
    <s v="Prosper Hakizimana"/>
    <s v="prosper.hakizimana@nyarugenge.gov.rw "/>
    <s v="0788760508"/>
    <m/>
    <m/>
    <m/>
  </r>
  <r>
    <s v="C001914"/>
    <x v="48"/>
    <s v="HQ"/>
    <s v="Nyarugenge"/>
    <x v="0"/>
    <x v="0"/>
    <s v="Standard"/>
    <x v="0"/>
    <x v="6"/>
    <m/>
    <s v="4G MUP  1GB/DAY GOV"/>
    <m/>
    <n v="12"/>
    <n v="19491.53"/>
    <n v="233898.36"/>
    <s v="Monthly"/>
    <d v="2026-12-31T00:00:00"/>
    <x v="0"/>
    <x v="6"/>
    <n v="-1273"/>
    <x v="1"/>
    <x v="0"/>
    <s v="Prosper Hakizimana"/>
    <s v="prosper.hakizimana@nyarugenge.gov.rw "/>
    <s v="0788760508"/>
    <m/>
    <m/>
    <m/>
  </r>
  <r>
    <s v="C001914"/>
    <x v="48"/>
    <s v="HQ"/>
    <s v="Nyarugenge"/>
    <x v="0"/>
    <x v="0"/>
    <s v="Standard"/>
    <x v="0"/>
    <x v="6"/>
    <m/>
    <s v="4G MUP 1GB/DAY"/>
    <m/>
    <n v="29"/>
    <n v="19491.53"/>
    <n v="565254.37"/>
    <s v="Monthly"/>
    <d v="2026-12-31T00:00:00"/>
    <x v="0"/>
    <x v="6"/>
    <n v="-1273"/>
    <x v="1"/>
    <x v="0"/>
    <s v="Prosper Hakizimana"/>
    <s v="prosper.hakizimana@nyarugenge.gov.rw "/>
    <s v="0788760508"/>
    <m/>
    <m/>
    <m/>
  </r>
  <r>
    <s v="C000571"/>
    <x v="420"/>
    <s v="BULINGA TVET SCHOOL"/>
    <s v="Muhanga"/>
    <x v="0"/>
    <x v="4"/>
    <s v="Standard"/>
    <x v="0"/>
    <x v="5"/>
    <n v="5"/>
    <s v="FIBER VPN 5MBPS"/>
    <m/>
    <n v="1"/>
    <n v="270000"/>
    <n v="270000"/>
    <s v="Monthly"/>
    <d v="2027-01-15T00:00:00"/>
    <x v="6"/>
    <x v="5"/>
    <n v="-1288"/>
    <x v="1"/>
    <x v="6"/>
    <s v="NGABOYAMAHINA Eraste"/>
    <s v="ngaboyamahinae@gmail.com"/>
    <n v="788567151"/>
    <m/>
    <m/>
    <m/>
  </r>
  <r>
    <s v="C000704"/>
    <x v="421"/>
    <s v="HQ"/>
    <s v="Kicukiro"/>
    <x v="0"/>
    <x v="0"/>
    <s v="Standard"/>
    <x v="0"/>
    <x v="6"/>
    <m/>
    <s v="4G MUP 8GB/DAY"/>
    <m/>
    <n v="1"/>
    <n v="77711.86"/>
    <n v="77711.86"/>
    <s v="Monthly"/>
    <d v="2027-02-15T00:00:00"/>
    <x v="7"/>
    <x v="5"/>
    <n v="-1319"/>
    <x v="1"/>
    <x v="0"/>
    <s v="Jean Damascene Hagenimana"/>
    <s v="gatera02@gmail.com "/>
    <s v="0783722729"/>
    <m/>
    <m/>
    <m/>
  </r>
  <r>
    <s v="C000704"/>
    <x v="421"/>
    <s v="HQ"/>
    <s v="Kicukiro"/>
    <x v="0"/>
    <x v="0"/>
    <s v="Standard"/>
    <x v="0"/>
    <x v="6"/>
    <m/>
    <s v="4G ONE NETWORK 5MBPS"/>
    <m/>
    <n v="3"/>
    <n v="101694.92"/>
    <n v="305084.76"/>
    <s v="Monthly"/>
    <d v="2027-02-15T00:00:00"/>
    <x v="7"/>
    <x v="5"/>
    <n v="-1319"/>
    <x v="1"/>
    <x v="0"/>
    <s v="Jean Damascene Hagenimana"/>
    <s v="gatera02@gmail.com "/>
    <s v="0783722729"/>
    <m/>
    <m/>
    <m/>
  </r>
  <r>
    <s v="C002016"/>
    <x v="225"/>
    <s v="BUSHENGE -MAIN BRANCH"/>
    <s v="Nyamasheke"/>
    <x v="0"/>
    <x v="6"/>
    <s v="Standard"/>
    <x v="0"/>
    <x v="0"/>
    <n v="5"/>
    <s v="FIBER VPN 5MBPS"/>
    <m/>
    <n v="1"/>
    <n v="270000"/>
    <n v="270000"/>
    <s v="Monthly"/>
    <d v="2027-02-28T00:00:00"/>
    <x v="7"/>
    <x v="5"/>
    <n v="-1332"/>
    <x v="1"/>
    <x v="6"/>
    <s v="Donat NDAHAYO"/>
    <s v="info@bushengehospital.gov.rw"/>
    <n v="788626468"/>
    <m/>
    <m/>
    <m/>
  </r>
  <r>
    <s v="C000708"/>
    <x v="90"/>
    <s v="GAKENKE  DISTRICT HQ - VPN LAIS."/>
    <s v="Gakenke"/>
    <x v="0"/>
    <x v="0"/>
    <s v="Standard"/>
    <x v="0"/>
    <x v="0"/>
    <n v="3"/>
    <s v="FIBER VPN 3MBPS"/>
    <m/>
    <n v="1"/>
    <n v="180000"/>
    <n v="180000"/>
    <s v="Monthly"/>
    <d v="2027-02-28T00:00:00"/>
    <x v="7"/>
    <x v="5"/>
    <n v="-1332"/>
    <x v="1"/>
    <x v="2"/>
    <s v="NSHIMIYIMANA Levis"/>
    <s v="ictgakenke@gakenke.gov.rw"/>
    <s v="0788-807-478"/>
    <m/>
    <m/>
    <m/>
  </r>
  <r>
    <s v="C000708"/>
    <x v="90"/>
    <s v="GAKENKE  DISTRICT HQ."/>
    <s v="Gakenke"/>
    <x v="0"/>
    <x v="0"/>
    <s v="Standard"/>
    <x v="0"/>
    <x v="0"/>
    <n v="10"/>
    <s v="FIBER VPN 10MBPS"/>
    <m/>
    <n v="1"/>
    <n v="510000"/>
    <n v="510000"/>
    <s v="Monthly"/>
    <d v="2027-02-28T00:00:00"/>
    <x v="7"/>
    <x v="5"/>
    <n v="-1332"/>
    <x v="1"/>
    <x v="2"/>
    <s v="NSHIMIYIMANA Levis"/>
    <s v="ictgakenke@gakenke.gov.rw"/>
    <s v="0788-807-478"/>
    <m/>
    <m/>
    <m/>
  </r>
  <r>
    <s v="C000708"/>
    <x v="90"/>
    <s v="GAKENKE  DISTRICT HQ."/>
    <s v="Gakenke"/>
    <x v="0"/>
    <x v="0"/>
    <s v="Standard"/>
    <x v="0"/>
    <x v="10"/>
    <m/>
    <s v="VIDEO CONFERENCE"/>
    <m/>
    <n v="1"/>
    <n v="258045"/>
    <n v="258045"/>
    <s v="Monthly"/>
    <d v="2027-02-28T00:00:00"/>
    <x v="7"/>
    <x v="5"/>
    <n v="-1332"/>
    <x v="1"/>
    <x v="2"/>
    <s v="NSHIMIYIMANA Levis"/>
    <s v="ictgakenke@gakenke.gov.rw"/>
    <s v="0788-807-478"/>
    <m/>
    <m/>
    <m/>
  </r>
  <r>
    <s v="C000708"/>
    <x v="90"/>
    <s v="GAKENKE  DISTRICT HQ."/>
    <s v="Gakenke"/>
    <x v="0"/>
    <x v="0"/>
    <s v="Standard"/>
    <x v="3"/>
    <x v="7"/>
    <m/>
    <s v="MSS GOLD"/>
    <m/>
    <n v="1"/>
    <n v="369325"/>
    <n v="369325"/>
    <s v="Monthly"/>
    <d v="2027-02-28T00:00:00"/>
    <x v="7"/>
    <x v="5"/>
    <n v="-1332"/>
    <x v="1"/>
    <x v="2"/>
    <s v="NSHIMIYIMANA Levis"/>
    <s v="ictgakenke@gakenke.gov.rw"/>
    <s v="0788-807-478"/>
    <m/>
    <m/>
    <m/>
  </r>
  <r>
    <s v="C000824"/>
    <x v="422"/>
    <s v="GSNDL BYIMANA"/>
    <s v="Ruhango"/>
    <x v="0"/>
    <x v="4"/>
    <s v="Standard"/>
    <x v="0"/>
    <x v="0"/>
    <n v="5"/>
    <s v="FIBER VPN 5MBPS"/>
    <m/>
    <n v="1"/>
    <n v="270000"/>
    <n v="270000"/>
    <s v="Monthly"/>
    <d v="2027-02-28T00:00:00"/>
    <x v="7"/>
    <x v="5"/>
    <n v="-1332"/>
    <x v="1"/>
    <x v="6"/>
    <s v="Sr MUKAMUKIGA Caritas"/>
    <s v="byigsndl@gmail.com"/>
    <n v="788844032"/>
    <m/>
    <m/>
    <m/>
  </r>
  <r>
    <s v="C000892"/>
    <x v="391"/>
    <s v="Cells "/>
    <s v="Huye"/>
    <x v="0"/>
    <x v="0"/>
    <s v="Standard"/>
    <x v="0"/>
    <x v="6"/>
    <m/>
    <s v="4G ONE NETWORK 3MBPS"/>
    <m/>
    <n v="14"/>
    <n v="81355.932203389835"/>
    <n v="1138983.0508474577"/>
    <s v="Monthly"/>
    <d v="2027-02-28T00:00:00"/>
    <x v="7"/>
    <x v="5"/>
    <n v="-1332"/>
    <x v="1"/>
    <x v="0"/>
    <s v="Philbert Karenzi"/>
    <s v="ictofficer@huye.gov.rw "/>
    <s v="0788967751"/>
    <m/>
    <m/>
    <m/>
  </r>
  <r>
    <s v="C000892"/>
    <x v="391"/>
    <s v="Sectors"/>
    <s v="Huye"/>
    <x v="0"/>
    <x v="0"/>
    <s v="Standard"/>
    <x v="0"/>
    <x v="6"/>
    <m/>
    <s v="4G MUP 1GB/DAY"/>
    <m/>
    <n v="114"/>
    <n v="19491.53"/>
    <n v="2222034.42"/>
    <s v="Monthly"/>
    <d v="2027-02-28T00:00:00"/>
    <x v="7"/>
    <x v="5"/>
    <n v="-1332"/>
    <x v="1"/>
    <x v="0"/>
    <s v="Philbert Karenzi"/>
    <s v="ictofficer@huye.gov.rw "/>
    <s v="0788967751"/>
    <m/>
    <m/>
    <m/>
  </r>
  <r>
    <s v="C002055"/>
    <x v="423"/>
    <s v="PIASS-KARONGI"/>
    <s v="Karongi"/>
    <x v="0"/>
    <x v="4"/>
    <s v="Standard"/>
    <x v="0"/>
    <x v="0"/>
    <n v="5"/>
    <s v="fiber vpn 5mbps"/>
    <m/>
    <n v="1"/>
    <n v="270000"/>
    <n v="270000"/>
    <s v="Monthly"/>
    <d v="2027-02-28T00:00:00"/>
    <x v="7"/>
    <x v="5"/>
    <n v="-1332"/>
    <x v="1"/>
    <x v="4"/>
    <s v="Rene"/>
    <s v="fathebu@yahoo.fr;rurangwarene@yahoo.fr"/>
    <s v="788890046/0783093662"/>
    <m/>
    <m/>
    <m/>
  </r>
  <r>
    <s v="C002055"/>
    <x v="423"/>
    <s v="PROTESTANT INSTITUTE OF ARTS AND SOCIAL SCINCES"/>
    <s v="Huye"/>
    <x v="0"/>
    <x v="4"/>
    <s v="Standard"/>
    <x v="0"/>
    <x v="0"/>
    <n v="20"/>
    <s v="FIBER VPN 20MBPS"/>
    <m/>
    <n v="1"/>
    <n v="900000"/>
    <n v="900000"/>
    <s v="Monthly"/>
    <d v="2027-02-28T00:00:00"/>
    <x v="7"/>
    <x v="5"/>
    <n v="-1332"/>
    <x v="1"/>
    <x v="4"/>
    <s v="Rene"/>
    <s v="fathebu@yahoo.fr;rurangwarene@yahoo.fr"/>
    <s v="788890046/0783093662"/>
    <m/>
    <m/>
    <m/>
  </r>
  <r>
    <s v="C001823"/>
    <x v="424"/>
    <s v="NORTHERN PROVINCE"/>
    <s v="Nyaruguru"/>
    <x v="0"/>
    <x v="0"/>
    <s v="VIP"/>
    <x v="0"/>
    <x v="0"/>
    <n v="3"/>
    <s v="Fiber VPN 3MBPS "/>
    <m/>
    <n v="1"/>
    <n v="180000"/>
    <n v="180000"/>
    <s v="Monthly"/>
    <d v="2027-03-30T00:00:00"/>
    <x v="8"/>
    <x v="5"/>
    <n v="-1362"/>
    <x v="1"/>
    <x v="5"/>
    <s v="Modeste Nsanzimana"/>
    <s v="modeste.nsanzimana@northernprovince.gov.rw"/>
    <n v="788549890"/>
    <m/>
    <m/>
    <m/>
  </r>
  <r>
    <s v="C001823"/>
    <x v="424"/>
    <s v="NORTHERN PROVINCE"/>
    <s v="Nyaruguru"/>
    <x v="0"/>
    <x v="0"/>
    <s v="VIP"/>
    <x v="0"/>
    <x v="7"/>
    <m/>
    <s v="Secure Browsing"/>
    <m/>
    <n v="1"/>
    <n v="86129.661016949161"/>
    <n v="86129.661016949161"/>
    <s v="Monthly"/>
    <d v="2027-03-30T00:00:00"/>
    <x v="8"/>
    <x v="5"/>
    <n v="-1362"/>
    <x v="1"/>
    <x v="5"/>
    <s v="Modeste Nsanzimana"/>
    <s v="modeste.nsanzimana@northernprovince.gov.rw"/>
    <n v="788549890"/>
    <m/>
    <m/>
    <m/>
  </r>
  <r>
    <s v="C001823"/>
    <x v="424"/>
    <s v="NORTHERN PROVINCE"/>
    <s v="Nyaruguru"/>
    <x v="0"/>
    <x v="0"/>
    <s v="VIP"/>
    <x v="0"/>
    <x v="10"/>
    <m/>
    <s v="1 Unit"/>
    <m/>
    <n v="1"/>
    <n v="258045"/>
    <n v="258045"/>
    <s v="Monthly"/>
    <d v="2027-03-30T00:00:00"/>
    <x v="8"/>
    <x v="5"/>
    <n v="-1362"/>
    <x v="1"/>
    <x v="5"/>
    <s v="Modeste Nsanzimana"/>
    <s v="modeste.nsanzimana@northernprovince.gov.rw"/>
    <n v="788549890"/>
    <m/>
    <m/>
    <m/>
  </r>
  <r>
    <s v="C000640"/>
    <x v="425"/>
    <s v="ESSA RUHENGERI"/>
    <s v="Musanze"/>
    <x v="0"/>
    <x v="4"/>
    <s v="Standard"/>
    <x v="0"/>
    <x v="0"/>
    <n v="1"/>
    <s v="FIBER VPN 1MBPS"/>
    <m/>
    <n v="1"/>
    <n v="90000"/>
    <n v="90000"/>
    <s v="Monthly"/>
    <d v="2027-03-31T00:00:00"/>
    <x v="8"/>
    <x v="5"/>
    <n v="-1363"/>
    <x v="1"/>
    <x v="6"/>
    <s v="BASA NGABO Jean"/>
    <s v="basangabo2020@yahoo.fr"/>
    <n v="788505349"/>
    <m/>
    <m/>
    <m/>
  </r>
  <r>
    <s v="C000774"/>
    <x v="229"/>
    <s v="GITWE-MAIN BRANCH"/>
    <s v="Ruhango"/>
    <x v="0"/>
    <x v="6"/>
    <s v="Standard"/>
    <x v="0"/>
    <x v="0"/>
    <n v="5"/>
    <s v="FIBER VPN 5MBPS"/>
    <m/>
    <n v="1"/>
    <n v="270000"/>
    <n v="270000"/>
    <s v="Monthly"/>
    <d v="2027-03-31T00:00:00"/>
    <x v="8"/>
    <x v="5"/>
    <n v="-1363"/>
    <x v="1"/>
    <x v="6"/>
    <s v="Vedaste"/>
    <s v="ggitwehospital@gmail.com"/>
    <n v="788424624"/>
    <m/>
    <m/>
    <m/>
  </r>
  <r>
    <s v="C000774"/>
    <x v="229"/>
    <s v="GITWE-MAIN BRANCH"/>
    <s v="Ruhango"/>
    <x v="0"/>
    <x v="6"/>
    <s v="Standard"/>
    <x v="0"/>
    <x v="6"/>
    <m/>
    <s v="4G MUP 2GB/DAY"/>
    <m/>
    <n v="1"/>
    <n v="28305.08"/>
    <n v="28305.08"/>
    <s v="Monthly"/>
    <d v="2027-03-31T00:00:00"/>
    <x v="8"/>
    <x v="5"/>
    <n v="-1363"/>
    <x v="1"/>
    <x v="6"/>
    <s v="Vedaste"/>
    <s v="ggitwehospital@gmail.com"/>
    <n v="788424624"/>
    <m/>
    <m/>
    <m/>
  </r>
  <r>
    <s v="C001198"/>
    <x v="426"/>
    <s v="KIREHE-MAIN BRANCH"/>
    <s v="Kirehe"/>
    <x v="0"/>
    <x v="6"/>
    <s v="Standard"/>
    <x v="0"/>
    <x v="0"/>
    <n v="5"/>
    <s v="FIBER VPN 5MBPS"/>
    <m/>
    <n v="1"/>
    <n v="270000"/>
    <n v="270000"/>
    <s v="Monthly"/>
    <d v="2027-03-31T00:00:00"/>
    <x v="8"/>
    <x v="5"/>
    <n v="-1363"/>
    <x v="1"/>
    <x v="6"/>
    <s v="NTABWOBA Patrick"/>
    <s v="kirehe.hospital@moh.gov.rw"/>
    <n v="788260843"/>
    <m/>
    <m/>
    <m/>
  </r>
  <r>
    <s v="C001729"/>
    <x v="427"/>
    <s v="NEMBA-MAIN BRANCH"/>
    <s v="Gakenke"/>
    <x v="0"/>
    <x v="6"/>
    <s v="Standard"/>
    <x v="0"/>
    <x v="0"/>
    <n v="5"/>
    <s v="FIBER VPN 5MBPS"/>
    <m/>
    <n v="1"/>
    <n v="270000"/>
    <n v="270000"/>
    <s v="Monthly"/>
    <d v="2027-03-31T00:00:00"/>
    <x v="8"/>
    <x v="5"/>
    <n v="-1363"/>
    <x v="1"/>
    <x v="6"/>
    <s v="Innocent"/>
    <s v="nemba.hospital@moh.gov.rw"/>
    <n v="788665959"/>
    <m/>
    <m/>
    <m/>
  </r>
  <r>
    <s v="C001729"/>
    <x v="427"/>
    <s v="NEMBA-MAIN BRANCH"/>
    <s v="Gakenke"/>
    <x v="0"/>
    <x v="6"/>
    <s v="Standard"/>
    <x v="3"/>
    <x v="7"/>
    <m/>
    <s v="MSS SECURE BROWSING"/>
    <m/>
    <n v="1"/>
    <n v="86129.661016949161"/>
    <n v="86129.661016949161"/>
    <s v="Monthly"/>
    <d v="2027-03-31T00:00:00"/>
    <x v="8"/>
    <x v="5"/>
    <n v="-1363"/>
    <x v="1"/>
    <x v="6"/>
    <s v="Innocent"/>
    <s v="nemba.hospital@moh.gov.rw"/>
    <n v="788665959"/>
    <m/>
    <m/>
    <m/>
  </r>
  <r>
    <s v="C002331"/>
    <x v="428"/>
    <s v="RWANDA NATIONAL INVESTMENT TRUST (RNIT)"/>
    <s v="Nyarugenge"/>
    <x v="0"/>
    <x v="0"/>
    <s v="Standard"/>
    <x v="1"/>
    <x v="0"/>
    <n v="15"/>
    <s v="FIBER INTERNET 15MBPS"/>
    <m/>
    <n v="1"/>
    <n v="720000"/>
    <n v="720000"/>
    <s v="Monthly"/>
    <d v="2027-03-31T00:00:00"/>
    <x v="8"/>
    <x v="5"/>
    <n v="-1363"/>
    <x v="1"/>
    <x v="7"/>
    <s v="Nature Emmanuel  ICYITEGETSE"/>
    <s v="jeanpaul.ndisanze@rnit.rw,natureemmanuel.icyitegetse@rnit.rw,admin@rnit.rw"/>
    <n v="788468312"/>
    <m/>
    <m/>
    <m/>
  </r>
  <r>
    <s v="C002331"/>
    <x v="428"/>
    <s v="RWANDA NATIONAL INVESTMENT TRUST (RNIT)"/>
    <s v="Nyarugenge"/>
    <x v="0"/>
    <x v="0"/>
    <s v="Standard"/>
    <x v="3"/>
    <x v="7"/>
    <m/>
    <s v="MSS SECURE BROWSING"/>
    <m/>
    <n v="1"/>
    <n v="86129.66"/>
    <n v="86129.66"/>
    <s v="Monthly"/>
    <d v="2027-03-31T00:00:00"/>
    <x v="8"/>
    <x v="5"/>
    <n v="-1363"/>
    <x v="1"/>
    <x v="7"/>
    <s v="Nature Emmanuel  ICYITEGETSE"/>
    <s v="jeanpaul.ndisanze@rnit.rw,natureemmanuel.icyitegetse@rnit.rw,admin@rnit.rw"/>
    <n v="788468312"/>
    <m/>
    <m/>
    <m/>
  </r>
  <r>
    <s v="C002157"/>
    <x v="429"/>
    <s v="RUHENGERI-MAIN BRANCH"/>
    <s v="Ngororero"/>
    <x v="0"/>
    <x v="6"/>
    <s v="Standard"/>
    <x v="0"/>
    <x v="0"/>
    <n v="10"/>
    <s v="FIBER VPN 10MBPS"/>
    <m/>
    <n v="1"/>
    <n v="510000"/>
    <n v="510000"/>
    <s v="Monthly"/>
    <d v="2027-03-31T00:00:00"/>
    <x v="8"/>
    <x v="5"/>
    <n v="-1363"/>
    <x v="1"/>
    <x v="6"/>
    <s v="MAPENDANO Emmanuel"/>
    <s v="ruhengeri.hospital@moh.gov.rw"/>
    <n v="783547377"/>
    <m/>
    <m/>
    <m/>
  </r>
  <r>
    <s v="C002157"/>
    <x v="429"/>
    <s v="RUHENGERI-MAIN BRANCH"/>
    <s v="Ngororero"/>
    <x v="0"/>
    <x v="6"/>
    <s v="Standard"/>
    <x v="3"/>
    <x v="7"/>
    <m/>
    <s v="MSS GOLD"/>
    <m/>
    <n v="1"/>
    <n v="369325"/>
    <n v="369325"/>
    <s v="Monthly"/>
    <d v="2027-03-31T00:00:00"/>
    <x v="8"/>
    <x v="5"/>
    <n v="-1363"/>
    <x v="1"/>
    <x v="6"/>
    <s v="MAPENDANO Emmanuel"/>
    <s v="ruhengeri.hospital@moh.gov.rw"/>
    <n v="783547377"/>
    <m/>
    <m/>
    <m/>
  </r>
  <r>
    <s v="C002493"/>
    <x v="430"/>
    <s v="RWINKWAVU - MAIN BRANCH"/>
    <s v="Kayonza"/>
    <x v="0"/>
    <x v="6"/>
    <s v="Standard"/>
    <x v="0"/>
    <x v="0"/>
    <n v="10"/>
    <s v="FIBER VPN 10MBPS"/>
    <m/>
    <n v="1"/>
    <n v="510000"/>
    <n v="510000"/>
    <s v="Monthly"/>
    <d v="2027-03-31T00:00:00"/>
    <x v="8"/>
    <x v="5"/>
    <n v="-1363"/>
    <x v="1"/>
    <x v="6"/>
    <s v="KARAMBIZI Francis"/>
    <s v="fkarambizi@pih.org"/>
    <n v="788440318"/>
    <m/>
    <m/>
    <m/>
  </r>
  <r>
    <s v="C002714"/>
    <x v="431"/>
    <s v="HQ"/>
    <s v="Gasabo"/>
    <x v="0"/>
    <x v="12"/>
    <s v="Standard"/>
    <x v="0"/>
    <x v="6"/>
    <m/>
    <s v="4G ONE NETWORK 5MBPS"/>
    <m/>
    <n v="1"/>
    <n v="101694.91525400001"/>
    <n v="101694.91525400001"/>
    <s v="Monthly"/>
    <d v="2027-04-18T00:00:00"/>
    <x v="9"/>
    <x v="5"/>
    <n v="-1381"/>
    <x v="1"/>
    <x v="9"/>
    <s v="KAREGEYA DJUMA"/>
    <s v="kozigundusacco@gmail.com"/>
    <n v="788842972"/>
    <m/>
    <m/>
    <m/>
  </r>
  <r>
    <s v="C002714"/>
    <x v="431"/>
    <s v="HQ"/>
    <s v="Gasabo"/>
    <x v="0"/>
    <x v="12"/>
    <s v="Standard"/>
    <x v="0"/>
    <x v="6"/>
    <m/>
    <s v="4G ONE NETWORK 3MBPS"/>
    <m/>
    <n v="1"/>
    <n v="81355.932203000004"/>
    <n v="81355.932203000004"/>
    <s v="Monthly"/>
    <d v="2027-04-18T00:00:00"/>
    <x v="9"/>
    <x v="5"/>
    <n v="-1381"/>
    <x v="1"/>
    <x v="9"/>
    <s v="KAREGEYA DJUMA"/>
    <s v="kozigundusacco@gmail.com"/>
    <n v="788266366"/>
    <m/>
    <m/>
    <m/>
  </r>
  <r>
    <s v="C000447"/>
    <x v="432"/>
    <s v="COLLEGE SAINTE MARIE KIBUYE"/>
    <s v="Karongi"/>
    <x v="0"/>
    <x v="4"/>
    <s v="Standard"/>
    <x v="0"/>
    <x v="5"/>
    <n v="1"/>
    <s v="FIBER VPN 1MBPS"/>
    <m/>
    <n v="1"/>
    <n v="90000"/>
    <n v="90000"/>
    <s v="Monthly"/>
    <d v="2027-04-30T00:00:00"/>
    <x v="9"/>
    <x v="5"/>
    <n v="-1393"/>
    <x v="1"/>
    <x v="6"/>
    <s v="Sister MUREKATETE Domina"/>
    <s v="collegesaintemariek@gmail.com"/>
    <n v="788733272"/>
    <m/>
    <m/>
    <m/>
  </r>
  <r>
    <s v="C000630"/>
    <x v="433"/>
    <s v="ES ST VICENT MUHOZA"/>
    <s v="Nyanza"/>
    <x v="0"/>
    <x v="4"/>
    <s v="Standard"/>
    <x v="0"/>
    <x v="0"/>
    <n v="3"/>
    <s v="fiber vpn 3mbps"/>
    <m/>
    <n v="1"/>
    <n v="180000"/>
    <n v="180000"/>
    <s v="Monthly"/>
    <d v="2027-04-30T00:00:00"/>
    <x v="9"/>
    <x v="5"/>
    <n v="-1393"/>
    <x v="1"/>
    <x v="4"/>
    <s v="Christine"/>
    <s v="vincentmuhoza@yahoo.fr;christineuwa2002@yahoo.fr"/>
    <s v="0788516084/0781651128"/>
    <m/>
    <m/>
    <m/>
  </r>
  <r>
    <s v="C000820"/>
    <x v="434"/>
    <s v="GS ST ALOYS RWAMAGANA"/>
    <s v="Rwamagana  "/>
    <x v="0"/>
    <x v="4"/>
    <s v="Standard"/>
    <x v="0"/>
    <x v="0"/>
    <n v="1"/>
    <s v="fiber vpn 1mbps"/>
    <m/>
    <n v="1"/>
    <n v="90000"/>
    <n v="90000"/>
    <s v="Monthly"/>
    <d v="2027-04-30T00:00:00"/>
    <x v="9"/>
    <x v="5"/>
    <n v="-1393"/>
    <x v="1"/>
    <x v="4"/>
    <s v="Rudasingwa"/>
    <s v="rudasingwacamille@gmail.com"/>
    <n v="788530100"/>
    <m/>
    <m/>
    <m/>
  </r>
  <r>
    <s v="C000820"/>
    <x v="434"/>
    <s v="GS ST ALOYS RWAMAGANA"/>
    <s v="Rwamagana  "/>
    <x v="0"/>
    <x v="4"/>
    <s v="Standard"/>
    <x v="0"/>
    <x v="6"/>
    <m/>
    <s v="4G MUP 1GB/DAY"/>
    <m/>
    <n v="1"/>
    <n v="19491.53"/>
    <n v="19491.53"/>
    <s v="Monthly"/>
    <d v="2027-04-30T00:00:00"/>
    <x v="9"/>
    <x v="5"/>
    <n v="-1393"/>
    <x v="1"/>
    <x v="4"/>
    <s v="Rudasingwa"/>
    <s v="rudasingwacamille@gmail.com"/>
    <n v="788530100"/>
    <m/>
    <m/>
    <m/>
  </r>
  <r>
    <s v="C000821"/>
    <x v="435"/>
    <s v="GS ST JOSEPH KABGAYI"/>
    <s v="Muhanga"/>
    <x v="0"/>
    <x v="4"/>
    <s v="Standard"/>
    <x v="0"/>
    <x v="0"/>
    <n v="3"/>
    <s v="fiber vpn 3mbps"/>
    <m/>
    <n v="1"/>
    <n v="180000"/>
    <n v="180000"/>
    <s v="Monthly"/>
    <d v="2027-04-30T00:00:00"/>
    <x v="9"/>
    <x v="5"/>
    <n v="-1393"/>
    <x v="1"/>
    <x v="4"/>
    <s v="Innocent"/>
    <s v="groupescolairestjoseph@yahoo.fr"/>
    <n v="782202232"/>
    <m/>
    <m/>
    <m/>
  </r>
  <r>
    <s v="C001106"/>
    <x v="436"/>
    <s v="KARAMA TSS"/>
    <s v="Muhanga"/>
    <x v="0"/>
    <x v="4"/>
    <s v="Standard"/>
    <x v="0"/>
    <x v="5"/>
    <n v="5"/>
    <s v="FIBER VPN 5MBPS"/>
    <m/>
    <n v="1"/>
    <n v="270000"/>
    <n v="270000"/>
    <s v="Monthly"/>
    <d v="2027-04-30T00:00:00"/>
    <x v="9"/>
    <x v="5"/>
    <n v="-1393"/>
    <x v="1"/>
    <x v="6"/>
    <s v="BISANGABAGABO Youssouf"/>
    <s v="youssoufmuk@yahoo.fr"/>
    <n v="788607924"/>
    <m/>
    <m/>
    <m/>
  </r>
  <r>
    <s v="C001170"/>
    <x v="437"/>
    <s v="KIBOGORA POLYTECHNIC"/>
    <s v="Nyamasheke"/>
    <x v="0"/>
    <x v="4"/>
    <s v="Standard"/>
    <x v="0"/>
    <x v="0"/>
    <n v="40"/>
    <s v="fiber vpn 40mbps"/>
    <m/>
    <n v="1"/>
    <n v="1560000"/>
    <n v="1560000"/>
    <s v="Monthly"/>
    <d v="2027-04-30T00:00:00"/>
    <x v="9"/>
    <x v="5"/>
    <n v="-1393"/>
    <x v="1"/>
    <x v="4"/>
    <s v="Amitié Sabba/Hillel"/>
    <s v="usamitier@gmail.com;dfa@kp.ac.rw;info@kp.ac.rw"/>
    <s v="788730582/0788754398"/>
    <m/>
    <m/>
    <m/>
  </r>
  <r>
    <s v="C001911"/>
    <x v="438"/>
    <s v="NYANZA TSS"/>
    <s v="Huye"/>
    <x v="0"/>
    <x v="4"/>
    <s v="Standard"/>
    <x v="0"/>
    <x v="0"/>
    <n v="3"/>
    <s v="FIBER VPN 3MBPS"/>
    <m/>
    <n v="1"/>
    <n v="180000"/>
    <n v="180000"/>
    <s v="Monthly"/>
    <d v="2027-04-30T00:00:00"/>
    <x v="9"/>
    <x v="5"/>
    <n v="-1393"/>
    <x v="1"/>
    <x v="6"/>
    <s v="Eric"/>
    <s v="etogitarama@gmail.com"/>
    <n v="782427392"/>
    <m/>
    <m/>
    <m/>
  </r>
  <r>
    <s v="C000869"/>
    <x v="439"/>
    <s v="HQ"/>
    <s v="Gasabo"/>
    <x v="0"/>
    <x v="4"/>
    <s v="Standard"/>
    <x v="0"/>
    <x v="6"/>
    <m/>
    <s v="4G MUP 2GB/DAY"/>
    <m/>
    <n v="18"/>
    <n v="28305.08"/>
    <n v="509491.44000000006"/>
    <s v="Monthly"/>
    <d v="2027-06-30T00:00:00"/>
    <x v="1"/>
    <x v="5"/>
    <n v="-1454"/>
    <x v="1"/>
    <x v="7"/>
    <s v="Donatha Uwimbabazi"/>
    <s v="duwimbabazi@hec.gov.rw"/>
    <n v="788955528"/>
    <m/>
    <m/>
    <m/>
  </r>
  <r>
    <s v="C002383"/>
    <x v="440"/>
    <s v="Team CYMRU"/>
    <s v="Gasabo"/>
    <x v="1"/>
    <x v="2"/>
    <s v="Standard"/>
    <x v="1"/>
    <x v="5"/>
    <n v="4"/>
    <s v="FIBER INTERNET 4MBPS"/>
    <m/>
    <n v="1"/>
    <n v="325000"/>
    <n v="325000"/>
    <s v="Monthly"/>
    <d v="2045-04-30T00:00:00"/>
    <x v="9"/>
    <x v="8"/>
    <n v="-7968"/>
    <x v="1"/>
    <x v="0"/>
    <s v="Charlie Redington"/>
    <s v="noc@cymru.com"/>
    <m/>
    <m/>
    <m/>
    <m/>
  </r>
  <r>
    <s v="C004421"/>
    <x v="441"/>
    <s v="Simpo Technologies Ltd "/>
    <s v="Kicukiro"/>
    <x v="1"/>
    <x v="1"/>
    <s v="Standard"/>
    <x v="1"/>
    <x v="1"/>
    <m/>
    <s v="Cloud computing - Package 2"/>
    <m/>
    <n v="1"/>
    <n v="15451"/>
    <n v="15451"/>
    <s v="Monthly"/>
    <d v="2024-06-14T00:00:00"/>
    <x v="1"/>
    <x v="4"/>
    <n v="-343"/>
    <x v="1"/>
    <x v="2"/>
    <s v="Kabiligi Viateur "/>
    <s v="ceo@simpotechs.com  / robert@simpotechs.com"/>
    <s v="(+250)788 30 4 663 / 788 521 614"/>
    <m/>
    <m/>
    <m/>
  </r>
  <r>
    <m/>
    <x v="334"/>
    <s v="Crystal Ventures Ltd"/>
    <s v="Kicukiro"/>
    <x v="1"/>
    <x v="14"/>
    <s v="Standard"/>
    <x v="1"/>
    <x v="5"/>
    <n v="38"/>
    <s v="Fiber Broadband Internet 38Mbps"/>
    <m/>
    <n v="1"/>
    <n v="1957228"/>
    <n v="1957228"/>
    <s v="Monthly"/>
    <d v="2025-04-13T00:00:00"/>
    <x v="9"/>
    <x v="2"/>
    <n v="-646"/>
    <x v="1"/>
    <x v="1"/>
    <s v="Jerome RUZIGANA"/>
    <m/>
    <s v="0788301481"/>
    <m/>
    <m/>
    <m/>
  </r>
  <r>
    <m/>
    <x v="334"/>
    <s v="ISCO HQ"/>
    <s v="Kicukiro"/>
    <x v="1"/>
    <x v="14"/>
    <s v="Standard"/>
    <x v="1"/>
    <x v="5"/>
    <n v="25"/>
    <s v="Fiber Broadband Internet 25Mbps"/>
    <m/>
    <n v="1"/>
    <n v="1287650"/>
    <n v="1287650"/>
    <s v="Monthly"/>
    <d v="2025-04-13T00:00:00"/>
    <x v="9"/>
    <x v="2"/>
    <n v="-646"/>
    <x v="1"/>
    <x v="1"/>
    <s v="Jerome RUZIGANA"/>
    <m/>
    <s v="0788301481"/>
    <m/>
    <m/>
    <m/>
  </r>
  <r>
    <m/>
    <x v="334"/>
    <s v="Real Contractors HQ"/>
    <s v="Kicukiro"/>
    <x v="1"/>
    <x v="14"/>
    <s v="Standard"/>
    <x v="1"/>
    <x v="5"/>
    <n v="22"/>
    <s v="Fiber Broadband Internet 22Mbps"/>
    <m/>
    <n v="1"/>
    <n v="1133132"/>
    <n v="1133132"/>
    <s v="Monthly"/>
    <d v="2025-04-13T00:00:00"/>
    <x v="9"/>
    <x v="2"/>
    <n v="-646"/>
    <x v="1"/>
    <x v="1"/>
    <s v="Jerome RUZIGANA"/>
    <m/>
    <s v="0788301481"/>
    <m/>
    <m/>
    <m/>
  </r>
  <r>
    <m/>
    <x v="334"/>
    <s v="Stonecraft - NPD"/>
    <s v="Kicukiro"/>
    <x v="1"/>
    <x v="14"/>
    <s v="Standard"/>
    <x v="1"/>
    <x v="5"/>
    <n v="2"/>
    <s v="Fiber Broadband Internet 2Mbps"/>
    <m/>
    <n v="1"/>
    <n v="103012"/>
    <n v="103012"/>
    <s v="Monthly"/>
    <d v="2025-04-13T00:00:00"/>
    <x v="9"/>
    <x v="2"/>
    <n v="-646"/>
    <x v="1"/>
    <x v="1"/>
    <s v="Jerome RUZIGANA"/>
    <m/>
    <s v="0788301481"/>
    <m/>
    <m/>
    <m/>
  </r>
  <r>
    <m/>
    <x v="334"/>
    <s v="Gaheke Milk - Nyamasheke"/>
    <s v="Kicukiro"/>
    <x v="1"/>
    <x v="14"/>
    <s v="Standard"/>
    <x v="1"/>
    <x v="5"/>
    <n v="5"/>
    <s v="Fiber Broadband Internet 5Mbps"/>
    <m/>
    <n v="1"/>
    <n v="257530"/>
    <n v="257530"/>
    <s v="Monthly"/>
    <d v="2025-04-13T00:00:00"/>
    <x v="9"/>
    <x v="2"/>
    <n v="-646"/>
    <x v="1"/>
    <x v="1"/>
    <s v="Jerome RUZIGANA"/>
    <m/>
    <s v="0788301481"/>
    <m/>
    <m/>
    <m/>
  </r>
  <r>
    <m/>
    <x v="334"/>
    <s v="Real Contractors Gikondo Production"/>
    <s v="Kicukiro"/>
    <x v="1"/>
    <x v="14"/>
    <s v="Standard"/>
    <x v="1"/>
    <x v="5"/>
    <n v="5"/>
    <s v="Fiber Broadband Internet 5Mbps"/>
    <m/>
    <n v="1"/>
    <n v="257530"/>
    <n v="257530"/>
    <s v="Monthly"/>
    <d v="2025-04-13T00:00:00"/>
    <x v="9"/>
    <x v="2"/>
    <n v="-646"/>
    <x v="1"/>
    <x v="1"/>
    <s v="Jerome RUZIGANA"/>
    <m/>
    <s v="0788301481"/>
    <m/>
    <m/>
    <m/>
  </r>
  <r>
    <m/>
    <x v="334"/>
    <s v="INYANGE Industry Masaka"/>
    <s v="Kicukiro"/>
    <x v="1"/>
    <x v="14"/>
    <s v="Standard"/>
    <x v="1"/>
    <x v="5"/>
    <n v="15"/>
    <s v="Fiber Broadband Internet 15Mbps"/>
    <m/>
    <n v="1"/>
    <n v="772590"/>
    <n v="772590"/>
    <s v="Monthly"/>
    <d v="2025-04-13T00:00:00"/>
    <x v="9"/>
    <x v="2"/>
    <n v="-646"/>
    <x v="1"/>
    <x v="1"/>
    <s v="Jerome RUZIGANA"/>
    <m/>
    <s v="0788301481"/>
    <m/>
    <m/>
    <m/>
  </r>
  <r>
    <m/>
    <x v="334"/>
    <s v="Inyange Industry- Savana -Nyagatare"/>
    <s v="Kicukiro"/>
    <x v="1"/>
    <x v="14"/>
    <s v="Standard"/>
    <x v="1"/>
    <x v="5"/>
    <n v="4"/>
    <s v="Fiber Broadband Internet 4Mbps"/>
    <m/>
    <n v="1"/>
    <n v="206024"/>
    <n v="206024"/>
    <s v="Monthly"/>
    <d v="2025-04-13T00:00:00"/>
    <x v="9"/>
    <x v="2"/>
    <n v="-646"/>
    <x v="1"/>
    <x v="1"/>
    <s v="Jerome RUZIGANA"/>
    <m/>
    <s v="0788301481"/>
    <m/>
    <m/>
    <m/>
  </r>
  <r>
    <m/>
    <x v="442"/>
    <s v="Inyange Milk Powder plant"/>
    <s v="Kicukiro"/>
    <x v="1"/>
    <x v="14"/>
    <s v="Standard"/>
    <x v="1"/>
    <x v="5"/>
    <n v="10"/>
    <s v="Fiber Broadband Internet 10Mbps"/>
    <m/>
    <n v="1"/>
    <n v="515060"/>
    <n v="515060"/>
    <s v="Monthly"/>
    <d v="2025-04-13T00:00:00"/>
    <x v="9"/>
    <x v="2"/>
    <n v="-646"/>
    <x v="1"/>
    <x v="1"/>
    <s v="Jerome RUZIGANA"/>
    <m/>
    <s v="0788301481"/>
    <m/>
    <m/>
    <m/>
  </r>
  <r>
    <m/>
    <x v="334"/>
    <s v="Mukamira Dairy"/>
    <s v="Kicukiro"/>
    <x v="1"/>
    <x v="14"/>
    <s v="Standard"/>
    <x v="1"/>
    <x v="5"/>
    <n v="4"/>
    <s v="Fiber Broadband Internet 4Mbps"/>
    <m/>
    <n v="1"/>
    <n v="206024"/>
    <n v="206024"/>
    <s v="Monthly"/>
    <d v="2025-04-13T00:00:00"/>
    <x v="9"/>
    <x v="2"/>
    <n v="-646"/>
    <x v="1"/>
    <x v="1"/>
    <s v="Jerome RUZIGANA"/>
    <m/>
    <s v="0788301481"/>
    <m/>
    <m/>
    <m/>
  </r>
  <r>
    <m/>
    <x v="334"/>
    <s v="EAGI(East African Granite Industries)-Nyagatare"/>
    <s v="Kicukiro"/>
    <x v="1"/>
    <x v="14"/>
    <s v="Standard"/>
    <x v="1"/>
    <x v="5"/>
    <n v="8"/>
    <s v="Fiber Broadband Internet 8Mbps"/>
    <m/>
    <n v="1"/>
    <n v="412048"/>
    <n v="412048"/>
    <s v="Monthly"/>
    <d v="2025-04-13T00:00:00"/>
    <x v="9"/>
    <x v="2"/>
    <n v="-646"/>
    <x v="1"/>
    <x v="1"/>
    <s v="Jerome RUZIGANA"/>
    <m/>
    <s v="0788301481"/>
    <m/>
    <m/>
    <m/>
  </r>
  <r>
    <m/>
    <x v="334"/>
    <s v="EAGI Gasabo"/>
    <s v="Kicukiro"/>
    <x v="1"/>
    <x v="14"/>
    <s v="Standard"/>
    <x v="1"/>
    <x v="5"/>
    <n v="3"/>
    <s v="Fiber Broadband Internet 3Mbps"/>
    <m/>
    <n v="1"/>
    <n v="154518"/>
    <n v="154518"/>
    <s v="Monthly"/>
    <d v="2025-04-13T00:00:00"/>
    <x v="9"/>
    <x v="2"/>
    <n v="-646"/>
    <x v="1"/>
    <x v="1"/>
    <s v="Jerome RUZIGANA"/>
    <m/>
    <s v="0788301481"/>
    <m/>
    <m/>
    <m/>
  </r>
  <r>
    <m/>
    <x v="334"/>
    <s v="Ruliba Clays"/>
    <s v="Kicukiro"/>
    <x v="1"/>
    <x v="14"/>
    <s v="Standard"/>
    <x v="1"/>
    <x v="5"/>
    <n v="7"/>
    <s v="Fiber Broadband Internet 7Mbps"/>
    <m/>
    <n v="1"/>
    <n v="360542"/>
    <n v="360542"/>
    <s v="Monthly"/>
    <d v="2025-04-13T00:00:00"/>
    <x v="9"/>
    <x v="2"/>
    <n v="-646"/>
    <x v="1"/>
    <x v="1"/>
    <s v="Jerome RUZIGANA"/>
    <m/>
    <s v="0788301481"/>
    <m/>
    <m/>
    <m/>
  </r>
  <r>
    <m/>
    <x v="334"/>
    <s v="SEAL"/>
    <s v="Kicukiro"/>
    <x v="1"/>
    <x v="14"/>
    <s v="Standard"/>
    <x v="1"/>
    <x v="5"/>
    <n v="5"/>
    <s v="Fiber Broadband Internet 5Mbps"/>
    <m/>
    <n v="1"/>
    <n v="257530"/>
    <n v="257530"/>
    <s v="Monthly"/>
    <d v="2025-04-13T00:00:00"/>
    <x v="9"/>
    <x v="2"/>
    <n v="-646"/>
    <x v="1"/>
    <x v="1"/>
    <s v="Jerome RUZIGANA"/>
    <m/>
    <s v="0788301481"/>
    <m/>
    <m/>
    <m/>
  </r>
  <r>
    <m/>
    <x v="334"/>
    <s v="Intare Investment -Rusororo &quot;ICA&quot;"/>
    <s v="Kicukiro"/>
    <x v="1"/>
    <x v="14"/>
    <s v="Standard"/>
    <x v="1"/>
    <x v="5"/>
    <n v="30"/>
    <s v="Fiber Broadband Internet 30Mbps"/>
    <m/>
    <n v="1"/>
    <n v="1545180"/>
    <n v="1545180"/>
    <s v="Monthly"/>
    <d v="2025-04-13T00:00:00"/>
    <x v="9"/>
    <x v="2"/>
    <n v="-646"/>
    <x v="1"/>
    <x v="1"/>
    <s v="Jerome RUZIGANA"/>
    <m/>
    <s v="0788301481"/>
    <m/>
    <m/>
    <m/>
  </r>
  <r>
    <m/>
    <x v="334"/>
    <s v="Crystal Ventures -Intare Arena DR-DC"/>
    <s v="Kicukiro"/>
    <x v="1"/>
    <x v="14"/>
    <s v="Standard"/>
    <x v="1"/>
    <x v="5"/>
    <n v="5"/>
    <s v="Fiber Broadband Internet 5Mbps"/>
    <m/>
    <n v="1"/>
    <n v="257530"/>
    <n v="257530"/>
    <s v="Monthly"/>
    <d v="2025-04-13T00:00:00"/>
    <x v="9"/>
    <x v="2"/>
    <n v="-646"/>
    <x v="1"/>
    <x v="1"/>
    <s v="Jerome RUZIGANA"/>
    <m/>
    <s v="0788301481"/>
    <m/>
    <m/>
    <m/>
  </r>
  <r>
    <m/>
    <x v="334"/>
    <s v="Real Contractors (Amahoro Stadium)"/>
    <s v="Kicukiro"/>
    <x v="1"/>
    <x v="14"/>
    <s v="Standard"/>
    <x v="1"/>
    <x v="5"/>
    <n v="10"/>
    <s v="Fiber Broadband Internet 10Mbps"/>
    <m/>
    <n v="1"/>
    <n v="515060"/>
    <n v="515060"/>
    <s v="Monthly"/>
    <d v="2025-04-13T00:00:00"/>
    <x v="9"/>
    <x v="2"/>
    <n v="-646"/>
    <x v="1"/>
    <x v="1"/>
    <s v="Jerome RUZIGANA"/>
    <m/>
    <s v="0788301481"/>
    <m/>
    <m/>
    <m/>
  </r>
  <r>
    <m/>
    <x v="334"/>
    <s v="NPD-HQ"/>
    <s v="Kicukiro"/>
    <x v="1"/>
    <x v="14"/>
    <s v="Standard"/>
    <x v="1"/>
    <x v="5"/>
    <n v="25"/>
    <s v="Fiber Broadband Internet 25Mbps"/>
    <m/>
    <n v="1"/>
    <n v="1287650"/>
    <n v="1287650"/>
    <s v="Monthly"/>
    <d v="2025-04-13T00:00:00"/>
    <x v="9"/>
    <x v="2"/>
    <n v="-646"/>
    <x v="1"/>
    <x v="1"/>
    <s v="Jerome RUZIGANA"/>
    <m/>
    <s v="0788301481"/>
    <m/>
    <m/>
    <m/>
  </r>
  <r>
    <m/>
    <x v="334"/>
    <s v="NPD - JABANA Production"/>
    <s v="Kicukiro"/>
    <x v="1"/>
    <x v="14"/>
    <s v="Standard"/>
    <x v="1"/>
    <x v="5"/>
    <n v="10"/>
    <s v="Fiber Broadband Internet 10Mbps"/>
    <m/>
    <n v="1"/>
    <n v="515060"/>
    <n v="515060"/>
    <s v="Monthly"/>
    <d v="2025-04-13T00:00:00"/>
    <x v="9"/>
    <x v="2"/>
    <n v="-646"/>
    <x v="1"/>
    <x v="1"/>
    <s v="Jerome RUZIGANA"/>
    <m/>
    <s v="0788301481"/>
    <m/>
    <m/>
    <m/>
  </r>
  <r>
    <m/>
    <x v="334"/>
    <s v="NPD KIP"/>
    <s v="Kicukiro"/>
    <x v="1"/>
    <x v="14"/>
    <s v="Standard"/>
    <x v="1"/>
    <x v="5"/>
    <n v="10"/>
    <s v="Fiber Broadband Internet 10Mbps"/>
    <m/>
    <n v="1"/>
    <n v="515060"/>
    <n v="515060"/>
    <s v="Monthly"/>
    <d v="2025-04-13T00:00:00"/>
    <x v="9"/>
    <x v="2"/>
    <n v="-646"/>
    <x v="1"/>
    <x v="1"/>
    <s v="Jerome RUZIGANA"/>
    <m/>
    <s v="0788301481"/>
    <m/>
    <m/>
    <m/>
  </r>
  <r>
    <m/>
    <x v="334"/>
    <s v="Cons truck"/>
    <s v="Kicukiro"/>
    <x v="1"/>
    <x v="14"/>
    <s v="Standard"/>
    <x v="1"/>
    <x v="5"/>
    <n v="10"/>
    <s v="Fiber Broadband Internet 10Mbps"/>
    <m/>
    <n v="1"/>
    <n v="515060"/>
    <n v="515060"/>
    <s v="Monthly"/>
    <d v="2025-04-13T00:00:00"/>
    <x v="9"/>
    <x v="2"/>
    <n v="-646"/>
    <x v="1"/>
    <x v="1"/>
    <s v="Jerome RUZIGANA"/>
    <m/>
    <s v="0788301481"/>
    <m/>
    <m/>
    <m/>
  </r>
  <r>
    <s v="C001119"/>
    <x v="298"/>
    <s v="Karongi Cell"/>
    <s v="Karongi"/>
    <x v="0"/>
    <x v="0"/>
    <s v="Standard"/>
    <x v="0"/>
    <x v="6"/>
    <m/>
    <s v="4G MUP 3GB/DAY"/>
    <m/>
    <n v="2"/>
    <n v="54237"/>
    <n v="108474"/>
    <s v="Monthly"/>
    <d v="2024-11-30T00:00:00"/>
    <x v="5"/>
    <x v="4"/>
    <n v="-512"/>
    <x v="1"/>
    <x v="5"/>
    <s v="Albert Ntabareshya"/>
    <s v=" karongidistrict@karongi.gov.rw"/>
    <n v="788534669"/>
    <m/>
    <m/>
    <m/>
  </r>
  <r>
    <s v="C001119"/>
    <x v="298"/>
    <s v="Karongi Cell"/>
    <s v="Karongi"/>
    <x v="0"/>
    <x v="0"/>
    <s v="Standard"/>
    <x v="0"/>
    <x v="6"/>
    <m/>
    <s v="4G MUP 1GB/DAY"/>
    <m/>
    <n v="1"/>
    <n v="19491.53"/>
    <n v="19491.53"/>
    <s v="Monthly"/>
    <d v="2024-11-30T00:00:00"/>
    <x v="5"/>
    <x v="4"/>
    <n v="-512"/>
    <x v="1"/>
    <x v="5"/>
    <s v="Albert Ntabareshya"/>
    <s v=" karongidistrict@karongi.gov.rw"/>
    <n v="788534669"/>
    <m/>
    <m/>
    <m/>
  </r>
  <r>
    <s v="C003109"/>
    <x v="187"/>
    <s v="Nyarugenge Prison"/>
    <s v="Nyarugenge"/>
    <x v="0"/>
    <x v="3"/>
    <s v="Standard"/>
    <x v="0"/>
    <x v="7"/>
    <m/>
    <s v="MSS GOLD"/>
    <m/>
    <n v="1"/>
    <n v="369325.42372800002"/>
    <n v="369325.42372800002"/>
    <s v="Monthly"/>
    <d v="2025-03-31T00:00:00"/>
    <x v="8"/>
    <x v="2"/>
    <n v="-633"/>
    <x v="1"/>
    <x v="5"/>
    <s v="Wilson Kabagambe"/>
    <s v="wilson.kabagambe@rcs.gov.rw"/>
    <n v="788828151"/>
    <m/>
    <m/>
    <m/>
  </r>
  <r>
    <s v="C004372"/>
    <x v="443"/>
    <s v="Kanombe"/>
    <s v="Kicukiro"/>
    <x v="0"/>
    <x v="12"/>
    <s v="Standard"/>
    <x v="0"/>
    <x v="6"/>
    <n v="30"/>
    <s v="4G LTE "/>
    <n v="1"/>
    <n v="2"/>
    <n v="84745.762711999996"/>
    <n v="169491.52542399999"/>
    <s v="Monthly"/>
    <d v="2027-04-18T00:00:00"/>
    <x v="9"/>
    <x v="5"/>
    <n v="-1381"/>
    <x v="1"/>
    <x v="5"/>
    <m/>
    <n v="788212672"/>
    <m/>
    <m/>
    <m/>
    <m/>
  </r>
  <r>
    <m/>
    <x v="444"/>
    <s v="Online Transaction-idrissa"/>
    <s v="Gasabo"/>
    <x v="0"/>
    <x v="0"/>
    <s v="Standard"/>
    <x v="0"/>
    <x v="6"/>
    <m/>
    <s v="4G- Online transaction"/>
    <m/>
    <n v="1"/>
    <n v="1180775"/>
    <n v="1180775"/>
    <s v="Monthly"/>
    <d v="2026-02-03T00:00:00"/>
    <x v="7"/>
    <x v="6"/>
    <n v="-942"/>
    <x v="1"/>
    <x v="8"/>
    <m/>
    <m/>
    <m/>
    <m/>
    <m/>
    <m/>
  </r>
  <r>
    <m/>
    <x v="444"/>
    <s v="Online Transaction-idrissa"/>
    <s v="Gasabo"/>
    <x v="0"/>
    <x v="0"/>
    <s v="Standard"/>
    <x v="0"/>
    <x v="6"/>
    <m/>
    <s v="4G- Online transaction"/>
    <m/>
    <n v="1"/>
    <n v="1180775"/>
    <n v="1180775"/>
    <s v="Monthly"/>
    <d v="2026-02-04T00:00:00"/>
    <x v="7"/>
    <x v="6"/>
    <n v="-943"/>
    <x v="1"/>
    <x v="3"/>
    <m/>
    <m/>
    <m/>
    <m/>
    <m/>
    <m/>
  </r>
  <r>
    <m/>
    <x v="444"/>
    <s v="Online Transaction-idrissa"/>
    <s v="Gasabo"/>
    <x v="0"/>
    <x v="0"/>
    <s v="Standard"/>
    <x v="0"/>
    <x v="6"/>
    <m/>
    <s v="4G- Online transaction"/>
    <m/>
    <n v="1"/>
    <n v="1180775"/>
    <n v="1180775"/>
    <s v="Monthly"/>
    <d v="2026-02-05T00:00:00"/>
    <x v="7"/>
    <x v="6"/>
    <n v="-944"/>
    <x v="1"/>
    <x v="9"/>
    <m/>
    <m/>
    <m/>
    <m/>
    <m/>
    <m/>
  </r>
  <r>
    <m/>
    <x v="444"/>
    <s v="Online Transaction-idrissa"/>
    <s v="Gasabo"/>
    <x v="0"/>
    <x v="0"/>
    <s v="Standard"/>
    <x v="0"/>
    <x v="6"/>
    <m/>
    <s v="4G- Online transaction"/>
    <m/>
    <n v="1"/>
    <n v="1180775"/>
    <n v="1180775"/>
    <s v="Monthly"/>
    <d v="2026-02-06T00:00:00"/>
    <x v="7"/>
    <x v="6"/>
    <n v="-945"/>
    <x v="1"/>
    <x v="7"/>
    <m/>
    <m/>
    <m/>
    <m/>
    <m/>
    <m/>
  </r>
  <r>
    <m/>
    <x v="445"/>
    <s v="consumption"/>
    <s v="Gasabo"/>
    <x v="0"/>
    <x v="0"/>
    <s v="VIP"/>
    <x v="0"/>
    <x v="6"/>
    <m/>
    <s v="4G- Consumption"/>
    <m/>
    <n v="1"/>
    <n v="95714277.628000006"/>
    <n v="95714277.628000006"/>
    <s v="Monthly"/>
    <d v="2026-01-29T00:00:00"/>
    <x v="6"/>
    <x v="6"/>
    <n v="-937"/>
    <x v="1"/>
    <x v="7"/>
    <m/>
    <m/>
    <m/>
    <m/>
    <m/>
    <m/>
  </r>
  <r>
    <m/>
    <x v="445"/>
    <s v="consumption"/>
    <s v="Gasabo"/>
    <x v="0"/>
    <x v="0"/>
    <s v="VIP"/>
    <x v="0"/>
    <x v="6"/>
    <m/>
    <s v="4G- Consumption"/>
    <m/>
    <n v="1"/>
    <n v="23423"/>
    <n v="23423"/>
    <s v="Monthly"/>
    <d v="2026-01-30T00:00:00"/>
    <x v="6"/>
    <x v="6"/>
    <n v="-938"/>
    <x v="1"/>
    <x v="0"/>
    <m/>
    <m/>
    <m/>
    <m/>
    <m/>
    <m/>
  </r>
  <r>
    <m/>
    <x v="445"/>
    <s v="consumption"/>
    <s v="Gasabo"/>
    <x v="0"/>
    <x v="0"/>
    <s v="VIP"/>
    <x v="0"/>
    <x v="6"/>
    <m/>
    <s v="4G- Consumption"/>
    <m/>
    <n v="1"/>
    <n v="4705507.7119999994"/>
    <n v="4705507.7119999994"/>
    <s v="Monthly"/>
    <d v="2026-01-31T00:00:00"/>
    <x v="6"/>
    <x v="6"/>
    <n v="-939"/>
    <x v="1"/>
    <x v="1"/>
    <m/>
    <m/>
    <m/>
    <m/>
    <m/>
    <m/>
  </r>
  <r>
    <m/>
    <x v="445"/>
    <s v="consumption"/>
    <s v="Gasabo"/>
    <x v="0"/>
    <x v="0"/>
    <s v="VIP"/>
    <x v="0"/>
    <x v="6"/>
    <m/>
    <s v="4G- Consumption"/>
    <m/>
    <n v="1"/>
    <n v="407098.11200000002"/>
    <n v="407098.11200000002"/>
    <s v="Monthly"/>
    <d v="2026-02-01T00:00:00"/>
    <x v="7"/>
    <x v="6"/>
    <n v="-940"/>
    <x v="1"/>
    <x v="2"/>
    <m/>
    <m/>
    <m/>
    <m/>
    <m/>
    <m/>
  </r>
  <r>
    <m/>
    <x v="446"/>
    <s v="new activation"/>
    <s v="Gasabo"/>
    <x v="0"/>
    <x v="0"/>
    <s v="Standard"/>
    <x v="0"/>
    <x v="6"/>
    <m/>
    <s v="4G- New activation"/>
    <m/>
    <n v="1"/>
    <n v="1503000"/>
    <n v="1503000"/>
    <s v="Monthly"/>
    <d v="2026-01-24T00:00:00"/>
    <x v="6"/>
    <x v="6"/>
    <n v="-932"/>
    <x v="1"/>
    <x v="7"/>
    <m/>
    <m/>
    <m/>
    <m/>
    <m/>
    <m/>
  </r>
  <r>
    <m/>
    <x v="446"/>
    <s v="new activation"/>
    <s v="Gasabo"/>
    <x v="0"/>
    <x v="0"/>
    <s v="Standard"/>
    <x v="0"/>
    <x v="6"/>
    <m/>
    <s v="4G- New activation"/>
    <m/>
    <n v="1"/>
    <n v="944600"/>
    <n v="944600"/>
    <s v="Monthly"/>
    <d v="2026-01-25T00:00:00"/>
    <x v="6"/>
    <x v="6"/>
    <n v="-933"/>
    <x v="1"/>
    <x v="9"/>
    <m/>
    <m/>
    <m/>
    <m/>
    <m/>
    <m/>
  </r>
  <r>
    <m/>
    <x v="446"/>
    <s v="new activation"/>
    <s v="Gasabo"/>
    <x v="0"/>
    <x v="0"/>
    <s v="Standard"/>
    <x v="0"/>
    <x v="6"/>
    <m/>
    <s v="4G- New activation"/>
    <m/>
    <n v="1"/>
    <n v="289400"/>
    <n v="289400"/>
    <s v="Monthly"/>
    <d v="2026-01-26T00:00:00"/>
    <x v="6"/>
    <x v="6"/>
    <n v="-934"/>
    <x v="1"/>
    <x v="3"/>
    <m/>
    <m/>
    <m/>
    <m/>
    <m/>
    <m/>
  </r>
  <r>
    <m/>
    <x v="446"/>
    <s v="new activation"/>
    <s v="Gasabo"/>
    <x v="0"/>
    <x v="0"/>
    <s v="Standard"/>
    <x v="0"/>
    <x v="6"/>
    <m/>
    <s v="4G- New activation"/>
    <m/>
    <n v="1"/>
    <n v="283700"/>
    <n v="283700"/>
    <s v="Monthly"/>
    <d v="2026-01-27T00:00:00"/>
    <x v="6"/>
    <x v="6"/>
    <n v="-935"/>
    <x v="1"/>
    <x v="7"/>
    <m/>
    <m/>
    <m/>
    <m/>
    <m/>
    <m/>
  </r>
  <r>
    <m/>
    <x v="447"/>
    <s v="Top-UP"/>
    <s v="Gasabo"/>
    <x v="0"/>
    <x v="0"/>
    <s v="Standard"/>
    <x v="0"/>
    <x v="6"/>
    <m/>
    <s v="4G- TOPUP"/>
    <m/>
    <n v="1"/>
    <n v="6960225"/>
    <n v="6960225"/>
    <s v="Monthly"/>
    <d v="2026-01-28T00:00:00"/>
    <x v="6"/>
    <x v="6"/>
    <n v="-936"/>
    <x v="1"/>
    <x v="8"/>
    <m/>
    <m/>
    <m/>
    <m/>
    <m/>
    <m/>
  </r>
  <r>
    <m/>
    <x v="447"/>
    <s v="Top-UP"/>
    <s v="Gasabo"/>
    <x v="0"/>
    <x v="0"/>
    <s v="Standard"/>
    <x v="0"/>
    <x v="6"/>
    <m/>
    <s v="4G- TOPUP"/>
    <m/>
    <n v="1"/>
    <n v="2169625"/>
    <n v="2169625"/>
    <s v="Monthly"/>
    <d v="2026-01-29T00:00:00"/>
    <x v="6"/>
    <x v="6"/>
    <n v="-937"/>
    <x v="1"/>
    <x v="7"/>
    <m/>
    <m/>
    <m/>
    <m/>
    <m/>
    <m/>
  </r>
  <r>
    <m/>
    <x v="447"/>
    <s v="Top-UP"/>
    <s v="Gasabo"/>
    <x v="0"/>
    <x v="0"/>
    <s v="Standard"/>
    <x v="0"/>
    <x v="6"/>
    <m/>
    <s v="4G- TOPUP"/>
    <m/>
    <n v="1"/>
    <n v="13743125"/>
    <n v="13743125"/>
    <s v="Monthly"/>
    <d v="2026-01-30T00:00:00"/>
    <x v="6"/>
    <x v="6"/>
    <n v="-938"/>
    <x v="1"/>
    <x v="9"/>
    <m/>
    <m/>
    <m/>
    <m/>
    <m/>
    <m/>
  </r>
  <r>
    <m/>
    <x v="447"/>
    <s v="Top-UP"/>
    <s v="Gasabo"/>
    <x v="0"/>
    <x v="0"/>
    <s v="Standard"/>
    <x v="0"/>
    <x v="6"/>
    <m/>
    <s v="4G- TOPUP"/>
    <m/>
    <n v="1"/>
    <n v="2249625"/>
    <n v="2249625"/>
    <s v="Monthly"/>
    <d v="2026-01-31T00:00:00"/>
    <x v="6"/>
    <x v="6"/>
    <n v="-939"/>
    <x v="1"/>
    <x v="3"/>
    <m/>
    <m/>
    <m/>
    <m/>
    <m/>
    <m/>
  </r>
  <r>
    <m/>
    <x v="448"/>
    <s v="projects"/>
    <s v="Gasabo"/>
    <x v="0"/>
    <x v="0"/>
    <s v="Standard"/>
    <x v="0"/>
    <x v="13"/>
    <m/>
    <s v="projects"/>
    <m/>
    <n v="1"/>
    <n v="1367570"/>
    <n v="1367570"/>
    <s v="Monthly"/>
    <d v="2023-05-06T00:00:00"/>
    <x v="10"/>
    <x v="3"/>
    <n v="62"/>
    <x v="4"/>
    <x v="1"/>
    <m/>
    <m/>
    <m/>
    <m/>
    <m/>
    <m/>
  </r>
  <r>
    <m/>
    <x v="448"/>
    <s v="projects"/>
    <s v="Gasabo"/>
    <x v="0"/>
    <x v="0"/>
    <s v="Standard"/>
    <x v="0"/>
    <x v="13"/>
    <m/>
    <s v="projects"/>
    <m/>
    <n v="1"/>
    <n v="3069083"/>
    <n v="3069083"/>
    <s v="Monthly"/>
    <d v="2023-05-07T00:00:00"/>
    <x v="10"/>
    <x v="3"/>
    <n v="61"/>
    <x v="4"/>
    <x v="6"/>
    <m/>
    <m/>
    <m/>
    <m/>
    <m/>
    <m/>
  </r>
  <r>
    <m/>
    <x v="449"/>
    <s v="4G Devices "/>
    <s v="Gasabo"/>
    <x v="0"/>
    <x v="0"/>
    <s v="Standard"/>
    <x v="0"/>
    <x v="14"/>
    <m/>
    <s v="4G Devices"/>
    <m/>
    <n v="1"/>
    <n v="1000"/>
    <n v="1000"/>
    <s v="Monthly"/>
    <d v="2023-05-05T00:00:00"/>
    <x v="10"/>
    <x v="3"/>
    <n v="63"/>
    <x v="4"/>
    <x v="6"/>
    <m/>
    <m/>
    <m/>
    <m/>
    <m/>
    <m/>
  </r>
  <r>
    <m/>
    <x v="449"/>
    <s v="4G Devices"/>
    <s v="Gasabo"/>
    <x v="0"/>
    <x v="0"/>
    <s v="Standard"/>
    <x v="0"/>
    <x v="14"/>
    <m/>
    <s v="4G Devices"/>
    <m/>
    <n v="1"/>
    <n v="111500"/>
    <n v="111500"/>
    <s v="Monthly"/>
    <d v="2023-05-06T00:00:00"/>
    <x v="10"/>
    <x v="3"/>
    <n v="62"/>
    <x v="4"/>
    <x v="3"/>
    <m/>
    <m/>
    <m/>
    <m/>
    <m/>
    <m/>
  </r>
  <r>
    <m/>
    <x v="449"/>
    <s v="4G Devices"/>
    <s v="Gasabo"/>
    <x v="0"/>
    <x v="0"/>
    <s v="Standard"/>
    <x v="0"/>
    <x v="14"/>
    <m/>
    <s v="4G Devices"/>
    <m/>
    <n v="2"/>
    <n v="1337500"/>
    <n v="2675000"/>
    <s v="Monthly"/>
    <d v="2023-05-07T00:00:00"/>
    <x v="10"/>
    <x v="3"/>
    <n v="61"/>
    <x v="0"/>
    <x v="7"/>
    <m/>
    <m/>
    <m/>
    <m/>
    <m/>
    <m/>
  </r>
  <r>
    <m/>
    <x v="449"/>
    <s v="4G Devices"/>
    <s v="Gasabo"/>
    <x v="0"/>
    <x v="0"/>
    <s v="Standard"/>
    <x v="0"/>
    <x v="14"/>
    <m/>
    <s v="4G Devices"/>
    <m/>
    <n v="3"/>
    <n v="256000"/>
    <n v="768000"/>
    <s v="Monthly"/>
    <d v="2023-05-08T00:00:00"/>
    <x v="10"/>
    <x v="3"/>
    <n v="60"/>
    <x v="0"/>
    <x v="6"/>
    <m/>
    <m/>
    <m/>
    <m/>
    <m/>
    <m/>
  </r>
  <r>
    <m/>
    <x v="450"/>
    <s v="BoD - Germain"/>
    <s v="Gasabo"/>
    <x v="0"/>
    <x v="0"/>
    <s v="Standard"/>
    <x v="0"/>
    <x v="6"/>
    <m/>
    <s v="4G- BoD"/>
    <m/>
    <n v="1"/>
    <s v=" 6,300,000 "/>
    <n v="6300000"/>
    <s v="Monthly"/>
    <d v="2026-01-04T00:00:00"/>
    <x v="6"/>
    <x v="6"/>
    <n v="-912"/>
    <x v="4"/>
    <x v="2"/>
    <m/>
    <m/>
    <m/>
    <m/>
    <m/>
    <m/>
  </r>
  <r>
    <m/>
    <x v="451"/>
    <s v="EDUCATION Cat. 3"/>
    <s v="Gasabo"/>
    <x v="0"/>
    <x v="0"/>
    <s v="VIP"/>
    <x v="0"/>
    <x v="6"/>
    <m/>
    <s v="4G ONE NETWORK 5MBPS"/>
    <m/>
    <n v="96"/>
    <n v="137500"/>
    <n v="13200000"/>
    <s v="Monthly"/>
    <d v="2026-01-03T00:00:00"/>
    <x v="6"/>
    <x v="6"/>
    <n v="-911"/>
    <x v="4"/>
    <x v="10"/>
    <m/>
    <m/>
    <m/>
    <m/>
    <m/>
    <m/>
  </r>
  <r>
    <m/>
    <x v="451"/>
    <s v="EDUCATION Cat. 3"/>
    <s v="Gasabo"/>
    <x v="0"/>
    <x v="0"/>
    <s v="VIP"/>
    <x v="0"/>
    <x v="6"/>
    <m/>
    <s v="4G ONE NETWORK 10MBPS"/>
    <m/>
    <n v="29"/>
    <n v="145000"/>
    <n v="4205000"/>
    <s v="Monthly"/>
    <d v="2026-01-03T00:00:00"/>
    <x v="6"/>
    <x v="6"/>
    <n v="-911"/>
    <x v="4"/>
    <x v="10"/>
    <m/>
    <m/>
    <m/>
    <m/>
    <m/>
    <m/>
  </r>
  <r>
    <m/>
    <x v="451"/>
    <s v="Cell Cat 1"/>
    <s v="Gasabo"/>
    <x v="0"/>
    <x v="0"/>
    <s v="VIP"/>
    <x v="0"/>
    <x v="6"/>
    <m/>
    <s v="2GB/Day"/>
    <m/>
    <n v="28"/>
    <n v="40760"/>
    <n v="1141280"/>
    <s v="Monthly"/>
    <d v="2026-01-01T00:00:00"/>
    <x v="6"/>
    <x v="6"/>
    <n v="-909"/>
    <x v="4"/>
    <x v="10"/>
    <m/>
    <m/>
    <m/>
    <m/>
    <m/>
    <m/>
  </r>
  <r>
    <m/>
    <x v="451"/>
    <s v="HP Cat 1"/>
    <s v="Gasabo"/>
    <x v="0"/>
    <x v="0"/>
    <s v="VIP"/>
    <x v="0"/>
    <x v="6"/>
    <m/>
    <s v="2GB/Day"/>
    <m/>
    <n v="157"/>
    <n v="40760"/>
    <n v="6399320"/>
    <s v="Monthly"/>
    <d v="2026-01-02T00:00:00"/>
    <x v="6"/>
    <x v="6"/>
    <n v="-910"/>
    <x v="4"/>
    <x v="10"/>
    <m/>
    <m/>
    <m/>
    <m/>
    <m/>
    <m/>
  </r>
  <r>
    <m/>
    <x v="451"/>
    <s v="HP Cat 2"/>
    <s v="Gasabo"/>
    <x v="0"/>
    <x v="0"/>
    <s v="VIP"/>
    <x v="0"/>
    <x v="6"/>
    <m/>
    <s v="4GB/Day"/>
    <m/>
    <n v="11"/>
    <n v="80250"/>
    <n v="882750"/>
    <s v="Monthly"/>
    <d v="2026-01-02T00:00:00"/>
    <x v="6"/>
    <x v="6"/>
    <n v="-910"/>
    <x v="4"/>
    <x v="10"/>
    <m/>
    <m/>
    <m/>
    <m/>
    <m/>
    <m/>
  </r>
  <r>
    <m/>
    <x v="451"/>
    <s v="HP Cat 3"/>
    <s v="Gasabo"/>
    <x v="0"/>
    <x v="0"/>
    <s v="VIP"/>
    <x v="0"/>
    <x v="6"/>
    <m/>
    <s v="4G ONE NETWORK 3MBPS"/>
    <m/>
    <n v="1"/>
    <n v="96000"/>
    <n v="96000"/>
    <s v="Monthly"/>
    <d v="2026-01-03T00:00:00"/>
    <x v="6"/>
    <x v="6"/>
    <n v="-911"/>
    <x v="4"/>
    <x v="10"/>
    <m/>
    <m/>
    <m/>
    <m/>
    <m/>
    <m/>
  </r>
  <r>
    <m/>
    <x v="452"/>
    <s v="HC- Idriss"/>
    <s v="Gasabo"/>
    <x v="0"/>
    <x v="0"/>
    <s v="Standard"/>
    <x v="0"/>
    <x v="6"/>
    <m/>
    <s v="4G for HC"/>
    <m/>
    <n v="1"/>
    <n v="313375"/>
    <n v="313375"/>
    <s v="Monthly"/>
    <d v="2026-01-04T00:00:00"/>
    <x v="6"/>
    <x v="6"/>
    <n v="-912"/>
    <x v="4"/>
    <x v="8"/>
    <m/>
    <m/>
    <m/>
    <m/>
    <m/>
    <m/>
  </r>
  <r>
    <m/>
    <x v="452"/>
    <s v="HC- kizza"/>
    <s v="Gasabo"/>
    <x v="0"/>
    <x v="0"/>
    <s v="Standard"/>
    <x v="0"/>
    <x v="6"/>
    <m/>
    <s v="4G for HC"/>
    <m/>
    <n v="1"/>
    <n v="313375"/>
    <n v="313375"/>
    <s v="Monthly"/>
    <d v="2026-01-04T00:00:00"/>
    <x v="6"/>
    <x v="6"/>
    <n v="-912"/>
    <x v="4"/>
    <x v="3"/>
    <m/>
    <m/>
    <m/>
    <m/>
    <m/>
    <m/>
  </r>
  <r>
    <m/>
    <x v="452"/>
    <s v="HC- patrick"/>
    <s v="Gasabo"/>
    <x v="0"/>
    <x v="0"/>
    <s v="Standard"/>
    <x v="0"/>
    <x v="6"/>
    <m/>
    <s v="4G for HC"/>
    <m/>
    <n v="1"/>
    <n v="313375"/>
    <n v="313375"/>
    <s v="Monthly"/>
    <d v="2026-01-04T00:00:00"/>
    <x v="6"/>
    <x v="6"/>
    <n v="-912"/>
    <x v="4"/>
    <x v="7"/>
    <m/>
    <m/>
    <m/>
    <m/>
    <m/>
    <m/>
  </r>
  <r>
    <m/>
    <x v="452"/>
    <s v="HC- nadia"/>
    <s v="Gasabo"/>
    <x v="0"/>
    <x v="0"/>
    <s v="Standard"/>
    <x v="0"/>
    <x v="6"/>
    <m/>
    <s v="4G for HC"/>
    <m/>
    <n v="1"/>
    <n v="313375"/>
    <n v="313375"/>
    <s v="Monthly"/>
    <d v="2026-01-04T00:00:00"/>
    <x v="6"/>
    <x v="6"/>
    <n v="-912"/>
    <x v="4"/>
    <x v="9"/>
    <m/>
    <m/>
    <m/>
    <m/>
    <m/>
    <m/>
  </r>
  <r>
    <m/>
    <x v="453"/>
    <s v="RBC-Command post"/>
    <s v="Gasabo"/>
    <x v="0"/>
    <x v="0"/>
    <s v="Standard"/>
    <x v="0"/>
    <x v="6"/>
    <m/>
    <s v="510*GB/DAY"/>
    <m/>
    <n v="1"/>
    <n v="27285000"/>
    <n v="27285000"/>
    <s v="Monthly"/>
    <d v="2026-01-02T00:00:00"/>
    <x v="6"/>
    <x v="6"/>
    <n v="-910"/>
    <x v="4"/>
    <x v="6"/>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AE7912-EA14-43BE-830B-15A90892092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28">
    <pivotField showAll="0"/>
    <pivotField showAll="0"/>
    <pivotField showAll="0"/>
    <pivotField showAll="0"/>
    <pivotField showAll="0"/>
    <pivotField showAll="0"/>
    <pivotField showAll="0"/>
    <pivotField axis="axisRow" showAll="0">
      <items count="8">
        <item x="1"/>
        <item x="2"/>
        <item x="3"/>
        <item x="0"/>
        <item x="5"/>
        <item x="4"/>
        <item m="1" x="6"/>
        <item t="default"/>
      </items>
    </pivotField>
    <pivotField showAll="0"/>
    <pivotField dataField="1" showAll="0"/>
    <pivotField showAll="0"/>
    <pivotField showAll="0"/>
    <pivotField numFmtId="165" showAll="0"/>
    <pivotField showAll="0"/>
    <pivotField numFmtId="165"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s>
  <rowFields count="1">
    <field x="7"/>
  </rowFields>
  <rowItems count="7">
    <i>
      <x/>
    </i>
    <i>
      <x v="1"/>
    </i>
    <i>
      <x v="2"/>
    </i>
    <i>
      <x v="3"/>
    </i>
    <i>
      <x v="4"/>
    </i>
    <i>
      <x v="5"/>
    </i>
    <i t="grand">
      <x/>
    </i>
  </rowItems>
  <colItems count="1">
    <i/>
  </colItems>
  <dataFields count="1">
    <dataField name="Sum of BW" fld="9" baseField="0" baseItem="0" numFmtId="165"/>
  </dataFields>
  <formats count="7">
    <format dxfId="118">
      <pivotArea type="all" dataOnly="0" outline="0" fieldPosition="0"/>
    </format>
    <format dxfId="117">
      <pivotArea outline="0" collapsedLevelsAreSubtotals="1" fieldPosition="0"/>
    </format>
    <format dxfId="116">
      <pivotArea field="7" type="button" dataOnly="0" labelOnly="1" outline="0" axis="axisRow" fieldPosition="0"/>
    </format>
    <format dxfId="115">
      <pivotArea dataOnly="0" labelOnly="1" fieldPosition="0">
        <references count="1">
          <reference field="7" count="0"/>
        </references>
      </pivotArea>
    </format>
    <format dxfId="114">
      <pivotArea dataOnly="0" labelOnly="1" grandRow="1" outline="0" fieldPosition="0"/>
    </format>
    <format dxfId="113">
      <pivotArea dataOnly="0" labelOnly="1" outline="0" axis="axisValues" fieldPosition="0"/>
    </format>
    <format dxfId="1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F61A2F-0B9B-4A6E-93B7-9CF2079C4BE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6" firstHeaderRow="1" firstDataRow="1" firstDataCol="1"/>
  <pivotFields count="28">
    <pivotField showAll="0"/>
    <pivotField showAll="0"/>
    <pivotField showAll="0"/>
    <pivotField showAll="0"/>
    <pivotField axis="axisRow" showAll="0">
      <items count="4">
        <item x="0"/>
        <item x="1"/>
        <item m="1" x="2"/>
        <item t="default"/>
      </items>
    </pivotField>
    <pivotField showAll="0"/>
    <pivotField showAll="0"/>
    <pivotField showAll="0"/>
    <pivotField showAll="0"/>
    <pivotField showAll="0"/>
    <pivotField showAll="0"/>
    <pivotField showAll="0"/>
    <pivotField numFmtId="165" showAll="0"/>
    <pivotField showAll="0"/>
    <pivotField numFmtId="165"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31841C-CFD0-4E89-92FE-791B6EEEDDE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6" firstHeaderRow="1" firstDataRow="2" firstDataCol="1"/>
  <pivotFields count="28">
    <pivotField showAll="0"/>
    <pivotField showAll="0"/>
    <pivotField showAll="0"/>
    <pivotField showAll="0"/>
    <pivotField axis="axisCol" showAll="0">
      <items count="4">
        <item x="0"/>
        <item x="1"/>
        <item m="1" x="2"/>
        <item t="default"/>
      </items>
    </pivotField>
    <pivotField showAll="0"/>
    <pivotField showAll="0"/>
    <pivotField showAll="0"/>
    <pivotField showAll="0"/>
    <pivotField dataField="1" showAll="0"/>
    <pivotField showAll="0"/>
    <pivotField showAll="0"/>
    <pivotField numFmtId="165" showAll="0"/>
    <pivotField showAll="0"/>
    <pivotField numFmtId="165" showAll="0"/>
    <pivotField showAll="0"/>
    <pivotField showAll="0"/>
    <pivotField showAll="0"/>
    <pivotField showAll="0"/>
    <pivotField numFmtId="165" showAll="0"/>
    <pivotField showAll="0"/>
    <pivotField axis="axisRow" showAll="0">
      <items count="13">
        <item x="1"/>
        <item x="4"/>
        <item x="9"/>
        <item x="8"/>
        <item x="3"/>
        <item x="7"/>
        <item x="0"/>
        <item x="5"/>
        <item x="2"/>
        <item x="6"/>
        <item m="1" x="11"/>
        <item x="10"/>
        <item t="default"/>
      </items>
    </pivotField>
    <pivotField showAll="0"/>
    <pivotField showAll="0"/>
    <pivotField showAll="0"/>
    <pivotField showAll="0"/>
    <pivotField showAll="0"/>
    <pivotField showAll="0"/>
  </pivotFields>
  <rowFields count="1">
    <field x="21"/>
  </rowFields>
  <rowItems count="12">
    <i>
      <x/>
    </i>
    <i>
      <x v="1"/>
    </i>
    <i>
      <x v="2"/>
    </i>
    <i>
      <x v="3"/>
    </i>
    <i>
      <x v="4"/>
    </i>
    <i>
      <x v="5"/>
    </i>
    <i>
      <x v="6"/>
    </i>
    <i>
      <x v="7"/>
    </i>
    <i>
      <x v="8"/>
    </i>
    <i>
      <x v="9"/>
    </i>
    <i>
      <x v="11"/>
    </i>
    <i t="grand">
      <x/>
    </i>
  </rowItems>
  <colFields count="1">
    <field x="4"/>
  </colFields>
  <colItems count="3">
    <i>
      <x/>
    </i>
    <i>
      <x v="1"/>
    </i>
    <i t="grand">
      <x/>
    </i>
  </colItems>
  <dataFields count="1">
    <dataField name="Sum of BW" fld="9" baseField="0" baseItem="0" numFmtId="164"/>
  </dataFields>
  <formats count="1">
    <format dxfId="1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565CC6-ECF2-48A1-8FA7-B3CA18E2DCD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79" firstHeaderRow="1" firstDataRow="1" firstDataCol="1"/>
  <pivotFields count="28">
    <pivotField showAll="0"/>
    <pivotField axis="axisRow" showAll="0" sortType="descending">
      <items count="464">
        <item m="1" x="457"/>
        <item x="271"/>
        <item x="159"/>
        <item x="281"/>
        <item x="123"/>
        <item x="327"/>
        <item x="108"/>
        <item x="223"/>
        <item x="161"/>
        <item x="189"/>
        <item x="362"/>
        <item x="377"/>
        <item x="152"/>
        <item x="44"/>
        <item x="46"/>
        <item x="313"/>
        <item x="100"/>
        <item x="175"/>
        <item x="179"/>
        <item x="77"/>
        <item x="289"/>
        <item x="224"/>
        <item x="41"/>
        <item x="282"/>
        <item x="91"/>
        <item x="420"/>
        <item x="49"/>
        <item x="50"/>
        <item x="225"/>
        <item x="267"/>
        <item x="265"/>
        <item x="263"/>
        <item x="158"/>
        <item x="268"/>
        <item x="280"/>
        <item x="131"/>
        <item x="144"/>
        <item x="145"/>
        <item x="76"/>
        <item x="416"/>
        <item x="20"/>
        <item x="78"/>
        <item x="371"/>
        <item x="141"/>
        <item x="124"/>
        <item x="397"/>
        <item x="314"/>
        <item x="146"/>
        <item x="432"/>
        <item x="283"/>
        <item x="357"/>
        <item x="404"/>
        <item x="393"/>
        <item x="329"/>
        <item m="1" x="461"/>
        <item x="176"/>
        <item x="302"/>
        <item x="257"/>
        <item x="321"/>
        <item x="79"/>
        <item x="71"/>
        <item x="345"/>
        <item m="1" x="459"/>
        <item x="180"/>
        <item x="315"/>
        <item x="147"/>
        <item x="226"/>
        <item x="51"/>
        <item x="227"/>
        <item x="21"/>
        <item x="291"/>
        <item x="322"/>
        <item x="433"/>
        <item x="228"/>
        <item x="287"/>
        <item x="425"/>
        <item x="323"/>
        <item x="87"/>
        <item x="247"/>
        <item x="181"/>
        <item x="348"/>
        <item x="94"/>
        <item x="132"/>
        <item x="197"/>
        <item x="148"/>
        <item m="1" x="455"/>
        <item x="421"/>
        <item x="198"/>
        <item x="149"/>
        <item x="90"/>
        <item x="16"/>
        <item x="405"/>
        <item x="385"/>
        <item x="409"/>
        <item x="303"/>
        <item x="162"/>
        <item x="413"/>
        <item x="290"/>
        <item x="407"/>
        <item x="52"/>
        <item x="305"/>
        <item x="105"/>
        <item x="365"/>
        <item x="408"/>
        <item x="43"/>
        <item x="372"/>
        <item x="229"/>
        <item x="272"/>
        <item x="172"/>
        <item x="297"/>
        <item x="80"/>
        <item x="22"/>
        <item x="182"/>
        <item x="398"/>
        <item x="53"/>
        <item x="399"/>
        <item x="434"/>
        <item x="435"/>
        <item x="400"/>
        <item x="422"/>
        <item x="150"/>
        <item x="344"/>
        <item x="1"/>
        <item x="439"/>
        <item x="86"/>
        <item x="30"/>
        <item x="396"/>
        <item x="406"/>
        <item x="31"/>
        <item x="391"/>
        <item x="349"/>
        <item x="279"/>
        <item x="125"/>
        <item x="273"/>
        <item x="102"/>
        <item x="81"/>
        <item x="177"/>
        <item x="7"/>
        <item x="336"/>
        <item x="306"/>
        <item x="88"/>
        <item x="401"/>
        <item x="350"/>
        <item x="419"/>
        <item x="120"/>
        <item x="95"/>
        <item x="296"/>
        <item x="351"/>
        <item x="163"/>
        <item x="164"/>
        <item m="1" x="460"/>
        <item x="133"/>
        <item x="375"/>
        <item x="54"/>
        <item x="73"/>
        <item x="103"/>
        <item x="199"/>
        <item x="230"/>
        <item x="254"/>
        <item x="360"/>
        <item x="436"/>
        <item x="298"/>
        <item x="27"/>
        <item x="15"/>
        <item x="353"/>
        <item x="418"/>
        <item x="359"/>
        <item x="295"/>
        <item x="231"/>
        <item x="55"/>
        <item x="378"/>
        <item x="232"/>
        <item x="437"/>
        <item x="200"/>
        <item x="201"/>
        <item x="56"/>
        <item x="258"/>
        <item x="274"/>
        <item x="330"/>
        <item x="34"/>
        <item x="361"/>
        <item x="57"/>
        <item x="126"/>
        <item x="222"/>
        <item x="233"/>
        <item x="45"/>
        <item x="335"/>
        <item x="417"/>
        <item x="426"/>
        <item x="165"/>
        <item x="166"/>
        <item x="167"/>
        <item x="168"/>
        <item x="156"/>
        <item x="58"/>
        <item x="284"/>
        <item x="392"/>
        <item x="2"/>
        <item x="109"/>
        <item x="245"/>
        <item x="259"/>
        <item x="269"/>
        <item x="324"/>
        <item x="299"/>
        <item x="23"/>
        <item x="14"/>
        <item x="202"/>
        <item x="151"/>
        <item x="319"/>
        <item x="292"/>
        <item x="337"/>
        <item x="118"/>
        <item x="169"/>
        <item x="183"/>
        <item x="203"/>
        <item x="204"/>
        <item x="101"/>
        <item x="129"/>
        <item x="300"/>
        <item x="104"/>
        <item x="307"/>
        <item x="4"/>
        <item x="155"/>
        <item x="28"/>
        <item x="18"/>
        <item x="205"/>
        <item x="96"/>
        <item x="196"/>
        <item x="12"/>
        <item x="97"/>
        <item x="135"/>
        <item x="13"/>
        <item x="369"/>
        <item x="234"/>
        <item x="248"/>
        <item x="235"/>
        <item x="236"/>
        <item x="373"/>
        <item x="184"/>
        <item m="1" x="458"/>
        <item x="237"/>
        <item x="153"/>
        <item x="275"/>
        <item x="117"/>
        <item x="238"/>
        <item x="331"/>
        <item x="387"/>
        <item x="354"/>
        <item x="388"/>
        <item x="35"/>
        <item x="11"/>
        <item x="304"/>
        <item x="206"/>
        <item x="389"/>
        <item x="414"/>
        <item x="249"/>
        <item x="427"/>
        <item x="264"/>
        <item x="308"/>
        <item x="309"/>
        <item x="24"/>
        <item x="355"/>
        <item x="59"/>
        <item x="352"/>
        <item x="110"/>
        <item x="111"/>
        <item x="60"/>
        <item x="47"/>
        <item x="311"/>
        <item x="61"/>
        <item x="332"/>
        <item x="424"/>
        <item x="62"/>
        <item x="63"/>
        <item x="112"/>
        <item x="301"/>
        <item x="246"/>
        <item x="207"/>
        <item x="410"/>
        <item x="170"/>
        <item x="208"/>
        <item x="173"/>
        <item x="403"/>
        <item x="338"/>
        <item x="368"/>
        <item m="1" x="456"/>
        <item x="92"/>
        <item x="370"/>
        <item x="438"/>
        <item x="48"/>
        <item x="293"/>
        <item x="346"/>
        <item x="191"/>
        <item x="255"/>
        <item x="19"/>
        <item x="8"/>
        <item x="209"/>
        <item x="339"/>
        <item x="210"/>
        <item x="134"/>
        <item x="379"/>
        <item x="36"/>
        <item x="42"/>
        <item x="260"/>
        <item x="423"/>
        <item x="211"/>
        <item x="185"/>
        <item x="286"/>
        <item x="89"/>
        <item x="356"/>
        <item x="376"/>
        <item x="340"/>
        <item x="136"/>
        <item x="37"/>
        <item x="142"/>
        <item x="113"/>
        <item x="192"/>
        <item x="106"/>
        <item x="137"/>
        <item x="160"/>
        <item x="174"/>
        <item x="212"/>
        <item x="186"/>
        <item x="187"/>
        <item x="320"/>
        <item x="171"/>
        <item x="64"/>
        <item x="38"/>
        <item x="130"/>
        <item x="239"/>
        <item x="114"/>
        <item x="316"/>
        <item x="364"/>
        <item x="39"/>
        <item x="40"/>
        <item x="72"/>
        <item x="270"/>
        <item x="65"/>
        <item x="380"/>
        <item x="3"/>
        <item x="193"/>
        <item x="333"/>
        <item x="213"/>
        <item x="374"/>
        <item x="214"/>
        <item x="215"/>
        <item x="66"/>
        <item x="188"/>
        <item x="411"/>
        <item x="428"/>
        <item x="312"/>
        <item x="382"/>
        <item x="216"/>
        <item x="9"/>
        <item x="121"/>
        <item x="217"/>
        <item x="190"/>
        <item x="115"/>
        <item x="25"/>
        <item x="250"/>
        <item x="381"/>
        <item x="288"/>
        <item x="218"/>
        <item x="394"/>
        <item x="194"/>
        <item x="429"/>
        <item x="285"/>
        <item m="1" x="462"/>
        <item x="251"/>
        <item x="219"/>
        <item x="276"/>
        <item x="74"/>
        <item x="17"/>
        <item x="244"/>
        <item x="0"/>
        <item x="83"/>
        <item x="195"/>
        <item x="98"/>
        <item x="261"/>
        <item x="75"/>
        <item x="138"/>
        <item x="119"/>
        <item x="220"/>
        <item x="341"/>
        <item x="395"/>
        <item x="26"/>
        <item x="386"/>
        <item x="310"/>
        <item x="5"/>
        <item x="266"/>
        <item x="93"/>
        <item x="430"/>
        <item x="325"/>
        <item x="262"/>
        <item x="278"/>
        <item x="317"/>
        <item x="431"/>
        <item x="67"/>
        <item x="99"/>
        <item x="243"/>
        <item x="157"/>
        <item x="342"/>
        <item x="122"/>
        <item x="127"/>
        <item x="128"/>
        <item x="256"/>
        <item x="347"/>
        <item m="1" x="454"/>
        <item x="32"/>
        <item x="240"/>
        <item x="402"/>
        <item x="178"/>
        <item x="440"/>
        <item x="154"/>
        <item x="366"/>
        <item x="252"/>
        <item x="6"/>
        <item x="33"/>
        <item x="343"/>
        <item x="139"/>
        <item x="84"/>
        <item x="68"/>
        <item x="29"/>
        <item x="294"/>
        <item x="363"/>
        <item x="383"/>
        <item x="326"/>
        <item x="412"/>
        <item x="221"/>
        <item x="116"/>
        <item x="253"/>
        <item x="367"/>
        <item x="140"/>
        <item x="69"/>
        <item x="82"/>
        <item x="107"/>
        <item x="358"/>
        <item x="143"/>
        <item x="277"/>
        <item x="10"/>
        <item x="70"/>
        <item x="415"/>
        <item x="242"/>
        <item x="318"/>
        <item x="384"/>
        <item x="241"/>
        <item x="85"/>
        <item x="328"/>
        <item x="390"/>
        <item x="334"/>
        <item x="441"/>
        <item x="442"/>
        <item x="443"/>
        <item x="444"/>
        <item x="445"/>
        <item x="446"/>
        <item x="447"/>
        <item x="448"/>
        <item x="449"/>
        <item x="450"/>
        <item x="451"/>
        <item x="452"/>
        <item x="45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axis="axisRow" showAll="0">
      <items count="17">
        <item m="1" x="15"/>
        <item x="6"/>
        <item x="1"/>
        <item x="2"/>
        <item x="0"/>
        <item x="5"/>
        <item x="4"/>
        <item x="12"/>
        <item x="9"/>
        <item x="11"/>
        <item x="7"/>
        <item x="10"/>
        <item x="3"/>
        <item x="8"/>
        <item x="13"/>
        <item x="14"/>
        <item t="default"/>
      </items>
    </pivotField>
    <pivotField showAll="0"/>
    <pivotField showAll="0"/>
    <pivotField showAll="0"/>
    <pivotField numFmtId="165" showAll="0"/>
    <pivotField showAll="0"/>
    <pivotField dataField="1" numFmtId="165" showAll="0"/>
    <pivotField showAll="0"/>
    <pivotField numFmtId="166" showAll="0"/>
    <pivotField showAll="0"/>
    <pivotField showAll="0"/>
    <pivotField numFmtId="165" showAll="0"/>
    <pivotField showAll="0"/>
    <pivotField showAll="0"/>
    <pivotField showAll="0"/>
    <pivotField showAll="0"/>
    <pivotField showAll="0"/>
    <pivotField showAll="0"/>
    <pivotField showAll="0"/>
    <pivotField showAll="0"/>
  </pivotFields>
  <rowFields count="2">
    <field x="1"/>
    <field x="8"/>
  </rowFields>
  <rowItems count="1276">
    <i>
      <x v="326"/>
    </i>
    <i r="1">
      <x v="1"/>
    </i>
    <i r="1">
      <x v="3"/>
    </i>
    <i r="1">
      <x v="4"/>
    </i>
    <i r="1">
      <x v="10"/>
    </i>
    <i>
      <x v="228"/>
    </i>
    <i r="1">
      <x v="1"/>
    </i>
    <i r="1">
      <x v="3"/>
    </i>
    <i r="1">
      <x v="4"/>
    </i>
    <i r="1">
      <x v="11"/>
    </i>
    <i r="1">
      <x v="13"/>
    </i>
    <i>
      <x v="454"/>
    </i>
    <i r="1">
      <x v="1"/>
    </i>
    <i>
      <x v="358"/>
    </i>
    <i r="1">
      <x v="1"/>
    </i>
    <i r="1">
      <x v="2"/>
    </i>
    <i r="1">
      <x v="4"/>
    </i>
    <i r="1">
      <x v="10"/>
    </i>
    <i>
      <x v="355"/>
    </i>
    <i r="1">
      <x v="1"/>
    </i>
    <i r="1">
      <x v="3"/>
    </i>
    <i r="1">
      <x v="4"/>
    </i>
    <i>
      <x v="429"/>
    </i>
    <i r="1">
      <x v="6"/>
    </i>
    <i>
      <x v="337"/>
    </i>
    <i r="1">
      <x v="1"/>
    </i>
    <i r="1">
      <x v="4"/>
    </i>
    <i>
      <x v="462"/>
    </i>
    <i r="1">
      <x v="1"/>
    </i>
    <i>
      <x v="350"/>
    </i>
    <i r="1">
      <x v="1"/>
    </i>
    <i r="1">
      <x v="4"/>
    </i>
    <i r="1">
      <x v="6"/>
    </i>
    <i r="1">
      <x v="13"/>
    </i>
    <i>
      <x v="460"/>
    </i>
    <i r="1">
      <x v="1"/>
    </i>
    <i>
      <x v="456"/>
    </i>
    <i r="1">
      <x v="1"/>
    </i>
    <i>
      <x v="199"/>
    </i>
    <i r="1">
      <x v="2"/>
    </i>
    <i r="1">
      <x v="3"/>
    </i>
    <i>
      <x v="411"/>
    </i>
    <i r="1">
      <x v="1"/>
    </i>
    <i r="1">
      <x v="4"/>
    </i>
    <i r="1">
      <x v="10"/>
    </i>
    <i r="1">
      <x v="12"/>
    </i>
    <i>
      <x v="433"/>
    </i>
    <i r="1">
      <x v="1"/>
    </i>
    <i r="1">
      <x v="4"/>
    </i>
    <i>
      <x v="122"/>
    </i>
    <i r="1">
      <x v="2"/>
    </i>
    <i r="1">
      <x v="3"/>
    </i>
    <i>
      <x v="449"/>
    </i>
    <i r="1">
      <x v="5"/>
    </i>
    <i>
      <x v="22"/>
    </i>
    <i r="1">
      <x v="1"/>
    </i>
    <i r="1">
      <x v="3"/>
    </i>
    <i r="1">
      <x v="5"/>
    </i>
    <i r="1">
      <x v="6"/>
    </i>
    <i>
      <x v="417"/>
    </i>
    <i r="1">
      <x v="2"/>
    </i>
    <i r="1">
      <x v="3"/>
    </i>
    <i r="1">
      <x v="8"/>
    </i>
    <i r="1">
      <x v="9"/>
    </i>
    <i>
      <x v="246"/>
    </i>
    <i r="1">
      <x v="3"/>
    </i>
    <i r="1">
      <x v="4"/>
    </i>
    <i>
      <x v="270"/>
    </i>
    <i r="1">
      <x v="1"/>
    </i>
    <i r="1">
      <x v="4"/>
    </i>
    <i r="1">
      <x v="6"/>
    </i>
    <i>
      <x v="231"/>
    </i>
    <i r="1">
      <x v="3"/>
    </i>
    <i r="1">
      <x v="8"/>
    </i>
    <i>
      <x v="258"/>
    </i>
    <i r="1">
      <x v="5"/>
    </i>
    <i>
      <x v="403"/>
    </i>
    <i r="1">
      <x v="5"/>
    </i>
    <i>
      <x v="323"/>
    </i>
    <i r="1">
      <x v="4"/>
    </i>
    <i r="1">
      <x v="10"/>
    </i>
    <i r="1">
      <x v="11"/>
    </i>
    <i>
      <x v="53"/>
    </i>
    <i r="1">
      <x v="4"/>
    </i>
    <i>
      <x v="209"/>
    </i>
    <i r="1">
      <x v="1"/>
    </i>
    <i r="1">
      <x v="4"/>
    </i>
    <i r="1">
      <x v="10"/>
    </i>
    <i r="1">
      <x v="11"/>
    </i>
    <i r="1">
      <x v="12"/>
    </i>
    <i r="1">
      <x v="13"/>
    </i>
    <i>
      <x v="17"/>
    </i>
    <i r="1">
      <x v="3"/>
    </i>
    <i>
      <x v="100"/>
    </i>
    <i r="1">
      <x v="1"/>
    </i>
    <i r="1">
      <x v="4"/>
    </i>
    <i r="1">
      <x v="10"/>
    </i>
    <i r="1">
      <x v="11"/>
    </i>
    <i>
      <x v="445"/>
    </i>
    <i r="1">
      <x v="3"/>
    </i>
    <i r="1">
      <x v="4"/>
    </i>
    <i>
      <x v="317"/>
    </i>
    <i r="1">
      <x v="1"/>
    </i>
    <i r="1">
      <x v="4"/>
    </i>
    <i r="1">
      <x v="10"/>
    </i>
    <i>
      <x v="324"/>
    </i>
    <i r="1">
      <x v="4"/>
    </i>
    <i r="1">
      <x v="11"/>
    </i>
    <i>
      <x v="277"/>
    </i>
    <i r="1">
      <x v="1"/>
    </i>
    <i r="1">
      <x v="4"/>
    </i>
    <i r="1">
      <x v="10"/>
    </i>
    <i r="1">
      <x v="11"/>
    </i>
    <i>
      <x v="222"/>
    </i>
    <i r="1">
      <x v="1"/>
    </i>
    <i r="1">
      <x v="4"/>
    </i>
    <i r="1">
      <x v="10"/>
    </i>
    <i r="1">
      <x v="12"/>
    </i>
    <i>
      <x v="347"/>
    </i>
    <i r="1">
      <x v="1"/>
    </i>
    <i r="1">
      <x v="4"/>
    </i>
    <i r="1">
      <x v="10"/>
    </i>
    <i>
      <x v="272"/>
    </i>
    <i r="1">
      <x v="4"/>
    </i>
    <i r="1">
      <x v="10"/>
    </i>
    <i r="1">
      <x v="11"/>
    </i>
    <i r="1">
      <x v="12"/>
    </i>
    <i>
      <x v="131"/>
    </i>
    <i r="1">
      <x v="5"/>
    </i>
    <i>
      <x v="89"/>
    </i>
    <i r="1">
      <x v="1"/>
    </i>
    <i r="1">
      <x v="4"/>
    </i>
    <i r="1">
      <x v="10"/>
    </i>
    <i r="1">
      <x v="11"/>
    </i>
    <i>
      <x v="282"/>
    </i>
    <i r="1">
      <x v="1"/>
    </i>
    <i r="1">
      <x v="4"/>
    </i>
    <i r="1">
      <x v="10"/>
    </i>
    <i r="1">
      <x v="11"/>
    </i>
    <i>
      <x v="341"/>
    </i>
    <i r="1">
      <x v="4"/>
    </i>
    <i r="1">
      <x v="10"/>
    </i>
    <i>
      <x v="459"/>
    </i>
    <i r="1">
      <x v="1"/>
    </i>
    <i>
      <x v="281"/>
    </i>
    <i r="1">
      <x v="1"/>
    </i>
    <i r="1">
      <x v="4"/>
    </i>
    <i r="1">
      <x v="11"/>
    </i>
    <i>
      <x v="312"/>
    </i>
    <i r="1">
      <x v="1"/>
    </i>
    <i r="1">
      <x v="4"/>
    </i>
    <i>
      <x v="374"/>
    </i>
    <i r="1">
      <x v="1"/>
    </i>
    <i r="1">
      <x v="4"/>
    </i>
    <i r="1">
      <x v="10"/>
    </i>
    <i r="1">
      <x v="11"/>
    </i>
    <i>
      <x v="313"/>
    </i>
    <i r="1">
      <x v="4"/>
    </i>
    <i>
      <x v="279"/>
    </i>
    <i r="1">
      <x v="1"/>
    </i>
    <i r="1">
      <x v="4"/>
    </i>
    <i r="1">
      <x v="10"/>
    </i>
    <i r="1">
      <x v="11"/>
    </i>
    <i>
      <x v="301"/>
    </i>
    <i r="1">
      <x v="1"/>
    </i>
    <i r="1">
      <x v="4"/>
    </i>
    <i r="1">
      <x v="10"/>
    </i>
    <i>
      <x v="230"/>
    </i>
    <i r="1">
      <x v="1"/>
    </i>
    <i r="1">
      <x v="4"/>
    </i>
    <i r="1">
      <x v="10"/>
    </i>
    <i r="1">
      <x v="11"/>
    </i>
    <i>
      <x v="381"/>
    </i>
    <i r="1">
      <x v="1"/>
    </i>
    <i r="1">
      <x v="4"/>
    </i>
    <i r="1">
      <x v="10"/>
    </i>
    <i>
      <x v="368"/>
    </i>
    <i r="1">
      <x v="1"/>
    </i>
    <i r="1">
      <x v="3"/>
    </i>
    <i r="1">
      <x v="4"/>
    </i>
    <i>
      <x v="413"/>
    </i>
    <i r="1">
      <x v="5"/>
    </i>
    <i>
      <x v="12"/>
    </i>
    <i r="1">
      <x v="5"/>
    </i>
    <i r="1">
      <x v="12"/>
    </i>
    <i>
      <x v="366"/>
    </i>
    <i r="1">
      <x v="1"/>
    </i>
    <i r="1">
      <x v="4"/>
    </i>
    <i r="1">
      <x v="10"/>
    </i>
    <i r="1">
      <x v="11"/>
    </i>
    <i>
      <x v="362"/>
    </i>
    <i r="1">
      <x v="1"/>
    </i>
    <i r="1">
      <x v="4"/>
    </i>
    <i r="1">
      <x v="10"/>
    </i>
    <i r="1">
      <x v="11"/>
    </i>
    <i>
      <x v="369"/>
    </i>
    <i r="1">
      <x v="1"/>
    </i>
    <i r="1">
      <x v="4"/>
    </i>
    <i r="1">
      <x v="10"/>
    </i>
    <i r="1">
      <x v="11"/>
    </i>
    <i>
      <x v="266"/>
    </i>
    <i r="1">
      <x v="1"/>
    </i>
    <i r="1">
      <x v="4"/>
    </i>
    <i r="1">
      <x v="10"/>
    </i>
    <i>
      <x v="165"/>
    </i>
    <i r="1">
      <x v="1"/>
    </i>
    <i r="1">
      <x v="4"/>
    </i>
    <i r="1">
      <x v="10"/>
    </i>
    <i r="1">
      <x v="11"/>
    </i>
    <i>
      <x v="213"/>
    </i>
    <i r="1">
      <x v="1"/>
    </i>
    <i r="1">
      <x v="3"/>
    </i>
    <i r="1">
      <x v="4"/>
    </i>
    <i r="1">
      <x v="11"/>
    </i>
    <i>
      <x v="183"/>
    </i>
    <i r="1">
      <x v="1"/>
    </i>
    <i r="1">
      <x v="4"/>
    </i>
    <i r="1">
      <x v="11"/>
    </i>
    <i>
      <x v="161"/>
    </i>
    <i r="1">
      <x v="1"/>
    </i>
    <i r="1">
      <x v="4"/>
    </i>
    <i r="1">
      <x v="10"/>
    </i>
    <i>
      <x v="129"/>
    </i>
    <i r="1">
      <x v="1"/>
    </i>
    <i r="1">
      <x v="4"/>
    </i>
    <i r="1">
      <x v="10"/>
    </i>
    <i r="1">
      <x v="11"/>
    </i>
    <i>
      <x v="300"/>
    </i>
    <i r="1">
      <x v="4"/>
    </i>
    <i r="1">
      <x v="10"/>
    </i>
    <i>
      <x v="385"/>
    </i>
    <i r="1">
      <x v="1"/>
    </i>
    <i r="1">
      <x v="2"/>
    </i>
    <i r="1">
      <x v="4"/>
    </i>
    <i>
      <x v="453"/>
    </i>
    <i r="1">
      <x v="1"/>
    </i>
    <i>
      <x v="197"/>
    </i>
    <i r="1">
      <x v="3"/>
    </i>
    <i>
      <x v="40"/>
    </i>
    <i r="1">
      <x v="1"/>
    </i>
    <i r="1">
      <x v="4"/>
    </i>
    <i r="1">
      <x v="10"/>
    </i>
    <i r="1">
      <x v="11"/>
    </i>
    <i>
      <x v="107"/>
    </i>
    <i r="1">
      <x v="5"/>
    </i>
    <i>
      <x v="425"/>
    </i>
    <i r="1">
      <x v="5"/>
    </i>
    <i>
      <x v="457"/>
    </i>
    <i r="1">
      <x v="14"/>
    </i>
    <i>
      <x v="226"/>
    </i>
    <i r="1">
      <x v="1"/>
    </i>
    <i r="1">
      <x v="4"/>
    </i>
    <i r="1">
      <x v="10"/>
    </i>
    <i>
      <x v="401"/>
    </i>
    <i r="1">
      <x v="1"/>
    </i>
    <i r="1">
      <x v="5"/>
    </i>
    <i r="1">
      <x v="10"/>
    </i>
    <i>
      <x v="234"/>
    </i>
    <i r="1">
      <x v="1"/>
    </i>
    <i r="1">
      <x v="4"/>
    </i>
    <i r="1">
      <x v="10"/>
    </i>
    <i r="1">
      <x v="11"/>
    </i>
    <i>
      <x v="60"/>
    </i>
    <i r="1">
      <x v="1"/>
    </i>
    <i r="1">
      <x v="5"/>
    </i>
    <i r="1">
      <x v="10"/>
    </i>
    <i>
      <x v="27"/>
    </i>
    <i r="1">
      <x v="1"/>
    </i>
    <i r="1">
      <x v="4"/>
    </i>
    <i r="1">
      <x v="10"/>
    </i>
    <i r="1">
      <x v="11"/>
    </i>
    <i>
      <x v="372"/>
    </i>
    <i r="1">
      <x v="1"/>
    </i>
    <i r="1">
      <x v="4"/>
    </i>
    <i r="1">
      <x v="10"/>
    </i>
    <i r="1">
      <x v="11"/>
    </i>
    <i>
      <x v="427"/>
    </i>
    <i r="1">
      <x v="4"/>
    </i>
    <i>
      <x v="390"/>
    </i>
    <i r="1">
      <x v="1"/>
    </i>
    <i r="1">
      <x v="4"/>
    </i>
    <i r="1">
      <x v="10"/>
    </i>
    <i r="1">
      <x v="11"/>
    </i>
    <i>
      <x v="363"/>
    </i>
    <i r="1">
      <x v="1"/>
    </i>
    <i r="1">
      <x v="4"/>
    </i>
    <i r="1">
      <x v="10"/>
    </i>
    <i r="1">
      <x v="11"/>
    </i>
    <i>
      <x v="9"/>
    </i>
    <i r="1">
      <x v="3"/>
    </i>
    <i r="1">
      <x v="9"/>
    </i>
    <i>
      <x v="219"/>
    </i>
    <i r="1">
      <x v="1"/>
    </i>
    <i r="1">
      <x v="4"/>
    </i>
    <i r="1">
      <x v="10"/>
    </i>
    <i r="1">
      <x v="11"/>
    </i>
    <i r="1">
      <x v="12"/>
    </i>
    <i>
      <x v="306"/>
    </i>
    <i r="1">
      <x v="1"/>
    </i>
    <i r="1">
      <x v="4"/>
    </i>
    <i r="1">
      <x v="10"/>
    </i>
    <i>
      <x v="240"/>
    </i>
    <i r="1">
      <x v="1"/>
    </i>
    <i r="1">
      <x v="4"/>
    </i>
    <i r="1">
      <x v="10"/>
    </i>
    <i r="1">
      <x v="11"/>
    </i>
    <i>
      <x v="263"/>
    </i>
    <i r="1">
      <x v="1"/>
    </i>
    <i r="1">
      <x v="4"/>
    </i>
    <i r="1">
      <x v="10"/>
    </i>
    <i r="1">
      <x v="11"/>
    </i>
    <i>
      <x v="175"/>
    </i>
    <i r="1">
      <x v="1"/>
    </i>
    <i r="1">
      <x v="4"/>
    </i>
    <i r="1">
      <x v="10"/>
    </i>
    <i r="1">
      <x v="11"/>
    </i>
    <i>
      <x v="269"/>
    </i>
    <i r="1">
      <x v="4"/>
    </i>
    <i r="1">
      <x v="10"/>
    </i>
    <i>
      <x v="316"/>
    </i>
    <i r="1">
      <x v="1"/>
    </i>
    <i r="1">
      <x v="4"/>
    </i>
    <i>
      <x v="379"/>
    </i>
    <i r="1">
      <x v="1"/>
    </i>
    <i r="1">
      <x v="4"/>
    </i>
    <i r="1">
      <x v="10"/>
    </i>
    <i>
      <x v="383"/>
    </i>
    <i r="1">
      <x v="1"/>
    </i>
    <i r="1">
      <x v="4"/>
    </i>
    <i r="1">
      <x v="10"/>
    </i>
    <i>
      <x v="39"/>
    </i>
    <i r="1">
      <x v="4"/>
    </i>
    <i r="1">
      <x v="10"/>
    </i>
    <i>
      <x v="187"/>
    </i>
    <i r="1">
      <x v="1"/>
    </i>
    <i r="1">
      <x v="4"/>
    </i>
    <i r="1">
      <x v="10"/>
    </i>
    <i>
      <x v="43"/>
    </i>
    <i r="1">
      <x v="5"/>
    </i>
    <i>
      <x v="458"/>
    </i>
    <i r="1">
      <x v="15"/>
    </i>
    <i>
      <x v="225"/>
    </i>
    <i r="1">
      <x v="1"/>
    </i>
    <i r="1">
      <x v="4"/>
    </i>
    <i r="1">
      <x v="10"/>
    </i>
    <i r="1">
      <x v="11"/>
    </i>
    <i r="1">
      <x v="12"/>
    </i>
    <i>
      <x v="148"/>
    </i>
    <i r="1">
      <x v="1"/>
    </i>
    <i>
      <x v="159"/>
    </i>
    <i r="1">
      <x v="1"/>
    </i>
    <i r="1">
      <x v="4"/>
    </i>
    <i r="1">
      <x v="10"/>
    </i>
    <i r="1">
      <x v="11"/>
    </i>
    <i>
      <x v="23"/>
    </i>
    <i r="1">
      <x v="1"/>
    </i>
    <i r="1">
      <x v="4"/>
    </i>
    <i>
      <x v="18"/>
    </i>
    <i r="1">
      <x v="1"/>
    </i>
    <i r="1">
      <x v="4"/>
    </i>
    <i>
      <x v="448"/>
    </i>
    <i r="1">
      <x v="5"/>
    </i>
    <i>
      <x v="455"/>
    </i>
    <i r="1">
      <x v="1"/>
    </i>
    <i>
      <x v="333"/>
    </i>
    <i r="1">
      <x v="1"/>
    </i>
    <i r="1">
      <x v="4"/>
    </i>
    <i r="1">
      <x v="10"/>
    </i>
    <i>
      <x v="24"/>
    </i>
    <i r="1">
      <x v="1"/>
    </i>
    <i r="1">
      <x v="4"/>
    </i>
    <i r="1">
      <x v="10"/>
    </i>
    <i r="1">
      <x v="11"/>
    </i>
    <i>
      <x v="387"/>
    </i>
    <i r="1">
      <x v="4"/>
    </i>
    <i r="1">
      <x v="10"/>
    </i>
    <i>
      <x v="257"/>
    </i>
    <i r="1">
      <x v="1"/>
    </i>
    <i r="1">
      <x v="4"/>
    </i>
    <i r="1">
      <x v="10"/>
    </i>
    <i>
      <x v="98"/>
    </i>
    <i r="1">
      <x v="1"/>
    </i>
    <i r="1">
      <x v="4"/>
    </i>
    <i r="1">
      <x v="10"/>
    </i>
    <i r="1">
      <x v="11"/>
    </i>
    <i>
      <x v="90"/>
    </i>
    <i r="1">
      <x v="1"/>
    </i>
    <i r="1">
      <x v="4"/>
    </i>
    <i r="1">
      <x v="10"/>
    </i>
    <i r="1">
      <x v="11"/>
    </i>
    <i>
      <x v="352"/>
    </i>
    <i r="1">
      <x v="1"/>
    </i>
    <i r="1">
      <x v="5"/>
    </i>
    <i>
      <x v="338"/>
    </i>
    <i r="1">
      <x v="1"/>
    </i>
    <i r="1">
      <x v="4"/>
    </i>
    <i r="1">
      <x v="10"/>
    </i>
    <i>
      <x v="319"/>
    </i>
    <i r="1">
      <x v="4"/>
    </i>
    <i r="1">
      <x v="10"/>
    </i>
    <i>
      <x v="138"/>
    </i>
    <i r="1">
      <x v="4"/>
    </i>
    <i r="1">
      <x v="5"/>
    </i>
    <i>
      <x v="446"/>
    </i>
    <i r="1">
      <x v="4"/>
    </i>
    <i>
      <x v="334"/>
    </i>
    <i r="1">
      <x v="4"/>
    </i>
    <i r="1">
      <x v="10"/>
    </i>
    <i>
      <x v="286"/>
    </i>
    <i r="1">
      <x v="1"/>
    </i>
    <i r="1">
      <x v="4"/>
    </i>
    <i r="1">
      <x v="11"/>
    </i>
    <i>
      <x v="141"/>
    </i>
    <i r="1">
      <x v="4"/>
    </i>
    <i>
      <x v="345"/>
    </i>
    <i r="1">
      <x v="1"/>
    </i>
    <i r="1">
      <x v="4"/>
    </i>
    <i r="1">
      <x v="11"/>
    </i>
    <i>
      <x v="14"/>
    </i>
    <i r="1">
      <x v="1"/>
    </i>
    <i r="1">
      <x v="4"/>
    </i>
    <i>
      <x v="264"/>
    </i>
    <i r="1">
      <x v="1"/>
    </i>
    <i r="1">
      <x v="4"/>
    </i>
    <i r="1">
      <x v="10"/>
    </i>
    <i r="1">
      <x v="11"/>
    </i>
    <i>
      <x v="38"/>
    </i>
    <i r="1">
      <x v="1"/>
    </i>
    <i r="1">
      <x v="4"/>
    </i>
    <i r="1">
      <x v="10"/>
    </i>
    <i r="1">
      <x v="11"/>
    </i>
    <i>
      <x v="210"/>
    </i>
    <i r="1">
      <x v="4"/>
    </i>
    <i r="1">
      <x v="10"/>
    </i>
    <i>
      <x v="404"/>
    </i>
    <i r="1">
      <x v="5"/>
    </i>
    <i>
      <x v="346"/>
    </i>
    <i r="1">
      <x v="1"/>
    </i>
    <i r="1">
      <x v="4"/>
    </i>
    <i r="1">
      <x v="10"/>
    </i>
    <i>
      <x v="243"/>
    </i>
    <i r="1">
      <x v="1"/>
    </i>
    <i r="1">
      <x v="4"/>
    </i>
    <i r="1">
      <x v="10"/>
    </i>
    <i>
      <x v="217"/>
    </i>
    <i r="1">
      <x v="1"/>
    </i>
    <i r="1">
      <x v="4"/>
    </i>
    <i r="1">
      <x v="10"/>
    </i>
    <i r="1">
      <x v="12"/>
    </i>
    <i>
      <x v="105"/>
    </i>
    <i r="1">
      <x v="1"/>
    </i>
    <i r="1">
      <x v="4"/>
    </i>
    <i>
      <x v="360"/>
    </i>
    <i r="1">
      <x v="4"/>
    </i>
    <i r="1">
      <x v="10"/>
    </i>
    <i r="1">
      <x v="11"/>
    </i>
    <i>
      <x v="221"/>
    </i>
    <i r="1">
      <x v="1"/>
    </i>
    <i r="1">
      <x v="4"/>
    </i>
    <i r="1">
      <x v="10"/>
    </i>
    <i r="1">
      <x v="12"/>
    </i>
    <i>
      <x v="224"/>
    </i>
    <i r="1">
      <x v="1"/>
    </i>
    <i r="1">
      <x v="4"/>
    </i>
    <i r="1">
      <x v="10"/>
    </i>
    <i r="1">
      <x v="11"/>
    </i>
    <i>
      <x v="289"/>
    </i>
    <i r="1">
      <x v="1"/>
    </i>
    <i r="1">
      <x v="4"/>
    </i>
    <i r="1">
      <x v="10"/>
    </i>
    <i r="1">
      <x v="11"/>
    </i>
    <i>
      <x v="389"/>
    </i>
    <i r="1">
      <x v="1"/>
    </i>
    <i r="1">
      <x v="4"/>
    </i>
    <i>
      <x v="31"/>
    </i>
    <i r="1">
      <x v="1"/>
    </i>
    <i r="1">
      <x v="4"/>
    </i>
    <i>
      <x v="268"/>
    </i>
    <i r="1">
      <x v="1"/>
    </i>
    <i r="1">
      <x v="4"/>
    </i>
    <i r="1">
      <x v="10"/>
    </i>
    <i>
      <x v="296"/>
    </i>
    <i r="1">
      <x v="1"/>
    </i>
    <i r="1">
      <x v="4"/>
    </i>
    <i>
      <x v="16"/>
    </i>
    <i r="1">
      <x v="3"/>
    </i>
    <i r="1">
      <x v="8"/>
    </i>
    <i>
      <x v="294"/>
    </i>
    <i r="1">
      <x v="5"/>
    </i>
    <i>
      <x v="206"/>
    </i>
    <i r="1">
      <x v="1"/>
    </i>
    <i r="1">
      <x v="4"/>
    </i>
    <i r="1">
      <x v="10"/>
    </i>
    <i r="1">
      <x v="11"/>
    </i>
    <i r="1">
      <x v="12"/>
    </i>
    <i>
      <x v="292"/>
    </i>
    <i r="1">
      <x v="1"/>
    </i>
    <i r="1">
      <x v="4"/>
    </i>
    <i r="1">
      <x v="10"/>
    </i>
    <i>
      <x v="202"/>
    </i>
    <i r="1">
      <x v="5"/>
    </i>
    <i>
      <x v="335"/>
    </i>
    <i r="1">
      <x v="1"/>
    </i>
    <i r="1">
      <x v="4"/>
    </i>
    <i r="1">
      <x v="10"/>
    </i>
    <i>
      <x v="336"/>
    </i>
    <i r="1">
      <x v="1"/>
    </i>
    <i r="1">
      <x v="4"/>
    </i>
    <i r="1">
      <x v="10"/>
    </i>
    <i>
      <x v="134"/>
    </i>
    <i r="1">
      <x v="1"/>
    </i>
    <i r="1">
      <x v="4"/>
    </i>
    <i r="1">
      <x v="10"/>
    </i>
    <i>
      <x v="214"/>
    </i>
    <i r="1">
      <x v="1"/>
    </i>
    <i r="1">
      <x v="4"/>
    </i>
    <i>
      <x v="142"/>
    </i>
    <i r="1">
      <x v="1"/>
    </i>
    <i r="1">
      <x v="4"/>
    </i>
    <i>
      <x v="7"/>
    </i>
    <i r="1">
      <x v="4"/>
    </i>
    <i>
      <x v="422"/>
    </i>
    <i r="1">
      <x v="4"/>
    </i>
    <i>
      <x v="343"/>
    </i>
    <i r="1">
      <x v="1"/>
    </i>
    <i r="1">
      <x v="4"/>
    </i>
    <i r="1">
      <x v="10"/>
    </i>
    <i>
      <x v="322"/>
    </i>
    <i r="1">
      <x v="1"/>
    </i>
    <i r="1">
      <x v="4"/>
    </i>
    <i r="1">
      <x v="10"/>
    </i>
    <i>
      <x v="139"/>
    </i>
    <i r="1">
      <x v="5"/>
    </i>
    <i>
      <x v="81"/>
    </i>
    <i r="1">
      <x v="1"/>
    </i>
    <i r="1">
      <x v="4"/>
    </i>
    <i>
      <x v="321"/>
    </i>
    <i r="1">
      <x v="1"/>
    </i>
    <i r="1">
      <x v="4"/>
    </i>
    <i r="1">
      <x v="10"/>
    </i>
    <i>
      <x v="211"/>
    </i>
    <i r="1">
      <x v="4"/>
    </i>
    <i r="1">
      <x v="10"/>
    </i>
    <i>
      <x v="426"/>
    </i>
    <i r="1">
      <x v="5"/>
    </i>
    <i>
      <x v="441"/>
    </i>
    <i r="1">
      <x v="3"/>
    </i>
    <i r="1">
      <x v="5"/>
    </i>
    <i>
      <x v="267"/>
    </i>
    <i r="1">
      <x v="2"/>
    </i>
    <i r="1">
      <x v="5"/>
    </i>
    <i>
      <x v="399"/>
    </i>
    <i r="1">
      <x v="5"/>
    </i>
    <i>
      <x v="143"/>
    </i>
    <i r="1">
      <x v="4"/>
    </i>
    <i>
      <x v="32"/>
    </i>
    <i r="1">
      <x v="4"/>
    </i>
    <i>
      <x v="297"/>
    </i>
    <i r="1">
      <x v="1"/>
    </i>
    <i r="1">
      <x v="4"/>
    </i>
    <i>
      <x v="252"/>
    </i>
    <i r="1">
      <x v="1"/>
    </i>
    <i r="1">
      <x v="4"/>
    </i>
    <i>
      <x v="298"/>
    </i>
    <i r="1">
      <x v="1"/>
    </i>
    <i r="1">
      <x v="4"/>
    </i>
    <i r="1">
      <x v="10"/>
    </i>
    <i>
      <x v="37"/>
    </i>
    <i r="1">
      <x v="1"/>
    </i>
    <i r="1">
      <x v="4"/>
    </i>
    <i>
      <x v="103"/>
    </i>
    <i r="1">
      <x v="4"/>
    </i>
    <i r="1">
      <x v="10"/>
    </i>
    <i r="1">
      <x v="11"/>
    </i>
    <i>
      <x v="180"/>
    </i>
    <i r="1">
      <x v="5"/>
    </i>
    <i>
      <x v="354"/>
    </i>
    <i r="1">
      <x v="4"/>
    </i>
    <i r="1">
      <x v="10"/>
    </i>
    <i r="1">
      <x v="12"/>
    </i>
    <i>
      <x v="121"/>
    </i>
    <i r="1">
      <x v="5"/>
    </i>
    <i>
      <x v="220"/>
    </i>
    <i r="1">
      <x v="1"/>
    </i>
    <i r="1">
      <x v="4"/>
    </i>
    <i r="1">
      <x v="10"/>
    </i>
    <i r="1">
      <x v="12"/>
    </i>
    <i>
      <x v="104"/>
    </i>
    <i r="1">
      <x v="1"/>
    </i>
    <i r="1">
      <x v="4"/>
    </i>
    <i r="1">
      <x v="10"/>
    </i>
    <i>
      <x v="49"/>
    </i>
    <i r="1">
      <x v="5"/>
    </i>
    <i>
      <x v="227"/>
    </i>
    <i r="1">
      <x v="5"/>
    </i>
    <i>
      <x v="276"/>
    </i>
    <i r="1">
      <x v="1"/>
    </i>
    <i r="1">
      <x v="4"/>
    </i>
    <i r="1">
      <x v="10"/>
    </i>
    <i>
      <x v="172"/>
    </i>
    <i r="1">
      <x v="4"/>
    </i>
    <i>
      <x v="63"/>
    </i>
    <i r="1">
      <x v="1"/>
    </i>
    <i>
      <x v="212"/>
    </i>
    <i r="1">
      <x v="4"/>
    </i>
    <i r="1">
      <x v="10"/>
    </i>
    <i r="1">
      <x v="11"/>
    </i>
    <i>
      <x v="339"/>
    </i>
    <i r="1">
      <x v="2"/>
    </i>
    <i r="1">
      <x v="4"/>
    </i>
    <i>
      <x v="168"/>
    </i>
    <i r="1">
      <x v="1"/>
    </i>
    <i r="1">
      <x v="4"/>
    </i>
    <i r="1">
      <x v="10"/>
    </i>
    <i>
      <x v="215"/>
    </i>
    <i r="1">
      <x v="1"/>
    </i>
    <i r="1">
      <x v="4"/>
    </i>
    <i r="1">
      <x v="10"/>
    </i>
    <i r="1">
      <x v="12"/>
    </i>
    <i>
      <x v="2"/>
    </i>
    <i r="1">
      <x v="1"/>
    </i>
    <i r="1">
      <x v="5"/>
    </i>
    <i>
      <x v="162"/>
    </i>
    <i r="1">
      <x v="5"/>
    </i>
    <i>
      <x v="342"/>
    </i>
    <i r="1">
      <x v="1"/>
    </i>
    <i r="1">
      <x v="4"/>
    </i>
    <i r="1">
      <x v="10"/>
    </i>
    <i>
      <x v="328"/>
    </i>
    <i r="1">
      <x v="1"/>
    </i>
    <i r="1">
      <x v="4"/>
    </i>
    <i r="1">
      <x v="10"/>
    </i>
    <i r="1">
      <x v="11"/>
    </i>
    <i>
      <x v="140"/>
    </i>
    <i r="1">
      <x v="1"/>
    </i>
    <i r="1">
      <x v="4"/>
    </i>
    <i r="1">
      <x v="10"/>
    </i>
    <i>
      <x v="204"/>
    </i>
    <i r="1">
      <x v="4"/>
    </i>
    <i r="1">
      <x v="10"/>
    </i>
    <i>
      <x v="93"/>
    </i>
    <i r="1">
      <x v="3"/>
    </i>
    <i r="1">
      <x v="5"/>
    </i>
    <i>
      <x v="260"/>
    </i>
    <i r="1">
      <x v="4"/>
    </i>
    <i>
      <x v="179"/>
    </i>
    <i r="1">
      <x v="4"/>
    </i>
    <i>
      <x v="205"/>
    </i>
    <i r="1">
      <x v="5"/>
    </i>
    <i r="1">
      <x v="6"/>
    </i>
    <i>
      <x v="461"/>
    </i>
    <i r="1">
      <x v="1"/>
    </i>
    <i>
      <x v="320"/>
    </i>
    <i r="1">
      <x v="1"/>
    </i>
    <i r="1">
      <x v="4"/>
    </i>
    <i>
      <x v="241"/>
    </i>
    <i r="1">
      <x v="1"/>
    </i>
    <i>
      <x v="154"/>
    </i>
    <i r="1">
      <x v="1"/>
    </i>
    <i r="1">
      <x v="4"/>
    </i>
    <i r="1">
      <x v="10"/>
    </i>
    <i>
      <x v="80"/>
    </i>
    <i r="1">
      <x v="4"/>
    </i>
    <i r="1">
      <x v="10"/>
    </i>
    <i r="1">
      <x v="12"/>
    </i>
    <i>
      <x v="144"/>
    </i>
    <i r="1">
      <x v="4"/>
    </i>
    <i>
      <x v="244"/>
    </i>
    <i r="1">
      <x v="1"/>
    </i>
    <i r="1">
      <x v="4"/>
    </i>
    <i r="1">
      <x v="12"/>
    </i>
    <i>
      <x v="436"/>
    </i>
    <i r="1">
      <x v="1"/>
    </i>
    <i r="1">
      <x v="5"/>
    </i>
    <i>
      <x v="357"/>
    </i>
    <i r="1">
      <x v="1"/>
    </i>
    <i r="1">
      <x v="4"/>
    </i>
    <i r="1">
      <x v="10"/>
    </i>
    <i>
      <x v="255"/>
    </i>
    <i r="1">
      <x v="1"/>
    </i>
    <i r="1">
      <x v="4"/>
    </i>
    <i r="1">
      <x v="10"/>
    </i>
    <i>
      <x v="152"/>
    </i>
    <i r="1">
      <x v="1"/>
    </i>
    <i r="1">
      <x v="4"/>
    </i>
    <i r="1">
      <x v="10"/>
    </i>
    <i>
      <x v="304"/>
    </i>
    <i r="1">
      <x v="4"/>
    </i>
    <i>
      <x v="200"/>
    </i>
    <i r="1">
      <x v="1"/>
    </i>
    <i r="1">
      <x v="4"/>
    </i>
    <i r="1">
      <x v="10"/>
    </i>
    <i>
      <x v="171"/>
    </i>
    <i r="1">
      <x v="4"/>
    </i>
    <i r="1">
      <x v="10"/>
    </i>
    <i>
      <x v="235"/>
    </i>
    <i r="1">
      <x v="4"/>
    </i>
    <i r="1">
      <x v="10"/>
    </i>
    <i>
      <x v="52"/>
    </i>
    <i r="1">
      <x v="5"/>
    </i>
    <i>
      <x v="247"/>
    </i>
    <i r="1">
      <x v="1"/>
    </i>
    <i r="1">
      <x v="4"/>
    </i>
    <i r="1">
      <x v="10"/>
    </i>
    <i>
      <x v="19"/>
    </i>
    <i r="1">
      <x v="5"/>
    </i>
    <i>
      <x v="223"/>
    </i>
    <i r="1">
      <x v="1"/>
    </i>
    <i r="1">
      <x v="4"/>
    </i>
    <i r="1">
      <x v="10"/>
    </i>
    <i r="1">
      <x v="12"/>
    </i>
    <i>
      <x v="207"/>
    </i>
    <i r="1">
      <x v="1"/>
    </i>
    <i r="1">
      <x v="4"/>
    </i>
    <i r="1">
      <x v="10"/>
    </i>
    <i>
      <x v="318"/>
    </i>
    <i r="1">
      <x v="1"/>
    </i>
    <i r="1">
      <x v="4"/>
    </i>
    <i>
      <x v="132"/>
    </i>
    <i r="1">
      <x v="5"/>
    </i>
    <i>
      <x v="330"/>
    </i>
    <i r="1">
      <x v="4"/>
    </i>
    <i r="1">
      <x v="10"/>
    </i>
    <i>
      <x v="440"/>
    </i>
    <i r="1">
      <x v="5"/>
    </i>
    <i>
      <x v="305"/>
    </i>
    <i r="1">
      <x v="5"/>
    </i>
    <i>
      <x v="5"/>
    </i>
    <i r="1">
      <x v="5"/>
    </i>
    <i>
      <x v="178"/>
    </i>
    <i r="1">
      <x v="5"/>
    </i>
    <i>
      <x v="434"/>
    </i>
    <i r="1">
      <x v="2"/>
    </i>
    <i>
      <x v="33"/>
    </i>
    <i r="1">
      <x v="5"/>
    </i>
    <i>
      <x v="30"/>
    </i>
    <i r="1">
      <x v="4"/>
    </i>
    <i r="1">
      <x v="10"/>
    </i>
    <i r="1">
      <x v="12"/>
    </i>
    <i>
      <x v="359"/>
    </i>
    <i r="1">
      <x v="5"/>
    </i>
    <i>
      <x v="106"/>
    </i>
    <i r="1">
      <x v="1"/>
    </i>
    <i r="1">
      <x v="4"/>
    </i>
    <i r="1">
      <x v="10"/>
    </i>
    <i>
      <x v="6"/>
    </i>
    <i r="1">
      <x v="1"/>
    </i>
    <i r="1">
      <x v="4"/>
    </i>
    <i>
      <x v="194"/>
    </i>
    <i r="1">
      <x v="4"/>
    </i>
    <i r="1">
      <x v="10"/>
    </i>
    <i>
      <x v="402"/>
    </i>
    <i r="1">
      <x v="4"/>
    </i>
    <i r="1">
      <x v="10"/>
    </i>
    <i>
      <x v="238"/>
    </i>
    <i r="1">
      <x v="4"/>
    </i>
    <i r="1">
      <x v="10"/>
    </i>
    <i>
      <x v="236"/>
    </i>
    <i r="1">
      <x v="4"/>
    </i>
    <i r="1">
      <x v="10"/>
    </i>
    <i>
      <x v="262"/>
    </i>
    <i r="1">
      <x v="4"/>
    </i>
    <i r="1">
      <x v="10"/>
    </i>
    <i>
      <x v="87"/>
    </i>
    <i r="1">
      <x v="4"/>
    </i>
    <i r="1">
      <x v="10"/>
    </i>
    <i>
      <x v="156"/>
    </i>
    <i r="1">
      <x v="4"/>
    </i>
    <i r="1">
      <x v="10"/>
    </i>
    <i>
      <x v="182"/>
    </i>
    <i r="1">
      <x v="4"/>
    </i>
    <i r="1">
      <x v="10"/>
    </i>
    <i>
      <x v="173"/>
    </i>
    <i r="1">
      <x v="4"/>
    </i>
    <i r="1">
      <x v="10"/>
    </i>
    <i>
      <x v="280"/>
    </i>
    <i r="1">
      <x v="4"/>
    </i>
    <i r="1">
      <x v="10"/>
    </i>
    <i>
      <x v="174"/>
    </i>
    <i r="1">
      <x v="4"/>
    </i>
    <i r="1">
      <x v="10"/>
    </i>
    <i>
      <x v="28"/>
    </i>
    <i r="1">
      <x v="4"/>
    </i>
    <i r="1">
      <x v="10"/>
    </i>
    <i>
      <x v="375"/>
    </i>
    <i r="1">
      <x v="4"/>
    </i>
    <i r="1">
      <x v="10"/>
    </i>
    <i>
      <x v="283"/>
    </i>
    <i r="1">
      <x v="4"/>
    </i>
    <i r="1">
      <x v="10"/>
    </i>
    <i>
      <x v="99"/>
    </i>
    <i r="1">
      <x v="1"/>
    </i>
    <i r="1">
      <x v="4"/>
    </i>
    <i r="1">
      <x v="10"/>
    </i>
    <i>
      <x v="309"/>
    </i>
    <i r="1">
      <x v="2"/>
    </i>
    <i r="1">
      <x v="5"/>
    </i>
    <i>
      <x v="430"/>
    </i>
    <i r="1">
      <x v="5"/>
    </i>
    <i>
      <x v="208"/>
    </i>
    <i r="1">
      <x v="4"/>
    </i>
    <i>
      <x v="185"/>
    </i>
    <i r="1">
      <x v="4"/>
    </i>
    <i>
      <x v="237"/>
    </i>
    <i r="1">
      <x v="4"/>
    </i>
    <i>
      <x v="92"/>
    </i>
    <i r="1">
      <x v="5"/>
    </i>
    <i>
      <x v="409"/>
    </i>
    <i r="1">
      <x v="4"/>
    </i>
    <i r="1">
      <x v="10"/>
    </i>
    <i>
      <x v="365"/>
    </i>
    <i r="1">
      <x v="4"/>
    </i>
    <i r="1">
      <x v="10"/>
    </i>
    <i>
      <x v="184"/>
    </i>
    <i r="1">
      <x v="4"/>
    </i>
    <i r="1">
      <x v="10"/>
    </i>
    <i>
      <x v="250"/>
    </i>
    <i r="1">
      <x v="4"/>
    </i>
    <i r="1">
      <x v="10"/>
    </i>
    <i>
      <x v="233"/>
    </i>
    <i r="1">
      <x v="4"/>
    </i>
    <i r="1">
      <x v="10"/>
    </i>
    <i>
      <x v="349"/>
    </i>
    <i r="1">
      <x v="4"/>
    </i>
    <i r="1">
      <x v="10"/>
    </i>
    <i>
      <x v="325"/>
    </i>
    <i r="1">
      <x v="1"/>
    </i>
    <i r="1">
      <x v="4"/>
    </i>
    <i r="1">
      <x v="10"/>
    </i>
    <i>
      <x v="65"/>
    </i>
    <i r="1">
      <x v="5"/>
    </i>
    <i>
      <x v="74"/>
    </i>
    <i r="1">
      <x v="1"/>
    </i>
    <i>
      <x v="384"/>
    </i>
    <i r="1">
      <x v="4"/>
    </i>
    <i>
      <x v="29"/>
    </i>
    <i r="1">
      <x v="4"/>
    </i>
    <i>
      <x v="351"/>
    </i>
    <i r="1">
      <x v="2"/>
    </i>
    <i>
      <x v="331"/>
    </i>
    <i r="1">
      <x v="1"/>
    </i>
    <i>
      <x v="57"/>
    </i>
    <i r="1">
      <x v="1"/>
    </i>
    <i r="1">
      <x v="4"/>
    </i>
    <i r="1">
      <x v="10"/>
    </i>
    <i>
      <x v="308"/>
    </i>
    <i r="1">
      <x v="1"/>
    </i>
    <i r="1">
      <x v="4"/>
    </i>
    <i r="1">
      <x v="10"/>
    </i>
    <i>
      <x v="77"/>
    </i>
    <i r="1">
      <x v="1"/>
    </i>
    <i>
      <x v="275"/>
    </i>
    <i r="1">
      <x v="4"/>
    </i>
    <i r="1">
      <x v="10"/>
    </i>
    <i>
      <x v="442"/>
    </i>
    <i r="1">
      <x v="4"/>
    </i>
    <i r="1">
      <x v="10"/>
    </i>
    <i r="1">
      <x v="11"/>
    </i>
    <i>
      <x v="190"/>
    </i>
    <i r="1">
      <x v="1"/>
    </i>
    <i r="1">
      <x v="4"/>
    </i>
    <i>
      <x v="406"/>
    </i>
    <i r="1">
      <x v="5"/>
    </i>
    <i>
      <x v="315"/>
    </i>
    <i r="1">
      <x v="4"/>
    </i>
    <i>
      <x v="101"/>
    </i>
    <i r="1">
      <x v="4"/>
    </i>
    <i r="1">
      <x v="10"/>
    </i>
    <i>
      <x v="386"/>
    </i>
    <i r="1">
      <x v="1"/>
    </i>
    <i r="1">
      <x v="4"/>
    </i>
    <i>
      <x v="373"/>
    </i>
    <i r="1">
      <x v="5"/>
    </i>
    <i>
      <x v="50"/>
    </i>
    <i r="1">
      <x v="5"/>
    </i>
    <i>
      <x v="287"/>
    </i>
    <i r="1">
      <x v="1"/>
    </i>
    <i r="1">
      <x v="4"/>
    </i>
    <i>
      <x v="431"/>
    </i>
    <i r="1">
      <x v="5"/>
    </i>
    <i>
      <x v="125"/>
    </i>
    <i r="1">
      <x v="1"/>
    </i>
    <i r="1">
      <x v="5"/>
    </i>
    <i>
      <x v="41"/>
    </i>
    <i r="1">
      <x v="1"/>
    </i>
    <i r="1">
      <x v="4"/>
    </i>
    <i>
      <x v="10"/>
    </i>
    <i r="1">
      <x v="1"/>
    </i>
    <i r="1">
      <x v="2"/>
    </i>
    <i r="1">
      <x v="4"/>
    </i>
    <i>
      <x v="271"/>
    </i>
    <i r="1">
      <x v="4"/>
    </i>
    <i r="1">
      <x v="10"/>
    </i>
    <i r="1">
      <x v="11"/>
    </i>
    <i>
      <x v="408"/>
    </i>
    <i r="1">
      <x v="4"/>
    </i>
    <i r="1">
      <x v="10"/>
    </i>
    <i r="1">
      <x v="11"/>
    </i>
    <i>
      <x v="451"/>
    </i>
    <i r="1">
      <x v="5"/>
    </i>
    <i>
      <x v="135"/>
    </i>
    <i r="1">
      <x v="2"/>
    </i>
    <i>
      <x v="198"/>
    </i>
    <i r="1">
      <x v="5"/>
    </i>
    <i>
      <x v="13"/>
    </i>
    <i r="1">
      <x v="4"/>
    </i>
    <i>
      <x v="191"/>
    </i>
    <i r="1">
      <x v="4"/>
    </i>
    <i>
      <x v="290"/>
    </i>
    <i r="1">
      <x v="4"/>
    </i>
    <i>
      <x v="423"/>
    </i>
    <i r="1">
      <x v="4"/>
    </i>
    <i>
      <x v="126"/>
    </i>
    <i r="1">
      <x v="5"/>
    </i>
    <i>
      <x v="248"/>
    </i>
    <i r="1">
      <x v="4"/>
    </i>
    <i>
      <x v="169"/>
    </i>
    <i r="1">
      <x v="4"/>
    </i>
    <i>
      <x v="153"/>
    </i>
    <i r="1">
      <x v="4"/>
    </i>
    <i>
      <x v="91"/>
    </i>
    <i r="1">
      <x v="5"/>
    </i>
    <i>
      <x v="79"/>
    </i>
    <i r="1">
      <x v="5"/>
    </i>
    <i>
      <x v="380"/>
    </i>
    <i r="1">
      <x v="4"/>
    </i>
    <i>
      <x v="428"/>
    </i>
    <i r="1">
      <x v="5"/>
    </i>
    <i>
      <x v="136"/>
    </i>
    <i r="1">
      <x v="5"/>
    </i>
    <i>
      <x v="391"/>
    </i>
    <i r="1">
      <x v="4"/>
    </i>
    <i>
      <x v="307"/>
    </i>
    <i r="1">
      <x v="5"/>
    </i>
    <i>
      <x v="370"/>
    </i>
    <i r="1">
      <x v="1"/>
    </i>
    <i>
      <x v="123"/>
    </i>
    <i r="1">
      <x v="1"/>
    </i>
    <i>
      <x v="97"/>
    </i>
    <i r="1">
      <x v="1"/>
    </i>
    <i>
      <x v="447"/>
    </i>
    <i r="1">
      <x v="5"/>
    </i>
    <i>
      <x v="444"/>
    </i>
    <i r="1">
      <x v="5"/>
    </i>
    <i>
      <x v="378"/>
    </i>
    <i r="1">
      <x v="4"/>
    </i>
    <i>
      <x v="186"/>
    </i>
    <i r="1">
      <x v="1"/>
    </i>
    <i>
      <x v="443"/>
    </i>
    <i r="1">
      <x v="5"/>
    </i>
    <i>
      <x v="392"/>
    </i>
    <i r="1">
      <x v="1"/>
    </i>
    <i>
      <x v="193"/>
    </i>
    <i r="1">
      <x v="5"/>
    </i>
    <i>
      <x v="86"/>
    </i>
    <i r="1">
      <x v="1"/>
    </i>
    <i>
      <x v="196"/>
    </i>
    <i r="1">
      <x v="1"/>
    </i>
    <i>
      <x v="295"/>
    </i>
    <i r="1">
      <x v="5"/>
    </i>
    <i>
      <x v="256"/>
    </i>
    <i r="1">
      <x v="4"/>
    </i>
    <i r="1">
      <x v="10"/>
    </i>
    <i>
      <x v="15"/>
    </i>
    <i r="1">
      <x v="4"/>
    </i>
    <i r="1">
      <x v="10"/>
    </i>
    <i>
      <x v="128"/>
    </i>
    <i r="1">
      <x v="1"/>
    </i>
    <i r="1">
      <x v="5"/>
    </i>
    <i>
      <x v="397"/>
    </i>
    <i r="1">
      <x v="5"/>
    </i>
    <i>
      <x v="26"/>
    </i>
    <i r="1">
      <x v="1"/>
    </i>
    <i r="1">
      <x v="6"/>
    </i>
    <i>
      <x v="412"/>
    </i>
    <i r="1">
      <x v="5"/>
    </i>
    <i>
      <x v="344"/>
    </i>
    <i r="1">
      <x v="1"/>
    </i>
    <i r="1">
      <x v="4"/>
    </i>
    <i>
      <x v="216"/>
    </i>
    <i r="1">
      <x v="1"/>
    </i>
    <i>
      <x v="303"/>
    </i>
    <i r="1">
      <x v="2"/>
    </i>
    <i>
      <x v="96"/>
    </i>
    <i r="1">
      <x v="1"/>
    </i>
    <i>
      <x v="340"/>
    </i>
    <i r="1">
      <x v="1"/>
    </i>
    <i>
      <x v="254"/>
    </i>
    <i r="1">
      <x v="1"/>
    </i>
    <i>
      <x v="56"/>
    </i>
    <i r="1">
      <x v="1"/>
    </i>
    <i r="1">
      <x v="6"/>
    </i>
    <i>
      <x v="314"/>
    </i>
    <i r="1">
      <x v="1"/>
    </i>
    <i>
      <x v="327"/>
    </i>
    <i r="1">
      <x v="1"/>
    </i>
    <i>
      <x v="371"/>
    </i>
    <i r="1">
      <x v="1"/>
    </i>
    <i>
      <x v="348"/>
    </i>
    <i r="1">
      <x v="5"/>
    </i>
    <i>
      <x v="155"/>
    </i>
    <i r="1">
      <x v="1"/>
    </i>
    <i>
      <x v="130"/>
    </i>
    <i r="1">
      <x v="4"/>
    </i>
    <i>
      <x v="203"/>
    </i>
    <i r="1">
      <x v="4"/>
    </i>
    <i>
      <x v="419"/>
    </i>
    <i r="1">
      <x v="4"/>
    </i>
    <i>
      <x v="76"/>
    </i>
    <i r="1">
      <x v="5"/>
    </i>
    <i>
      <x v="66"/>
    </i>
    <i r="1">
      <x v="4"/>
    </i>
    <i>
      <x v="151"/>
    </i>
    <i r="1">
      <x v="5"/>
    </i>
    <i>
      <x v="439"/>
    </i>
    <i r="1">
      <x v="5"/>
    </i>
    <i>
      <x v="284"/>
    </i>
    <i r="1">
      <x v="4"/>
    </i>
    <i>
      <x v="188"/>
    </i>
    <i r="1">
      <x v="4"/>
    </i>
    <i>
      <x v="245"/>
    </i>
    <i r="1">
      <x v="4"/>
    </i>
    <i>
      <x v="8"/>
    </i>
    <i r="1">
      <x v="4"/>
    </i>
    <i>
      <x v="424"/>
    </i>
    <i r="1">
      <x v="5"/>
    </i>
    <i>
      <x v="160"/>
    </i>
    <i r="1">
      <x v="5"/>
    </i>
    <i>
      <x v="192"/>
    </i>
    <i r="1">
      <x v="4"/>
    </i>
    <i>
      <x v="119"/>
    </i>
    <i r="1">
      <x v="4"/>
    </i>
    <i>
      <x v="189"/>
    </i>
    <i r="1">
      <x v="4"/>
    </i>
    <i>
      <x v="259"/>
    </i>
    <i r="1">
      <x v="4"/>
    </i>
    <i>
      <x v="146"/>
    </i>
    <i r="1">
      <x v="5"/>
    </i>
    <i>
      <x v="25"/>
    </i>
    <i r="1">
      <x v="5"/>
    </i>
    <i>
      <x v="253"/>
    </i>
    <i r="1">
      <x v="1"/>
    </i>
    <i>
      <x v="36"/>
    </i>
    <i r="1">
      <x v="1"/>
    </i>
    <i>
      <x v="377"/>
    </i>
    <i r="1">
      <x v="6"/>
    </i>
    <i>
      <x v="34"/>
    </i>
    <i r="1">
      <x v="1"/>
    </i>
    <i>
      <x v="416"/>
    </i>
    <i r="1">
      <x v="5"/>
    </i>
    <i>
      <x v="251"/>
    </i>
    <i r="1">
      <x v="1"/>
    </i>
    <i>
      <x v="361"/>
    </i>
    <i r="1">
      <x v="2"/>
    </i>
    <i>
      <x v="388"/>
    </i>
    <i r="1">
      <x v="6"/>
    </i>
    <i>
      <x v="293"/>
    </i>
    <i r="1">
      <x v="1"/>
    </i>
    <i>
      <x v="394"/>
    </i>
    <i r="1">
      <x v="1"/>
    </i>
    <i>
      <x v="124"/>
    </i>
    <i r="1">
      <x v="1"/>
    </i>
    <i>
      <x v="158"/>
    </i>
    <i r="1">
      <x v="1"/>
    </i>
    <i>
      <x v="364"/>
    </i>
    <i r="1">
      <x v="1"/>
    </i>
    <i>
      <x v="302"/>
    </i>
    <i r="1">
      <x v="1"/>
    </i>
    <i>
      <x v="332"/>
    </i>
    <i r="1">
      <x v="1"/>
    </i>
    <i>
      <x v="4"/>
    </i>
    <i r="1">
      <x v="2"/>
    </i>
    <i>
      <x v="133"/>
    </i>
    <i r="1">
      <x v="1"/>
    </i>
    <i>
      <x v="396"/>
    </i>
    <i r="1">
      <x v="1"/>
    </i>
    <i>
      <x v="111"/>
    </i>
    <i r="1">
      <x v="4"/>
    </i>
    <i>
      <x v="58"/>
    </i>
    <i r="1">
      <x v="4"/>
    </i>
    <i>
      <x v="201"/>
    </i>
    <i r="1">
      <x v="5"/>
    </i>
    <i>
      <x v="167"/>
    </i>
    <i r="1">
      <x v="5"/>
    </i>
    <i>
      <x v="47"/>
    </i>
    <i r="1">
      <x v="4"/>
    </i>
    <i>
      <x v="170"/>
    </i>
    <i r="1">
      <x v="4"/>
    </i>
    <i>
      <x v="163"/>
    </i>
    <i r="1">
      <x v="4"/>
    </i>
    <i>
      <x v="157"/>
    </i>
    <i r="1">
      <x v="4"/>
    </i>
    <i>
      <x v="73"/>
    </i>
    <i r="1">
      <x v="4"/>
    </i>
    <i>
      <x v="181"/>
    </i>
    <i r="1">
      <x v="4"/>
    </i>
    <i>
      <x v="117"/>
    </i>
    <i r="1">
      <x v="4"/>
    </i>
    <i>
      <x v="78"/>
    </i>
    <i r="1">
      <x v="4"/>
    </i>
    <i>
      <x v="44"/>
    </i>
    <i r="1">
      <x v="5"/>
    </i>
    <i>
      <x v="59"/>
    </i>
    <i r="1">
      <x v="5"/>
    </i>
    <i>
      <x v="420"/>
    </i>
    <i r="1">
      <x v="4"/>
    </i>
    <i>
      <x v="421"/>
    </i>
    <i r="1">
      <x v="4"/>
    </i>
    <i>
      <x v="329"/>
    </i>
    <i r="1">
      <x v="4"/>
    </i>
    <i>
      <x v="229"/>
    </i>
    <i r="1">
      <x v="4"/>
    </i>
    <i>
      <x v="398"/>
    </i>
    <i r="1">
      <x v="4"/>
    </i>
    <i>
      <x v="112"/>
    </i>
    <i r="1">
      <x v="4"/>
    </i>
    <i>
      <x v="118"/>
    </i>
    <i r="1">
      <x v="4"/>
    </i>
    <i>
      <x v="113"/>
    </i>
    <i r="1">
      <x v="4"/>
    </i>
    <i>
      <x v="120"/>
    </i>
    <i r="1">
      <x v="4"/>
    </i>
    <i>
      <x v="114"/>
    </i>
    <i r="1">
      <x v="4"/>
    </i>
    <i>
      <x v="72"/>
    </i>
    <i r="1">
      <x v="4"/>
    </i>
    <i>
      <x v="71"/>
    </i>
    <i r="1">
      <x v="4"/>
    </i>
    <i>
      <x v="288"/>
    </i>
    <i r="1">
      <x v="4"/>
    </i>
    <i>
      <x v="110"/>
    </i>
    <i r="1">
      <x v="4"/>
    </i>
    <i>
      <x v="42"/>
    </i>
    <i r="1">
      <x v="4"/>
    </i>
    <i>
      <x v="145"/>
    </i>
    <i r="1">
      <x v="4"/>
    </i>
    <i>
      <x v="108"/>
    </i>
    <i r="1">
      <x v="4"/>
    </i>
    <i>
      <x v="127"/>
    </i>
    <i r="1">
      <x v="5"/>
    </i>
    <i>
      <x v="109"/>
    </i>
    <i r="1">
      <x v="4"/>
    </i>
    <i>
      <x v="45"/>
    </i>
    <i r="1">
      <x v="4"/>
    </i>
    <i>
      <x v="64"/>
    </i>
    <i r="1">
      <x v="4"/>
    </i>
    <i>
      <x v="218"/>
    </i>
    <i r="1">
      <x v="1"/>
    </i>
    <i>
      <x v="452"/>
    </i>
    <i r="1">
      <x v="1"/>
    </i>
    <i>
      <x v="242"/>
    </i>
    <i r="1">
      <x v="2"/>
    </i>
    <i>
      <x v="249"/>
    </i>
    <i r="1">
      <x v="5"/>
    </i>
    <i>
      <x v="278"/>
    </i>
    <i r="1">
      <x v="1"/>
    </i>
    <i>
      <x v="437"/>
    </i>
    <i r="1">
      <x v="5"/>
    </i>
    <i>
      <x v="46"/>
    </i>
    <i r="1">
      <x v="1"/>
    </i>
    <i>
      <x v="176"/>
    </i>
    <i r="1">
      <x v="1"/>
    </i>
    <i>
      <x v="61"/>
    </i>
    <i r="1">
      <x v="2"/>
    </i>
    <i>
      <x v="55"/>
    </i>
    <i r="1">
      <x v="1"/>
    </i>
    <i>
      <x v="116"/>
    </i>
    <i r="1">
      <x v="1"/>
    </i>
    <i r="1">
      <x v="4"/>
    </i>
    <i>
      <x v="177"/>
    </i>
    <i r="1">
      <x v="1"/>
    </i>
    <i>
      <x v="438"/>
    </i>
    <i r="1">
      <x v="1"/>
    </i>
    <i>
      <x v="94"/>
    </i>
    <i r="1">
      <x v="1"/>
    </i>
    <i>
      <x v="147"/>
    </i>
    <i r="1">
      <x v="7"/>
    </i>
    <i>
      <x v="1"/>
    </i>
    <i r="1">
      <x v="1"/>
    </i>
    <i>
      <x v="82"/>
    </i>
    <i r="1">
      <x v="1"/>
    </i>
    <i>
      <x v="35"/>
    </i>
    <i r="1">
      <x v="1"/>
    </i>
    <i>
      <x v="95"/>
    </i>
    <i r="1">
      <x v="1"/>
    </i>
    <i>
      <x v="102"/>
    </i>
    <i r="1">
      <x v="1"/>
    </i>
    <i>
      <x v="21"/>
    </i>
    <i r="1">
      <x v="7"/>
    </i>
    <i>
      <x v="273"/>
    </i>
    <i r="1">
      <x v="1"/>
    </i>
    <i>
      <x v="432"/>
    </i>
    <i r="1">
      <x v="2"/>
    </i>
    <i>
      <x v="11"/>
    </i>
    <i r="1">
      <x v="2"/>
    </i>
    <i>
      <x v="291"/>
    </i>
    <i r="1">
      <x v="1"/>
    </i>
    <i>
      <x v="68"/>
    </i>
    <i r="1">
      <x v="4"/>
    </i>
    <i>
      <x v="69"/>
    </i>
    <i r="1">
      <x v="4"/>
    </i>
    <i>
      <x v="48"/>
    </i>
    <i r="1">
      <x v="5"/>
    </i>
    <i>
      <x v="115"/>
    </i>
    <i r="1">
      <x v="4"/>
    </i>
    <i>
      <x v="75"/>
    </i>
    <i r="1">
      <x v="4"/>
    </i>
    <i>
      <x v="70"/>
    </i>
    <i r="1">
      <x v="4"/>
    </i>
    <i>
      <x v="195"/>
    </i>
    <i r="1">
      <x v="4"/>
    </i>
    <i>
      <x v="3"/>
    </i>
    <i r="1">
      <x v="4"/>
    </i>
    <i>
      <x v="67"/>
    </i>
    <i r="1">
      <x v="4"/>
    </i>
    <i>
      <x v="435"/>
    </i>
    <i r="1">
      <x v="1"/>
    </i>
    <i>
      <x v="149"/>
    </i>
    <i r="1">
      <x v="1"/>
    </i>
    <i>
      <x v="395"/>
    </i>
    <i r="1">
      <x v="1"/>
    </i>
    <i>
      <x v="164"/>
    </i>
    <i r="1">
      <x v="1"/>
    </i>
    <i>
      <x v="393"/>
    </i>
    <i r="1">
      <x v="1"/>
    </i>
    <i>
      <x v="166"/>
    </i>
    <i r="1">
      <x v="1"/>
    </i>
    <i>
      <x v="232"/>
    </i>
    <i r="1">
      <x v="1"/>
    </i>
    <i>
      <x v="261"/>
    </i>
    <i r="1">
      <x v="1"/>
    </i>
    <i>
      <x v="376"/>
    </i>
    <i r="1">
      <x v="1"/>
    </i>
    <i>
      <x v="265"/>
    </i>
    <i r="1">
      <x v="1"/>
    </i>
    <i>
      <x v="356"/>
    </i>
    <i r="1">
      <x v="1"/>
    </i>
    <i>
      <x v="405"/>
    </i>
    <i r="1">
      <x v="7"/>
    </i>
    <i>
      <x v="415"/>
    </i>
    <i r="1">
      <x v="7"/>
    </i>
    <i>
      <x v="310"/>
    </i>
    <i r="1">
      <x v="1"/>
    </i>
    <i>
      <x v="88"/>
    </i>
    <i r="1">
      <x v="1"/>
    </i>
    <i>
      <x v="418"/>
    </i>
    <i r="1">
      <x v="7"/>
    </i>
    <i>
      <x v="311"/>
    </i>
    <i r="1">
      <x v="7"/>
    </i>
    <i>
      <x v="20"/>
    </i>
    <i r="1">
      <x v="2"/>
    </i>
    <i>
      <x v="382"/>
    </i>
    <i r="1">
      <x v="12"/>
    </i>
    <i>
      <x v="84"/>
    </i>
    <i r="1">
      <x v="1"/>
    </i>
    <i>
      <x v="299"/>
    </i>
    <i r="1">
      <x v="2"/>
    </i>
    <i>
      <x v="51"/>
    </i>
    <i r="1">
      <x v="2"/>
    </i>
    <i>
      <x v="274"/>
    </i>
    <i r="1">
      <x v="1"/>
    </i>
    <i>
      <x v="353"/>
    </i>
    <i r="1">
      <x v="1"/>
    </i>
    <i>
      <x v="414"/>
    </i>
    <i r="1">
      <x v="1"/>
    </i>
    <i>
      <x v="137"/>
    </i>
    <i r="1">
      <x v="1"/>
    </i>
    <i>
      <x v="83"/>
    </i>
    <i r="1">
      <x v="1"/>
    </i>
    <i>
      <x v="410"/>
    </i>
    <i r="1">
      <x v="2"/>
    </i>
    <i>
      <x v="450"/>
    </i>
    <i r="1">
      <x v="2"/>
    </i>
    <i>
      <x v="400"/>
    </i>
    <i r="1">
      <x v="2"/>
    </i>
    <i t="grand">
      <x/>
    </i>
  </rowItems>
  <colItems count="1">
    <i/>
  </colItems>
  <dataFields count="1">
    <dataField name="Monthly Amount" fld="14" baseField="0" baseItem="0" numFmtId="165"/>
  </dataFields>
  <formats count="18">
    <format dxfId="110">
      <pivotArea outline="0" collapsedLevelsAreSubtotals="1" fieldPosition="0"/>
    </format>
    <format dxfId="109">
      <pivotArea dataOnly="0" labelOnly="1" outline="0" axis="axisValues" fieldPosition="0"/>
    </format>
    <format dxfId="108">
      <pivotArea type="all" dataOnly="0" outline="0" fieldPosition="0"/>
    </format>
    <format dxfId="107">
      <pivotArea outline="0" collapsedLevelsAreSubtotals="1" fieldPosition="0"/>
    </format>
    <format dxfId="106">
      <pivotArea field="1" type="button" dataOnly="0" labelOnly="1" outline="0" axis="axisRow" fieldPosition="0"/>
    </format>
    <format dxfId="105">
      <pivotArea dataOnly="0" labelOnly="1" fieldPosition="0">
        <references count="1">
          <reference field="1" count="50">
            <x v="12"/>
            <x v="17"/>
            <x v="22"/>
            <x v="53"/>
            <x v="89"/>
            <x v="100"/>
            <x v="122"/>
            <x v="129"/>
            <x v="131"/>
            <x v="165"/>
            <x v="183"/>
            <x v="199"/>
            <x v="209"/>
            <x v="228"/>
            <x v="230"/>
            <x v="231"/>
            <x v="246"/>
            <x v="258"/>
            <x v="270"/>
            <x v="272"/>
            <x v="277"/>
            <x v="279"/>
            <x v="281"/>
            <x v="282"/>
            <x v="301"/>
            <x v="312"/>
            <x v="313"/>
            <x v="317"/>
            <x v="323"/>
            <x v="324"/>
            <x v="326"/>
            <x v="337"/>
            <x v="341"/>
            <x v="347"/>
            <x v="350"/>
            <x v="355"/>
            <x v="358"/>
            <x v="362"/>
            <x v="366"/>
            <x v="368"/>
            <x v="369"/>
            <x v="374"/>
            <x v="381"/>
            <x v="403"/>
            <x v="411"/>
            <x v="413"/>
            <x v="417"/>
            <x v="429"/>
            <x v="433"/>
            <x v="445"/>
          </reference>
        </references>
      </pivotArea>
    </format>
    <format dxfId="104">
      <pivotArea dataOnly="0" labelOnly="1" fieldPosition="0">
        <references count="1">
          <reference field="1" count="50">
            <x v="9"/>
            <x v="18"/>
            <x v="23"/>
            <x v="24"/>
            <x v="27"/>
            <x v="39"/>
            <x v="40"/>
            <x v="43"/>
            <x v="60"/>
            <x v="90"/>
            <x v="98"/>
            <x v="107"/>
            <x v="138"/>
            <x v="141"/>
            <x v="148"/>
            <x v="159"/>
            <x v="161"/>
            <x v="175"/>
            <x v="187"/>
            <x v="197"/>
            <x v="213"/>
            <x v="219"/>
            <x v="222"/>
            <x v="225"/>
            <x v="226"/>
            <x v="234"/>
            <x v="240"/>
            <x v="257"/>
            <x v="263"/>
            <x v="269"/>
            <x v="286"/>
            <x v="300"/>
            <x v="306"/>
            <x v="316"/>
            <x v="319"/>
            <x v="333"/>
            <x v="334"/>
            <x v="338"/>
            <x v="345"/>
            <x v="352"/>
            <x v="363"/>
            <x v="372"/>
            <x v="379"/>
            <x v="385"/>
            <x v="387"/>
            <x v="390"/>
            <x v="401"/>
            <x v="425"/>
            <x v="427"/>
            <x v="446"/>
          </reference>
        </references>
      </pivotArea>
    </format>
    <format dxfId="103">
      <pivotArea dataOnly="0" labelOnly="1" fieldPosition="0">
        <references count="1">
          <reference field="1" count="50">
            <x v="7"/>
            <x v="14"/>
            <x v="16"/>
            <x v="31"/>
            <x v="32"/>
            <x v="37"/>
            <x v="38"/>
            <x v="81"/>
            <x v="103"/>
            <x v="105"/>
            <x v="121"/>
            <x v="134"/>
            <x v="139"/>
            <x v="142"/>
            <x v="143"/>
            <x v="180"/>
            <x v="202"/>
            <x v="206"/>
            <x v="210"/>
            <x v="214"/>
            <x v="217"/>
            <x v="221"/>
            <x v="224"/>
            <x v="243"/>
            <x v="252"/>
            <x v="264"/>
            <x v="266"/>
            <x v="267"/>
            <x v="268"/>
            <x v="289"/>
            <x v="292"/>
            <x v="294"/>
            <x v="296"/>
            <x v="297"/>
            <x v="298"/>
            <x v="321"/>
            <x v="322"/>
            <x v="335"/>
            <x v="336"/>
            <x v="343"/>
            <x v="346"/>
            <x v="354"/>
            <x v="360"/>
            <x v="383"/>
            <x v="389"/>
            <x v="399"/>
            <x v="404"/>
            <x v="422"/>
            <x v="426"/>
            <x v="441"/>
          </reference>
        </references>
      </pivotArea>
    </format>
    <format dxfId="102">
      <pivotArea dataOnly="0" labelOnly="1" fieldPosition="0">
        <references count="1">
          <reference field="1" count="50">
            <x v="2"/>
            <x v="5"/>
            <x v="19"/>
            <x v="33"/>
            <x v="49"/>
            <x v="52"/>
            <x v="63"/>
            <x v="80"/>
            <x v="93"/>
            <x v="104"/>
            <x v="132"/>
            <x v="140"/>
            <x v="144"/>
            <x v="152"/>
            <x v="154"/>
            <x v="162"/>
            <x v="168"/>
            <x v="171"/>
            <x v="172"/>
            <x v="178"/>
            <x v="179"/>
            <x v="200"/>
            <x v="204"/>
            <x v="205"/>
            <x v="207"/>
            <x v="211"/>
            <x v="212"/>
            <x v="215"/>
            <x v="220"/>
            <x v="223"/>
            <x v="227"/>
            <x v="235"/>
            <x v="241"/>
            <x v="244"/>
            <x v="247"/>
            <x v="255"/>
            <x v="260"/>
            <x v="276"/>
            <x v="304"/>
            <x v="305"/>
            <x v="318"/>
            <x v="320"/>
            <x v="328"/>
            <x v="330"/>
            <x v="339"/>
            <x v="342"/>
            <x v="357"/>
            <x v="434"/>
            <x v="436"/>
            <x v="440"/>
          </reference>
        </references>
      </pivotArea>
    </format>
    <format dxfId="101">
      <pivotArea dataOnly="0" labelOnly="1" fieldPosition="0">
        <references count="1">
          <reference field="1" count="50">
            <x v="6"/>
            <x v="28"/>
            <x v="29"/>
            <x v="30"/>
            <x v="50"/>
            <x v="54"/>
            <x v="57"/>
            <x v="65"/>
            <x v="74"/>
            <x v="77"/>
            <x v="87"/>
            <x v="92"/>
            <x v="99"/>
            <x v="101"/>
            <x v="106"/>
            <x v="156"/>
            <x v="173"/>
            <x v="174"/>
            <x v="182"/>
            <x v="184"/>
            <x v="185"/>
            <x v="190"/>
            <x v="194"/>
            <x v="208"/>
            <x v="233"/>
            <x v="236"/>
            <x v="237"/>
            <x v="238"/>
            <x v="250"/>
            <x v="262"/>
            <x v="275"/>
            <x v="280"/>
            <x v="283"/>
            <x v="308"/>
            <x v="309"/>
            <x v="315"/>
            <x v="325"/>
            <x v="331"/>
            <x v="349"/>
            <x v="351"/>
            <x v="359"/>
            <x v="365"/>
            <x v="375"/>
            <x v="384"/>
            <x v="386"/>
            <x v="402"/>
            <x v="406"/>
            <x v="409"/>
            <x v="430"/>
            <x v="442"/>
          </reference>
        </references>
      </pivotArea>
    </format>
    <format dxfId="100">
      <pivotArea dataOnly="0" labelOnly="1" fieldPosition="0">
        <references count="1">
          <reference field="1" count="50">
            <x v="0"/>
            <x v="10"/>
            <x v="13"/>
            <x v="15"/>
            <x v="26"/>
            <x v="41"/>
            <x v="79"/>
            <x v="86"/>
            <x v="91"/>
            <x v="96"/>
            <x v="97"/>
            <x v="123"/>
            <x v="125"/>
            <x v="126"/>
            <x v="128"/>
            <x v="135"/>
            <x v="136"/>
            <x v="153"/>
            <x v="169"/>
            <x v="186"/>
            <x v="191"/>
            <x v="193"/>
            <x v="196"/>
            <x v="198"/>
            <x v="216"/>
            <x v="248"/>
            <x v="254"/>
            <x v="256"/>
            <x v="271"/>
            <x v="287"/>
            <x v="290"/>
            <x v="295"/>
            <x v="303"/>
            <x v="307"/>
            <x v="344"/>
            <x v="370"/>
            <x v="373"/>
            <x v="378"/>
            <x v="380"/>
            <x v="391"/>
            <x v="392"/>
            <x v="397"/>
            <x v="407"/>
            <x v="408"/>
            <x v="412"/>
            <x v="423"/>
            <x v="428"/>
            <x v="431"/>
            <x v="443"/>
            <x v="444"/>
          </reference>
        </references>
      </pivotArea>
    </format>
    <format dxfId="99">
      <pivotArea dataOnly="0" labelOnly="1" fieldPosition="0">
        <references count="1">
          <reference field="1" count="50">
            <x v="4"/>
            <x v="8"/>
            <x v="25"/>
            <x v="34"/>
            <x v="36"/>
            <x v="56"/>
            <x v="62"/>
            <x v="66"/>
            <x v="76"/>
            <x v="78"/>
            <x v="110"/>
            <x v="119"/>
            <x v="120"/>
            <x v="124"/>
            <x v="130"/>
            <x v="133"/>
            <x v="146"/>
            <x v="151"/>
            <x v="155"/>
            <x v="158"/>
            <x v="160"/>
            <x v="181"/>
            <x v="188"/>
            <x v="189"/>
            <x v="192"/>
            <x v="203"/>
            <x v="245"/>
            <x v="251"/>
            <x v="253"/>
            <x v="259"/>
            <x v="284"/>
            <x v="293"/>
            <x v="302"/>
            <x v="314"/>
            <x v="327"/>
            <x v="332"/>
            <x v="340"/>
            <x v="348"/>
            <x v="361"/>
            <x v="364"/>
            <x v="371"/>
            <x v="377"/>
            <x v="388"/>
            <x v="394"/>
            <x v="396"/>
            <x v="416"/>
            <x v="419"/>
            <x v="421"/>
            <x v="424"/>
            <x v="439"/>
          </reference>
        </references>
      </pivotArea>
    </format>
    <format dxfId="98">
      <pivotArea dataOnly="0" labelOnly="1" fieldPosition="0">
        <references count="1">
          <reference field="1" count="50">
            <x v="1"/>
            <x v="35"/>
            <x v="42"/>
            <x v="44"/>
            <x v="45"/>
            <x v="46"/>
            <x v="47"/>
            <x v="55"/>
            <x v="58"/>
            <x v="59"/>
            <x v="61"/>
            <x v="64"/>
            <x v="71"/>
            <x v="72"/>
            <x v="73"/>
            <x v="82"/>
            <x v="94"/>
            <x v="95"/>
            <x v="102"/>
            <x v="108"/>
            <x v="109"/>
            <x v="111"/>
            <x v="112"/>
            <x v="113"/>
            <x v="114"/>
            <x v="116"/>
            <x v="117"/>
            <x v="118"/>
            <x v="127"/>
            <x v="145"/>
            <x v="147"/>
            <x v="150"/>
            <x v="157"/>
            <x v="163"/>
            <x v="167"/>
            <x v="170"/>
            <x v="176"/>
            <x v="177"/>
            <x v="201"/>
            <x v="218"/>
            <x v="229"/>
            <x v="242"/>
            <x v="249"/>
            <x v="278"/>
            <x v="288"/>
            <x v="329"/>
            <x v="398"/>
            <x v="420"/>
            <x v="437"/>
            <x v="438"/>
          </reference>
        </references>
      </pivotArea>
    </format>
    <format dxfId="97">
      <pivotArea dataOnly="0" labelOnly="1" fieldPosition="0">
        <references count="1">
          <reference field="1" count="47">
            <x v="3"/>
            <x v="11"/>
            <x v="20"/>
            <x v="21"/>
            <x v="48"/>
            <x v="51"/>
            <x v="67"/>
            <x v="68"/>
            <x v="69"/>
            <x v="70"/>
            <x v="75"/>
            <x v="83"/>
            <x v="84"/>
            <x v="85"/>
            <x v="88"/>
            <x v="115"/>
            <x v="137"/>
            <x v="149"/>
            <x v="164"/>
            <x v="166"/>
            <x v="195"/>
            <x v="232"/>
            <x v="239"/>
            <x v="261"/>
            <x v="265"/>
            <x v="273"/>
            <x v="274"/>
            <x v="285"/>
            <x v="291"/>
            <x v="299"/>
            <x v="310"/>
            <x v="311"/>
            <x v="353"/>
            <x v="356"/>
            <x v="367"/>
            <x v="376"/>
            <x v="382"/>
            <x v="393"/>
            <x v="395"/>
            <x v="400"/>
            <x v="405"/>
            <x v="410"/>
            <x v="414"/>
            <x v="415"/>
            <x v="418"/>
            <x v="432"/>
            <x v="435"/>
          </reference>
        </references>
      </pivotArea>
    </format>
    <format dxfId="96">
      <pivotArea dataOnly="0" labelOnly="1" grandRow="1" outline="0" fieldPosition="0"/>
    </format>
    <format dxfId="95">
      <pivotArea dataOnly="0" labelOnly="1" outline="0" axis="axisValues" fieldPosition="0"/>
    </format>
    <format dxfId="94">
      <pivotArea outline="0" collapsedLevelsAreSubtotals="1" fieldPosition="0"/>
    </format>
    <format dxfId="93">
      <pivotArea dataOnly="0" labelOnly="1" outline="0" axis="axisValues"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A2AFCE-2BB5-4D50-94F1-06151CEAE9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viders">
  <location ref="A4:B11" firstHeaderRow="1" firstDataRow="1" firstDataCol="1" rowPageCount="1" colPageCount="1"/>
  <pivotFields count="28">
    <pivotField showAll="0"/>
    <pivotField showAll="0"/>
    <pivotField showAll="0"/>
    <pivotField showAll="0"/>
    <pivotField axis="axisPage" showAll="0">
      <items count="4">
        <item m="1" x="2"/>
        <item x="0"/>
        <item x="1"/>
        <item t="default"/>
      </items>
    </pivotField>
    <pivotField showAll="0"/>
    <pivotField showAll="0"/>
    <pivotField axis="axisRow" showAll="0">
      <items count="8">
        <item m="1" x="6"/>
        <item x="1"/>
        <item x="2"/>
        <item x="3"/>
        <item x="0"/>
        <item x="5"/>
        <item x="4"/>
        <item t="default"/>
      </items>
    </pivotField>
    <pivotField multipleItemSelectionAllowed="1" showAll="0">
      <items count="17">
        <item m="1" x="15"/>
        <item x="6"/>
        <item x="14"/>
        <item x="1"/>
        <item x="2"/>
        <item x="0"/>
        <item x="5"/>
        <item x="4"/>
        <item x="12"/>
        <item x="9"/>
        <item x="11"/>
        <item x="7"/>
        <item x="13"/>
        <item x="10"/>
        <item x="3"/>
        <item x="8"/>
        <item t="default"/>
      </items>
    </pivotField>
    <pivotField dataField="1" showAll="0"/>
    <pivotField showAll="0"/>
    <pivotField showAll="0"/>
    <pivotField numFmtId="165" showAll="0"/>
    <pivotField showAll="0"/>
    <pivotField showAll="0"/>
    <pivotField showAll="0"/>
    <pivotField numFmtId="166" showAll="0"/>
    <pivotField showAll="0"/>
    <pivotField showAll="0"/>
    <pivotField numFmtId="165" showAll="0"/>
    <pivotField showAll="0"/>
    <pivotField showAll="0"/>
    <pivotField showAll="0"/>
    <pivotField showAll="0"/>
    <pivotField showAll="0"/>
    <pivotField showAll="0"/>
    <pivotField showAll="0"/>
    <pivotField showAll="0"/>
  </pivotFields>
  <rowFields count="1">
    <field x="7"/>
  </rowFields>
  <rowItems count="7">
    <i>
      <x v="1"/>
    </i>
    <i>
      <x v="2"/>
    </i>
    <i>
      <x v="3"/>
    </i>
    <i>
      <x v="4"/>
    </i>
    <i>
      <x v="5"/>
    </i>
    <i>
      <x v="6"/>
    </i>
    <i t="grand">
      <x/>
    </i>
  </rowItems>
  <colItems count="1">
    <i/>
  </colItems>
  <pageFields count="1">
    <pageField fld="4" hier="-1"/>
  </pageFields>
  <dataFields count="1">
    <dataField name="Bandwidth" fld="9" baseField="0" baseItem="0"/>
  </dataFields>
  <formats count="2">
    <format dxfId="92">
      <pivotArea outline="0" collapsedLevelsAreSubtotals="1" fieldPosition="0"/>
    </format>
    <format dxfId="91">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8EBFE1D-61B6-488B-8950-AA4AB178F15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9" firstHeaderRow="1" firstDataRow="1" firstDataCol="1"/>
  <pivotFields count="28">
    <pivotField showAll="0"/>
    <pivotField showAll="0"/>
    <pivotField showAll="0"/>
    <pivotField showAll="0"/>
    <pivotField showAll="0"/>
    <pivotField showAll="0"/>
    <pivotField showAll="0"/>
    <pivotField showAll="0"/>
    <pivotField axis="axisRow" showAll="0">
      <items count="17">
        <item m="1" x="15"/>
        <item x="6"/>
        <item x="1"/>
        <item x="2"/>
        <item x="0"/>
        <item x="5"/>
        <item x="4"/>
        <item x="12"/>
        <item x="9"/>
        <item x="11"/>
        <item x="7"/>
        <item x="10"/>
        <item x="3"/>
        <item x="8"/>
        <item x="13"/>
        <item x="14"/>
        <item t="default"/>
      </items>
    </pivotField>
    <pivotField showAll="0"/>
    <pivotField showAll="0"/>
    <pivotField showAll="0"/>
    <pivotField numFmtId="165" showAll="0"/>
    <pivotField showAll="0"/>
    <pivotField dataField="1" showAll="0"/>
    <pivotField showAll="0"/>
    <pivotField numFmtId="166" showAll="0"/>
    <pivotField showAll="0"/>
    <pivotField showAll="0"/>
    <pivotField numFmtId="165" showAll="0"/>
    <pivotField showAll="0"/>
    <pivotField showAll="0"/>
    <pivotField showAll="0"/>
    <pivotField showAll="0"/>
    <pivotField showAll="0"/>
    <pivotField showAll="0"/>
    <pivotField showAll="0"/>
    <pivotField showAll="0"/>
  </pivotFields>
  <rowFields count="1">
    <field x="8"/>
  </rowFields>
  <rowItems count="16">
    <i>
      <x v="1"/>
    </i>
    <i>
      <x v="2"/>
    </i>
    <i>
      <x v="3"/>
    </i>
    <i>
      <x v="4"/>
    </i>
    <i>
      <x v="5"/>
    </i>
    <i>
      <x v="6"/>
    </i>
    <i>
      <x v="7"/>
    </i>
    <i>
      <x v="8"/>
    </i>
    <i>
      <x v="9"/>
    </i>
    <i>
      <x v="10"/>
    </i>
    <i>
      <x v="11"/>
    </i>
    <i>
      <x v="12"/>
    </i>
    <i>
      <x v="13"/>
    </i>
    <i>
      <x v="14"/>
    </i>
    <i>
      <x v="15"/>
    </i>
    <i t="grand">
      <x/>
    </i>
  </rowItems>
  <colItems count="1">
    <i/>
  </colItems>
  <dataFields count="1">
    <dataField name="Sum of Total Sales"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135FE4-BFB0-40EE-9536-9BF9FB567C7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M20" firstHeaderRow="1" firstDataRow="2" firstDataCol="1"/>
  <pivotFields count="28">
    <pivotField showAll="0"/>
    <pivotField showAll="0"/>
    <pivotField showAll="0"/>
    <pivotField showAll="0"/>
    <pivotField showAll="0"/>
    <pivotField showAll="0"/>
    <pivotField showAll="0"/>
    <pivotField showAll="0"/>
    <pivotField axis="axisRow" showAll="0">
      <items count="17">
        <item m="1" x="15"/>
        <item x="6"/>
        <item x="14"/>
        <item x="1"/>
        <item x="2"/>
        <item x="0"/>
        <item x="5"/>
        <item x="4"/>
        <item x="12"/>
        <item x="9"/>
        <item x="11"/>
        <item x="7"/>
        <item x="13"/>
        <item x="10"/>
        <item x="3"/>
        <item x="8"/>
        <item t="default"/>
      </items>
    </pivotField>
    <pivotField showAll="0"/>
    <pivotField showAll="0"/>
    <pivotField showAll="0"/>
    <pivotField numFmtId="165" showAll="0"/>
    <pivotField showAll="0"/>
    <pivotField dataField="1" showAll="0"/>
    <pivotField showAll="0"/>
    <pivotField numFmtId="166" showAll="0"/>
    <pivotField showAll="0"/>
    <pivotField showAll="0"/>
    <pivotField numFmtId="165" showAll="0"/>
    <pivotField showAll="0"/>
    <pivotField axis="axisCol" showAll="0">
      <items count="13">
        <item x="1"/>
        <item x="4"/>
        <item x="9"/>
        <item x="8"/>
        <item x="3"/>
        <item x="7"/>
        <item x="10"/>
        <item x="0"/>
        <item x="5"/>
        <item x="2"/>
        <item x="6"/>
        <item m="1" x="11"/>
        <item t="default"/>
      </items>
    </pivotField>
    <pivotField showAll="0"/>
    <pivotField showAll="0"/>
    <pivotField showAll="0"/>
    <pivotField showAll="0"/>
    <pivotField showAll="0"/>
    <pivotField showAll="0"/>
  </pivotFields>
  <rowFields count="1">
    <field x="8"/>
  </rowFields>
  <rowItems count="16">
    <i>
      <x v="1"/>
    </i>
    <i>
      <x v="2"/>
    </i>
    <i>
      <x v="3"/>
    </i>
    <i>
      <x v="4"/>
    </i>
    <i>
      <x v="5"/>
    </i>
    <i>
      <x v="6"/>
    </i>
    <i>
      <x v="7"/>
    </i>
    <i>
      <x v="8"/>
    </i>
    <i>
      <x v="9"/>
    </i>
    <i>
      <x v="10"/>
    </i>
    <i>
      <x v="11"/>
    </i>
    <i>
      <x v="12"/>
    </i>
    <i>
      <x v="13"/>
    </i>
    <i>
      <x v="14"/>
    </i>
    <i>
      <x v="15"/>
    </i>
    <i t="grand">
      <x/>
    </i>
  </rowItems>
  <colFields count="1">
    <field x="21"/>
  </colFields>
  <colItems count="12">
    <i>
      <x/>
    </i>
    <i>
      <x v="1"/>
    </i>
    <i>
      <x v="2"/>
    </i>
    <i>
      <x v="3"/>
    </i>
    <i>
      <x v="4"/>
    </i>
    <i>
      <x v="5"/>
    </i>
    <i>
      <x v="6"/>
    </i>
    <i>
      <x v="7"/>
    </i>
    <i>
      <x v="8"/>
    </i>
    <i>
      <x v="9"/>
    </i>
    <i>
      <x v="10"/>
    </i>
    <i t="grand">
      <x/>
    </i>
  </colItems>
  <dataFields count="1">
    <dataField name="Sum of Total Sales"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4DE8AFA-2F5E-4F00-8C76-C08CCFCF59A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47" firstHeaderRow="0" firstDataRow="1" firstDataCol="1"/>
  <pivotFields count="28">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dataField="1" numFmtId="165" showAll="0"/>
    <pivotField dataField="1" showAll="0"/>
    <pivotField showAll="0"/>
    <pivotField showAll="0">
      <items count="15">
        <item x="6"/>
        <item x="7"/>
        <item x="8"/>
        <item x="9"/>
        <item x="10"/>
        <item x="1"/>
        <item x="2"/>
        <item x="3"/>
        <item x="4"/>
        <item x="12"/>
        <item x="5"/>
        <item x="0"/>
        <item m="1" x="13"/>
        <item x="11"/>
        <item t="default"/>
      </items>
    </pivotField>
    <pivotField showAll="0">
      <items count="10">
        <item x="0"/>
        <item x="1"/>
        <item x="3"/>
        <item x="4"/>
        <item x="2"/>
        <item x="6"/>
        <item x="5"/>
        <item x="8"/>
        <item x="7"/>
        <item t="default"/>
      </items>
    </pivotField>
    <pivotField numFmtId="165" showAll="0"/>
    <pivotField axis="axisRow" showAll="0" sortType="descending">
      <items count="6">
        <item x="0"/>
        <item x="2"/>
        <item x="3"/>
        <item x="1"/>
        <item x="4"/>
        <item t="default"/>
      </items>
      <autoSortScope>
        <pivotArea dataOnly="0" outline="0" fieldPosition="0">
          <references count="1">
            <reference field="4294967294" count="1" selected="0">
              <x v="0"/>
            </reference>
          </references>
        </pivotArea>
      </autoSortScope>
    </pivotField>
    <pivotField axis="axisRow" showAll="0" sortType="descending">
      <items count="13">
        <item x="1"/>
        <item x="4"/>
        <item x="9"/>
        <item x="8"/>
        <item x="3"/>
        <item x="7"/>
        <item x="0"/>
        <item x="5"/>
        <item x="2"/>
        <item x="6"/>
        <item m="1"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2">
    <field x="20"/>
    <field x="21"/>
  </rowFields>
  <rowItems count="45">
    <i>
      <x v="3"/>
    </i>
    <i r="1">
      <x/>
    </i>
    <i r="1">
      <x v="5"/>
    </i>
    <i r="1">
      <x v="7"/>
    </i>
    <i r="1">
      <x v="1"/>
    </i>
    <i r="1">
      <x v="8"/>
    </i>
    <i r="1">
      <x v="9"/>
    </i>
    <i r="1">
      <x v="6"/>
    </i>
    <i r="1">
      <x v="4"/>
    </i>
    <i r="1">
      <x v="2"/>
    </i>
    <i r="1">
      <x v="3"/>
    </i>
    <i>
      <x/>
    </i>
    <i r="1">
      <x v="9"/>
    </i>
    <i r="1">
      <x/>
    </i>
    <i r="1">
      <x v="6"/>
    </i>
    <i r="1">
      <x v="1"/>
    </i>
    <i r="1">
      <x v="8"/>
    </i>
    <i r="1">
      <x v="4"/>
    </i>
    <i r="1">
      <x v="7"/>
    </i>
    <i r="1">
      <x v="5"/>
    </i>
    <i>
      <x v="4"/>
    </i>
    <i r="1">
      <x v="9"/>
    </i>
    <i r="1">
      <x v="11"/>
    </i>
    <i r="1">
      <x v="8"/>
    </i>
    <i r="1">
      <x/>
    </i>
    <i r="1">
      <x v="4"/>
    </i>
    <i r="1">
      <x v="3"/>
    </i>
    <i r="1">
      <x v="5"/>
    </i>
    <i r="1">
      <x v="2"/>
    </i>
    <i>
      <x v="2"/>
    </i>
    <i r="1">
      <x v="5"/>
    </i>
    <i r="1">
      <x v="7"/>
    </i>
    <i r="1">
      <x v="8"/>
    </i>
    <i r="1">
      <x/>
    </i>
    <i r="1">
      <x v="1"/>
    </i>
    <i>
      <x v="1"/>
    </i>
    <i r="1">
      <x v="9"/>
    </i>
    <i r="1">
      <x v="5"/>
    </i>
    <i r="1">
      <x v="6"/>
    </i>
    <i r="1">
      <x v="8"/>
    </i>
    <i r="1">
      <x v="4"/>
    </i>
    <i r="1">
      <x/>
    </i>
    <i r="1">
      <x v="1"/>
    </i>
    <i r="1">
      <x v="3"/>
    </i>
    <i t="grand">
      <x/>
    </i>
  </rowItems>
  <colFields count="1">
    <field x="-2"/>
  </colFields>
  <colItems count="2">
    <i>
      <x/>
    </i>
    <i i="1">
      <x v="1"/>
    </i>
  </colItems>
  <dataFields count="2">
    <dataField name="Contract Sales" fld="14" baseField="0" baseItem="0" numFmtId="165"/>
    <dataField name="By Qty" fld="15" subtotal="count" baseField="0" baseItem="0"/>
  </dataFields>
  <formats count="23">
    <format dxfId="56">
      <pivotArea outline="0" collapsedLevelsAreSubtotals="1" fieldPosition="0"/>
    </format>
    <format dxfId="55">
      <pivotArea dataOnly="0" labelOnly="1" outline="0" axis="axisValues" fieldPosition="0"/>
    </format>
    <format dxfId="54">
      <pivotArea type="all" dataOnly="0" outline="0" fieldPosition="0"/>
    </format>
    <format dxfId="53">
      <pivotArea outline="0" collapsedLevelsAreSubtotals="1" fieldPosition="0"/>
    </format>
    <format dxfId="52">
      <pivotArea field="20" type="button" dataOnly="0" labelOnly="1" outline="0" axis="axisRow" fieldPosition="0"/>
    </format>
    <format dxfId="51">
      <pivotArea dataOnly="0" labelOnly="1" fieldPosition="0">
        <references count="1">
          <reference field="20" count="0"/>
        </references>
      </pivotArea>
    </format>
    <format dxfId="50">
      <pivotArea dataOnly="0" labelOnly="1" grandRow="1" outline="0" fieldPosition="0"/>
    </format>
    <format dxfId="49">
      <pivotArea dataOnly="0" labelOnly="1" fieldPosition="0">
        <references count="2">
          <reference field="20" count="1" selected="0">
            <x v="3"/>
          </reference>
          <reference field="21" count="0"/>
        </references>
      </pivotArea>
    </format>
    <format dxfId="48">
      <pivotArea dataOnly="0" labelOnly="1" fieldPosition="0">
        <references count="2">
          <reference field="20" count="1" selected="0">
            <x v="1"/>
          </reference>
          <reference field="21" count="8">
            <x v="0"/>
            <x v="1"/>
            <x v="2"/>
            <x v="5"/>
            <x v="6"/>
            <x v="7"/>
            <x v="8"/>
            <x v="9"/>
          </reference>
        </references>
      </pivotArea>
    </format>
    <format dxfId="47">
      <pivotArea dataOnly="0" labelOnly="1" fieldPosition="0">
        <references count="2">
          <reference field="20" count="1" selected="0">
            <x v="0"/>
          </reference>
          <reference field="21" count="6">
            <x v="0"/>
            <x v="1"/>
            <x v="4"/>
            <x v="6"/>
            <x v="8"/>
            <x v="9"/>
          </reference>
        </references>
      </pivotArea>
    </format>
    <format dxfId="46">
      <pivotArea dataOnly="0" labelOnly="1" fieldPosition="0">
        <references count="2">
          <reference field="20" count="1" selected="0">
            <x v="2"/>
          </reference>
          <reference field="21" count="7">
            <x v="1"/>
            <x v="4"/>
            <x v="5"/>
            <x v="6"/>
            <x v="7"/>
            <x v="8"/>
            <x v="9"/>
          </reference>
        </references>
      </pivotArea>
    </format>
    <format dxfId="45">
      <pivotArea dataOnly="0" labelOnly="1" outline="0" axis="axisValues" fieldPosition="0"/>
    </format>
    <format dxfId="44">
      <pivotArea type="all" dataOnly="0" outline="0" fieldPosition="0"/>
    </format>
    <format dxfId="43">
      <pivotArea outline="0" collapsedLevelsAreSubtotals="1" fieldPosition="0"/>
    </format>
    <format dxfId="42">
      <pivotArea field="20" type="button" dataOnly="0" labelOnly="1" outline="0" axis="axisRow" fieldPosition="0"/>
    </format>
    <format dxfId="41">
      <pivotArea dataOnly="0" labelOnly="1" fieldPosition="0">
        <references count="1">
          <reference field="20" count="0"/>
        </references>
      </pivotArea>
    </format>
    <format dxfId="40">
      <pivotArea dataOnly="0" labelOnly="1" grandRow="1" outline="0" fieldPosition="0"/>
    </format>
    <format dxfId="39">
      <pivotArea dataOnly="0" labelOnly="1" fieldPosition="0">
        <references count="2">
          <reference field="20" count="1" selected="0">
            <x v="3"/>
          </reference>
          <reference field="21" count="0"/>
        </references>
      </pivotArea>
    </format>
    <format dxfId="38">
      <pivotArea dataOnly="0" labelOnly="1" fieldPosition="0">
        <references count="2">
          <reference field="20" count="1" selected="0">
            <x v="1"/>
          </reference>
          <reference field="21" count="8">
            <x v="0"/>
            <x v="1"/>
            <x v="2"/>
            <x v="5"/>
            <x v="6"/>
            <x v="7"/>
            <x v="8"/>
            <x v="9"/>
          </reference>
        </references>
      </pivotArea>
    </format>
    <format dxfId="37">
      <pivotArea dataOnly="0" labelOnly="1" fieldPosition="0">
        <references count="2">
          <reference field="20" count="1" selected="0">
            <x v="0"/>
          </reference>
          <reference field="21" count="6">
            <x v="0"/>
            <x v="1"/>
            <x v="4"/>
            <x v="6"/>
            <x v="8"/>
            <x v="9"/>
          </reference>
        </references>
      </pivotArea>
    </format>
    <format dxfId="36">
      <pivotArea dataOnly="0" labelOnly="1" fieldPosition="0">
        <references count="2">
          <reference field="20" count="1" selected="0">
            <x v="2"/>
          </reference>
          <reference field="21" count="7">
            <x v="1"/>
            <x v="4"/>
            <x v="5"/>
            <x v="6"/>
            <x v="7"/>
            <x v="8"/>
            <x v="9"/>
          </reference>
        </references>
      </pivotArea>
    </format>
    <format dxfId="35">
      <pivotArea dataOnly="0" labelOnly="1" outline="0" axis="axisValues" fieldPosition="0"/>
    </format>
    <format dxfId="34">
      <pivotArea dataOnly="0" labelOnly="1" outline="0" axis="axisValues"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9E47869-E76B-4E21-81A8-6078296F6BC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9" firstHeaderRow="1" firstDataRow="1" firstDataCol="1" rowPageCount="1" colPageCount="1"/>
  <pivotFields count="28">
    <pivotField showAll="0"/>
    <pivotField axis="axisRow" showAll="0" sortType="descending">
      <items count="464">
        <item m="1" x="457"/>
        <item x="271"/>
        <item x="159"/>
        <item x="281"/>
        <item x="123"/>
        <item x="327"/>
        <item x="108"/>
        <item x="223"/>
        <item x="161"/>
        <item x="189"/>
        <item x="362"/>
        <item x="377"/>
        <item x="152"/>
        <item x="44"/>
        <item x="46"/>
        <item x="313"/>
        <item x="100"/>
        <item x="175"/>
        <item x="179"/>
        <item x="77"/>
        <item x="289"/>
        <item x="224"/>
        <item x="41"/>
        <item x="282"/>
        <item x="91"/>
        <item x="420"/>
        <item x="49"/>
        <item x="50"/>
        <item x="225"/>
        <item x="267"/>
        <item x="265"/>
        <item x="263"/>
        <item x="158"/>
        <item x="268"/>
        <item x="280"/>
        <item x="131"/>
        <item x="144"/>
        <item x="145"/>
        <item x="76"/>
        <item x="416"/>
        <item x="20"/>
        <item x="78"/>
        <item x="371"/>
        <item x="141"/>
        <item x="124"/>
        <item x="397"/>
        <item x="314"/>
        <item x="146"/>
        <item x="432"/>
        <item x="283"/>
        <item x="357"/>
        <item x="404"/>
        <item x="393"/>
        <item x="329"/>
        <item m="1" x="461"/>
        <item x="176"/>
        <item x="302"/>
        <item x="257"/>
        <item x="321"/>
        <item x="79"/>
        <item x="71"/>
        <item x="345"/>
        <item m="1" x="459"/>
        <item x="180"/>
        <item x="315"/>
        <item x="147"/>
        <item x="226"/>
        <item x="51"/>
        <item x="227"/>
        <item x="21"/>
        <item x="291"/>
        <item x="322"/>
        <item x="433"/>
        <item x="228"/>
        <item x="287"/>
        <item x="425"/>
        <item x="323"/>
        <item x="87"/>
        <item x="247"/>
        <item x="181"/>
        <item x="348"/>
        <item x="94"/>
        <item x="132"/>
        <item x="197"/>
        <item x="148"/>
        <item m="1" x="455"/>
        <item x="421"/>
        <item x="198"/>
        <item x="149"/>
        <item x="90"/>
        <item x="16"/>
        <item x="405"/>
        <item x="385"/>
        <item x="409"/>
        <item x="303"/>
        <item x="162"/>
        <item x="413"/>
        <item x="290"/>
        <item x="407"/>
        <item x="52"/>
        <item x="305"/>
        <item x="105"/>
        <item x="365"/>
        <item x="408"/>
        <item x="43"/>
        <item x="372"/>
        <item x="229"/>
        <item x="272"/>
        <item x="172"/>
        <item x="297"/>
        <item x="80"/>
        <item x="22"/>
        <item x="182"/>
        <item x="398"/>
        <item x="53"/>
        <item x="399"/>
        <item x="434"/>
        <item x="435"/>
        <item x="400"/>
        <item x="422"/>
        <item x="150"/>
        <item x="344"/>
        <item x="1"/>
        <item x="439"/>
        <item x="86"/>
        <item x="30"/>
        <item x="396"/>
        <item x="406"/>
        <item x="31"/>
        <item x="391"/>
        <item x="349"/>
        <item x="279"/>
        <item x="125"/>
        <item x="273"/>
        <item x="102"/>
        <item x="81"/>
        <item x="177"/>
        <item x="7"/>
        <item x="336"/>
        <item x="306"/>
        <item x="88"/>
        <item x="401"/>
        <item x="350"/>
        <item x="419"/>
        <item x="120"/>
        <item x="95"/>
        <item x="296"/>
        <item x="351"/>
        <item x="163"/>
        <item x="164"/>
        <item m="1" x="460"/>
        <item x="133"/>
        <item x="375"/>
        <item x="54"/>
        <item x="73"/>
        <item x="103"/>
        <item x="199"/>
        <item x="230"/>
        <item x="254"/>
        <item x="360"/>
        <item x="436"/>
        <item x="298"/>
        <item x="27"/>
        <item x="15"/>
        <item x="353"/>
        <item x="418"/>
        <item x="359"/>
        <item x="295"/>
        <item x="231"/>
        <item x="55"/>
        <item x="378"/>
        <item x="232"/>
        <item x="437"/>
        <item x="200"/>
        <item x="201"/>
        <item x="56"/>
        <item x="258"/>
        <item x="274"/>
        <item x="330"/>
        <item x="34"/>
        <item x="361"/>
        <item x="57"/>
        <item x="126"/>
        <item x="222"/>
        <item x="233"/>
        <item x="45"/>
        <item x="335"/>
        <item x="417"/>
        <item x="426"/>
        <item x="165"/>
        <item x="166"/>
        <item x="167"/>
        <item x="168"/>
        <item x="156"/>
        <item x="58"/>
        <item x="284"/>
        <item x="392"/>
        <item x="2"/>
        <item x="109"/>
        <item x="245"/>
        <item x="259"/>
        <item x="269"/>
        <item x="324"/>
        <item x="299"/>
        <item x="23"/>
        <item x="14"/>
        <item x="202"/>
        <item x="151"/>
        <item x="319"/>
        <item x="292"/>
        <item x="337"/>
        <item x="118"/>
        <item x="169"/>
        <item x="183"/>
        <item x="203"/>
        <item x="204"/>
        <item x="101"/>
        <item x="129"/>
        <item x="300"/>
        <item x="104"/>
        <item x="307"/>
        <item x="4"/>
        <item x="155"/>
        <item x="28"/>
        <item x="18"/>
        <item x="205"/>
        <item x="96"/>
        <item x="196"/>
        <item x="12"/>
        <item x="97"/>
        <item x="135"/>
        <item x="13"/>
        <item x="369"/>
        <item x="234"/>
        <item x="248"/>
        <item x="235"/>
        <item x="236"/>
        <item x="373"/>
        <item x="184"/>
        <item m="1" x="458"/>
        <item x="237"/>
        <item x="153"/>
        <item x="275"/>
        <item x="117"/>
        <item x="238"/>
        <item x="331"/>
        <item x="387"/>
        <item x="354"/>
        <item x="388"/>
        <item x="35"/>
        <item x="11"/>
        <item x="304"/>
        <item x="206"/>
        <item x="389"/>
        <item x="414"/>
        <item x="249"/>
        <item x="427"/>
        <item x="264"/>
        <item x="308"/>
        <item x="309"/>
        <item x="24"/>
        <item x="355"/>
        <item x="59"/>
        <item x="352"/>
        <item x="110"/>
        <item x="111"/>
        <item x="60"/>
        <item x="47"/>
        <item x="311"/>
        <item x="61"/>
        <item x="332"/>
        <item x="424"/>
        <item x="62"/>
        <item x="63"/>
        <item x="112"/>
        <item x="301"/>
        <item x="246"/>
        <item x="207"/>
        <item x="410"/>
        <item x="170"/>
        <item x="208"/>
        <item x="173"/>
        <item x="403"/>
        <item x="338"/>
        <item x="368"/>
        <item m="1" x="456"/>
        <item x="92"/>
        <item x="370"/>
        <item x="438"/>
        <item x="48"/>
        <item x="293"/>
        <item x="346"/>
        <item x="191"/>
        <item x="255"/>
        <item x="19"/>
        <item x="8"/>
        <item x="209"/>
        <item x="339"/>
        <item x="210"/>
        <item x="134"/>
        <item x="379"/>
        <item x="36"/>
        <item x="42"/>
        <item x="260"/>
        <item x="423"/>
        <item x="211"/>
        <item x="185"/>
        <item x="286"/>
        <item x="89"/>
        <item x="356"/>
        <item x="376"/>
        <item x="340"/>
        <item x="136"/>
        <item x="37"/>
        <item x="142"/>
        <item x="113"/>
        <item x="192"/>
        <item x="106"/>
        <item x="137"/>
        <item x="160"/>
        <item x="174"/>
        <item x="212"/>
        <item x="186"/>
        <item x="187"/>
        <item x="320"/>
        <item x="171"/>
        <item x="64"/>
        <item x="38"/>
        <item x="130"/>
        <item x="239"/>
        <item x="114"/>
        <item x="316"/>
        <item x="364"/>
        <item x="39"/>
        <item x="40"/>
        <item x="72"/>
        <item x="270"/>
        <item x="65"/>
        <item x="380"/>
        <item x="3"/>
        <item x="193"/>
        <item x="333"/>
        <item x="213"/>
        <item x="374"/>
        <item x="214"/>
        <item x="215"/>
        <item x="66"/>
        <item x="188"/>
        <item x="411"/>
        <item x="428"/>
        <item x="312"/>
        <item x="382"/>
        <item x="216"/>
        <item x="9"/>
        <item x="121"/>
        <item x="217"/>
        <item x="190"/>
        <item x="115"/>
        <item x="25"/>
        <item x="250"/>
        <item x="381"/>
        <item x="288"/>
        <item x="218"/>
        <item x="394"/>
        <item x="194"/>
        <item x="429"/>
        <item x="285"/>
        <item m="1" x="462"/>
        <item x="251"/>
        <item x="219"/>
        <item x="276"/>
        <item x="74"/>
        <item x="17"/>
        <item x="244"/>
        <item x="0"/>
        <item x="83"/>
        <item x="195"/>
        <item x="98"/>
        <item x="261"/>
        <item x="75"/>
        <item x="138"/>
        <item x="119"/>
        <item x="220"/>
        <item x="341"/>
        <item x="395"/>
        <item x="26"/>
        <item x="386"/>
        <item x="310"/>
        <item x="5"/>
        <item x="266"/>
        <item x="93"/>
        <item x="430"/>
        <item x="325"/>
        <item x="262"/>
        <item x="278"/>
        <item x="317"/>
        <item x="431"/>
        <item x="67"/>
        <item x="99"/>
        <item x="243"/>
        <item x="157"/>
        <item x="342"/>
        <item x="122"/>
        <item x="127"/>
        <item x="128"/>
        <item x="256"/>
        <item x="347"/>
        <item m="1" x="454"/>
        <item x="32"/>
        <item x="240"/>
        <item x="402"/>
        <item x="178"/>
        <item x="440"/>
        <item x="154"/>
        <item x="366"/>
        <item x="252"/>
        <item x="6"/>
        <item x="33"/>
        <item x="343"/>
        <item x="139"/>
        <item x="84"/>
        <item x="68"/>
        <item x="29"/>
        <item x="294"/>
        <item x="363"/>
        <item x="383"/>
        <item x="326"/>
        <item x="412"/>
        <item x="221"/>
        <item x="116"/>
        <item x="253"/>
        <item x="367"/>
        <item x="140"/>
        <item x="69"/>
        <item x="82"/>
        <item x="107"/>
        <item x="358"/>
        <item x="143"/>
        <item x="277"/>
        <item x="10"/>
        <item x="70"/>
        <item x="415"/>
        <item x="242"/>
        <item x="318"/>
        <item x="384"/>
        <item x="241"/>
        <item x="85"/>
        <item x="328"/>
        <item x="390"/>
        <item x="334"/>
        <item x="441"/>
        <item x="442"/>
        <item x="443"/>
        <item x="444"/>
        <item x="445"/>
        <item x="446"/>
        <item x="447"/>
        <item x="448"/>
        <item x="449"/>
        <item x="450"/>
        <item x="451"/>
        <item x="452"/>
        <item x="453"/>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showAll="0">
      <items count="19">
        <item m="1" x="17"/>
        <item x="15"/>
        <item x="9"/>
        <item x="14"/>
        <item x="0"/>
        <item x="4"/>
        <item x="13"/>
        <item x="2"/>
        <item x="12"/>
        <item x="6"/>
        <item x="5"/>
        <item x="16"/>
        <item x="11"/>
        <item x="8"/>
        <item x="10"/>
        <item x="7"/>
        <item x="3"/>
        <item x="1"/>
        <item t="default"/>
      </items>
    </pivotField>
    <pivotField showAll="0"/>
    <pivotField showAll="0"/>
    <pivotField showAll="0"/>
    <pivotField showAll="0"/>
    <pivotField showAll="0"/>
    <pivotField showAll="0"/>
    <pivotField numFmtId="165" showAll="0"/>
    <pivotField showAll="0"/>
    <pivotField dataField="1" numFmtId="165" showAll="0"/>
    <pivotField showAll="0"/>
    <pivotField numFmtId="166" showAll="0"/>
    <pivotField showAll="0"/>
    <pivotField showAll="0"/>
    <pivotField numFmtId="165" showAll="0"/>
    <pivotField showAll="0"/>
    <pivotField showAll="0"/>
    <pivotField showAll="0"/>
    <pivotField showAll="0"/>
    <pivotField showAll="0"/>
    <pivotField showAll="0"/>
    <pivotField showAll="0"/>
    <pivotField showAll="0"/>
  </pivotFields>
  <rowFields count="1">
    <field x="1"/>
  </rowFields>
  <rowItems count="26">
    <i>
      <x v="199"/>
    </i>
    <i>
      <x v="122"/>
    </i>
    <i>
      <x v="417"/>
    </i>
    <i>
      <x v="231"/>
    </i>
    <i>
      <x v="403"/>
    </i>
    <i>
      <x v="17"/>
    </i>
    <i>
      <x v="413"/>
    </i>
    <i>
      <x v="12"/>
    </i>
    <i>
      <x v="197"/>
    </i>
    <i>
      <x v="9"/>
    </i>
    <i>
      <x v="404"/>
    </i>
    <i>
      <x v="399"/>
    </i>
    <i>
      <x v="339"/>
    </i>
    <i>
      <x v="162"/>
    </i>
    <i>
      <x v="434"/>
    </i>
    <i>
      <x v="359"/>
    </i>
    <i>
      <x v="351"/>
    </i>
    <i>
      <x v="50"/>
    </i>
    <i>
      <x v="314"/>
    </i>
    <i>
      <x v="416"/>
    </i>
    <i>
      <x v="361"/>
    </i>
    <i>
      <x v="310"/>
    </i>
    <i>
      <x v="20"/>
    </i>
    <i>
      <x v="299"/>
    </i>
    <i>
      <x v="450"/>
    </i>
    <i t="grand">
      <x/>
    </i>
  </rowItems>
  <colItems count="1">
    <i/>
  </colItems>
  <pageFields count="1">
    <pageField fld="5" item="17" hier="-1"/>
  </pageFields>
  <dataFields count="1">
    <dataField name="Sum of Total Sales" fld="14" baseField="0" baseItem="0"/>
  </dataFields>
  <formats count="7">
    <format dxfId="33">
      <pivotArea outline="0" collapsedLevelsAreSubtotals="1" fieldPosition="0"/>
    </format>
    <format dxfId="32">
      <pivotArea type="all" dataOnly="0" outline="0" fieldPosition="0"/>
    </format>
    <format dxfId="31">
      <pivotArea outline="0" collapsedLevelsAreSubtotals="1" fieldPosition="0"/>
    </format>
    <format dxfId="30">
      <pivotArea field="1" type="button" dataOnly="0" labelOnly="1" outline="0" axis="axisRow" fieldPosition="0"/>
    </format>
    <format dxfId="29">
      <pivotArea dataOnly="0" labelOnly="1" fieldPosition="0">
        <references count="1">
          <reference field="1" count="25">
            <x v="9"/>
            <x v="12"/>
            <x v="17"/>
            <x v="20"/>
            <x v="50"/>
            <x v="54"/>
            <x v="122"/>
            <x v="162"/>
            <x v="197"/>
            <x v="199"/>
            <x v="231"/>
            <x v="299"/>
            <x v="310"/>
            <x v="314"/>
            <x v="339"/>
            <x v="351"/>
            <x v="359"/>
            <x v="361"/>
            <x v="399"/>
            <x v="403"/>
            <x v="404"/>
            <x v="413"/>
            <x v="416"/>
            <x v="417"/>
            <x v="434"/>
          </reference>
        </references>
      </pivotArea>
    </format>
    <format dxfId="28">
      <pivotArea dataOnly="0" labelOnly="1" grandRow="1" outline="0" fieldPosition="0"/>
    </format>
    <format dxfId="27">
      <pivotArea dataOnly="0" labelOnly="1" outline="0" axis="axisValues"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6330524-B40C-4B51-AA68-AFC914F17C8E}" sourceName="Year">
  <pivotTables>
    <pivotTable tabId="26" name="PivotTable5"/>
  </pivotTables>
  <data>
    <tabular pivotCacheId="1622486016">
      <items count="9">
        <i x="0" s="1"/>
        <i x="1" s="1"/>
        <i x="3" s="1"/>
        <i x="4" s="1"/>
        <i x="2" s="1"/>
        <i x="6" s="1"/>
        <i x="5" s="1"/>
        <i x="8"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9135F25-1B28-4BBF-80E0-6B935F90C686}" sourceName="Month">
  <pivotTables>
    <pivotTable tabId="26" name="PivotTable5"/>
  </pivotTables>
  <data>
    <tabular pivotCacheId="1622486016">
      <items count="14">
        <i x="6" s="1"/>
        <i x="7" s="1"/>
        <i x="8" s="1"/>
        <i x="9" s="1"/>
        <i x="10" s="1"/>
        <i x="1" s="1"/>
        <i x="2" s="1"/>
        <i x="3" s="1"/>
        <i x="4" s="1"/>
        <i x="12" s="1"/>
        <i x="5" s="1"/>
        <i x="0" s="1"/>
        <i x="11" s="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E2BFA4E-D1C6-4AB2-925C-61CADC1DB6DD}" sourceName="Product">
  <pivotTables>
    <pivotTable tabId="42" name="PivotTable1"/>
  </pivotTables>
  <data>
    <tabular pivotCacheId="1622486016">
      <items count="16">
        <i x="6" s="1"/>
        <i x="0" s="1"/>
        <i x="5" s="1"/>
        <i x="4" s="1"/>
        <i x="8" s="1"/>
        <i x="15" s="1" nd="1"/>
        <i x="14" s="1" nd="1"/>
        <i x="1" s="1" nd="1"/>
        <i x="2" s="1" nd="1"/>
        <i x="12" s="1" nd="1"/>
        <i x="9" s="1" nd="1"/>
        <i x="11" s="1" nd="1"/>
        <i x="7" s="1" nd="1"/>
        <i x="13" s="1" nd="1"/>
        <i x="10"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24058008-B483-4656-BEDE-3A348FBE0CEF}" cache="Slicer_Product" caption="Product" columnCount="4" rowHeight="21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BB0252F-DC87-4347-8A2D-0C2A6FBA03F4}" cache="Slicer_Year" caption="Year" columnCount="4" style="SlicerStyleLight2" rowHeight="216000"/>
  <slicer name="Month" xr10:uid="{D0764170-5DF1-4DF7-9F6F-B3C60E2880F3}" cache="Slicer_Month" caption="Month" columnCount="4" style="SlicerStyleLight2"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434241-E672-4A28-A807-31ACDD19FCE4}" name="Table5" displayName="Table5" ref="B4:C94" totalsRowShown="0">
  <autoFilter ref="B4:C94" xr:uid="{29434241-E672-4A28-A807-31ACDD19FCE4}">
    <filterColumn colId="0">
      <filters>
        <filter val="Catholic University of Rwanda (CUR)"/>
        <filter val="CMHSBD"/>
        <filter val="CMU"/>
        <filter val="Gishali Integrated Polytechnique"/>
        <filter val="ICK"/>
        <filter val="ILPD"/>
        <filter val="INILAK"/>
        <filter val="IPRC EAST"/>
        <filter val="IPRC Musanze"/>
        <filter val="IPRC-KICUKIRO"/>
        <filter val="IPRC-SOUTH"/>
        <filter val="IPRC-WEST"/>
        <filter val="KITABI 2ND LINK"/>
        <filter val="KITABI COLLEGE OF CONSERVATION AND MANAGEMENT"/>
        <filter val="KITABI MAIN -COLLEGE"/>
        <filter val="Kitabi-upsite"/>
        <filter val="MKU"/>
        <filter val="Musanze Polytechnic"/>
        <filter val="RWANDA POLYTECHNIC"/>
        <filter val="TUMBA COLLEGE OF TECHNOLOGY"/>
        <filter val="UGHE"/>
        <filter val="UNIVERSITE LIBRE DE KIGALI (ULK-GISENYI)"/>
        <filter val="UNIVERSITY OF GITWE"/>
      </filters>
    </filterColumn>
  </autoFilter>
  <sortState xmlns:xlrd2="http://schemas.microsoft.com/office/spreadsheetml/2017/richdata2" ref="B8:C49">
    <sortCondition descending="1" ref="C4:C94"/>
  </sortState>
  <tableColumns count="2">
    <tableColumn id="1" xr3:uid="{A83894EB-81C6-4357-A1C0-F86096319F49}" name="University/HLI"/>
    <tableColumn id="2" xr3:uid="{B725D54F-7BA4-4E9F-B61A-27EC3E227CB0}" name="Sum of BW"/>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E8F879-0899-4F79-8C48-7FDB827C5AC5}" name="Table1" displayName="Table1" ref="A1:AC2351" totalsRowShown="0" headerRowDxfId="90" dataDxfId="88" headerRowBorderDxfId="89" tableBorderDxfId="87" totalsRowBorderDxfId="86" headerRowCellStyle="Comma">
  <autoFilter ref="A1:AC2351" xr:uid="{A799C380-774B-48F8-AD5A-9249938E2CED}">
    <filterColumn colId="22">
      <filters>
        <filter val="BANZA"/>
      </filters>
    </filterColumn>
  </autoFilter>
  <sortState xmlns:xlrd2="http://schemas.microsoft.com/office/spreadsheetml/2017/richdata2" ref="A2:AC2291">
    <sortCondition descending="1" ref="U1:U2291"/>
  </sortState>
  <tableColumns count="29">
    <tableColumn id="1" xr3:uid="{E7B36A0C-EA22-4688-BA58-8B3DE48A5641}" name="BP Code" dataDxfId="85"/>
    <tableColumn id="2" xr3:uid="{E537ABA3-F98A-44BE-90AA-349D18E627DE}" name="BP Name" dataDxfId="84"/>
    <tableColumn id="3" xr3:uid="{76F8B55F-F393-40F6-BA04-607BB2AEC655}" name="Customer Site" dataDxfId="83"/>
    <tableColumn id="4" xr3:uid="{31102C11-EAD4-4BD7-95C2-C28C95EA841D}" name="District" dataDxfId="82"/>
    <tableColumn id="5" xr3:uid="{821A69E8-C063-4F0A-B37F-7A9F1B89C9D4}" name="Profile" dataDxfId="81" dataCellStyle="Comma"/>
    <tableColumn id="6" xr3:uid="{9848CFFF-831A-4471-AF70-24BD87B34756}" name="Sector" dataDxfId="80" dataCellStyle="Comma"/>
    <tableColumn id="24" xr3:uid="{DF61E470-AF5A-430B-9346-8043B631C3A8}" name="Customer Category" dataDxfId="79" dataCellStyle="Comma"/>
    <tableColumn id="7" xr3:uid="{8A3CAFD1-9F25-4EA7-AE82-9D241B73083A}" name="Supplier" dataDxfId="78"/>
    <tableColumn id="8" xr3:uid="{170F7A62-5329-4202-BCF0-0213E42A7C93}" name="Product" dataDxfId="77" dataCellStyle="Comma"/>
    <tableColumn id="9" xr3:uid="{2926C478-BADE-4E89-B358-647751A3D917}" name="BW" dataDxfId="76" dataCellStyle="Comma"/>
    <tableColumn id="10" xr3:uid="{0527785B-32AB-469F-811B-C629926F69EC}" name="Item/Service Description" dataDxfId="75"/>
    <tableColumn id="11" xr3:uid="{1C614ABE-7EB6-475C-913F-6BED931D431D}" name="Kms DFL Only" dataDxfId="74"/>
    <tableColumn id="12" xr3:uid="{28452CE3-B02D-4022-8EA1-2CEFEE147C61}" name="Quantity" dataDxfId="73" dataCellStyle="Comma"/>
    <tableColumn id="13" xr3:uid="{D8C5BA7A-25DD-44FE-A68E-609795ACAC5C}" name="Price" dataDxfId="72" dataCellStyle="Comma"/>
    <tableColumn id="14" xr3:uid="{E49F569B-CDFF-4563-9E47-24B90D6F0383}" name="Total Sales" dataDxfId="71" dataCellStyle="Comma">
      <calculatedColumnFormula>N2*M2</calculatedColumnFormula>
    </tableColumn>
    <tableColumn id="29" xr3:uid="{68B0034B-3EBB-4CD8-990A-4FA34FFFA433}" name="Total Targets" dataDxfId="70" dataCellStyle="Comma"/>
    <tableColumn id="15" xr3:uid="{9B0B943E-98D5-4B21-BCB2-ED3E3FDA36E4}" name="Billing Cycle" dataDxfId="69" dataCellStyle="Comma"/>
    <tableColumn id="16" xr3:uid="{76215B46-8DE7-4B84-8C78-8CCB57EF029D}" name="End Date" dataDxfId="68"/>
    <tableColumn id="26" xr3:uid="{49982DD9-EAD4-4E30-9479-29D496579094}" name="Month" dataDxfId="67">
      <calculatedColumnFormula>TEXT(Table1[[#This Row],[End Date]],"MMMM")</calculatedColumnFormula>
    </tableColumn>
    <tableColumn id="25" xr3:uid="{2DDAEF98-67D6-4A80-BAE9-2D0DC7AAD8A8}" name="Year" dataDxfId="66" dataCellStyle="Comma">
      <calculatedColumnFormula>TEXT(Table1[[#This Row],[End Date]],"YYYY")</calculatedColumnFormula>
    </tableColumn>
    <tableColumn id="18" xr3:uid="{35BAACDE-736C-4618-87A0-46FA44BDBA4F}" name="Agreement Days" dataDxfId="65" dataCellStyle="Comma">
      <calculatedColumnFormula>TODAY()-R2</calculatedColumnFormula>
    </tableColumn>
    <tableColumn id="19" xr3:uid="{F7C81EE1-0082-47C3-B6B3-83AC056D4529}" name="Contract Status" dataDxfId="64" dataCellStyle="Comma">
      <calculatedColumnFormula array="1">_xlfn.IFS(Table1[[#This Row],[Agreement Days]]&gt;=0,"Expired",Table1[[#This Row],[Agreement Days]]&gt;=-30,"Expires &lt; 30 Days",Table1[[#This Row],[Agreement Days]]&gt;=-60,"Expires &lt; 60 Days",Table1[[#This Row],[Agreement Days]]&lt;-60,"Valid Contract")</calculatedColumnFormula>
    </tableColumn>
    <tableColumn id="20" xr3:uid="{B955CA7C-409E-48FB-874B-87642D1E4B8F}" name="Account Manager" dataDxfId="63"/>
    <tableColumn id="21" xr3:uid="{C3833EBB-22CF-402F-878B-A61D2074FD87}" name="Contact Person" dataDxfId="62"/>
    <tableColumn id="22" xr3:uid="{EE239BC2-44E7-4F7D-86FB-6B320233CFFF}" name="CP Email" dataDxfId="61" dataCellStyle="Hyperlink"/>
    <tableColumn id="23" xr3:uid="{D2AA99BD-F7C4-45A3-ACAB-9521EB72D5FC}" name="CP Phone" dataDxfId="60"/>
    <tableColumn id="17" xr3:uid="{94C8BBFC-7851-4613-87F3-ECA3DB847960}" name="Comment" dataDxfId="59"/>
    <tableColumn id="27" xr3:uid="{F1A4A3C5-C08E-40A6-812C-194BC8B35ECE}" name="Column1" dataDxfId="58"/>
    <tableColumn id="28" xr3:uid="{0750D436-F4BC-4D4D-A5D5-DE39E0017FBC}" name="Column2" dataDxfId="5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5.xml"/><Relationship Id="rId5" Type="http://schemas.openxmlformats.org/officeDocument/2006/relationships/comments" Target="../comments1.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1" Type="http://schemas.openxmlformats.org/officeDocument/2006/relationships/hyperlink" Target="mailto:ngendapr@yahoo.fr" TargetMode="External"/><Relationship Id="rId170" Type="http://schemas.openxmlformats.org/officeDocument/2006/relationships/hyperlink" Target="mailto:crwagasore@migration.gov.rw,mrwamwaga@state.gov.rw,dkuwase@state.gov.rw" TargetMode="External"/><Relationship Id="rId268" Type="http://schemas.openxmlformats.org/officeDocument/2006/relationships/hyperlink" Target="mailto:dirinfosyscec@minadef.gov.rw" TargetMode="External"/><Relationship Id="rId475" Type="http://schemas.openxmlformats.org/officeDocument/2006/relationships/hyperlink" Target="mailto:kozigundusacco@gmail.com" TargetMode="External"/><Relationship Id="rId682" Type="http://schemas.openxmlformats.org/officeDocument/2006/relationships/hyperlink" Target="mailto:mukamahoro07@gmail.com" TargetMode="External"/><Relationship Id="rId128" Type="http://schemas.openxmlformats.org/officeDocument/2006/relationships/hyperlink" Target="mailto:crwagasore@migration.gov.rw,mrwamwaga@state.gov.rw,dkuwase@state.gov.rw" TargetMode="External"/><Relationship Id="rId335" Type="http://schemas.openxmlformats.org/officeDocument/2006/relationships/hyperlink" Target="mailto:mntabana@unicef.org" TargetMode="External"/><Relationship Id="rId542" Type="http://schemas.openxmlformats.org/officeDocument/2006/relationships/hyperlink" Target="mailto:prosper.ndutiye@flyzipline.com" TargetMode="External"/><Relationship Id="rId987" Type="http://schemas.openxmlformats.org/officeDocument/2006/relationships/hyperlink" Target="mailto:o.hategeka@bdf.rw" TargetMode="External"/><Relationship Id="rId1172" Type="http://schemas.openxmlformats.org/officeDocument/2006/relationships/hyperlink" Target="mailto:sosthene.nsabimana@nppa.gov.rw" TargetMode="External"/><Relationship Id="rId402" Type="http://schemas.openxmlformats.org/officeDocument/2006/relationships/hyperlink" Target="mailto:denise.mugisha@gasmeth.com" TargetMode="External"/><Relationship Id="rId847" Type="http://schemas.openxmlformats.org/officeDocument/2006/relationships/hyperlink" Target="mailto:rbob@mvend.co.rw" TargetMode="External"/><Relationship Id="rId1032" Type="http://schemas.openxmlformats.org/officeDocument/2006/relationships/hyperlink" Target="mailto:dirinfosyscec@minadef.gov.rw" TargetMode="External"/><Relationship Id="rId707" Type="http://schemas.openxmlformats.org/officeDocument/2006/relationships/hyperlink" Target="mailto:nyabikenke.hospital@moh.gov.rw" TargetMode="External"/><Relationship Id="rId914" Type="http://schemas.openxmlformats.org/officeDocument/2006/relationships/hyperlink" Target="mailto:odette.kampire@rssb.rw" TargetMode="External"/><Relationship Id="rId1337" Type="http://schemas.openxmlformats.org/officeDocument/2006/relationships/hyperlink" Target="mailto:sage.umutoniwabo@trac.africa" TargetMode="External"/><Relationship Id="rId43" Type="http://schemas.openxmlformats.org/officeDocument/2006/relationships/hyperlink" Target="mailto:anicet.kubwumuremyi@rra.gov.rw,claudine.byukusenge@rra.gov.rw" TargetMode="External"/><Relationship Id="rId192" Type="http://schemas.openxmlformats.org/officeDocument/2006/relationships/hyperlink" Target="mailto:crwagasore@migration.gov.rw,mrwamwaga@state.gov.rw,dkuwase@state.gov.rw" TargetMode="External"/><Relationship Id="rId497" Type="http://schemas.openxmlformats.org/officeDocument/2006/relationships/hyperlink" Target="mailto:prosper.hakizimana@nyarugenge.gov.rw" TargetMode="External"/><Relationship Id="rId357" Type="http://schemas.openxmlformats.org/officeDocument/2006/relationships/hyperlink" Target="mailto:eric.ntaganzwa@nida.gov.rw" TargetMode="External"/><Relationship Id="rId1194" Type="http://schemas.openxmlformats.org/officeDocument/2006/relationships/hyperlink" Target="mailto:rene.manzi@mtn.com" TargetMode="External"/><Relationship Id="rId217" Type="http://schemas.openxmlformats.org/officeDocument/2006/relationships/hyperlink" Target="mailto:agashugi@primature.gov.rw" TargetMode="External"/><Relationship Id="rId564" Type="http://schemas.openxmlformats.org/officeDocument/2006/relationships/hyperlink" Target="mailto:ictofficer@huye.gov.rw" TargetMode="External"/><Relationship Id="rId771" Type="http://schemas.openxmlformats.org/officeDocument/2006/relationships/hyperlink" Target="mailto:gihundwe.hospital@moh.gov.rw" TargetMode="External"/><Relationship Id="rId869" Type="http://schemas.openxmlformats.org/officeDocument/2006/relationships/hyperlink" Target="mailto:BRWIGAMBA@mineduc.gov.rw" TargetMode="External"/><Relationship Id="rId424" Type="http://schemas.openxmlformats.org/officeDocument/2006/relationships/hyperlink" Target="mailto:tkayumba@ncst.gov.rw" TargetMode="External"/><Relationship Id="rId631" Type="http://schemas.openxmlformats.org/officeDocument/2006/relationships/hyperlink" Target="mailto:semanaeric01@gmail.com" TargetMode="External"/><Relationship Id="rId729" Type="http://schemas.openxmlformats.org/officeDocument/2006/relationships/hyperlink" Target="mailto:kirehe.hospital@moh.gov.rw" TargetMode="External"/><Relationship Id="rId1054" Type="http://schemas.openxmlformats.org/officeDocument/2006/relationships/hyperlink" Target="mailto:jckabayiza@iprcsouth.ac.rw;imugisha@iprchuye.rp.ac.rw;cajem123@gmail.com" TargetMode="External"/><Relationship Id="rId1261" Type="http://schemas.openxmlformats.org/officeDocument/2006/relationships/hyperlink" Target="mailto:fred.gashemeza@judiciary.gov.rw" TargetMode="External"/><Relationship Id="rId1359" Type="http://schemas.openxmlformats.org/officeDocument/2006/relationships/hyperlink" Target="mailto:jruzigana@isco.co.rw" TargetMode="External"/><Relationship Id="rId936" Type="http://schemas.openxmlformats.org/officeDocument/2006/relationships/hyperlink" Target="mailto:exec@nyanza.gov.rw" TargetMode="External"/><Relationship Id="rId1121" Type="http://schemas.openxmlformats.org/officeDocument/2006/relationships/hyperlink" Target="mailto:irene@simbanet.co.ke" TargetMode="External"/><Relationship Id="rId1219" Type="http://schemas.openxmlformats.org/officeDocument/2006/relationships/hyperlink" Target="mailto:raymond.ntirenganya@minubumwe.gov.rw" TargetMode="External"/><Relationship Id="rId65" Type="http://schemas.openxmlformats.org/officeDocument/2006/relationships/hyperlink" Target="mailto:anicet.kubwumuremyi@rra.gov.rw,claudine.byukusenge@rra.gov.rw" TargetMode="External"/><Relationship Id="rId281" Type="http://schemas.openxmlformats.org/officeDocument/2006/relationships/hyperlink" Target="mailto:dirinfosyscec@minadef.gov.rw" TargetMode="External"/><Relationship Id="rId141" Type="http://schemas.openxmlformats.org/officeDocument/2006/relationships/hyperlink" Target="mailto:crwagasore@migration.gov.rw,mrwamwaga@state.gov.rw,dkuwase@state.gov.rw" TargetMode="External"/><Relationship Id="rId379" Type="http://schemas.openxmlformats.org/officeDocument/2006/relationships/hyperlink" Target="mailto:jbosco.dusabimana@nrs.gov.rw" TargetMode="External"/><Relationship Id="rId586" Type="http://schemas.openxmlformats.org/officeDocument/2006/relationships/hyperlink" Target="mailto:nzabandoraf@gmail.com" TargetMode="External"/><Relationship Id="rId793" Type="http://schemas.openxmlformats.org/officeDocument/2006/relationships/hyperlink" Target="mailto:emwizerwa@nesa.gov.rw" TargetMode="External"/><Relationship Id="rId7" Type="http://schemas.openxmlformats.org/officeDocument/2006/relationships/hyperlink" Target="mailto:dirinfosyscec@minadef.gov.rw" TargetMode="External"/><Relationship Id="rId239" Type="http://schemas.openxmlformats.org/officeDocument/2006/relationships/hyperlink" Target="mailto:ijabosaccokigaramaa@gmail.com" TargetMode="External"/><Relationship Id="rId446" Type="http://schemas.openxmlformats.org/officeDocument/2006/relationships/hyperlink" Target="mailto:auwisibo@presidency.gov.rw" TargetMode="External"/><Relationship Id="rId653" Type="http://schemas.openxmlformats.org/officeDocument/2006/relationships/hyperlink" Target="mailto:mntabana@unicef.org" TargetMode="External"/><Relationship Id="rId1076" Type="http://schemas.openxmlformats.org/officeDocument/2006/relationships/hyperlink" Target="mailto:anindacet@yahoo.fr;groupekabare@gmail.com" TargetMode="External"/><Relationship Id="rId1283" Type="http://schemas.openxmlformats.org/officeDocument/2006/relationships/hyperlink" Target="mailto:jmv.mbonyumuvunyi@mininter.gov.rw%3E" TargetMode="External"/><Relationship Id="rId306" Type="http://schemas.openxmlformats.org/officeDocument/2006/relationships/hyperlink" Target="mailto:dirinfosyscec@minadef.gov.rw" TargetMode="External"/><Relationship Id="rId860" Type="http://schemas.openxmlformats.org/officeDocument/2006/relationships/hyperlink" Target="mailto:rba_it@rba.co.rw" TargetMode="External"/><Relationship Id="rId958" Type="http://schemas.openxmlformats.org/officeDocument/2006/relationships/hyperlink" Target="mailto:rmutabazi@ralga.rw" TargetMode="External"/><Relationship Id="rId1143" Type="http://schemas.openxmlformats.org/officeDocument/2006/relationships/hyperlink" Target="mailto:frugema@rac.co.rw" TargetMode="External"/><Relationship Id="rId87" Type="http://schemas.openxmlformats.org/officeDocument/2006/relationships/hyperlink" Target="mailto:anicet.kubwumuremyi@rra.gov.rw,claudine.byukusenge@rra.gov.rw" TargetMode="External"/><Relationship Id="rId513" Type="http://schemas.openxmlformats.org/officeDocument/2006/relationships/hyperlink" Target="mailto:vniyomugenga@nilebasin.org" TargetMode="External"/><Relationship Id="rId720" Type="http://schemas.openxmlformats.org/officeDocument/2006/relationships/hyperlink" Target="mailto:muhima.hospital@moh.gov.rw" TargetMode="External"/><Relationship Id="rId818" Type="http://schemas.openxmlformats.org/officeDocument/2006/relationships/hyperlink" Target="mailto:dukuzumuremyi@cooperation.rw" TargetMode="External"/><Relationship Id="rId1350" Type="http://schemas.openxmlformats.org/officeDocument/2006/relationships/hyperlink" Target="mailto:brice.kayihura@aos.rw" TargetMode="External"/><Relationship Id="rId1003" Type="http://schemas.openxmlformats.org/officeDocument/2006/relationships/hyperlink" Target="mailto:dirinfosyscec@minadef.gov.rw" TargetMode="External"/><Relationship Id="rId1210" Type="http://schemas.openxmlformats.org/officeDocument/2006/relationships/hyperlink" Target="mailto:headcec@minadef.gov.rw" TargetMode="External"/><Relationship Id="rId1308" Type="http://schemas.openxmlformats.org/officeDocument/2006/relationships/hyperlink" Target="mailto:ramadhani.nshaka@liquid.tech" TargetMode="External"/><Relationship Id="rId14" Type="http://schemas.openxmlformats.org/officeDocument/2006/relationships/hyperlink" Target="mailto:dirinfosyscec@minadef.gov.rw" TargetMode="External"/><Relationship Id="rId163" Type="http://schemas.openxmlformats.org/officeDocument/2006/relationships/hyperlink" Target="mailto:crwagasore@migration.gov.rw,mrwamwaga@state.gov.rw,dkuwase@state.gov.rw" TargetMode="External"/><Relationship Id="rId370" Type="http://schemas.openxmlformats.org/officeDocument/2006/relationships/hyperlink" Target="mailto:murenzi.igor@mastersteel.co" TargetMode="External"/><Relationship Id="rId230" Type="http://schemas.openxmlformats.org/officeDocument/2006/relationships/hyperlink" Target="mailto:kmcpoliclinic@yahoo.com" TargetMode="External"/><Relationship Id="rId468" Type="http://schemas.openxmlformats.org/officeDocument/2006/relationships/hyperlink" Target="mailto:jeannot.gapira@rpfinkotanyi.rw" TargetMode="External"/><Relationship Id="rId675" Type="http://schemas.openxmlformats.org/officeDocument/2006/relationships/hyperlink" Target="mailto:endpkschool@gmail.com" TargetMode="External"/><Relationship Id="rId882" Type="http://schemas.openxmlformats.org/officeDocument/2006/relationships/hyperlink" Target="mailto:odette.kampire@rssb.rw" TargetMode="External"/><Relationship Id="rId1098" Type="http://schemas.openxmlformats.org/officeDocument/2006/relationships/hyperlink" Target="mailto:fawe.girls@yahoo.com" TargetMode="External"/><Relationship Id="rId328" Type="http://schemas.openxmlformats.org/officeDocument/2006/relationships/hyperlink" Target="mailto:mntabana@unicef.org" TargetMode="External"/><Relationship Id="rId535" Type="http://schemas.openxmlformats.org/officeDocument/2006/relationships/hyperlink" Target="mailto:jeanne.niyonsaba@kicukiro.gov.rw" TargetMode="External"/><Relationship Id="rId742" Type="http://schemas.openxmlformats.org/officeDocument/2006/relationships/hyperlink" Target="mailto:info@krh.gov.rw" TargetMode="External"/><Relationship Id="rId1165" Type="http://schemas.openxmlformats.org/officeDocument/2006/relationships/hyperlink" Target="mailto:sosthene.nsabimana@nppa.gov.rw" TargetMode="External"/><Relationship Id="rId1372" Type="http://schemas.openxmlformats.org/officeDocument/2006/relationships/hyperlink" Target="mailto:gahini.hospital@moh.gov.rw" TargetMode="External"/><Relationship Id="rId602" Type="http://schemas.openxmlformats.org/officeDocument/2006/relationships/hyperlink" Target="mailto:nzabandoraf@gmail.com" TargetMode="External"/><Relationship Id="rId1025" Type="http://schemas.openxmlformats.org/officeDocument/2006/relationships/hyperlink" Target="mailto:dirinfosyscec@minadef.gov.rw" TargetMode="External"/><Relationship Id="rId1232" Type="http://schemas.openxmlformats.org/officeDocument/2006/relationships/hyperlink" Target="mailto:fred.gashemeza@judiciary.gov.rw" TargetMode="External"/><Relationship Id="rId907" Type="http://schemas.openxmlformats.org/officeDocument/2006/relationships/hyperlink" Target="mailto:odette.kampire@rssb.rw" TargetMode="External"/><Relationship Id="rId36" Type="http://schemas.openxmlformats.org/officeDocument/2006/relationships/hyperlink" Target="mailto:anicet.kubwumuremyi@rra.gov.rw,claudine.byukusenge@rra.gov.rw" TargetMode="External"/><Relationship Id="rId185" Type="http://schemas.openxmlformats.org/officeDocument/2006/relationships/hyperlink" Target="mailto:crwagasore@migration.gov.rw,mrwamwaga@state.gov.rw,dkuwase@state.gov.rw" TargetMode="External"/><Relationship Id="rId392" Type="http://schemas.openxmlformats.org/officeDocument/2006/relationships/hyperlink" Target="mailto:hgakwaya@reaf.gov.rw,abirungi@reaf.gov.rw" TargetMode="External"/><Relationship Id="rId697" Type="http://schemas.openxmlformats.org/officeDocument/2006/relationships/hyperlink" Target="mailto:rugufs@gmail.com" TargetMode="External"/><Relationship Id="rId252" Type="http://schemas.openxmlformats.org/officeDocument/2006/relationships/hyperlink" Target="mailto:antoine.twizere@rura.rw" TargetMode="External"/><Relationship Id="rId1187" Type="http://schemas.openxmlformats.org/officeDocument/2006/relationships/hyperlink" Target="mailto:sosthene.nsabimana@nppa.gov.rw" TargetMode="External"/><Relationship Id="rId112" Type="http://schemas.openxmlformats.org/officeDocument/2006/relationships/hyperlink" Target="mailto:crwagasore@migration.gov.rw,mrwamwaga@state.gov.rw,dkuwase@state.gov.rw" TargetMode="External"/><Relationship Id="rId557" Type="http://schemas.openxmlformats.org/officeDocument/2006/relationships/hyperlink" Target="mailto:JMbonyumugenzi@rw.ci.org" TargetMode="External"/><Relationship Id="rId764" Type="http://schemas.openxmlformats.org/officeDocument/2006/relationships/hyperlink" Target="mailto:pantaleon.biraho@kabgayihospital.rw;info@kabgayihospital.rw" TargetMode="External"/><Relationship Id="rId971" Type="http://schemas.openxmlformats.org/officeDocument/2006/relationships/hyperlink" Target="mailto:ENgirinshuti@bnr.rw" TargetMode="External"/><Relationship Id="rId417" Type="http://schemas.openxmlformats.org/officeDocument/2006/relationships/hyperlink" Target="mailto:ehategekimana@ogs.gov.rw" TargetMode="External"/><Relationship Id="rId624" Type="http://schemas.openxmlformats.org/officeDocument/2006/relationships/hyperlink" Target="mailto:bbutati@pih.org" TargetMode="External"/><Relationship Id="rId831" Type="http://schemas.openxmlformats.org/officeDocument/2006/relationships/hyperlink" Target="mailto:rmutabazi@minema.gov.rw" TargetMode="External"/><Relationship Id="rId1047" Type="http://schemas.openxmlformats.org/officeDocument/2006/relationships/hyperlink" Target="mailto:ict@uog.ac.rw;info@uog.ac.rw;7niyonsenga@gmail.com" TargetMode="External"/><Relationship Id="rId1254" Type="http://schemas.openxmlformats.org/officeDocument/2006/relationships/hyperlink" Target="mailto:fred.gashemeza@judiciary.gov.rw" TargetMode="External"/><Relationship Id="rId929" Type="http://schemas.openxmlformats.org/officeDocument/2006/relationships/hyperlink" Target="mailto:engabo@minaffet.gov.rw" TargetMode="External"/><Relationship Id="rId1114" Type="http://schemas.openxmlformats.org/officeDocument/2006/relationships/hyperlink" Target="mailto:irene@simbanet.co.ke" TargetMode="External"/><Relationship Id="rId1321" Type="http://schemas.openxmlformats.org/officeDocument/2006/relationships/hyperlink" Target="mailto:ngango@ilpd.ac.rw" TargetMode="External"/><Relationship Id="rId58" Type="http://schemas.openxmlformats.org/officeDocument/2006/relationships/hyperlink" Target="mailto:anicet.kubwumuremyi@rra.gov.rw,claudine.byukusenge@rra.gov.rw" TargetMode="External"/><Relationship Id="rId274" Type="http://schemas.openxmlformats.org/officeDocument/2006/relationships/hyperlink" Target="mailto:dirinfosyscec@minadef.gov.rw" TargetMode="External"/><Relationship Id="rId481" Type="http://schemas.openxmlformats.org/officeDocument/2006/relationships/hyperlink" Target="mailto:faustin.rushema@accessbankplc.com" TargetMode="External"/><Relationship Id="rId134" Type="http://schemas.openxmlformats.org/officeDocument/2006/relationships/hyperlink" Target="mailto:crwagasore@migration.gov.rw,mrwamwaga@state.gov.rw,dkuwase@state.gov.rw" TargetMode="External"/><Relationship Id="rId579" Type="http://schemas.openxmlformats.org/officeDocument/2006/relationships/hyperlink" Target="mailto:mtmichel2001@gmail.com" TargetMode="External"/><Relationship Id="rId786" Type="http://schemas.openxmlformats.org/officeDocument/2006/relationships/hyperlink" Target="mailto:plateaupcp@gmail.com" TargetMode="External"/><Relationship Id="rId993" Type="http://schemas.openxmlformats.org/officeDocument/2006/relationships/hyperlink" Target="mailto:danny@akageraaviation.com" TargetMode="External"/><Relationship Id="rId341" Type="http://schemas.openxmlformats.org/officeDocument/2006/relationships/hyperlink" Target="mailto:jimmy.mukasa@statistics.gov.rw" TargetMode="External"/><Relationship Id="rId439" Type="http://schemas.openxmlformats.org/officeDocument/2006/relationships/hyperlink" Target="mailto:antoine.twizere@rura.rw" TargetMode="External"/><Relationship Id="rId646" Type="http://schemas.openxmlformats.org/officeDocument/2006/relationships/hyperlink" Target="mailto:mntabana@unicef.org" TargetMode="External"/><Relationship Id="rId1069" Type="http://schemas.openxmlformats.org/officeDocument/2006/relationships/hyperlink" Target="mailto:rudasingwacamille@gmail.com" TargetMode="External"/><Relationship Id="rId1276" Type="http://schemas.openxmlformats.org/officeDocument/2006/relationships/hyperlink" Target="mailto:fred.gashemeza@judiciary.gov.rw" TargetMode="External"/><Relationship Id="rId201" Type="http://schemas.openxmlformats.org/officeDocument/2006/relationships/hyperlink" Target="mailto:urbainm@afriprecastltd.com" TargetMode="External"/><Relationship Id="rId506" Type="http://schemas.openxmlformats.org/officeDocument/2006/relationships/hyperlink" Target="mailto:murenzi.igor@mastersteel.co" TargetMode="External"/><Relationship Id="rId853" Type="http://schemas.openxmlformats.org/officeDocument/2006/relationships/hyperlink" Target="mailto:ekwizera@minagri.gov.rw" TargetMode="External"/><Relationship Id="rId1136" Type="http://schemas.openxmlformats.org/officeDocument/2006/relationships/hyperlink" Target="mailto:gedeon.intwari@rcb.rw" TargetMode="External"/><Relationship Id="rId713" Type="http://schemas.openxmlformats.org/officeDocument/2006/relationships/hyperlink" Target="mailto:nemba.hospital@moh.gov.rw" TargetMode="External"/><Relationship Id="rId920" Type="http://schemas.openxmlformats.org/officeDocument/2006/relationships/hyperlink" Target="mailto:odette.kampire@rssb.rw" TargetMode="External"/><Relationship Id="rId1343" Type="http://schemas.openxmlformats.org/officeDocument/2006/relationships/hyperlink" Target="mailto:sage.umutoniwabo@trac.africa" TargetMode="External"/><Relationship Id="rId1203" Type="http://schemas.openxmlformats.org/officeDocument/2006/relationships/hyperlink" Target="mailto:headcec@minadef.gov.rw" TargetMode="External"/><Relationship Id="rId296" Type="http://schemas.openxmlformats.org/officeDocument/2006/relationships/hyperlink" Target="mailto:dirinfosyscec@minadef.gov.rw" TargetMode="External"/><Relationship Id="rId156" Type="http://schemas.openxmlformats.org/officeDocument/2006/relationships/hyperlink" Target="mailto:crwagasore@migration.gov.rw,mrwamwaga@state.gov.rw,dkuwase@state.gov.rw" TargetMode="External"/><Relationship Id="rId363" Type="http://schemas.openxmlformats.org/officeDocument/2006/relationships/hyperlink" Target="mailto:rpfgatsibo@gmail.com" TargetMode="External"/><Relationship Id="rId570" Type="http://schemas.openxmlformats.org/officeDocument/2006/relationships/hyperlink" Target="mailto:ict@ruhango.gov.rw" TargetMode="External"/><Relationship Id="rId223" Type="http://schemas.openxmlformats.org/officeDocument/2006/relationships/hyperlink" Target="mailto:amugwaneza@space.gov.rw" TargetMode="External"/><Relationship Id="rId430" Type="http://schemas.openxmlformats.org/officeDocument/2006/relationships/hyperlink" Target="mailto:digitalization@minicom.gov.rw" TargetMode="External"/><Relationship Id="rId668" Type="http://schemas.openxmlformats.org/officeDocument/2006/relationships/hyperlink" Target="mailto:mntabana@unicef.org" TargetMode="External"/><Relationship Id="rId875" Type="http://schemas.openxmlformats.org/officeDocument/2006/relationships/hyperlink" Target="mailto:odette.kampire@rssb.rw" TargetMode="External"/><Relationship Id="rId1060" Type="http://schemas.openxmlformats.org/officeDocument/2006/relationships/hyperlink" Target="mailto:info@rp.iprcngoma.ac.rw;ranaclet2012@gmail.com;bizpeter2020@gmail.com" TargetMode="External"/><Relationship Id="rId1298" Type="http://schemas.openxmlformats.org/officeDocument/2006/relationships/hyperlink" Target="mailto:cuwamahoro@migeprof.gov.rw" TargetMode="External"/><Relationship Id="rId528" Type="http://schemas.openxmlformats.org/officeDocument/2006/relationships/hyperlink" Target="mailto:patrice.mvuyekure@ngoma.gov.rw" TargetMode="External"/><Relationship Id="rId735" Type="http://schemas.openxmlformats.org/officeDocument/2006/relationships/hyperlink" Target="mailto:ali.muhire@kfhkigali.com" TargetMode="External"/><Relationship Id="rId942" Type="http://schemas.openxmlformats.org/officeDocument/2006/relationships/hyperlink" Target="mailto:wilson.kabagambe@rcs.gov.rw" TargetMode="External"/><Relationship Id="rId1158" Type="http://schemas.openxmlformats.org/officeDocument/2006/relationships/hyperlink" Target="mailto:boniface.niyirora@nppa.gov.rw" TargetMode="External"/><Relationship Id="rId1365" Type="http://schemas.openxmlformats.org/officeDocument/2006/relationships/hyperlink" Target="mailto:eric.ntaganzwa@nida.gov.rw" TargetMode="External"/><Relationship Id="rId1018" Type="http://schemas.openxmlformats.org/officeDocument/2006/relationships/hyperlink" Target="mailto:dirinfosyscec@minadef.gov.rw" TargetMode="External"/><Relationship Id="rId1225" Type="http://schemas.openxmlformats.org/officeDocument/2006/relationships/hyperlink" Target="mailto:fred.gashemeza@judiciary.gov.rw" TargetMode="External"/><Relationship Id="rId71" Type="http://schemas.openxmlformats.org/officeDocument/2006/relationships/hyperlink" Target="mailto:anicet.kubwumuremyi@rra.gov.rw,claudine.byukusenge@rra.gov.rw" TargetMode="External"/><Relationship Id="rId802" Type="http://schemas.openxmlformats.org/officeDocument/2006/relationships/hyperlink" Target="mailto:everb@ibi.org.rw" TargetMode="External"/><Relationship Id="rId29" Type="http://schemas.openxmlformats.org/officeDocument/2006/relationships/hyperlink" Target="mailto:adushimimana@wasac.rw" TargetMode="External"/><Relationship Id="rId178" Type="http://schemas.openxmlformats.org/officeDocument/2006/relationships/hyperlink" Target="mailto:crwagasore@migration.gov.rw,mrwamwaga@state.gov.rw,dkuwase@state.gov.rw" TargetMode="External"/><Relationship Id="rId385" Type="http://schemas.openxmlformats.org/officeDocument/2006/relationships/hyperlink" Target="mailto:hrutebuka@sfhrwanda.org,imigambi@sfhrwanda.org" TargetMode="External"/><Relationship Id="rId592" Type="http://schemas.openxmlformats.org/officeDocument/2006/relationships/hyperlink" Target="mailto:nzabandoraf@gmail.com" TargetMode="External"/><Relationship Id="rId245" Type="http://schemas.openxmlformats.org/officeDocument/2006/relationships/hyperlink" Target="mailto:gasabo.remera@gov.rw" TargetMode="External"/><Relationship Id="rId452" Type="http://schemas.openxmlformats.org/officeDocument/2006/relationships/hyperlink" Target="mailto:urayeneza@rg.gov.rw" TargetMode="External"/><Relationship Id="rId897" Type="http://schemas.openxmlformats.org/officeDocument/2006/relationships/hyperlink" Target="mailto:odette.kampire@rssb.rw" TargetMode="External"/><Relationship Id="rId1082" Type="http://schemas.openxmlformats.org/officeDocument/2006/relationships/hyperlink" Target="mailto:vedangani@gmail.com;ecodartnyundo@gmail.com" TargetMode="External"/><Relationship Id="rId105" Type="http://schemas.openxmlformats.org/officeDocument/2006/relationships/hyperlink" Target="mailto:crwagasore@migration.gov.rw,mrwamwaga@state.gov.rw,dkuwase@state.gov.rw" TargetMode="External"/><Relationship Id="rId312" Type="http://schemas.openxmlformats.org/officeDocument/2006/relationships/hyperlink" Target="mailto:mntabana@unicef.org" TargetMode="External"/><Relationship Id="rId757" Type="http://schemas.openxmlformats.org/officeDocument/2006/relationships/hyperlink" Target="mailto:kacyiru.hospital@moh.gov.rw" TargetMode="External"/><Relationship Id="rId964" Type="http://schemas.openxmlformats.org/officeDocument/2006/relationships/hyperlink" Target="mailto:fabrice.tubanenimana@nirda.gov.rw" TargetMode="External"/><Relationship Id="rId93" Type="http://schemas.openxmlformats.org/officeDocument/2006/relationships/hyperlink" Target="mailto:anicet.kubwumuremyi@rra.gov.rw,claudine.byukusenge@rra.gov.rw" TargetMode="External"/><Relationship Id="rId617" Type="http://schemas.openxmlformats.org/officeDocument/2006/relationships/hyperlink" Target="mailto:nzabandoraf@gmail.com" TargetMode="External"/><Relationship Id="rId824" Type="http://schemas.openxmlformats.org/officeDocument/2006/relationships/hyperlink" Target="mailto:rtwagira@rse.rw" TargetMode="External"/><Relationship Id="rId1247" Type="http://schemas.openxmlformats.org/officeDocument/2006/relationships/hyperlink" Target="mailto:fred.gashemeza@judiciary.gov.rw" TargetMode="External"/><Relationship Id="rId1107" Type="http://schemas.openxmlformats.org/officeDocument/2006/relationships/hyperlink" Target="mailto:ngendapr@yahoo.fr" TargetMode="External"/><Relationship Id="rId1314" Type="http://schemas.openxmlformats.org/officeDocument/2006/relationships/hyperlink" Target="mailto:aline.umutesi@ktrn.rw" TargetMode="External"/><Relationship Id="rId20" Type="http://schemas.openxmlformats.org/officeDocument/2006/relationships/hyperlink" Target="mailto:ahodari@iprcmusanze.rp.ac.rw;info@iprcmusanze.rp.ac.rw;df@iprcmusanze.rp.ac.rw" TargetMode="External"/><Relationship Id="rId267" Type="http://schemas.openxmlformats.org/officeDocument/2006/relationships/hyperlink" Target="mailto:ariane.uwiturije@ruzizienergy.com" TargetMode="External"/><Relationship Id="rId474" Type="http://schemas.openxmlformats.org/officeDocument/2006/relationships/hyperlink" Target="mailto:cmorkide@gmail.com" TargetMode="External"/><Relationship Id="rId127" Type="http://schemas.openxmlformats.org/officeDocument/2006/relationships/hyperlink" Target="mailto:crwagasore@migration.gov.rw,mrwamwaga@state.gov.rw,dkuwase@state.gov.rw" TargetMode="External"/><Relationship Id="rId681" Type="http://schemas.openxmlformats.org/officeDocument/2006/relationships/hyperlink" Target="mailto:mukamahoro07@gmail.com" TargetMode="External"/><Relationship Id="rId779" Type="http://schemas.openxmlformats.org/officeDocument/2006/relationships/hyperlink" Target="mailto:ndera.hospital@moh.gov.rw" TargetMode="External"/><Relationship Id="rId986" Type="http://schemas.openxmlformats.org/officeDocument/2006/relationships/hyperlink" Target="mailto:o.hategeka@bdf.rw" TargetMode="External"/><Relationship Id="rId334" Type="http://schemas.openxmlformats.org/officeDocument/2006/relationships/hyperlink" Target="mailto:mntabana@unicef.org" TargetMode="External"/><Relationship Id="rId541" Type="http://schemas.openxmlformats.org/officeDocument/2006/relationships/hyperlink" Target="mailto:niboye@kicukiro.gov.rw" TargetMode="External"/><Relationship Id="rId639" Type="http://schemas.openxmlformats.org/officeDocument/2006/relationships/hyperlink" Target="mailto:mntabana@unicef.org" TargetMode="External"/><Relationship Id="rId1171" Type="http://schemas.openxmlformats.org/officeDocument/2006/relationships/hyperlink" Target="mailto:sosthene.nsabimana@nppa.gov.rw" TargetMode="External"/><Relationship Id="rId1269" Type="http://schemas.openxmlformats.org/officeDocument/2006/relationships/hyperlink" Target="mailto:fred.gashemeza@judiciary.gov.rw" TargetMode="External"/><Relationship Id="rId401" Type="http://schemas.openxmlformats.org/officeDocument/2006/relationships/hyperlink" Target="mailto:adushimimana@wasac.rw" TargetMode="External"/><Relationship Id="rId846" Type="http://schemas.openxmlformats.org/officeDocument/2006/relationships/hyperlink" Target="mailto:rbob@mvend.co.rw" TargetMode="External"/><Relationship Id="rId1031" Type="http://schemas.openxmlformats.org/officeDocument/2006/relationships/hyperlink" Target="mailto:dirinfosyscec@minadef.gov.rw" TargetMode="External"/><Relationship Id="rId1129" Type="http://schemas.openxmlformats.org/officeDocument/2006/relationships/hyperlink" Target="mailto:accounts@roketelkom.co.ug" TargetMode="External"/><Relationship Id="rId706" Type="http://schemas.openxmlformats.org/officeDocument/2006/relationships/hyperlink" Target="mailto:nyagatare.hospital@moh.gov.rw" TargetMode="External"/><Relationship Id="rId913" Type="http://schemas.openxmlformats.org/officeDocument/2006/relationships/hyperlink" Target="mailto:odette.kampire@rssb.rw" TargetMode="External"/><Relationship Id="rId1336" Type="http://schemas.openxmlformats.org/officeDocument/2006/relationships/hyperlink" Target="mailto:sage.umutoniwabo@trac.africa" TargetMode="External"/><Relationship Id="rId42" Type="http://schemas.openxmlformats.org/officeDocument/2006/relationships/hyperlink" Target="mailto:anicet.kubwumuremyi@rra.gov.rw,claudine.byukusenge@rra.gov.rw" TargetMode="External"/><Relationship Id="rId191" Type="http://schemas.openxmlformats.org/officeDocument/2006/relationships/hyperlink" Target="mailto:crwagasore@migration.gov.rw,mrwamwaga@state.gov.rw,dkuwase@state.gov.rw" TargetMode="External"/><Relationship Id="rId289" Type="http://schemas.openxmlformats.org/officeDocument/2006/relationships/hyperlink" Target="mailto:dirinfosyscec@minadef.gov.rw" TargetMode="External"/><Relationship Id="rId496" Type="http://schemas.openxmlformats.org/officeDocument/2006/relationships/hyperlink" Target="mailto:prosper.hakizimana@nyarugenge.gov.rw" TargetMode="External"/><Relationship Id="rId149" Type="http://schemas.openxmlformats.org/officeDocument/2006/relationships/hyperlink" Target="mailto:crwagasore@migration.gov.rw,mrwamwaga@state.gov.rw,dkuwase@state.gov.rw" TargetMode="External"/><Relationship Id="rId356" Type="http://schemas.openxmlformats.org/officeDocument/2006/relationships/hyperlink" Target="mailto:pascal.ndikubwimana@nyabihu.gov.rw" TargetMode="External"/><Relationship Id="rId563" Type="http://schemas.openxmlformats.org/officeDocument/2006/relationships/hyperlink" Target="mailto:ictofficer@huye.gov.rw" TargetMode="External"/><Relationship Id="rId770" Type="http://schemas.openxmlformats.org/officeDocument/2006/relationships/hyperlink" Target="mailto:gihundwe.hospital@moh.gov.rw" TargetMode="External"/><Relationship Id="rId1193" Type="http://schemas.openxmlformats.org/officeDocument/2006/relationships/hyperlink" Target="mailto:rene.manzi@mtn.com" TargetMode="External"/><Relationship Id="rId216" Type="http://schemas.openxmlformats.org/officeDocument/2006/relationships/hyperlink" Target="mailto:agashugi@primature.gov.rw" TargetMode="External"/><Relationship Id="rId423" Type="http://schemas.openxmlformats.org/officeDocument/2006/relationships/hyperlink" Target="mailto:tkayumba@ncst.gov.rw" TargetMode="External"/><Relationship Id="rId868" Type="http://schemas.openxmlformats.org/officeDocument/2006/relationships/hyperlink" Target="mailto:BRWIGAMBA@mineduc.gov.rw" TargetMode="External"/><Relationship Id="rId1053" Type="http://schemas.openxmlformats.org/officeDocument/2006/relationships/hyperlink" Target="mailto:florent.hope@yahoo.com" TargetMode="External"/><Relationship Id="rId1260" Type="http://schemas.openxmlformats.org/officeDocument/2006/relationships/hyperlink" Target="mailto:fred.gashemeza@judiciary.gov.rw" TargetMode="External"/><Relationship Id="rId630" Type="http://schemas.openxmlformats.org/officeDocument/2006/relationships/hyperlink" Target="mailto:etogitarama@gmail.com" TargetMode="External"/><Relationship Id="rId728" Type="http://schemas.openxmlformats.org/officeDocument/2006/relationships/hyperlink" Target="mailto:kiziguro.hospital@moh.gov.rw" TargetMode="External"/><Relationship Id="rId935" Type="http://schemas.openxmlformats.org/officeDocument/2006/relationships/hyperlink" Target="mailto:jude.rwaka@rwandair.com" TargetMode="External"/><Relationship Id="rId1358" Type="http://schemas.openxmlformats.org/officeDocument/2006/relationships/hyperlink" Target="mailto:jruzigana@isco.co.rw" TargetMode="External"/><Relationship Id="rId64" Type="http://schemas.openxmlformats.org/officeDocument/2006/relationships/hyperlink" Target="mailto:anicet.kubwumuremyi@rra.gov.rw,claudine.byukusenge@rra.gov.rw" TargetMode="External"/><Relationship Id="rId1120" Type="http://schemas.openxmlformats.org/officeDocument/2006/relationships/hyperlink" Target="mailto:irene@simbanet.co.ke" TargetMode="External"/><Relationship Id="rId1218" Type="http://schemas.openxmlformats.org/officeDocument/2006/relationships/hyperlink" Target="mailto:raymond.ntirenganya@minubumwe.gov.rw" TargetMode="External"/><Relationship Id="rId280" Type="http://schemas.openxmlformats.org/officeDocument/2006/relationships/hyperlink" Target="mailto:dirinfosyscec@minadef.gov.rw" TargetMode="External"/><Relationship Id="rId140" Type="http://schemas.openxmlformats.org/officeDocument/2006/relationships/hyperlink" Target="mailto:crwagasore@migration.gov.rw,mrwamwaga@state.gov.rw,dkuwase@state.gov.rw" TargetMode="External"/><Relationship Id="rId378" Type="http://schemas.openxmlformats.org/officeDocument/2006/relationships/hyperlink" Target="mailto:crwagasore@migration.gov.rw" TargetMode="External"/><Relationship Id="rId585" Type="http://schemas.openxmlformats.org/officeDocument/2006/relationships/hyperlink" Target="mailto:nzabandoraf@gmail.com" TargetMode="External"/><Relationship Id="rId792" Type="http://schemas.openxmlformats.org/officeDocument/2006/relationships/hyperlink" Target="mailto:musevenijoseph@gmail.com" TargetMode="External"/><Relationship Id="rId6" Type="http://schemas.openxmlformats.org/officeDocument/2006/relationships/hyperlink" Target="mailto:dirinfosyscec@minadef.gov.rw" TargetMode="External"/><Relationship Id="rId238" Type="http://schemas.openxmlformats.org/officeDocument/2006/relationships/hyperlink" Target="mailto:ijabosaccokigaramaa@gmail.com" TargetMode="External"/><Relationship Id="rId445" Type="http://schemas.openxmlformats.org/officeDocument/2006/relationships/hyperlink" Target="mailto:auwisibo@presidency.gov.rw" TargetMode="External"/><Relationship Id="rId652" Type="http://schemas.openxmlformats.org/officeDocument/2006/relationships/hyperlink" Target="mailto:mntabana@unicef.org" TargetMode="External"/><Relationship Id="rId1075" Type="http://schemas.openxmlformats.org/officeDocument/2006/relationships/hyperlink" Target="mailto:groupescolairestjoseph@yahoo.fr" TargetMode="External"/><Relationship Id="rId1282" Type="http://schemas.openxmlformats.org/officeDocument/2006/relationships/hyperlink" Target="mailto:jmv.mbonyumuvunyi@mininter.gov.rw%3E" TargetMode="External"/><Relationship Id="rId305" Type="http://schemas.openxmlformats.org/officeDocument/2006/relationships/hyperlink" Target="mailto:dirinfosyscec@minadef.gov.rw" TargetMode="External"/><Relationship Id="rId512" Type="http://schemas.openxmlformats.org/officeDocument/2006/relationships/hyperlink" Target="mailto:vniyomugenga@nilebasin.org" TargetMode="External"/><Relationship Id="rId957" Type="http://schemas.openxmlformats.org/officeDocument/2006/relationships/hyperlink" Target="mailto:JeanPierre.Ndayisaba@rlma.rw" TargetMode="External"/><Relationship Id="rId1142" Type="http://schemas.openxmlformats.org/officeDocument/2006/relationships/hyperlink" Target="mailto:frugema@rac.co.rw" TargetMode="External"/><Relationship Id="rId86" Type="http://schemas.openxmlformats.org/officeDocument/2006/relationships/hyperlink" Target="mailto:anicet.kubwumuremyi@rra.gov.rw,claudine.byukusenge@rra.gov.rw" TargetMode="External"/><Relationship Id="rId817" Type="http://schemas.openxmlformats.org/officeDocument/2006/relationships/hyperlink" Target="mailto:dukuzumuremyi@cooperation.rw" TargetMode="External"/><Relationship Id="rId1002" Type="http://schemas.openxmlformats.org/officeDocument/2006/relationships/hyperlink" Target="mailto:dirinfosyscec@minadef.gov.rw" TargetMode="External"/><Relationship Id="rId1307" Type="http://schemas.openxmlformats.org/officeDocument/2006/relationships/hyperlink" Target="mailto:ramadhani.nshaka@liquid.tech" TargetMode="External"/><Relationship Id="rId13" Type="http://schemas.openxmlformats.org/officeDocument/2006/relationships/hyperlink" Target="mailto:dirinfosyscec@minadef.gov.rw" TargetMode="External"/><Relationship Id="rId162" Type="http://schemas.openxmlformats.org/officeDocument/2006/relationships/hyperlink" Target="mailto:crwagasore@migration.gov.rw,mrwamwaga@state.gov.rw,dkuwase@state.gov.rw" TargetMode="External"/><Relationship Id="rId467" Type="http://schemas.openxmlformats.org/officeDocument/2006/relationships/hyperlink" Target="mailto:jeannot.gapira@rpfinkotanyi.rw" TargetMode="External"/><Relationship Id="rId1097" Type="http://schemas.openxmlformats.org/officeDocument/2006/relationships/hyperlink" Target="mailto:casimir1958@yahoo.com/karegeya08@yahoo.fr" TargetMode="External"/><Relationship Id="rId674" Type="http://schemas.openxmlformats.org/officeDocument/2006/relationships/hyperlink" Target="mailto:mntabana@unicef.org" TargetMode="External"/><Relationship Id="rId881" Type="http://schemas.openxmlformats.org/officeDocument/2006/relationships/hyperlink" Target="mailto:odette.kampire@rssb.rw" TargetMode="External"/><Relationship Id="rId979" Type="http://schemas.openxmlformats.org/officeDocument/2006/relationships/hyperlink" Target="mailto:o.hategeka@bdf.rw" TargetMode="External"/><Relationship Id="rId327" Type="http://schemas.openxmlformats.org/officeDocument/2006/relationships/hyperlink" Target="mailto:mntabana@unicef.org" TargetMode="External"/><Relationship Id="rId534" Type="http://schemas.openxmlformats.org/officeDocument/2006/relationships/hyperlink" Target="mailto:jeanne.niyonsaba@kicukiro.gov.rw" TargetMode="External"/><Relationship Id="rId741" Type="http://schemas.openxmlformats.org/officeDocument/2006/relationships/hyperlink" Target="mailto:tuyishimefortunatus@gmail.com" TargetMode="External"/><Relationship Id="rId839" Type="http://schemas.openxmlformats.org/officeDocument/2006/relationships/hyperlink" Target="mailto:modeste.nsanzimana@northernprovince.gov.rw" TargetMode="External"/><Relationship Id="rId1164" Type="http://schemas.openxmlformats.org/officeDocument/2006/relationships/hyperlink" Target="mailto:sosthene.nsabimana@nppa.gov.rw" TargetMode="External"/><Relationship Id="rId1371" Type="http://schemas.openxmlformats.org/officeDocument/2006/relationships/hyperlink" Target="mailto:info@chub.rw;gada@chub.rw" TargetMode="External"/><Relationship Id="rId601" Type="http://schemas.openxmlformats.org/officeDocument/2006/relationships/hyperlink" Target="mailto:nzabandoraf@gmail.com" TargetMode="External"/><Relationship Id="rId1024" Type="http://schemas.openxmlformats.org/officeDocument/2006/relationships/hyperlink" Target="mailto:dirinfosyscec@minadef.gov.rw" TargetMode="External"/><Relationship Id="rId1231" Type="http://schemas.openxmlformats.org/officeDocument/2006/relationships/hyperlink" Target="mailto:fred.gashemeza@judiciary.gov.rw" TargetMode="External"/><Relationship Id="rId906" Type="http://schemas.openxmlformats.org/officeDocument/2006/relationships/hyperlink" Target="mailto:odette.kampire@rssb.rw" TargetMode="External"/><Relationship Id="rId1329" Type="http://schemas.openxmlformats.org/officeDocument/2006/relationships/hyperlink" Target="mailto:al4nse@gmail.com" TargetMode="External"/><Relationship Id="rId35" Type="http://schemas.openxmlformats.org/officeDocument/2006/relationships/hyperlink" Target="mailto:anicet.kubwumuremyi@rra.gov.rw,claudine.byukusenge@rra.gov.rw" TargetMode="External"/><Relationship Id="rId184" Type="http://schemas.openxmlformats.org/officeDocument/2006/relationships/hyperlink" Target="mailto:crwagasore@migration.gov.rw,mrwamwaga@state.gov.rw,dkuwase@state.gov.rw" TargetMode="External"/><Relationship Id="rId391" Type="http://schemas.openxmlformats.org/officeDocument/2006/relationships/hyperlink" Target="mailto:crwagasore@migration.gov.rw" TargetMode="External"/><Relationship Id="rId405" Type="http://schemas.openxmlformats.org/officeDocument/2006/relationships/hyperlink" Target="mailto:gkabera@myculture.gov.rw,dmutunge@myculture.gov.rw" TargetMode="External"/><Relationship Id="rId612" Type="http://schemas.openxmlformats.org/officeDocument/2006/relationships/hyperlink" Target="mailto:nzabandoraf@gmail.com" TargetMode="External"/><Relationship Id="rId1035" Type="http://schemas.openxmlformats.org/officeDocument/2006/relationships/hyperlink" Target="mailto:dirinfosyscec@minadef.gov.rw" TargetMode="External"/><Relationship Id="rId1242" Type="http://schemas.openxmlformats.org/officeDocument/2006/relationships/hyperlink" Target="mailto:fred.gashemeza@judiciary.gov.rw" TargetMode="External"/><Relationship Id="rId251" Type="http://schemas.openxmlformats.org/officeDocument/2006/relationships/hyperlink" Target="mailto:lyse.uwingabire@enabel.be" TargetMode="External"/><Relationship Id="rId489" Type="http://schemas.openxmlformats.org/officeDocument/2006/relationships/hyperlink" Target="mailto:claudeafadhali@greenhillsacademy.rw" TargetMode="External"/><Relationship Id="rId696" Type="http://schemas.openxmlformats.org/officeDocument/2006/relationships/hyperlink" Target="mailto:rugufs@gmail.com" TargetMode="External"/><Relationship Id="rId917" Type="http://schemas.openxmlformats.org/officeDocument/2006/relationships/hyperlink" Target="mailto:odette.kampire@rssb.rw" TargetMode="External"/><Relationship Id="rId1102" Type="http://schemas.openxmlformats.org/officeDocument/2006/relationships/hyperlink" Target="mailto:kwizerafaustin12@gmail.com;gmaranyundo@yahoo.com" TargetMode="External"/><Relationship Id="rId46" Type="http://schemas.openxmlformats.org/officeDocument/2006/relationships/hyperlink" Target="mailto:anicet.kubwumuremyi@rra.gov.rw,claudine.byukusenge@rra.gov.rw" TargetMode="External"/><Relationship Id="rId349" Type="http://schemas.openxmlformats.org/officeDocument/2006/relationships/hyperlink" Target="mailto:wilson.kabagambe@rcs.gov.rw" TargetMode="External"/><Relationship Id="rId556" Type="http://schemas.openxmlformats.org/officeDocument/2006/relationships/hyperlink" Target="mailto:Rene.MUGENZA@bpr.rw" TargetMode="External"/><Relationship Id="rId763" Type="http://schemas.openxmlformats.org/officeDocument/2006/relationships/hyperlink" Target="mailto:pantaleon.biraho@kabgayihospital.rw;info@kabgayihospital.rw" TargetMode="External"/><Relationship Id="rId1186" Type="http://schemas.openxmlformats.org/officeDocument/2006/relationships/hyperlink" Target="mailto:sosthene.nsabimana@nppa.gov.rw" TargetMode="External"/><Relationship Id="rId111" Type="http://schemas.openxmlformats.org/officeDocument/2006/relationships/hyperlink" Target="mailto:crwagasore@migration.gov.rw,mrwamwaga@state.gov.rw,dkuwase@state.gov.rw" TargetMode="External"/><Relationship Id="rId195" Type="http://schemas.openxmlformats.org/officeDocument/2006/relationships/hyperlink" Target="mailto:crwagasore@migration.gov.rw,mrwamwaga@state.gov.rw,dkuwase@state.gov.rw" TargetMode="External"/><Relationship Id="rId209" Type="http://schemas.openxmlformats.org/officeDocument/2006/relationships/hyperlink" Target="mailto:msugira@fic.gov.rw" TargetMode="External"/><Relationship Id="rId416" Type="http://schemas.openxmlformats.org/officeDocument/2006/relationships/hyperlink" Target="mailto:judith.umulinga@udl.rw" TargetMode="External"/><Relationship Id="rId970" Type="http://schemas.openxmlformats.org/officeDocument/2006/relationships/hyperlink" Target="mailto:bpaulin@copedgroup.com" TargetMode="External"/><Relationship Id="rId1046" Type="http://schemas.openxmlformats.org/officeDocument/2006/relationships/hyperlink" Target="mailto:jmsamarwa@yahoo.fr" TargetMode="External"/><Relationship Id="rId1253" Type="http://schemas.openxmlformats.org/officeDocument/2006/relationships/hyperlink" Target="mailto:fred.gashemeza@judiciary.gov.rw" TargetMode="External"/><Relationship Id="rId623" Type="http://schemas.openxmlformats.org/officeDocument/2006/relationships/hyperlink" Target="mailto:bbutati@pih.org" TargetMode="External"/><Relationship Id="rId830" Type="http://schemas.openxmlformats.org/officeDocument/2006/relationships/hyperlink" Target="mailto:willy.nsabiyumva@nida.gov.rw" TargetMode="External"/><Relationship Id="rId928" Type="http://schemas.openxmlformats.org/officeDocument/2006/relationships/hyperlink" Target="mailto:engabo@minaffet.gov.rw" TargetMode="External"/><Relationship Id="rId57" Type="http://schemas.openxmlformats.org/officeDocument/2006/relationships/hyperlink" Target="mailto:anicet.kubwumuremyi@rra.gov.rw,claudine.byukusenge@rra.gov.rw" TargetMode="External"/><Relationship Id="rId262" Type="http://schemas.openxmlformats.org/officeDocument/2006/relationships/hyperlink" Target="mailto:jp.rwagasana@rlrc.gov.rw,info@rlrc.gov.rw" TargetMode="External"/><Relationship Id="rId567" Type="http://schemas.openxmlformats.org/officeDocument/2006/relationships/hyperlink" Target="mailto:bumbogo_sector@yahoo.com" TargetMode="External"/><Relationship Id="rId1113" Type="http://schemas.openxmlformats.org/officeDocument/2006/relationships/hyperlink" Target="mailto:brice.kayihura@aos.rw" TargetMode="External"/><Relationship Id="rId1197" Type="http://schemas.openxmlformats.org/officeDocument/2006/relationships/hyperlink" Target="mailto:headcec@minadef.gov.rw" TargetMode="External"/><Relationship Id="rId1320" Type="http://schemas.openxmlformats.org/officeDocument/2006/relationships/hyperlink" Target="mailto:ngango@ilpd.ac.rw" TargetMode="External"/><Relationship Id="rId122" Type="http://schemas.openxmlformats.org/officeDocument/2006/relationships/hyperlink" Target="mailto:crwagasore@migration.gov.rw,mrwamwaga@state.gov.rw,dkuwase@state.gov.rw" TargetMode="External"/><Relationship Id="rId774" Type="http://schemas.openxmlformats.org/officeDocument/2006/relationships/hyperlink" Target="mailto:gahini.hospital@moh.gov.rw" TargetMode="External"/><Relationship Id="rId981" Type="http://schemas.openxmlformats.org/officeDocument/2006/relationships/hyperlink" Target="mailto:o.hategeka@bdf.rw" TargetMode="External"/><Relationship Id="rId1057" Type="http://schemas.openxmlformats.org/officeDocument/2006/relationships/hyperlink" Target="mailto:jkht08@yahoo.fr;eruzindana@iprckitabi.ac.rw;haezechiel@gmail.com" TargetMode="External"/><Relationship Id="rId427" Type="http://schemas.openxmlformats.org/officeDocument/2006/relationships/hyperlink" Target="mailto:digitalization@minicom.gov.rw" TargetMode="External"/><Relationship Id="rId634" Type="http://schemas.openxmlformats.org/officeDocument/2006/relationships/hyperlink" Target="mailto:etogatumba@gmail.com" TargetMode="External"/><Relationship Id="rId841" Type="http://schemas.openxmlformats.org/officeDocument/2006/relationships/hyperlink" Target="mailto:jack@africastalking.com" TargetMode="External"/><Relationship Id="rId1264" Type="http://schemas.openxmlformats.org/officeDocument/2006/relationships/hyperlink" Target="mailto:fred.gashemeza@judiciary.gov.rw" TargetMode="External"/><Relationship Id="rId273" Type="http://schemas.openxmlformats.org/officeDocument/2006/relationships/hyperlink" Target="mailto:dirinfosyscec@minadef.gov.rw" TargetMode="External"/><Relationship Id="rId480" Type="http://schemas.openxmlformats.org/officeDocument/2006/relationships/hyperlink" Target="mailto:dkamau@vivaglobal-dutyfree.com" TargetMode="External"/><Relationship Id="rId701" Type="http://schemas.openxmlformats.org/officeDocument/2006/relationships/hyperlink" Target="mailto:nyamata.hospital@moh.gov.rw" TargetMode="External"/><Relationship Id="rId939" Type="http://schemas.openxmlformats.org/officeDocument/2006/relationships/hyperlink" Target="mailto:nzigiye.hyacinthe@ngororero.gov.rw" TargetMode="External"/><Relationship Id="rId1124" Type="http://schemas.openxmlformats.org/officeDocument/2006/relationships/hyperlink" Target="mailto:andrew.tuitoek@seacom.com" TargetMode="External"/><Relationship Id="rId1331" Type="http://schemas.openxmlformats.org/officeDocument/2006/relationships/hyperlink" Target="mailto:tmugaragu@bk.rw" TargetMode="External"/><Relationship Id="rId68" Type="http://schemas.openxmlformats.org/officeDocument/2006/relationships/hyperlink" Target="mailto:anicet.kubwumuremyi@rra.gov.rw,claudine.byukusenge@rra.gov.rw" TargetMode="External"/><Relationship Id="rId133" Type="http://schemas.openxmlformats.org/officeDocument/2006/relationships/hyperlink" Target="mailto:crwagasore@migration.gov.rw,mrwamwaga@state.gov.rw,dkuwase@state.gov.rw" TargetMode="External"/><Relationship Id="rId340" Type="http://schemas.openxmlformats.org/officeDocument/2006/relationships/hyperlink" Target="mailto:augustin.ndayambaje@rab.gov.rw" TargetMode="External"/><Relationship Id="rId578" Type="http://schemas.openxmlformats.org/officeDocument/2006/relationships/hyperlink" Target="mailto:chris@sliceandcakes.com" TargetMode="External"/><Relationship Id="rId785" Type="http://schemas.openxmlformats.org/officeDocument/2006/relationships/hyperlink" Target="mailto:info@bushengehospital.gov.rw" TargetMode="External"/><Relationship Id="rId992" Type="http://schemas.openxmlformats.org/officeDocument/2006/relationships/hyperlink" Target="mailto:danny@akageraaviation.com" TargetMode="External"/><Relationship Id="rId200" Type="http://schemas.openxmlformats.org/officeDocument/2006/relationships/hyperlink" Target="mailto:jp.rwagasana@rlrc.gov.rw,info@rlrc.gov.rw" TargetMode="External"/><Relationship Id="rId438" Type="http://schemas.openxmlformats.org/officeDocument/2006/relationships/hyperlink" Target="mailto:antoine.twizere@rura.rw" TargetMode="External"/><Relationship Id="rId645" Type="http://schemas.openxmlformats.org/officeDocument/2006/relationships/hyperlink" Target="mailto:mntabana@unicef.org" TargetMode="External"/><Relationship Id="rId852" Type="http://schemas.openxmlformats.org/officeDocument/2006/relationships/hyperlink" Target="mailto:nashoirrigation@gmail.com" TargetMode="External"/><Relationship Id="rId1068" Type="http://schemas.openxmlformats.org/officeDocument/2006/relationships/hyperlink" Target="mailto:hakizimanajacques2007@yahoo.fr" TargetMode="External"/><Relationship Id="rId1275" Type="http://schemas.openxmlformats.org/officeDocument/2006/relationships/hyperlink" Target="mailto:fred.gashemeza@judiciary.gov.rw" TargetMode="External"/><Relationship Id="rId284" Type="http://schemas.openxmlformats.org/officeDocument/2006/relationships/hyperlink" Target="mailto:dirinfosyscec@minadef.gov.rw" TargetMode="External"/><Relationship Id="rId491" Type="http://schemas.openxmlformats.org/officeDocument/2006/relationships/hyperlink" Target="mailto:ndubasector@yahoo.com" TargetMode="External"/><Relationship Id="rId505" Type="http://schemas.openxmlformats.org/officeDocument/2006/relationships/hyperlink" Target="mailto:laurence.umuhire@rdb.rw" TargetMode="External"/><Relationship Id="rId712" Type="http://schemas.openxmlformats.org/officeDocument/2006/relationships/hyperlink" Target="mailto:nemba.hospital@moh.gov.rw" TargetMode="External"/><Relationship Id="rId1135" Type="http://schemas.openxmlformats.org/officeDocument/2006/relationships/hyperlink" Target="mailto:gedeon.intwari@rcb.rw" TargetMode="External"/><Relationship Id="rId1342" Type="http://schemas.openxmlformats.org/officeDocument/2006/relationships/hyperlink" Target="mailto:sage.umutoniwabo@trac.africa" TargetMode="External"/><Relationship Id="rId79" Type="http://schemas.openxmlformats.org/officeDocument/2006/relationships/hyperlink" Target="mailto:anicet.kubwumuremyi@rra.gov.rw,claudine.byukusenge@rra.gov.rw" TargetMode="External"/><Relationship Id="rId144" Type="http://schemas.openxmlformats.org/officeDocument/2006/relationships/hyperlink" Target="mailto:crwagasore@migration.gov.rw,mrwamwaga@state.gov.rw,dkuwase@state.gov.rw" TargetMode="External"/><Relationship Id="rId589" Type="http://schemas.openxmlformats.org/officeDocument/2006/relationships/hyperlink" Target="mailto:nzabandoraf@gmail.com" TargetMode="External"/><Relationship Id="rId796" Type="http://schemas.openxmlformats.org/officeDocument/2006/relationships/hyperlink" Target="mailto:anarayisenze@mifotra.gov.rw" TargetMode="External"/><Relationship Id="rId1202" Type="http://schemas.openxmlformats.org/officeDocument/2006/relationships/hyperlink" Target="mailto:headcec@minadef.gov.rw" TargetMode="External"/><Relationship Id="rId351" Type="http://schemas.openxmlformats.org/officeDocument/2006/relationships/hyperlink" Target="mailto:e.bagambiki@meteorwanda.gov.rw" TargetMode="External"/><Relationship Id="rId449" Type="http://schemas.openxmlformats.org/officeDocument/2006/relationships/hyperlink" Target="mailto:auwisibo@presidency.gov.rw" TargetMode="External"/><Relationship Id="rId656" Type="http://schemas.openxmlformats.org/officeDocument/2006/relationships/hyperlink" Target="mailto:mntabana@unicef.org" TargetMode="External"/><Relationship Id="rId863" Type="http://schemas.openxmlformats.org/officeDocument/2006/relationships/hyperlink" Target="mailto:ictmusanze@musanze.gov.rw" TargetMode="External"/><Relationship Id="rId1079" Type="http://schemas.openxmlformats.org/officeDocument/2006/relationships/hyperlink" Target="mailto:ahazaza@hotmail.com;flavimuhire@gmail.com" TargetMode="External"/><Relationship Id="rId1286" Type="http://schemas.openxmlformats.org/officeDocument/2006/relationships/hyperlink" Target="mailto:egide.mugwaneza@minijust.gov.rw" TargetMode="External"/><Relationship Id="rId211" Type="http://schemas.openxmlformats.org/officeDocument/2006/relationships/hyperlink" Target="mailto:ehategekimana@ogs.gov.rw" TargetMode="External"/><Relationship Id="rId295" Type="http://schemas.openxmlformats.org/officeDocument/2006/relationships/hyperlink" Target="mailto:dirinfosyscec@minadef.gov.rw" TargetMode="External"/><Relationship Id="rId309" Type="http://schemas.openxmlformats.org/officeDocument/2006/relationships/hyperlink" Target="mailto:dukuzumuremyij@gmail.com" TargetMode="External"/><Relationship Id="rId516" Type="http://schemas.openxmlformats.org/officeDocument/2006/relationships/hyperlink" Target="mailto:rubavudistrict@rubavu.gov.rw" TargetMode="External"/><Relationship Id="rId1146" Type="http://schemas.openxmlformats.org/officeDocument/2006/relationships/hyperlink" Target="mailto:frugema@rac.co.rw" TargetMode="External"/><Relationship Id="rId723" Type="http://schemas.openxmlformats.org/officeDocument/2006/relationships/hyperlink" Target="mailto:mugonero.hospital@moh.gov.rw" TargetMode="External"/><Relationship Id="rId930" Type="http://schemas.openxmlformats.org/officeDocument/2006/relationships/hyperlink" Target="mailto:amutijima@rtb.gov.rw" TargetMode="External"/><Relationship Id="rId1006" Type="http://schemas.openxmlformats.org/officeDocument/2006/relationships/hyperlink" Target="mailto:dirinfosyscec@minadef.gov.rw" TargetMode="External"/><Relationship Id="rId1353" Type="http://schemas.openxmlformats.org/officeDocument/2006/relationships/hyperlink" Target="mailto:brice.kayihura@aos.rw" TargetMode="External"/><Relationship Id="rId155" Type="http://schemas.openxmlformats.org/officeDocument/2006/relationships/hyperlink" Target="mailto:crwagasore@migration.gov.rw,mrwamwaga@state.gov.rw,dkuwase@state.gov.rw" TargetMode="External"/><Relationship Id="rId362" Type="http://schemas.openxmlformats.org/officeDocument/2006/relationships/hyperlink" Target="mailto:gasabo.remera@gov.rw" TargetMode="External"/><Relationship Id="rId1213" Type="http://schemas.openxmlformats.org/officeDocument/2006/relationships/hyperlink" Target="mailto:headcec@minadef.gov.rw" TargetMode="External"/><Relationship Id="rId1297" Type="http://schemas.openxmlformats.org/officeDocument/2006/relationships/hyperlink" Target="mailto:cuwamahoro@migeprof.gov.rw" TargetMode="External"/><Relationship Id="rId222" Type="http://schemas.openxmlformats.org/officeDocument/2006/relationships/hyperlink" Target="mailto:noc@cymru.com" TargetMode="External"/><Relationship Id="rId667" Type="http://schemas.openxmlformats.org/officeDocument/2006/relationships/hyperlink" Target="mailto:mntabana@unicef.org" TargetMode="External"/><Relationship Id="rId874" Type="http://schemas.openxmlformats.org/officeDocument/2006/relationships/hyperlink" Target="mailto:odette.kampire@rssb.rw" TargetMode="External"/><Relationship Id="rId17" Type="http://schemas.openxmlformats.org/officeDocument/2006/relationships/hyperlink" Target="mailto:Croix.KIREZI@mantiscollection.com" TargetMode="External"/><Relationship Id="rId527" Type="http://schemas.openxmlformats.org/officeDocument/2006/relationships/hyperlink" Target="mailto:secteurgatenga@gmail.com" TargetMode="External"/><Relationship Id="rId734" Type="http://schemas.openxmlformats.org/officeDocument/2006/relationships/hyperlink" Target="mailto:ali.muhire@kfhkigali.com" TargetMode="External"/><Relationship Id="rId941" Type="http://schemas.openxmlformats.org/officeDocument/2006/relationships/hyperlink" Target="mailto:placide.mutuyimana@wfp.org" TargetMode="External"/><Relationship Id="rId1157" Type="http://schemas.openxmlformats.org/officeDocument/2006/relationships/hyperlink" Target="mailto:gedeon.kwizera@nppa.gov.rw" TargetMode="External"/><Relationship Id="rId1364" Type="http://schemas.openxmlformats.org/officeDocument/2006/relationships/hyperlink" Target="mailto:duwimbabazi@hec.gov.rw" TargetMode="External"/><Relationship Id="rId70" Type="http://schemas.openxmlformats.org/officeDocument/2006/relationships/hyperlink" Target="mailto:anicet.kubwumuremyi@rra.gov.rw,claudine.byukusenge@rra.gov.rw" TargetMode="External"/><Relationship Id="rId166" Type="http://schemas.openxmlformats.org/officeDocument/2006/relationships/hyperlink" Target="mailto:crwagasore@migration.gov.rw,mrwamwaga@state.gov.rw,dkuwase@state.gov.rw" TargetMode="External"/><Relationship Id="rId373" Type="http://schemas.openxmlformats.org/officeDocument/2006/relationships/hyperlink" Target="mailto:james.kanamugire@raeb.gov.rw" TargetMode="External"/><Relationship Id="rId580" Type="http://schemas.openxmlformats.org/officeDocument/2006/relationships/hyperlink" Target="mailto:nzabandoraf@gmail.com" TargetMode="External"/><Relationship Id="rId801" Type="http://schemas.openxmlformats.org/officeDocument/2006/relationships/hyperlink" Target="mailto:ombudsinfo@ombudsman.gov.rw" TargetMode="External"/><Relationship Id="rId1017" Type="http://schemas.openxmlformats.org/officeDocument/2006/relationships/hyperlink" Target="mailto:dirinfosyscec@minadef.gov.rw" TargetMode="External"/><Relationship Id="rId1224" Type="http://schemas.openxmlformats.org/officeDocument/2006/relationships/hyperlink" Target="mailto:fred.gashemeza@judiciary.gov.rw" TargetMode="External"/><Relationship Id="rId1" Type="http://schemas.openxmlformats.org/officeDocument/2006/relationships/hyperlink" Target="mailto:dirinfosyscec@minadef.gov.rw" TargetMode="External"/><Relationship Id="rId233" Type="http://schemas.openxmlformats.org/officeDocument/2006/relationships/hyperlink" Target="mailto:higiro@maicoltd.com" TargetMode="External"/><Relationship Id="rId440" Type="http://schemas.openxmlformats.org/officeDocument/2006/relationships/hyperlink" Target="mailto:antoine.twizere@rura.rw" TargetMode="External"/><Relationship Id="rId678" Type="http://schemas.openxmlformats.org/officeDocument/2006/relationships/hyperlink" Target="mailto:collegesaintemariek@gmail.com" TargetMode="External"/><Relationship Id="rId885" Type="http://schemas.openxmlformats.org/officeDocument/2006/relationships/hyperlink" Target="mailto:odette.kampire@rssb.rw" TargetMode="External"/><Relationship Id="rId1070" Type="http://schemas.openxmlformats.org/officeDocument/2006/relationships/hyperlink" Target="mailto:ngendapr@yahoo.fr" TargetMode="External"/><Relationship Id="rId28" Type="http://schemas.openxmlformats.org/officeDocument/2006/relationships/hyperlink" Target="mailto:rwa@mf.worldatheletic.org" TargetMode="External"/><Relationship Id="rId300" Type="http://schemas.openxmlformats.org/officeDocument/2006/relationships/hyperlink" Target="mailto:dirinfosyscec@minadef.gov.rw" TargetMode="External"/><Relationship Id="rId538" Type="http://schemas.openxmlformats.org/officeDocument/2006/relationships/hyperlink" Target="mailto:czimbwa@andrew.cmu.edu" TargetMode="External"/><Relationship Id="rId745" Type="http://schemas.openxmlformats.org/officeDocument/2006/relationships/hyperlink" Target="mailto:francismuhire1@gmail.com/kibogorahospital@gmail.com/kibogora.hospital@moh.gov.rw" TargetMode="External"/><Relationship Id="rId952" Type="http://schemas.openxmlformats.org/officeDocument/2006/relationships/hyperlink" Target="mailto:nhilaire@demobrwanda.gov.rw%3E" TargetMode="External"/><Relationship Id="rId1168" Type="http://schemas.openxmlformats.org/officeDocument/2006/relationships/hyperlink" Target="mailto:sosthene.nsabimana@nppa.gov.rw" TargetMode="External"/><Relationship Id="rId1375" Type="http://schemas.openxmlformats.org/officeDocument/2006/relationships/table" Target="../tables/table2.xml"/><Relationship Id="rId81" Type="http://schemas.openxmlformats.org/officeDocument/2006/relationships/hyperlink" Target="mailto:anicet.kubwumuremyi@rra.gov.rw,claudine.byukusenge@rra.gov.rw" TargetMode="External"/><Relationship Id="rId177" Type="http://schemas.openxmlformats.org/officeDocument/2006/relationships/hyperlink" Target="mailto:crwagasore@migration.gov.rw,mrwamwaga@state.gov.rw,dkuwase@state.gov.rw" TargetMode="External"/><Relationship Id="rId384" Type="http://schemas.openxmlformats.org/officeDocument/2006/relationships/hyperlink" Target="mailto:mboneza@zigamacss.rw" TargetMode="External"/><Relationship Id="rId591" Type="http://schemas.openxmlformats.org/officeDocument/2006/relationships/hyperlink" Target="mailto:nzabandoraf@gmail.com" TargetMode="External"/><Relationship Id="rId605" Type="http://schemas.openxmlformats.org/officeDocument/2006/relationships/hyperlink" Target="mailto:nzabandoraf@gmail.com" TargetMode="External"/><Relationship Id="rId812" Type="http://schemas.openxmlformats.org/officeDocument/2006/relationships/hyperlink" Target="mailto:Samuel.Kamali@ncbagroup.com" TargetMode="External"/><Relationship Id="rId1028" Type="http://schemas.openxmlformats.org/officeDocument/2006/relationships/hyperlink" Target="mailto:dirinfosyscec@minadef.gov.rw" TargetMode="External"/><Relationship Id="rId1235" Type="http://schemas.openxmlformats.org/officeDocument/2006/relationships/hyperlink" Target="mailto:fred.gashemeza@judiciary.gov.rw" TargetMode="External"/><Relationship Id="rId244" Type="http://schemas.openxmlformats.org/officeDocument/2006/relationships/hyperlink" Target="mailto:gasabo.remera@gov.rw" TargetMode="External"/><Relationship Id="rId689" Type="http://schemas.openxmlformats.org/officeDocument/2006/relationships/hyperlink" Target="mailto:umuconso@gmail.com" TargetMode="External"/><Relationship Id="rId896" Type="http://schemas.openxmlformats.org/officeDocument/2006/relationships/hyperlink" Target="mailto:odette.kampire@rssb.rw" TargetMode="External"/><Relationship Id="rId1081" Type="http://schemas.openxmlformats.org/officeDocument/2006/relationships/hyperlink" Target="mailto:deo@asyv.org;christine@asyv.org" TargetMode="External"/><Relationship Id="rId1302" Type="http://schemas.openxmlformats.org/officeDocument/2006/relationships/hyperlink" Target="mailto:ramadhani.nshaka@liquid.tech" TargetMode="External"/><Relationship Id="rId39" Type="http://schemas.openxmlformats.org/officeDocument/2006/relationships/hyperlink" Target="mailto:anicet.kubwumuremyi@rra.gov.rw,claudine.byukusenge@rra.gov.rw" TargetMode="External"/><Relationship Id="rId451" Type="http://schemas.openxmlformats.org/officeDocument/2006/relationships/hyperlink" Target="mailto:urayeneza@rg.gov.rw" TargetMode="External"/><Relationship Id="rId549" Type="http://schemas.openxmlformats.org/officeDocument/2006/relationships/hyperlink" Target="mailto:murenzi.igor@mastersteel.co" TargetMode="External"/><Relationship Id="rId756" Type="http://schemas.openxmlformats.org/officeDocument/2006/relationships/hyperlink" Target="mailto:kacyiru.hospital@moh.gov.rw" TargetMode="External"/><Relationship Id="rId1179" Type="http://schemas.openxmlformats.org/officeDocument/2006/relationships/hyperlink" Target="mailto:sosthene.nsabimana@nppa.gov.rw" TargetMode="External"/><Relationship Id="rId104" Type="http://schemas.openxmlformats.org/officeDocument/2006/relationships/hyperlink" Target="mailto:crwagasore@migration.gov.rw,mrwamwaga@state.gov.rw,dkuwase@state.gov.rw" TargetMode="External"/><Relationship Id="rId188" Type="http://schemas.openxmlformats.org/officeDocument/2006/relationships/hyperlink" Target="mailto:crwagasore@migration.gov.rw,mrwamwaga@state.gov.rw,dkuwase@state.gov.rw" TargetMode="External"/><Relationship Id="rId311" Type="http://schemas.openxmlformats.org/officeDocument/2006/relationships/hyperlink" Target="mailto:mntabana@unicef.org" TargetMode="External"/><Relationship Id="rId395" Type="http://schemas.openxmlformats.org/officeDocument/2006/relationships/hyperlink" Target="mailto:Jeandedieu.mazimpaka@mininvest.gov.rw" TargetMode="External"/><Relationship Id="rId409" Type="http://schemas.openxmlformats.org/officeDocument/2006/relationships/hyperlink" Target="mailto:embassy.kigali@mfa.gov.tr" TargetMode="External"/><Relationship Id="rId963" Type="http://schemas.openxmlformats.org/officeDocument/2006/relationships/hyperlink" Target="mailto:modeste.nsanzimana@northernprovince.gov.rw" TargetMode="External"/><Relationship Id="rId1039" Type="http://schemas.openxmlformats.org/officeDocument/2006/relationships/hyperlink" Target="mailto:christine.uzamukunda@rmi.rw" TargetMode="External"/><Relationship Id="rId1246" Type="http://schemas.openxmlformats.org/officeDocument/2006/relationships/hyperlink" Target="mailto:fred.gashemeza@judiciary.gov.rw" TargetMode="External"/><Relationship Id="rId92" Type="http://schemas.openxmlformats.org/officeDocument/2006/relationships/hyperlink" Target="mailto:anicet.kubwumuremyi@rra.gov.rw,claudine.byukusenge@rra.gov.rw" TargetMode="External"/><Relationship Id="rId616" Type="http://schemas.openxmlformats.org/officeDocument/2006/relationships/hyperlink" Target="mailto:nzabandoraf@gmail.com" TargetMode="External"/><Relationship Id="rId823" Type="http://schemas.openxmlformats.org/officeDocument/2006/relationships/hyperlink" Target="mailto:rtwagira@rse.rw" TargetMode="External"/><Relationship Id="rId255" Type="http://schemas.openxmlformats.org/officeDocument/2006/relationships/hyperlink" Target="mailto:ingoga@reb.rw" TargetMode="External"/><Relationship Id="rId462" Type="http://schemas.openxmlformats.org/officeDocument/2006/relationships/hyperlink" Target="mailto:justin.munyemana@rfa.rw" TargetMode="External"/><Relationship Id="rId1092" Type="http://schemas.openxmlformats.org/officeDocument/2006/relationships/hyperlink" Target="mailto:ntezegervais@gmail.com;delasalle@yahoo.fr;" TargetMode="External"/><Relationship Id="rId1106" Type="http://schemas.openxmlformats.org/officeDocument/2006/relationships/hyperlink" Target="mailto:rucie.nagiruwishema@gmail.com;isfnyamasheke52@gmail.com" TargetMode="External"/><Relationship Id="rId1313" Type="http://schemas.openxmlformats.org/officeDocument/2006/relationships/hyperlink" Target="mailto:ramadhani.nshaka@liquid.tech" TargetMode="External"/><Relationship Id="rId115" Type="http://schemas.openxmlformats.org/officeDocument/2006/relationships/hyperlink" Target="mailto:crwagasore@migration.gov.rw,mrwamwaga@state.gov.rw,dkuwase@state.gov.rw" TargetMode="External"/><Relationship Id="rId322" Type="http://schemas.openxmlformats.org/officeDocument/2006/relationships/hyperlink" Target="mailto:mntabana@unicef.org" TargetMode="External"/><Relationship Id="rId767" Type="http://schemas.openxmlformats.org/officeDocument/2006/relationships/hyperlink" Target="mailto:ggitwehospital@gmail.com" TargetMode="External"/><Relationship Id="rId974" Type="http://schemas.openxmlformats.org/officeDocument/2006/relationships/hyperlink" Target="mailto:o.hategeka@bdf.rw" TargetMode="External"/><Relationship Id="rId199" Type="http://schemas.openxmlformats.org/officeDocument/2006/relationships/hyperlink" Target="mailto:crwagasore@migration.gov.rw,mrwamwaga@state.gov.rw,dkuwase@state.gov.rw" TargetMode="External"/><Relationship Id="rId627" Type="http://schemas.openxmlformats.org/officeDocument/2006/relationships/hyperlink" Target="mailto:ict@moh.gov.rw,info@moh.gov.rw" TargetMode="External"/><Relationship Id="rId834" Type="http://schemas.openxmlformats.org/officeDocument/2006/relationships/hyperlink" Target="mailto:ictofficer@gisagara.gov.rw" TargetMode="External"/><Relationship Id="rId1257" Type="http://schemas.openxmlformats.org/officeDocument/2006/relationships/hyperlink" Target="mailto:fred.gashemeza@judiciary.gov.rw" TargetMode="External"/><Relationship Id="rId266" Type="http://schemas.openxmlformats.org/officeDocument/2006/relationships/hyperlink" Target="mailto:jeanpierre.ndayisaba@ggr.co.rw" TargetMode="External"/><Relationship Id="rId473" Type="http://schemas.openxmlformats.org/officeDocument/2006/relationships/hyperlink" Target="mailto:brukundo@sdgcafrica.org" TargetMode="External"/><Relationship Id="rId680" Type="http://schemas.openxmlformats.org/officeDocument/2006/relationships/hyperlink" Target="mailto:ngaboyamahinae@gmail.com" TargetMode="External"/><Relationship Id="rId901" Type="http://schemas.openxmlformats.org/officeDocument/2006/relationships/hyperlink" Target="mailto:odette.kampire@rssb.rw" TargetMode="External"/><Relationship Id="rId1117" Type="http://schemas.openxmlformats.org/officeDocument/2006/relationships/hyperlink" Target="mailto:irene@simbanet.co.ke" TargetMode="External"/><Relationship Id="rId1324" Type="http://schemas.openxmlformats.org/officeDocument/2006/relationships/hyperlink" Target="tel:+250788307098" TargetMode="External"/><Relationship Id="rId30" Type="http://schemas.openxmlformats.org/officeDocument/2006/relationships/hyperlink" Target="mailto:kuradusengeb@gashoragirlsacademy.org" TargetMode="External"/><Relationship Id="rId126" Type="http://schemas.openxmlformats.org/officeDocument/2006/relationships/hyperlink" Target="mailto:crwagasore@migration.gov.rw,mrwamwaga@state.gov.rw,dkuwase@state.gov.rw" TargetMode="External"/><Relationship Id="rId333" Type="http://schemas.openxmlformats.org/officeDocument/2006/relationships/hyperlink" Target="mailto:mntabana@unicef.org" TargetMode="External"/><Relationship Id="rId540" Type="http://schemas.openxmlformats.org/officeDocument/2006/relationships/hyperlink" Target="mailto:waitherabeth@gmail.com" TargetMode="External"/><Relationship Id="rId778" Type="http://schemas.openxmlformats.org/officeDocument/2006/relationships/hyperlink" Target="mailto:ndera.hospital@moh.gov.rw" TargetMode="External"/><Relationship Id="rId985" Type="http://schemas.openxmlformats.org/officeDocument/2006/relationships/hyperlink" Target="mailto:o.hategeka@bdf.rw" TargetMode="External"/><Relationship Id="rId1170" Type="http://schemas.openxmlformats.org/officeDocument/2006/relationships/hyperlink" Target="mailto:sosthene.nsabimana@nppa.gov.rw" TargetMode="External"/><Relationship Id="rId638" Type="http://schemas.openxmlformats.org/officeDocument/2006/relationships/hyperlink" Target="mailto:mntabana@unicef.org" TargetMode="External"/><Relationship Id="rId845" Type="http://schemas.openxmlformats.org/officeDocument/2006/relationships/hyperlink" Target="mailto:oliver.heinen@posteo.de" TargetMode="External"/><Relationship Id="rId1030" Type="http://schemas.openxmlformats.org/officeDocument/2006/relationships/hyperlink" Target="mailto:dirinfosyscec@minadef.gov.rw" TargetMode="External"/><Relationship Id="rId1268" Type="http://schemas.openxmlformats.org/officeDocument/2006/relationships/hyperlink" Target="mailto:fred.gashemeza@judiciary.gov.rw" TargetMode="External"/><Relationship Id="rId277" Type="http://schemas.openxmlformats.org/officeDocument/2006/relationships/hyperlink" Target="mailto:dirinfosyscec@minadef.gov.rw" TargetMode="External"/><Relationship Id="rId400" Type="http://schemas.openxmlformats.org/officeDocument/2006/relationships/hyperlink" Target="mailto:denise.mugisha@gasmeth.com" TargetMode="External"/><Relationship Id="rId484" Type="http://schemas.openxmlformats.org/officeDocument/2006/relationships/hyperlink" Target="mailto:nyarugunga@kicukiro.gov.rw" TargetMode="External"/><Relationship Id="rId705" Type="http://schemas.openxmlformats.org/officeDocument/2006/relationships/hyperlink" Target="mailto:nyagatare.hospital@moh.gov.rw" TargetMode="External"/><Relationship Id="rId1128" Type="http://schemas.openxmlformats.org/officeDocument/2006/relationships/hyperlink" Target="mailto:accounts@roketelkom.co.ug" TargetMode="External"/><Relationship Id="rId1335" Type="http://schemas.openxmlformats.org/officeDocument/2006/relationships/hyperlink" Target="mailto:winston@bcs-ea.com" TargetMode="External"/><Relationship Id="rId137" Type="http://schemas.openxmlformats.org/officeDocument/2006/relationships/hyperlink" Target="mailto:crwagasore@migration.gov.rw,mrwamwaga@state.gov.rw,dkuwase@state.gov.rw" TargetMode="External"/><Relationship Id="rId344" Type="http://schemas.openxmlformats.org/officeDocument/2006/relationships/hyperlink" Target="mailto:anarayisenze@mifotra.gov.rw" TargetMode="External"/><Relationship Id="rId691" Type="http://schemas.openxmlformats.org/officeDocument/2006/relationships/hyperlink" Target="mailto:umuconso@gmail.com" TargetMode="External"/><Relationship Id="rId789" Type="http://schemas.openxmlformats.org/officeDocument/2006/relationships/hyperlink" Target="mailto:munezero.diane@duhamic.org.rw" TargetMode="External"/><Relationship Id="rId912" Type="http://schemas.openxmlformats.org/officeDocument/2006/relationships/hyperlink" Target="mailto:odette.kampire@rssb.rw" TargetMode="External"/><Relationship Id="rId996" Type="http://schemas.openxmlformats.org/officeDocument/2006/relationships/hyperlink" Target="mailto:ngendapr@yahoo.fr" TargetMode="External"/><Relationship Id="rId41" Type="http://schemas.openxmlformats.org/officeDocument/2006/relationships/hyperlink" Target="mailto:anicet.kubwumuremyi@rra.gov.rw,claudine.byukusenge@rra.gov.rw" TargetMode="External"/><Relationship Id="rId551" Type="http://schemas.openxmlformats.org/officeDocument/2006/relationships/hyperlink" Target="mailto:ict@kamonyi.gov.rw" TargetMode="External"/><Relationship Id="rId649" Type="http://schemas.openxmlformats.org/officeDocument/2006/relationships/hyperlink" Target="mailto:mntabana@unicef.org" TargetMode="External"/><Relationship Id="rId856" Type="http://schemas.openxmlformats.org/officeDocument/2006/relationships/hyperlink" Target="mailto:romalice.ishimwe@mininfra.gov.rw" TargetMode="External"/><Relationship Id="rId1181" Type="http://schemas.openxmlformats.org/officeDocument/2006/relationships/hyperlink" Target="mailto:sosthene.nsabimana@nppa.gov.rw" TargetMode="External"/><Relationship Id="rId1279" Type="http://schemas.openxmlformats.org/officeDocument/2006/relationships/hyperlink" Target="mailto:Martin@ubumuntu.art" TargetMode="External"/><Relationship Id="rId190" Type="http://schemas.openxmlformats.org/officeDocument/2006/relationships/hyperlink" Target="mailto:crwagasore@migration.gov.rw,mrwamwaga@state.gov.rw,dkuwase@state.gov.rw" TargetMode="External"/><Relationship Id="rId204" Type="http://schemas.openxmlformats.org/officeDocument/2006/relationships/hyperlink" Target="mailto:odette.kampire@rssb.rw" TargetMode="External"/><Relationship Id="rId288" Type="http://schemas.openxmlformats.org/officeDocument/2006/relationships/hyperlink" Target="mailto:dirinfosyscec@minadef.gov.rw" TargetMode="External"/><Relationship Id="rId411" Type="http://schemas.openxmlformats.org/officeDocument/2006/relationships/hyperlink" Target="mailto:it.support@rmb.gov.rw,jbonfils.tuyishimire@rmb.gov.rw" TargetMode="External"/><Relationship Id="rId509" Type="http://schemas.openxmlformats.org/officeDocument/2006/relationships/hyperlink" Target="mailto:mark@comzafrica.com" TargetMode="External"/><Relationship Id="rId1041" Type="http://schemas.openxmlformats.org/officeDocument/2006/relationships/hyperlink" Target="mailto:christine.uzamukunda@rmi.rw" TargetMode="External"/><Relationship Id="rId1139" Type="http://schemas.openxmlformats.org/officeDocument/2006/relationships/hyperlink" Target="mailto:mgasana@caa.gov.rw" TargetMode="External"/><Relationship Id="rId1346" Type="http://schemas.openxmlformats.org/officeDocument/2006/relationships/hyperlink" Target="mailto:sage.umutoniwabo@trac.africa" TargetMode="External"/><Relationship Id="rId495" Type="http://schemas.openxmlformats.org/officeDocument/2006/relationships/hyperlink" Target="mailto:judith.umulinga@udl.rw" TargetMode="External"/><Relationship Id="rId716" Type="http://schemas.openxmlformats.org/officeDocument/2006/relationships/hyperlink" Target="mailto:muninihospital@moh.gov.rw" TargetMode="External"/><Relationship Id="rId923" Type="http://schemas.openxmlformats.org/officeDocument/2006/relationships/hyperlink" Target="mailto:odette.kampire@rssb.rw" TargetMode="External"/><Relationship Id="rId52" Type="http://schemas.openxmlformats.org/officeDocument/2006/relationships/hyperlink" Target="mailto:anicet.kubwumuremyi@rra.gov.rw,claudine.byukusenge@rra.gov.rw" TargetMode="External"/><Relationship Id="rId148" Type="http://schemas.openxmlformats.org/officeDocument/2006/relationships/hyperlink" Target="mailto:crwagasore@migration.gov.rw,mrwamwaga@state.gov.rw,dkuwase@state.gov.rw" TargetMode="External"/><Relationship Id="rId355" Type="http://schemas.openxmlformats.org/officeDocument/2006/relationships/hyperlink" Target="mailto:augustin.ndayambaje@rab.gov.rw" TargetMode="External"/><Relationship Id="rId562" Type="http://schemas.openxmlformats.org/officeDocument/2006/relationships/hyperlink" Target="mailto:victor.mugabe@kiac.org.rw" TargetMode="External"/><Relationship Id="rId1192" Type="http://schemas.openxmlformats.org/officeDocument/2006/relationships/hyperlink" Target="mailto:rene.manzi@mtn.com" TargetMode="External"/><Relationship Id="rId1206" Type="http://schemas.openxmlformats.org/officeDocument/2006/relationships/hyperlink" Target="mailto:headcec@minadef.gov.rw" TargetMode="External"/><Relationship Id="rId215" Type="http://schemas.openxmlformats.org/officeDocument/2006/relationships/hyperlink" Target="mailto:agashugi@primature.gov.rw" TargetMode="External"/><Relationship Id="rId422" Type="http://schemas.openxmlformats.org/officeDocument/2006/relationships/hyperlink" Target="mailto:tkayumba@ncst.gov.rw" TargetMode="External"/><Relationship Id="rId867" Type="http://schemas.openxmlformats.org/officeDocument/2006/relationships/hyperlink" Target="mailto:BRWIGAMBA@mineduc.gov.rw" TargetMode="External"/><Relationship Id="rId1052" Type="http://schemas.openxmlformats.org/officeDocument/2006/relationships/hyperlink" Target="mailto:iaimable@iprckigali.ac.rw%3E" TargetMode="External"/><Relationship Id="rId299" Type="http://schemas.openxmlformats.org/officeDocument/2006/relationships/hyperlink" Target="mailto:dirinfosyscec@minadef.gov.rw" TargetMode="External"/><Relationship Id="rId727" Type="http://schemas.openxmlformats.org/officeDocument/2006/relationships/hyperlink" Target="mailto:kiziguro.hospital@moh.gov.rw" TargetMode="External"/><Relationship Id="rId934" Type="http://schemas.openxmlformats.org/officeDocument/2006/relationships/hyperlink" Target="mailto:jude.rwaka@rwandair.com" TargetMode="External"/><Relationship Id="rId1357" Type="http://schemas.openxmlformats.org/officeDocument/2006/relationships/hyperlink" Target="mailto:jruzigana@isco.co.rw" TargetMode="External"/><Relationship Id="rId63" Type="http://schemas.openxmlformats.org/officeDocument/2006/relationships/hyperlink" Target="mailto:anicet.kubwumuremyi@rra.gov.rw,claudine.byukusenge@rra.gov.rw" TargetMode="External"/><Relationship Id="rId159" Type="http://schemas.openxmlformats.org/officeDocument/2006/relationships/hyperlink" Target="mailto:crwagasore@migration.gov.rw,mrwamwaga@state.gov.rw,dkuwase@state.gov.rw" TargetMode="External"/><Relationship Id="rId366" Type="http://schemas.openxmlformats.org/officeDocument/2006/relationships/hyperlink" Target="mailto:patrick.manzi@gva.africa" TargetMode="External"/><Relationship Id="rId573" Type="http://schemas.openxmlformats.org/officeDocument/2006/relationships/hyperlink" Target="mailto:geoffrey.k@ricta.org.rw" TargetMode="External"/><Relationship Id="rId780" Type="http://schemas.openxmlformats.org/officeDocument/2006/relationships/hyperlink" Target="mailto:chrisneza@gmail.com" TargetMode="External"/><Relationship Id="rId1217" Type="http://schemas.openxmlformats.org/officeDocument/2006/relationships/hyperlink" Target="mailto:raymond.ntirenganya@minubumwe.gov.rw" TargetMode="External"/><Relationship Id="rId226" Type="http://schemas.openxmlformats.org/officeDocument/2006/relationships/hyperlink" Target="mailto:amugwaneza@space.gov.rw" TargetMode="External"/><Relationship Id="rId433" Type="http://schemas.openxmlformats.org/officeDocument/2006/relationships/hyperlink" Target="mailto:jackline.uwimbabazi@rwb.rw" TargetMode="External"/><Relationship Id="rId878" Type="http://schemas.openxmlformats.org/officeDocument/2006/relationships/hyperlink" Target="mailto:odette.kampire@rssb.rw" TargetMode="External"/><Relationship Id="rId1063" Type="http://schemas.openxmlformats.org/officeDocument/2006/relationships/hyperlink" Target="mailto:iprcwest@gmail.com;iprckarongi@gmail.com;info@iprckarongi.rp.ac.rw" TargetMode="External"/><Relationship Id="rId1270" Type="http://schemas.openxmlformats.org/officeDocument/2006/relationships/hyperlink" Target="mailto:fred.gashemeza@judiciary.gov.rw" TargetMode="External"/><Relationship Id="rId640" Type="http://schemas.openxmlformats.org/officeDocument/2006/relationships/hyperlink" Target="mailto:mntabana@unicef.org" TargetMode="External"/><Relationship Id="rId738" Type="http://schemas.openxmlformats.org/officeDocument/2006/relationships/hyperlink" Target="mailto:musema13@gmail.com" TargetMode="External"/><Relationship Id="rId945" Type="http://schemas.openxmlformats.org/officeDocument/2006/relationships/hyperlink" Target="mailto:ictofficer@southernprovince.gov.rw" TargetMode="External"/><Relationship Id="rId1368" Type="http://schemas.openxmlformats.org/officeDocument/2006/relationships/hyperlink" Target="mailto:justin.munyemana@rfa.rw" TargetMode="External"/><Relationship Id="rId74" Type="http://schemas.openxmlformats.org/officeDocument/2006/relationships/hyperlink" Target="mailto:anicet.kubwumuremyi@rra.gov.rw,claudine.byukusenge@rra.gov.rw" TargetMode="External"/><Relationship Id="rId377" Type="http://schemas.openxmlformats.org/officeDocument/2006/relationships/hyperlink" Target="mailto:gedeon.intwari@rcb.rw" TargetMode="External"/><Relationship Id="rId500" Type="http://schemas.openxmlformats.org/officeDocument/2006/relationships/hyperlink" Target="mailto:nderasector@gasabo.gov.rw" TargetMode="External"/><Relationship Id="rId584" Type="http://schemas.openxmlformats.org/officeDocument/2006/relationships/hyperlink" Target="mailto:nzabandoraf@gmail.com" TargetMode="External"/><Relationship Id="rId805" Type="http://schemas.openxmlformats.org/officeDocument/2006/relationships/hyperlink" Target="mailto:gkabera@myculture.gov.rw" TargetMode="External"/><Relationship Id="rId1130" Type="http://schemas.openxmlformats.org/officeDocument/2006/relationships/hyperlink" Target="mailto:nipacifique@rgb.rw" TargetMode="External"/><Relationship Id="rId1228" Type="http://schemas.openxmlformats.org/officeDocument/2006/relationships/hyperlink" Target="mailto:fred.gashemeza@judiciary.gov.rw" TargetMode="External"/><Relationship Id="rId5" Type="http://schemas.openxmlformats.org/officeDocument/2006/relationships/hyperlink" Target="mailto:dirinfosyscec@minadef.gov.rw" TargetMode="External"/><Relationship Id="rId237" Type="http://schemas.openxmlformats.org/officeDocument/2006/relationships/hyperlink" Target="mailto:saccogahanga@yahoo.com" TargetMode="External"/><Relationship Id="rId791" Type="http://schemas.openxmlformats.org/officeDocument/2006/relationships/hyperlink" Target="mailto:hassanm@psf.org.rw" TargetMode="External"/><Relationship Id="rId889" Type="http://schemas.openxmlformats.org/officeDocument/2006/relationships/hyperlink" Target="mailto:odette.kampire@rssb.rw" TargetMode="External"/><Relationship Id="rId1074" Type="http://schemas.openxmlformats.org/officeDocument/2006/relationships/hyperlink" Target="mailto:gsndanyundo1985@gmail.com" TargetMode="External"/><Relationship Id="rId444" Type="http://schemas.openxmlformats.org/officeDocument/2006/relationships/hyperlink" Target="mailto:auwisibo@presidency.gov.rw" TargetMode="External"/><Relationship Id="rId651" Type="http://schemas.openxmlformats.org/officeDocument/2006/relationships/hyperlink" Target="mailto:mntabana@unicef.org" TargetMode="External"/><Relationship Id="rId749" Type="http://schemas.openxmlformats.org/officeDocument/2006/relationships/hyperlink" Target="mailto:simplice@kibilizihospital.gov.rw" TargetMode="External"/><Relationship Id="rId1281" Type="http://schemas.openxmlformats.org/officeDocument/2006/relationships/hyperlink" Target="mailto:crumongi@vfcrwanda.rw" TargetMode="External"/><Relationship Id="rId290" Type="http://schemas.openxmlformats.org/officeDocument/2006/relationships/hyperlink" Target="mailto:dirinfosyscec@minadef.gov.rw" TargetMode="External"/><Relationship Id="rId304" Type="http://schemas.openxmlformats.org/officeDocument/2006/relationships/hyperlink" Target="mailto:dirinfosyscec@minadef.gov.rw" TargetMode="External"/><Relationship Id="rId388" Type="http://schemas.openxmlformats.org/officeDocument/2006/relationships/hyperlink" Target="mailto:crwagasore@migration.gov.rw" TargetMode="External"/><Relationship Id="rId511" Type="http://schemas.openxmlformats.org/officeDocument/2006/relationships/hyperlink" Target="mailto:kagaramasector@yahoo.com" TargetMode="External"/><Relationship Id="rId609" Type="http://schemas.openxmlformats.org/officeDocument/2006/relationships/hyperlink" Target="mailto:nzabandoraf@gmail.com" TargetMode="External"/><Relationship Id="rId956" Type="http://schemas.openxmlformats.org/officeDocument/2006/relationships/hyperlink" Target="mailto:JeanPierre.Ndayisaba@rlma.rw" TargetMode="External"/><Relationship Id="rId1141" Type="http://schemas.openxmlformats.org/officeDocument/2006/relationships/hyperlink" Target="mailto:frugema@rac.co.rw" TargetMode="External"/><Relationship Id="rId1239" Type="http://schemas.openxmlformats.org/officeDocument/2006/relationships/hyperlink" Target="mailto:fred.gashemeza@judiciary.gov.rw" TargetMode="External"/><Relationship Id="rId85" Type="http://schemas.openxmlformats.org/officeDocument/2006/relationships/hyperlink" Target="mailto:anicet.kubwumuremyi@rra.gov.rw,claudine.byukusenge@rra.gov.rw" TargetMode="External"/><Relationship Id="rId150" Type="http://schemas.openxmlformats.org/officeDocument/2006/relationships/hyperlink" Target="mailto:crwagasore@migration.gov.rw,mrwamwaga@state.gov.rw,dkuwase@state.gov.rw" TargetMode="External"/><Relationship Id="rId595" Type="http://schemas.openxmlformats.org/officeDocument/2006/relationships/hyperlink" Target="mailto:nzabandoraf@gmail.com" TargetMode="External"/><Relationship Id="rId816" Type="http://schemas.openxmlformats.org/officeDocument/2006/relationships/hyperlink" Target="mailto:kevin.sebineza@gmail.com" TargetMode="External"/><Relationship Id="rId1001" Type="http://schemas.openxmlformats.org/officeDocument/2006/relationships/hyperlink" Target="mailto:dirinfosyscec@minadef.gov.rw" TargetMode="External"/><Relationship Id="rId248" Type="http://schemas.openxmlformats.org/officeDocument/2006/relationships/hyperlink" Target="mailto:rusororosector@gasabo.gov.rw" TargetMode="External"/><Relationship Id="rId455" Type="http://schemas.openxmlformats.org/officeDocument/2006/relationships/hyperlink" Target="mailto:akundimana@minict.gov.rw" TargetMode="External"/><Relationship Id="rId662" Type="http://schemas.openxmlformats.org/officeDocument/2006/relationships/hyperlink" Target="mailto:mntabana@unicef.org" TargetMode="External"/><Relationship Id="rId1085" Type="http://schemas.openxmlformats.org/officeDocument/2006/relationships/hyperlink" Target="mailto:bahigerd@yahoo.fr;enpttcgacuba2@yahoo.fr" TargetMode="External"/><Relationship Id="rId1292" Type="http://schemas.openxmlformats.org/officeDocument/2006/relationships/hyperlink" Target="mailto:florent.kwizera@minecofin.gov.rw" TargetMode="External"/><Relationship Id="rId1306" Type="http://schemas.openxmlformats.org/officeDocument/2006/relationships/hyperlink" Target="mailto:ramadhani.nshaka@liquid.tech" TargetMode="External"/><Relationship Id="rId12" Type="http://schemas.openxmlformats.org/officeDocument/2006/relationships/hyperlink" Target="mailto:dirinfosyscec@minadef.gov.rw" TargetMode="External"/><Relationship Id="rId108" Type="http://schemas.openxmlformats.org/officeDocument/2006/relationships/hyperlink" Target="mailto:crwagasore@migration.gov.rw,mrwamwaga@state.gov.rw,dkuwase@state.gov.rw" TargetMode="External"/><Relationship Id="rId315" Type="http://schemas.openxmlformats.org/officeDocument/2006/relationships/hyperlink" Target="mailto:mntabana@unicef.org" TargetMode="External"/><Relationship Id="rId522" Type="http://schemas.openxmlformats.org/officeDocument/2006/relationships/hyperlink" Target="mailto:corporate@rwamagana.gov.rw" TargetMode="External"/><Relationship Id="rId967" Type="http://schemas.openxmlformats.org/officeDocument/2006/relationships/hyperlink" Target="mailto:fabrice.tubanenimana@nirda.gov.rw" TargetMode="External"/><Relationship Id="rId1152" Type="http://schemas.openxmlformats.org/officeDocument/2006/relationships/hyperlink" Target="mailto:jbosco.dusabimana@nrs.gov.rw" TargetMode="External"/><Relationship Id="rId96" Type="http://schemas.openxmlformats.org/officeDocument/2006/relationships/hyperlink" Target="mailto:anicet.kubwumuremyi@rra.gov.rw,claudine.byukusenge@rra.gov.rw" TargetMode="External"/><Relationship Id="rId161" Type="http://schemas.openxmlformats.org/officeDocument/2006/relationships/hyperlink" Target="mailto:crwagasore@migration.gov.rw,mrwamwaga@state.gov.rw,dkuwase@state.gov.rw" TargetMode="External"/><Relationship Id="rId399" Type="http://schemas.openxmlformats.org/officeDocument/2006/relationships/hyperlink" Target="mailto:Jeandedieu.mazimpaka@mininvest.gov.rw" TargetMode="External"/><Relationship Id="rId827" Type="http://schemas.openxmlformats.org/officeDocument/2006/relationships/hyperlink" Target="mailto:amuyombayire@rwandamountaintea.com" TargetMode="External"/><Relationship Id="rId1012" Type="http://schemas.openxmlformats.org/officeDocument/2006/relationships/hyperlink" Target="mailto:dirinfosyscec@minadef.gov.rw" TargetMode="External"/><Relationship Id="rId259" Type="http://schemas.openxmlformats.org/officeDocument/2006/relationships/hyperlink" Target="mailto:stuyishimire@reb.rw" TargetMode="External"/><Relationship Id="rId466" Type="http://schemas.openxmlformats.org/officeDocument/2006/relationships/hyperlink" Target="mailto:jeannot.gapira@rpfinkotanyi.rw" TargetMode="External"/><Relationship Id="rId673" Type="http://schemas.openxmlformats.org/officeDocument/2006/relationships/hyperlink" Target="mailto:mntabana@unicef.org" TargetMode="External"/><Relationship Id="rId880" Type="http://schemas.openxmlformats.org/officeDocument/2006/relationships/hyperlink" Target="mailto:odette.kampire@rssb.rw" TargetMode="External"/><Relationship Id="rId1096" Type="http://schemas.openxmlformats.org/officeDocument/2006/relationships/hyperlink" Target="mailto:michelmuvange@yahoo.fr;esnyamirama@yahoo.co.uk" TargetMode="External"/><Relationship Id="rId1317" Type="http://schemas.openxmlformats.org/officeDocument/2006/relationships/hyperlink" Target="mailto:ngango@ilpd.ac.rw" TargetMode="External"/><Relationship Id="rId23" Type="http://schemas.openxmlformats.org/officeDocument/2006/relationships/hyperlink" Target="mailto:auwisibo@presidency.gov.rw" TargetMode="External"/><Relationship Id="rId119" Type="http://schemas.openxmlformats.org/officeDocument/2006/relationships/hyperlink" Target="mailto:crwagasore@migration.gov.rw,mrwamwaga@state.gov.rw,dkuwase@state.gov.rw" TargetMode="External"/><Relationship Id="rId326" Type="http://schemas.openxmlformats.org/officeDocument/2006/relationships/hyperlink" Target="mailto:mntabana@unicef.org" TargetMode="External"/><Relationship Id="rId533" Type="http://schemas.openxmlformats.org/officeDocument/2006/relationships/hyperlink" Target="mailto:nsengavincent@yahoo.com" TargetMode="External"/><Relationship Id="rId978" Type="http://schemas.openxmlformats.org/officeDocument/2006/relationships/hyperlink" Target="mailto:o.hategeka@bdf.rw" TargetMode="External"/><Relationship Id="rId1163" Type="http://schemas.openxmlformats.org/officeDocument/2006/relationships/hyperlink" Target="mailto:sosthene.nsabimana@nppa.gov.rw" TargetMode="External"/><Relationship Id="rId1370" Type="http://schemas.openxmlformats.org/officeDocument/2006/relationships/hyperlink" Target="mailto:ceo@simpotechs.com%20%20/%20robert@simpotechs.com" TargetMode="External"/><Relationship Id="rId740" Type="http://schemas.openxmlformats.org/officeDocument/2006/relationships/hyperlink" Target="mailto:tuyishimefortunatus@gmail.com" TargetMode="External"/><Relationship Id="rId838" Type="http://schemas.openxmlformats.org/officeDocument/2006/relationships/hyperlink" Target="mailto:josette.mukarukundo@parliament.gov.rw" TargetMode="External"/><Relationship Id="rId1023" Type="http://schemas.openxmlformats.org/officeDocument/2006/relationships/hyperlink" Target="mailto:dirinfosyscec@minadef.gov.rw" TargetMode="External"/><Relationship Id="rId172" Type="http://schemas.openxmlformats.org/officeDocument/2006/relationships/hyperlink" Target="mailto:crwagasore@migration.gov.rw,mrwamwaga@state.gov.rw,dkuwase@state.gov.rw" TargetMode="External"/><Relationship Id="rId477" Type="http://schemas.openxmlformats.org/officeDocument/2006/relationships/hyperlink" Target="mailto:Aimable.nshimiye@marriot.com" TargetMode="External"/><Relationship Id="rId600" Type="http://schemas.openxmlformats.org/officeDocument/2006/relationships/hyperlink" Target="mailto:nzabandoraf@gmail.com" TargetMode="External"/><Relationship Id="rId684" Type="http://schemas.openxmlformats.org/officeDocument/2006/relationships/hyperlink" Target="mailto:d.gatete@rmh.rw" TargetMode="External"/><Relationship Id="rId1230" Type="http://schemas.openxmlformats.org/officeDocument/2006/relationships/hyperlink" Target="mailto:fred.gashemeza@judiciary.gov.rw" TargetMode="External"/><Relationship Id="rId1328" Type="http://schemas.openxmlformats.org/officeDocument/2006/relationships/hyperlink" Target="mailto:jerome.ndayambaje@cma.rw" TargetMode="External"/><Relationship Id="rId337" Type="http://schemas.openxmlformats.org/officeDocument/2006/relationships/hyperlink" Target="mailto:danny@akageraaviation.com" TargetMode="External"/><Relationship Id="rId891" Type="http://schemas.openxmlformats.org/officeDocument/2006/relationships/hyperlink" Target="mailto:odette.kampire@rssb.rw" TargetMode="External"/><Relationship Id="rId905" Type="http://schemas.openxmlformats.org/officeDocument/2006/relationships/hyperlink" Target="mailto:odette.kampire@rssb.rw" TargetMode="External"/><Relationship Id="rId989" Type="http://schemas.openxmlformats.org/officeDocument/2006/relationships/hyperlink" Target="mailto:o.hategeka@bdf.rw" TargetMode="External"/><Relationship Id="rId34" Type="http://schemas.openxmlformats.org/officeDocument/2006/relationships/hyperlink" Target="mailto:anicet.kubwumuremyi@rra.gov.rw,claudine.byukusenge@rra.gov.rw" TargetMode="External"/><Relationship Id="rId544" Type="http://schemas.openxmlformats.org/officeDocument/2006/relationships/hyperlink" Target="mailto:robertbita4@gmail.com" TargetMode="External"/><Relationship Id="rId751" Type="http://schemas.openxmlformats.org/officeDocument/2006/relationships/hyperlink" Target="mailto:nsenga1@gmail.com/kibagaba.hospital@moh.gov.rw" TargetMode="External"/><Relationship Id="rId849" Type="http://schemas.openxmlformats.org/officeDocument/2006/relationships/hyperlink" Target="mailto:nkurunzemma@palmkash.com" TargetMode="External"/><Relationship Id="rId1174" Type="http://schemas.openxmlformats.org/officeDocument/2006/relationships/hyperlink" Target="mailto:sosthene.nsabimana@nppa.gov.rw" TargetMode="External"/><Relationship Id="rId183" Type="http://schemas.openxmlformats.org/officeDocument/2006/relationships/hyperlink" Target="mailto:crwagasore@migration.gov.rw,mrwamwaga@state.gov.rw,dkuwase@state.gov.rw" TargetMode="External"/><Relationship Id="rId390" Type="http://schemas.openxmlformats.org/officeDocument/2006/relationships/hyperlink" Target="mailto:crwagasore@migration.gov.rw,mrwamwaga@state.gov.rw,dkuwase@state.gov.rw" TargetMode="External"/><Relationship Id="rId404" Type="http://schemas.openxmlformats.org/officeDocument/2006/relationships/hyperlink" Target="mailto:sedar.sagamba@agaciro.rw" TargetMode="External"/><Relationship Id="rId611" Type="http://schemas.openxmlformats.org/officeDocument/2006/relationships/hyperlink" Target="mailto:nzabandoraf@gmail.com" TargetMode="External"/><Relationship Id="rId1034" Type="http://schemas.openxmlformats.org/officeDocument/2006/relationships/hyperlink" Target="mailto:dirinfosyscec@minadef.gov.rw" TargetMode="External"/><Relationship Id="rId1241" Type="http://schemas.openxmlformats.org/officeDocument/2006/relationships/hyperlink" Target="mailto:fred.gashemeza@judiciary.gov.rw" TargetMode="External"/><Relationship Id="rId1339" Type="http://schemas.openxmlformats.org/officeDocument/2006/relationships/hyperlink" Target="mailto:sage.umutoniwabo@trac.africa" TargetMode="External"/><Relationship Id="rId250" Type="http://schemas.openxmlformats.org/officeDocument/2006/relationships/hyperlink" Target="mailto:lucietuyish@gmail.com" TargetMode="External"/><Relationship Id="rId488" Type="http://schemas.openxmlformats.org/officeDocument/2006/relationships/hyperlink" Target="mailto:rene.mugenza@bpr.rw" TargetMode="External"/><Relationship Id="rId695" Type="http://schemas.openxmlformats.org/officeDocument/2006/relationships/hyperlink" Target="mailto:ruhango.hospital@moh.gov.rw" TargetMode="External"/><Relationship Id="rId709" Type="http://schemas.openxmlformats.org/officeDocument/2006/relationships/hyperlink" Target="mailto:ngarama.hospital@moh.gov.rw" TargetMode="External"/><Relationship Id="rId916" Type="http://schemas.openxmlformats.org/officeDocument/2006/relationships/hyperlink" Target="mailto:odette.kampire@rssb.rw" TargetMode="External"/><Relationship Id="rId1101" Type="http://schemas.openxmlformats.org/officeDocument/2006/relationships/hyperlink" Target="mailto:rudasingwacamille@gmail.com" TargetMode="External"/><Relationship Id="rId45" Type="http://schemas.openxmlformats.org/officeDocument/2006/relationships/hyperlink" Target="mailto:anicet.kubwumuremyi@rra.gov.rw,claudine.byukusenge@rra.gov.rw" TargetMode="External"/><Relationship Id="rId110" Type="http://schemas.openxmlformats.org/officeDocument/2006/relationships/hyperlink" Target="mailto:crwagasore@migration.gov.rw,mrwamwaga@state.gov.rw,dkuwase@state.gov.rw" TargetMode="External"/><Relationship Id="rId348" Type="http://schemas.openxmlformats.org/officeDocument/2006/relationships/hyperlink" Target="mailto:wilson.kabagambe@rcs.gov.rw" TargetMode="External"/><Relationship Id="rId555" Type="http://schemas.openxmlformats.org/officeDocument/2006/relationships/hyperlink" Target="mailto:Rene.MUGENZA@bpr.rw" TargetMode="External"/><Relationship Id="rId762" Type="http://schemas.openxmlformats.org/officeDocument/2006/relationships/hyperlink" Target="mailto:pantaleon.biraho@kabgayihospital.rw;info@kabgayihospital.rw" TargetMode="External"/><Relationship Id="rId1185" Type="http://schemas.openxmlformats.org/officeDocument/2006/relationships/hyperlink" Target="mailto:sosthene.nsabimana@nppa.gov.rw" TargetMode="External"/><Relationship Id="rId194" Type="http://schemas.openxmlformats.org/officeDocument/2006/relationships/hyperlink" Target="mailto:crwagasore@migration.gov.rw,mrwamwaga@state.gov.rw,dkuwase@state.gov.rw" TargetMode="External"/><Relationship Id="rId208" Type="http://schemas.openxmlformats.org/officeDocument/2006/relationships/hyperlink" Target="mailto:msugira@fic.gov.rw" TargetMode="External"/><Relationship Id="rId415" Type="http://schemas.openxmlformats.org/officeDocument/2006/relationships/hyperlink" Target="mailto:jp.rwagasana@rlrc.gov.rw,info@rlrc.gov.rw" TargetMode="External"/><Relationship Id="rId622" Type="http://schemas.openxmlformats.org/officeDocument/2006/relationships/hyperlink" Target="mailto:samuel.kagiraneza@rbc.gov.rw" TargetMode="External"/><Relationship Id="rId1045" Type="http://schemas.openxmlformats.org/officeDocument/2006/relationships/hyperlink" Target="mailto:christine.uzamukunda@rmi.rw" TargetMode="External"/><Relationship Id="rId1252" Type="http://schemas.openxmlformats.org/officeDocument/2006/relationships/hyperlink" Target="mailto:fred.gashemeza@judiciary.gov.rw" TargetMode="External"/><Relationship Id="rId261" Type="http://schemas.openxmlformats.org/officeDocument/2006/relationships/hyperlink" Target="mailto:info@rp.iprcngoma.ac.rw" TargetMode="External"/><Relationship Id="rId499" Type="http://schemas.openxmlformats.org/officeDocument/2006/relationships/hyperlink" Target="mailto:pierrot.kagabe@atl.rw" TargetMode="External"/><Relationship Id="rId927" Type="http://schemas.openxmlformats.org/officeDocument/2006/relationships/hyperlink" Target="mailto:dict@rib.gov.rw" TargetMode="External"/><Relationship Id="rId1112" Type="http://schemas.openxmlformats.org/officeDocument/2006/relationships/hyperlink" Target="mailto:florent.kwizera@minecofin.gov.rw" TargetMode="External"/><Relationship Id="rId56" Type="http://schemas.openxmlformats.org/officeDocument/2006/relationships/hyperlink" Target="mailto:anicet.kubwumuremyi@rra.gov.rw,claudine.byukusenge@rra.gov.rw" TargetMode="External"/><Relationship Id="rId359" Type="http://schemas.openxmlformats.org/officeDocument/2006/relationships/hyperlink" Target="mailto:patrick.ntwali@imbank.co.rw" TargetMode="External"/><Relationship Id="rId566" Type="http://schemas.openxmlformats.org/officeDocument/2006/relationships/hyperlink" Target="mailto:rvuningoma@kigalicity.gov.rw" TargetMode="External"/><Relationship Id="rId773" Type="http://schemas.openxmlformats.org/officeDocument/2006/relationships/hyperlink" Target="mailto:gahini.hospital@moh.gov.rw" TargetMode="External"/><Relationship Id="rId1196" Type="http://schemas.openxmlformats.org/officeDocument/2006/relationships/hyperlink" Target="mailto:rene.manzi@mtn.com" TargetMode="External"/><Relationship Id="rId121" Type="http://schemas.openxmlformats.org/officeDocument/2006/relationships/hyperlink" Target="mailto:crwagasore@migration.gov.rw,mrwamwaga@state.gov.rw,dkuwase@state.gov.rw" TargetMode="External"/><Relationship Id="rId219" Type="http://schemas.openxmlformats.org/officeDocument/2006/relationships/hyperlink" Target="mailto:jerome.ndayambaje@cma.rw" TargetMode="External"/><Relationship Id="rId426" Type="http://schemas.openxmlformats.org/officeDocument/2006/relationships/hyperlink" Target="mailto:digitalization@minicom.gov.rw" TargetMode="External"/><Relationship Id="rId633" Type="http://schemas.openxmlformats.org/officeDocument/2006/relationships/hyperlink" Target="mailto:gbonconseil11@yahoo.com" TargetMode="External"/><Relationship Id="rId980" Type="http://schemas.openxmlformats.org/officeDocument/2006/relationships/hyperlink" Target="mailto:o.hategeka@bdf.rw" TargetMode="External"/><Relationship Id="rId1056" Type="http://schemas.openxmlformats.org/officeDocument/2006/relationships/hyperlink" Target="mailto:jkht08@yahoo.fr;eruzindana@iprckitabi.ac.rw;haezechiel@gmail.com" TargetMode="External"/><Relationship Id="rId1263" Type="http://schemas.openxmlformats.org/officeDocument/2006/relationships/hyperlink" Target="mailto:fred.gashemeza@judiciary.gov.rw" TargetMode="External"/><Relationship Id="rId840" Type="http://schemas.openxmlformats.org/officeDocument/2006/relationships/hyperlink" Target="mailto:munyarugerero.viateur@gmo.gov.rw" TargetMode="External"/><Relationship Id="rId938" Type="http://schemas.openxmlformats.org/officeDocument/2006/relationships/hyperlink" Target="mailto:exec@nyanza.gov.rw" TargetMode="External"/><Relationship Id="rId67" Type="http://schemas.openxmlformats.org/officeDocument/2006/relationships/hyperlink" Target="mailto:anicet.kubwumuremyi@rra.gov.rw,claudine.byukusenge@rra.gov.rw" TargetMode="External"/><Relationship Id="rId272" Type="http://schemas.openxmlformats.org/officeDocument/2006/relationships/hyperlink" Target="mailto:dirinfosyscec@minadef.gov.rw" TargetMode="External"/><Relationship Id="rId577" Type="http://schemas.openxmlformats.org/officeDocument/2006/relationships/hyperlink" Target="mailto:andrerugema2015@gmail.com" TargetMode="External"/><Relationship Id="rId700" Type="http://schemas.openxmlformats.org/officeDocument/2006/relationships/hyperlink" Target="mailto:nyanza.hospital@moh.gov.rw" TargetMode="External"/><Relationship Id="rId1123" Type="http://schemas.openxmlformats.org/officeDocument/2006/relationships/hyperlink" Target="mailto:esy3@gmail.com" TargetMode="External"/><Relationship Id="rId1330" Type="http://schemas.openxmlformats.org/officeDocument/2006/relationships/hyperlink" Target="mailto:al4nse@gmail.com" TargetMode="External"/><Relationship Id="rId132" Type="http://schemas.openxmlformats.org/officeDocument/2006/relationships/hyperlink" Target="mailto:crwagasore@migration.gov.rw,mrwamwaga@state.gov.rw,dkuwase@state.gov.rw" TargetMode="External"/><Relationship Id="rId784" Type="http://schemas.openxmlformats.org/officeDocument/2006/relationships/hyperlink" Target="mailto:info@bushengehospital.gov.rw" TargetMode="External"/><Relationship Id="rId991" Type="http://schemas.openxmlformats.org/officeDocument/2006/relationships/hyperlink" Target="mailto:o.hategeka@bdf.rw" TargetMode="External"/><Relationship Id="rId1067" Type="http://schemas.openxmlformats.org/officeDocument/2006/relationships/hyperlink" Target="mailto:joybebeto@gmail.com" TargetMode="External"/><Relationship Id="rId437" Type="http://schemas.openxmlformats.org/officeDocument/2006/relationships/hyperlink" Target="mailto:alpaarsne.marara@chuk.rw" TargetMode="External"/><Relationship Id="rId644" Type="http://schemas.openxmlformats.org/officeDocument/2006/relationships/hyperlink" Target="mailto:mntabana@unicef.org" TargetMode="External"/><Relationship Id="rId851" Type="http://schemas.openxmlformats.org/officeDocument/2006/relationships/hyperlink" Target="mailto:infospiu@minagri.gov.rw" TargetMode="External"/><Relationship Id="rId1274" Type="http://schemas.openxmlformats.org/officeDocument/2006/relationships/hyperlink" Target="mailto:fred.gashemeza@judiciary.gov.rw" TargetMode="External"/><Relationship Id="rId283" Type="http://schemas.openxmlformats.org/officeDocument/2006/relationships/hyperlink" Target="mailto:dirinfosyscec@minadef.gov.rw" TargetMode="External"/><Relationship Id="rId490" Type="http://schemas.openxmlformats.org/officeDocument/2006/relationships/hyperlink" Target="mailto:amugwaneza@space.gov.rw" TargetMode="External"/><Relationship Id="rId504" Type="http://schemas.openxmlformats.org/officeDocument/2006/relationships/hyperlink" Target="mailto:ict@kamonyi.gov.rw" TargetMode="External"/><Relationship Id="rId711" Type="http://schemas.openxmlformats.org/officeDocument/2006/relationships/hyperlink" Target="mailto:ngarama.hospital@moh.gov.rw" TargetMode="External"/><Relationship Id="rId949" Type="http://schemas.openxmlformats.org/officeDocument/2006/relationships/hyperlink" Target="mailto:emmy.bucyana@rha.gov.rw" TargetMode="External"/><Relationship Id="rId1134" Type="http://schemas.openxmlformats.org/officeDocument/2006/relationships/hyperlink" Target="mailto:nipacifique@rgb.rw" TargetMode="External"/><Relationship Id="rId1341" Type="http://schemas.openxmlformats.org/officeDocument/2006/relationships/hyperlink" Target="mailto:sage.umutoniwabo@trac.africa" TargetMode="External"/><Relationship Id="rId78" Type="http://schemas.openxmlformats.org/officeDocument/2006/relationships/hyperlink" Target="mailto:anicet.kubwumuremyi@rra.gov.rw,claudine.byukusenge@rra.gov.rw" TargetMode="External"/><Relationship Id="rId143" Type="http://schemas.openxmlformats.org/officeDocument/2006/relationships/hyperlink" Target="mailto:crwagasore@migration.gov.rw,mrwamwaga@state.gov.rw,dkuwase@state.gov.rw" TargetMode="External"/><Relationship Id="rId350" Type="http://schemas.openxmlformats.org/officeDocument/2006/relationships/hyperlink" Target="mailto:ictgakenke@gakenke.gov.rw" TargetMode="External"/><Relationship Id="rId588" Type="http://schemas.openxmlformats.org/officeDocument/2006/relationships/hyperlink" Target="mailto:nzabandoraf@gmail.com" TargetMode="External"/><Relationship Id="rId795" Type="http://schemas.openxmlformats.org/officeDocument/2006/relationships/hyperlink" Target="mailto:Christopher.Rudakubana@oneandonlyresorts.com" TargetMode="External"/><Relationship Id="rId809" Type="http://schemas.openxmlformats.org/officeDocument/2006/relationships/hyperlink" Target="mailto:emwizerwa@nesa.gov.rw" TargetMode="External"/><Relationship Id="rId1201" Type="http://schemas.openxmlformats.org/officeDocument/2006/relationships/hyperlink" Target="mailto:headcec@minadef.gov.rw" TargetMode="External"/><Relationship Id="rId9" Type="http://schemas.openxmlformats.org/officeDocument/2006/relationships/hyperlink" Target="mailto:dirinfosyscec@minadef.gov.rw" TargetMode="External"/><Relationship Id="rId210" Type="http://schemas.openxmlformats.org/officeDocument/2006/relationships/hyperlink" Target="mailto:msugira@fic.gov.rw" TargetMode="External"/><Relationship Id="rId448" Type="http://schemas.openxmlformats.org/officeDocument/2006/relationships/hyperlink" Target="mailto:auwisibo@presidency.gov.rw" TargetMode="External"/><Relationship Id="rId655" Type="http://schemas.openxmlformats.org/officeDocument/2006/relationships/hyperlink" Target="mailto:mntabana@unicef.org" TargetMode="External"/><Relationship Id="rId862" Type="http://schemas.openxmlformats.org/officeDocument/2006/relationships/hyperlink" Target="mailto:ictmusanze@musanze.gov.rw" TargetMode="External"/><Relationship Id="rId1078" Type="http://schemas.openxmlformats.org/officeDocument/2006/relationships/hyperlink" Target="mailto:gsndpcyanika2010@yahoo.fr" TargetMode="External"/><Relationship Id="rId1285" Type="http://schemas.openxmlformats.org/officeDocument/2006/relationships/hyperlink" Target="mailto:jmv.mbonyumuvunyi@mininter.gov.rw%3E" TargetMode="External"/><Relationship Id="rId294" Type="http://schemas.openxmlformats.org/officeDocument/2006/relationships/hyperlink" Target="mailto:dirinfosyscec@minadef.gov.rw" TargetMode="External"/><Relationship Id="rId308" Type="http://schemas.openxmlformats.org/officeDocument/2006/relationships/hyperlink" Target="mailto:hashituky@gmail.com" TargetMode="External"/><Relationship Id="rId515" Type="http://schemas.openxmlformats.org/officeDocument/2006/relationships/hyperlink" Target="mailto:didier.mugiraneza@gtbank.com" TargetMode="External"/><Relationship Id="rId722" Type="http://schemas.openxmlformats.org/officeDocument/2006/relationships/hyperlink" Target="mailto:mugonero.hospital@moh.gov.rw" TargetMode="External"/><Relationship Id="rId1145" Type="http://schemas.openxmlformats.org/officeDocument/2006/relationships/hyperlink" Target="mailto:frugema@rac.co.rw" TargetMode="External"/><Relationship Id="rId1352" Type="http://schemas.openxmlformats.org/officeDocument/2006/relationships/hyperlink" Target="mailto:brice.kayihura@aos.rw" TargetMode="External"/><Relationship Id="rId89" Type="http://schemas.openxmlformats.org/officeDocument/2006/relationships/hyperlink" Target="mailto:anicet.kubwumuremyi@rra.gov.rw,claudine.byukusenge@rra.gov.rw" TargetMode="External"/><Relationship Id="rId154" Type="http://schemas.openxmlformats.org/officeDocument/2006/relationships/hyperlink" Target="mailto:crwagasore@migration.gov.rw,mrwamwaga@state.gov.rw,dkuwase@state.gov.rw" TargetMode="External"/><Relationship Id="rId361" Type="http://schemas.openxmlformats.org/officeDocument/2006/relationships/hyperlink" Target="mailto:ekwizera@minagri.gov.rw" TargetMode="External"/><Relationship Id="rId599" Type="http://schemas.openxmlformats.org/officeDocument/2006/relationships/hyperlink" Target="mailto:nzabandoraf@gmail.com" TargetMode="External"/><Relationship Id="rId1005" Type="http://schemas.openxmlformats.org/officeDocument/2006/relationships/hyperlink" Target="mailto:dirinfosyscec@minadef.gov.rw" TargetMode="External"/><Relationship Id="rId1212" Type="http://schemas.openxmlformats.org/officeDocument/2006/relationships/hyperlink" Target="mailto:headcec@minadef.gov.rw" TargetMode="External"/><Relationship Id="rId459" Type="http://schemas.openxmlformats.org/officeDocument/2006/relationships/hyperlink" Target="mailto:akundimana@minict.gov.rw" TargetMode="External"/><Relationship Id="rId666" Type="http://schemas.openxmlformats.org/officeDocument/2006/relationships/hyperlink" Target="mailto:mntabana@unicef.org" TargetMode="External"/><Relationship Id="rId873" Type="http://schemas.openxmlformats.org/officeDocument/2006/relationships/hyperlink" Target="mailto:odette.kampire@rssb.rw" TargetMode="External"/><Relationship Id="rId1089" Type="http://schemas.openxmlformats.org/officeDocument/2006/relationships/hyperlink" Target="mailto:vincentmuhoza@yahoo.fr;christineuwa2002@yahoo.fr" TargetMode="External"/><Relationship Id="rId1296" Type="http://schemas.openxmlformats.org/officeDocument/2006/relationships/hyperlink" Target="mailto:claude.mugabo@minaloc.gov.rw" TargetMode="External"/><Relationship Id="rId16" Type="http://schemas.openxmlformats.org/officeDocument/2006/relationships/hyperlink" Target="mailto:dirinfosyscec@minadef.gov.rw" TargetMode="External"/><Relationship Id="rId221" Type="http://schemas.openxmlformats.org/officeDocument/2006/relationships/hyperlink" Target="mailto:josette.mukarukundo@parliament.gov.rw" TargetMode="External"/><Relationship Id="rId319" Type="http://schemas.openxmlformats.org/officeDocument/2006/relationships/hyperlink" Target="mailto:mntabana@unicef.org" TargetMode="External"/><Relationship Id="rId526" Type="http://schemas.openxmlformats.org/officeDocument/2006/relationships/hyperlink" Target="mailto:gatsatasector@yahoo.com" TargetMode="External"/><Relationship Id="rId1156" Type="http://schemas.openxmlformats.org/officeDocument/2006/relationships/hyperlink" Target="mailto:remy.ntwali@npsc.gov.rw" TargetMode="External"/><Relationship Id="rId1363" Type="http://schemas.openxmlformats.org/officeDocument/2006/relationships/hyperlink" Target="mailto:jruzigana@isco.co.rw" TargetMode="External"/><Relationship Id="rId733" Type="http://schemas.openxmlformats.org/officeDocument/2006/relationships/hyperlink" Target="mailto:ali.muhire@kfhkigali.com" TargetMode="External"/><Relationship Id="rId940" Type="http://schemas.openxmlformats.org/officeDocument/2006/relationships/hyperlink" Target="mailto:nzigiye.hyacinthe@ngororero.gov.rw" TargetMode="External"/><Relationship Id="rId1016" Type="http://schemas.openxmlformats.org/officeDocument/2006/relationships/hyperlink" Target="mailto:dirinfosyscec@minadef.gov.rw" TargetMode="External"/><Relationship Id="rId165" Type="http://schemas.openxmlformats.org/officeDocument/2006/relationships/hyperlink" Target="mailto:crwagasore@migration.gov.rw,mrwamwaga@state.gov.rw,dkuwase@state.gov.rw" TargetMode="External"/><Relationship Id="rId372" Type="http://schemas.openxmlformats.org/officeDocument/2006/relationships/hyperlink" Target="mailto:rene.mugenza@bpr.rw" TargetMode="External"/><Relationship Id="rId677" Type="http://schemas.openxmlformats.org/officeDocument/2006/relationships/hyperlink" Target="mailto:escnotredame@yahoo.com" TargetMode="External"/><Relationship Id="rId800" Type="http://schemas.openxmlformats.org/officeDocument/2006/relationships/hyperlink" Target="mailto:ombudsinfo@ombudsman.gov.rw" TargetMode="External"/><Relationship Id="rId1223" Type="http://schemas.openxmlformats.org/officeDocument/2006/relationships/hyperlink" Target="mailto:fred.gashemeza@judiciary.gov.rw" TargetMode="External"/><Relationship Id="rId232" Type="http://schemas.openxmlformats.org/officeDocument/2006/relationships/hyperlink" Target="mailto:sacco2014sik@gmail.com" TargetMode="External"/><Relationship Id="rId884" Type="http://schemas.openxmlformats.org/officeDocument/2006/relationships/hyperlink" Target="mailto:odette.kampire@rssb.rw" TargetMode="External"/><Relationship Id="rId27" Type="http://schemas.openxmlformats.org/officeDocument/2006/relationships/hyperlink" Target="mailto:m.mediatrice@naeb.gov.rw" TargetMode="External"/><Relationship Id="rId537" Type="http://schemas.openxmlformats.org/officeDocument/2006/relationships/hyperlink" Target="mailto:gatera02@gmail.com" TargetMode="External"/><Relationship Id="rId744" Type="http://schemas.openxmlformats.org/officeDocument/2006/relationships/hyperlink" Target="mailto:info@krh.gov.rw" TargetMode="External"/><Relationship Id="rId951" Type="http://schemas.openxmlformats.org/officeDocument/2006/relationships/hyperlink" Target="mailto:nhilaire@demobrwanda.gov.rw%3E" TargetMode="External"/><Relationship Id="rId1167" Type="http://schemas.openxmlformats.org/officeDocument/2006/relationships/hyperlink" Target="mailto:sosthene.nsabimana@nppa.gov.rw" TargetMode="External"/><Relationship Id="rId1374" Type="http://schemas.openxmlformats.org/officeDocument/2006/relationships/printerSettings" Target="../printerSettings/printerSettings3.bin"/><Relationship Id="rId80" Type="http://schemas.openxmlformats.org/officeDocument/2006/relationships/hyperlink" Target="mailto:anicet.kubwumuremyi@rra.gov.rw,claudine.byukusenge@rra.gov.rw" TargetMode="External"/><Relationship Id="rId176" Type="http://schemas.openxmlformats.org/officeDocument/2006/relationships/hyperlink" Target="mailto:crwagasore@migration.gov.rw,mrwamwaga@state.gov.rw,dkuwase@state.gov.rw" TargetMode="External"/><Relationship Id="rId383" Type="http://schemas.openxmlformats.org/officeDocument/2006/relationships/hyperlink" Target="mailto:jeanpaul.ndisanze@rnit.rw,natureemmanuel.icyitegetse@rnit.rw,admin@rnit.rw" TargetMode="External"/><Relationship Id="rId590" Type="http://schemas.openxmlformats.org/officeDocument/2006/relationships/hyperlink" Target="mailto:nzabandoraf@gmail.com" TargetMode="External"/><Relationship Id="rId604" Type="http://schemas.openxmlformats.org/officeDocument/2006/relationships/hyperlink" Target="mailto:nzabandoraf@gmail.com" TargetMode="External"/><Relationship Id="rId811" Type="http://schemas.openxmlformats.org/officeDocument/2006/relationships/hyperlink" Target="mailto:Robb@wilderness-safaris.com" TargetMode="External"/><Relationship Id="rId1027" Type="http://schemas.openxmlformats.org/officeDocument/2006/relationships/hyperlink" Target="mailto:dirinfosyscec@minadef.gov.rw" TargetMode="External"/><Relationship Id="rId1234" Type="http://schemas.openxmlformats.org/officeDocument/2006/relationships/hyperlink" Target="mailto:fred.gashemeza@judiciary.gov.rw" TargetMode="External"/><Relationship Id="rId243" Type="http://schemas.openxmlformats.org/officeDocument/2006/relationships/hyperlink" Target="mailto:bazirubusa55@gmail.com" TargetMode="External"/><Relationship Id="rId450" Type="http://schemas.openxmlformats.org/officeDocument/2006/relationships/hyperlink" Target="mailto:urayeneza@rg.gov.rw" TargetMode="External"/><Relationship Id="rId688" Type="http://schemas.openxmlformats.org/officeDocument/2006/relationships/hyperlink" Target="mailto:umuconso@gmail.com" TargetMode="External"/><Relationship Id="rId895" Type="http://schemas.openxmlformats.org/officeDocument/2006/relationships/hyperlink" Target="mailto:odette.kampire@rssb.rw" TargetMode="External"/><Relationship Id="rId909" Type="http://schemas.openxmlformats.org/officeDocument/2006/relationships/hyperlink" Target="mailto:odette.kampire@rssb.rw" TargetMode="External"/><Relationship Id="rId1080" Type="http://schemas.openxmlformats.org/officeDocument/2006/relationships/hyperlink" Target="mailto:faustin.niyitegeka@gmail.com/nfaustinus@gmail.com" TargetMode="External"/><Relationship Id="rId1301" Type="http://schemas.openxmlformats.org/officeDocument/2006/relationships/hyperlink" Target="mailto:ramadhani.nshaka@liquid.tech" TargetMode="External"/><Relationship Id="rId38" Type="http://schemas.openxmlformats.org/officeDocument/2006/relationships/hyperlink" Target="mailto:anicet.kubwumuremyi@rra.gov.rw,claudine.byukusenge@rra.gov.rw" TargetMode="External"/><Relationship Id="rId103" Type="http://schemas.openxmlformats.org/officeDocument/2006/relationships/hyperlink" Target="mailto:crwagasore@migration.gov.rw,mrwamwaga@state.gov.rw,dkuwase@state.gov.rw" TargetMode="External"/><Relationship Id="rId310" Type="http://schemas.openxmlformats.org/officeDocument/2006/relationships/hyperlink" Target="mailto:dukuzumuremyij@gmail.com" TargetMode="External"/><Relationship Id="rId548" Type="http://schemas.openxmlformats.org/officeDocument/2006/relationships/hyperlink" Target="mailto:serge.rugamba@ngali.com" TargetMode="External"/><Relationship Id="rId755" Type="http://schemas.openxmlformats.org/officeDocument/2006/relationships/hyperlink" Target="mailto:ngaboyamahinafaustin77@gmail.com" TargetMode="External"/><Relationship Id="rId962" Type="http://schemas.openxmlformats.org/officeDocument/2006/relationships/hyperlink" Target="mailto:modeste.nsanzimana@northernprovince.gov.rw" TargetMode="External"/><Relationship Id="rId1178" Type="http://schemas.openxmlformats.org/officeDocument/2006/relationships/hyperlink" Target="mailto:sosthene.nsabimana@nppa.gov.rw" TargetMode="External"/><Relationship Id="rId91" Type="http://schemas.openxmlformats.org/officeDocument/2006/relationships/hyperlink" Target="mailto:anicet.kubwumuremyi@rra.gov.rw,claudine.byukusenge@rra.gov.rw" TargetMode="External"/><Relationship Id="rId187" Type="http://schemas.openxmlformats.org/officeDocument/2006/relationships/hyperlink" Target="mailto:crwagasore@migration.gov.rw,mrwamwaga@state.gov.rw,dkuwase@state.gov.rw" TargetMode="External"/><Relationship Id="rId394" Type="http://schemas.openxmlformats.org/officeDocument/2006/relationships/hyperlink" Target="mailto:hgakwaya@reaf.gov.rw,abirungi@reaf.gov.rw" TargetMode="External"/><Relationship Id="rId408" Type="http://schemas.openxmlformats.org/officeDocument/2006/relationships/hyperlink" Target="mailto:gkabera@myculture.gov.rw,dmutunge@myculture.gov.rw" TargetMode="External"/><Relationship Id="rId615" Type="http://schemas.openxmlformats.org/officeDocument/2006/relationships/hyperlink" Target="mailto:nzabandoraf@gmail.com" TargetMode="External"/><Relationship Id="rId822" Type="http://schemas.openxmlformats.org/officeDocument/2006/relationships/hyperlink" Target="mailto:isangehuye@gmail.com" TargetMode="External"/><Relationship Id="rId1038" Type="http://schemas.openxmlformats.org/officeDocument/2006/relationships/hyperlink" Target="mailto:christine.uzamukunda@rmi.rw" TargetMode="External"/><Relationship Id="rId1245" Type="http://schemas.openxmlformats.org/officeDocument/2006/relationships/hyperlink" Target="mailto:fred.gashemeza@judiciary.gov.rw" TargetMode="External"/><Relationship Id="rId254" Type="http://schemas.openxmlformats.org/officeDocument/2006/relationships/hyperlink" Target="mailto:ingoga@reb.rw" TargetMode="External"/><Relationship Id="rId699" Type="http://schemas.openxmlformats.org/officeDocument/2006/relationships/hyperlink" Target="mailto:nyanza.hospital@moh.gov.rw" TargetMode="External"/><Relationship Id="rId1091" Type="http://schemas.openxmlformats.org/officeDocument/2006/relationships/hyperlink" Target="mailto:cmuhire@ughe.org;tbiseruka@ughe.org;singabire@ughe.org" TargetMode="External"/><Relationship Id="rId1105" Type="http://schemas.openxmlformats.org/officeDocument/2006/relationships/hyperlink" Target="mailto:hakemmy@yahoo.fr;theonzeyimana33@yahoo.com" TargetMode="External"/><Relationship Id="rId1312" Type="http://schemas.openxmlformats.org/officeDocument/2006/relationships/hyperlink" Target="mailto:ramadhani.nshaka@liquid.tech" TargetMode="External"/><Relationship Id="rId49" Type="http://schemas.openxmlformats.org/officeDocument/2006/relationships/hyperlink" Target="mailto:anicet.kubwumuremyi@rra.gov.rw,claudine.byukusenge@rra.gov.rw" TargetMode="External"/><Relationship Id="rId114" Type="http://schemas.openxmlformats.org/officeDocument/2006/relationships/hyperlink" Target="mailto:crwagasore@migration.gov.rw,mrwamwaga@state.gov.rw,dkuwase@state.gov.rw" TargetMode="External"/><Relationship Id="rId461" Type="http://schemas.openxmlformats.org/officeDocument/2006/relationships/hyperlink" Target="mailto:justin.munyemana@rfa.rw" TargetMode="External"/><Relationship Id="rId559" Type="http://schemas.openxmlformats.org/officeDocument/2006/relationships/hyperlink" Target="mailto:yvetuwamwezi@gmail.com" TargetMode="External"/><Relationship Id="rId766" Type="http://schemas.openxmlformats.org/officeDocument/2006/relationships/hyperlink" Target="mailto:ggitwehospital@gmail.com" TargetMode="External"/><Relationship Id="rId1189" Type="http://schemas.openxmlformats.org/officeDocument/2006/relationships/hyperlink" Target="mailto:sosthene.nsabimana@nppa.gov.rw" TargetMode="External"/><Relationship Id="rId198" Type="http://schemas.openxmlformats.org/officeDocument/2006/relationships/hyperlink" Target="mailto:crwagasore@migration.gov.rw,mrwamwaga@state.gov.rw,dkuwase@state.gov.rw" TargetMode="External"/><Relationship Id="rId321" Type="http://schemas.openxmlformats.org/officeDocument/2006/relationships/hyperlink" Target="mailto:mntabana@unicef.org" TargetMode="External"/><Relationship Id="rId419" Type="http://schemas.openxmlformats.org/officeDocument/2006/relationships/hyperlink" Target="mailto:cbusogi@nec.gov.rw" TargetMode="External"/><Relationship Id="rId626" Type="http://schemas.openxmlformats.org/officeDocument/2006/relationships/hyperlink" Target="mailto:ict@moh.gov.rw,info@moh.gov.rw" TargetMode="External"/><Relationship Id="rId973" Type="http://schemas.openxmlformats.org/officeDocument/2006/relationships/hyperlink" Target="mailto:o.hategeka@bdf.rw" TargetMode="External"/><Relationship Id="rId1049" Type="http://schemas.openxmlformats.org/officeDocument/2006/relationships/hyperlink" Target="mailto:mahejose@yahoo.fr" TargetMode="External"/><Relationship Id="rId1256" Type="http://schemas.openxmlformats.org/officeDocument/2006/relationships/hyperlink" Target="mailto:fred.gashemeza@judiciary.gov.rw" TargetMode="External"/><Relationship Id="rId833" Type="http://schemas.openxmlformats.org/officeDocument/2006/relationships/hyperlink" Target="mailto:ictofficer@gisagara.gov.rw" TargetMode="External"/><Relationship Id="rId1116" Type="http://schemas.openxmlformats.org/officeDocument/2006/relationships/hyperlink" Target="mailto:irene@simbanet.co.ke" TargetMode="External"/><Relationship Id="rId265" Type="http://schemas.openxmlformats.org/officeDocument/2006/relationships/hyperlink" Target="mailto:nnsabimana@qtsoftwareltd.com" TargetMode="External"/><Relationship Id="rId472" Type="http://schemas.openxmlformats.org/officeDocument/2006/relationships/hyperlink" Target="mailto:buzaregershom16@gmail.com" TargetMode="External"/><Relationship Id="rId900" Type="http://schemas.openxmlformats.org/officeDocument/2006/relationships/hyperlink" Target="mailto:odette.kampire@rssb.rw" TargetMode="External"/><Relationship Id="rId1323" Type="http://schemas.openxmlformats.org/officeDocument/2006/relationships/hyperlink" Target="mailto:kstraton1964@gmail.com" TargetMode="External"/><Relationship Id="rId125" Type="http://schemas.openxmlformats.org/officeDocument/2006/relationships/hyperlink" Target="mailto:crwagasore@migration.gov.rw,mrwamwaga@state.gov.rw,dkuwase@state.gov.rw" TargetMode="External"/><Relationship Id="rId332" Type="http://schemas.openxmlformats.org/officeDocument/2006/relationships/hyperlink" Target="mailto:mntabana@unicef.org" TargetMode="External"/><Relationship Id="rId777" Type="http://schemas.openxmlformats.org/officeDocument/2006/relationships/hyperlink" Target="mailto:info@chub.rw;gada@chub.rw" TargetMode="External"/><Relationship Id="rId984" Type="http://schemas.openxmlformats.org/officeDocument/2006/relationships/hyperlink" Target="mailto:o.hategeka@bdf.rw" TargetMode="External"/><Relationship Id="rId637" Type="http://schemas.openxmlformats.org/officeDocument/2006/relationships/hyperlink" Target="mailto:mntabana@unicef.org" TargetMode="External"/><Relationship Id="rId844" Type="http://schemas.openxmlformats.org/officeDocument/2006/relationships/hyperlink" Target="mailto:martin.kagaba@bdo-ea.com" TargetMode="External"/><Relationship Id="rId1267" Type="http://schemas.openxmlformats.org/officeDocument/2006/relationships/hyperlink" Target="mailto:fred.gashemeza@judiciary.gov.rw" TargetMode="External"/><Relationship Id="rId276" Type="http://schemas.openxmlformats.org/officeDocument/2006/relationships/hyperlink" Target="mailto:dirinfosyscec@minadef.gov.rw" TargetMode="External"/><Relationship Id="rId483" Type="http://schemas.openxmlformats.org/officeDocument/2006/relationships/hyperlink" Target="mailto:nyarugunga@kicukiro.gov.rw" TargetMode="External"/><Relationship Id="rId690" Type="http://schemas.openxmlformats.org/officeDocument/2006/relationships/hyperlink" Target="mailto:ngaboyamahinafaustin77@gmail.com" TargetMode="External"/><Relationship Id="rId704" Type="http://schemas.openxmlformats.org/officeDocument/2006/relationships/hyperlink" Target="mailto:nyagatare.hospital@moh.gov.rw" TargetMode="External"/><Relationship Id="rId911" Type="http://schemas.openxmlformats.org/officeDocument/2006/relationships/hyperlink" Target="mailto:odette.kampire@rssb.rw" TargetMode="External"/><Relationship Id="rId1127" Type="http://schemas.openxmlformats.org/officeDocument/2006/relationships/hyperlink" Target="mailto:accounts@roketelkom.co.ug" TargetMode="External"/><Relationship Id="rId1334" Type="http://schemas.openxmlformats.org/officeDocument/2006/relationships/hyperlink" Target="mailto:winston@bcs-ea.com" TargetMode="External"/><Relationship Id="rId40" Type="http://schemas.openxmlformats.org/officeDocument/2006/relationships/hyperlink" Target="mailto:anicet.kubwumuremyi@rra.gov.rw,claudine.byukusenge@rra.gov.rw" TargetMode="External"/><Relationship Id="rId136" Type="http://schemas.openxmlformats.org/officeDocument/2006/relationships/hyperlink" Target="mailto:crwagasore@migration.gov.rw,mrwamwaga@state.gov.rw,dkuwase@state.gov.rw" TargetMode="External"/><Relationship Id="rId343" Type="http://schemas.openxmlformats.org/officeDocument/2006/relationships/hyperlink" Target="mailto:engabo@minaffet.gov.rw" TargetMode="External"/><Relationship Id="rId550" Type="http://schemas.openxmlformats.org/officeDocument/2006/relationships/hyperlink" Target="mailto:murenzi.igor@mastersteel.co" TargetMode="External"/><Relationship Id="rId788" Type="http://schemas.openxmlformats.org/officeDocument/2006/relationships/hyperlink" Target="mailto:it@minisports.gov.rw" TargetMode="External"/><Relationship Id="rId995" Type="http://schemas.openxmlformats.org/officeDocument/2006/relationships/hyperlink" Target="mailto:augustinkayigire28@gmail.com;nkunzigode@yahoo.com" TargetMode="External"/><Relationship Id="rId1180" Type="http://schemas.openxmlformats.org/officeDocument/2006/relationships/hyperlink" Target="mailto:sosthene.nsabimana@nppa.gov.rw" TargetMode="External"/><Relationship Id="rId203" Type="http://schemas.openxmlformats.org/officeDocument/2006/relationships/hyperlink" Target="mailto:kigalisacco@yahoo.fr" TargetMode="External"/><Relationship Id="rId648" Type="http://schemas.openxmlformats.org/officeDocument/2006/relationships/hyperlink" Target="mailto:mntabana@unicef.org" TargetMode="External"/><Relationship Id="rId855" Type="http://schemas.openxmlformats.org/officeDocument/2006/relationships/hyperlink" Target="mailto:romalice.ishimwe@mininfra.gov.rw" TargetMode="External"/><Relationship Id="rId1040" Type="http://schemas.openxmlformats.org/officeDocument/2006/relationships/hyperlink" Target="mailto:christine.uzamukunda@rmi.rw" TargetMode="External"/><Relationship Id="rId1278" Type="http://schemas.openxmlformats.org/officeDocument/2006/relationships/hyperlink" Target="mailto:sroger@tnsp.rw" TargetMode="External"/><Relationship Id="rId287" Type="http://schemas.openxmlformats.org/officeDocument/2006/relationships/hyperlink" Target="mailto:dirinfosyscec@minadef.gov.rw" TargetMode="External"/><Relationship Id="rId410" Type="http://schemas.openxmlformats.org/officeDocument/2006/relationships/hyperlink" Target="mailto:it.support@rmb.gov.rw,jbonfils.tuyishimire@rmb.gov.rw" TargetMode="External"/><Relationship Id="rId494" Type="http://schemas.openxmlformats.org/officeDocument/2006/relationships/hyperlink" Target="mailto:pmwemayire@gmail.com" TargetMode="External"/><Relationship Id="rId508" Type="http://schemas.openxmlformats.org/officeDocument/2006/relationships/hyperlink" Target="mailto:patrick.manzi@gva.africa" TargetMode="External"/><Relationship Id="rId715" Type="http://schemas.openxmlformats.org/officeDocument/2006/relationships/hyperlink" Target="mailto:murunda.hospital@moh.gov.rw" TargetMode="External"/><Relationship Id="rId922" Type="http://schemas.openxmlformats.org/officeDocument/2006/relationships/hyperlink" Target="mailto:odette.kampire@rssb.rw" TargetMode="External"/><Relationship Id="rId1138" Type="http://schemas.openxmlformats.org/officeDocument/2006/relationships/hyperlink" Target="mailto:mgasana@caa.gov.rw" TargetMode="External"/><Relationship Id="rId1345" Type="http://schemas.openxmlformats.org/officeDocument/2006/relationships/hyperlink" Target="mailto:sage.umutoniwabo@trac.africa" TargetMode="External"/><Relationship Id="rId147" Type="http://schemas.openxmlformats.org/officeDocument/2006/relationships/hyperlink" Target="mailto:crwagasore@migration.gov.rw,mrwamwaga@state.gov.rw,dkuwase@state.gov.rw" TargetMode="External"/><Relationship Id="rId354" Type="http://schemas.openxmlformats.org/officeDocument/2006/relationships/hyperlink" Target="mailto:ict@afos.gov.rw" TargetMode="External"/><Relationship Id="rId799" Type="http://schemas.openxmlformats.org/officeDocument/2006/relationships/hyperlink" Target="mailto:pascal.ndikubwimana@nyabihu.gov.rw" TargetMode="External"/><Relationship Id="rId1191" Type="http://schemas.openxmlformats.org/officeDocument/2006/relationships/hyperlink" Target="mailto:rene.manzi@mtn.com" TargetMode="External"/><Relationship Id="rId1205" Type="http://schemas.openxmlformats.org/officeDocument/2006/relationships/hyperlink" Target="mailto:headcec@minadef.gov.rw" TargetMode="External"/><Relationship Id="rId51" Type="http://schemas.openxmlformats.org/officeDocument/2006/relationships/hyperlink" Target="mailto:anicet.kubwumuremyi@rra.gov.rw,claudine.byukusenge@rra.gov.rw" TargetMode="External"/><Relationship Id="rId561" Type="http://schemas.openxmlformats.org/officeDocument/2006/relationships/hyperlink" Target="mailto:ictofficer@kirehe.gov.rw" TargetMode="External"/><Relationship Id="rId659" Type="http://schemas.openxmlformats.org/officeDocument/2006/relationships/hyperlink" Target="mailto:mntabana@unicef.org" TargetMode="External"/><Relationship Id="rId866" Type="http://schemas.openxmlformats.org/officeDocument/2006/relationships/hyperlink" Target="mailto:BRWIGAMBA@mineduc.gov.rw" TargetMode="External"/><Relationship Id="rId1289" Type="http://schemas.openxmlformats.org/officeDocument/2006/relationships/hyperlink" Target="mailto:egide.mugwaneza@minijust.gov.rw" TargetMode="External"/><Relationship Id="rId214" Type="http://schemas.openxmlformats.org/officeDocument/2006/relationships/hyperlink" Target="mailto:ngango@ilpd.ac.rw" TargetMode="External"/><Relationship Id="rId298" Type="http://schemas.openxmlformats.org/officeDocument/2006/relationships/hyperlink" Target="mailto:dirinfosyscec@minadef.gov.rw" TargetMode="External"/><Relationship Id="rId421" Type="http://schemas.openxmlformats.org/officeDocument/2006/relationships/hyperlink" Target="mailto:frimenyande@ncpd.gov.rw" TargetMode="External"/><Relationship Id="rId519" Type="http://schemas.openxmlformats.org/officeDocument/2006/relationships/hyperlink" Target="mailto:jeanpaul.mahene@gasabo.gov.rw" TargetMode="External"/><Relationship Id="rId1051" Type="http://schemas.openxmlformats.org/officeDocument/2006/relationships/hyperlink" Target="mailto:iaimable@iprckigali.ac.rw%3E" TargetMode="External"/><Relationship Id="rId1149" Type="http://schemas.openxmlformats.org/officeDocument/2006/relationships/hyperlink" Target="mailto:agashugi@primature.gov.rw" TargetMode="External"/><Relationship Id="rId1356" Type="http://schemas.openxmlformats.org/officeDocument/2006/relationships/hyperlink" Target="mailto:simon.sharamanzi@parkinn.com" TargetMode="External"/><Relationship Id="rId158" Type="http://schemas.openxmlformats.org/officeDocument/2006/relationships/hyperlink" Target="mailto:crwagasore@migration.gov.rw,mrwamwaga@state.gov.rw,dkuwase@state.gov.rw" TargetMode="External"/><Relationship Id="rId726" Type="http://schemas.openxmlformats.org/officeDocument/2006/relationships/hyperlink" Target="mailto:kiziguro.hospital@moh.gov.rw" TargetMode="External"/><Relationship Id="rId933" Type="http://schemas.openxmlformats.org/officeDocument/2006/relationships/hyperlink" Target="mailto:network@nyamagabe.gov.rw" TargetMode="External"/><Relationship Id="rId1009" Type="http://schemas.openxmlformats.org/officeDocument/2006/relationships/hyperlink" Target="mailto:dirinfosyscec@minadef.gov.rw" TargetMode="External"/><Relationship Id="rId62" Type="http://schemas.openxmlformats.org/officeDocument/2006/relationships/hyperlink" Target="mailto:anicet.kubwumuremyi@rra.gov.rw,claudine.byukusenge@rra.gov.rw" TargetMode="External"/><Relationship Id="rId365" Type="http://schemas.openxmlformats.org/officeDocument/2006/relationships/hyperlink" Target="mailto:patrick.manzi@gva.africa" TargetMode="External"/><Relationship Id="rId572" Type="http://schemas.openxmlformats.org/officeDocument/2006/relationships/hyperlink" Target="mailto:ictrutsiro@rutsiro.gov.rw" TargetMode="External"/><Relationship Id="rId1216" Type="http://schemas.openxmlformats.org/officeDocument/2006/relationships/hyperlink" Target="mailto:raymond.ntirenganya@minubumwe.gov.rw" TargetMode="External"/><Relationship Id="rId225" Type="http://schemas.openxmlformats.org/officeDocument/2006/relationships/hyperlink" Target="mailto:amugwaneza@space.gov.rw" TargetMode="External"/><Relationship Id="rId432" Type="http://schemas.openxmlformats.org/officeDocument/2006/relationships/hyperlink" Target="mailto:dir_ict@mmi.gov.rw,sysadmin@mmi.gov.rw" TargetMode="External"/><Relationship Id="rId877" Type="http://schemas.openxmlformats.org/officeDocument/2006/relationships/hyperlink" Target="mailto:odette.kampire@rssb.rw" TargetMode="External"/><Relationship Id="rId1062" Type="http://schemas.openxmlformats.org/officeDocument/2006/relationships/hyperlink" Target="mailto:twagiramunguserge@gmail.com;dfa@kp.ac.rw;info@kp.ac.rw" TargetMode="External"/><Relationship Id="rId737" Type="http://schemas.openxmlformats.org/officeDocument/2006/relationships/hyperlink" Target="mailto:musema13@gmail.com" TargetMode="External"/><Relationship Id="rId944" Type="http://schemas.openxmlformats.org/officeDocument/2006/relationships/hyperlink" Target="mailto:ictofficer@southernprovince.gov.rw" TargetMode="External"/><Relationship Id="rId1367" Type="http://schemas.openxmlformats.org/officeDocument/2006/relationships/hyperlink" Target="mailto:justin.munyemana@rfa.rw" TargetMode="External"/><Relationship Id="rId73" Type="http://schemas.openxmlformats.org/officeDocument/2006/relationships/hyperlink" Target="mailto:anicet.kubwumuremyi@rra.gov.rw,claudine.byukusenge@rra.gov.rw" TargetMode="External"/><Relationship Id="rId169" Type="http://schemas.openxmlformats.org/officeDocument/2006/relationships/hyperlink" Target="mailto:crwagasore@migration.gov.rw,mrwamwaga@state.gov.rw,dkuwase@state.gov.rw" TargetMode="External"/><Relationship Id="rId376" Type="http://schemas.openxmlformats.org/officeDocument/2006/relationships/hyperlink" Target="mailto:cuwamahoro@migeprof.gov.rw" TargetMode="External"/><Relationship Id="rId583" Type="http://schemas.openxmlformats.org/officeDocument/2006/relationships/hyperlink" Target="mailto:nzabandoraf@gmail.com" TargetMode="External"/><Relationship Id="rId790" Type="http://schemas.openxmlformats.org/officeDocument/2006/relationships/hyperlink" Target="mailto:hassanm@psf.org.rw" TargetMode="External"/><Relationship Id="rId804" Type="http://schemas.openxmlformats.org/officeDocument/2006/relationships/hyperlink" Target="mailto:gkabera@myculture.gov.rw" TargetMode="External"/><Relationship Id="rId1227" Type="http://schemas.openxmlformats.org/officeDocument/2006/relationships/hyperlink" Target="mailto:fred.gashemeza@judiciary.gov.rw" TargetMode="External"/><Relationship Id="rId4" Type="http://schemas.openxmlformats.org/officeDocument/2006/relationships/hyperlink" Target="mailto:dirinfosyscec@minadef.gov.rw" TargetMode="External"/><Relationship Id="rId236" Type="http://schemas.openxmlformats.org/officeDocument/2006/relationships/hyperlink" Target="mailto:gatengasacco18@gmail.com" TargetMode="External"/><Relationship Id="rId443" Type="http://schemas.openxmlformats.org/officeDocument/2006/relationships/hyperlink" Target="mailto:auwisibo@presidency.gov.rw" TargetMode="External"/><Relationship Id="rId650" Type="http://schemas.openxmlformats.org/officeDocument/2006/relationships/hyperlink" Target="mailto:mntabana@unicef.org" TargetMode="External"/><Relationship Id="rId888" Type="http://schemas.openxmlformats.org/officeDocument/2006/relationships/hyperlink" Target="mailto:odette.kampire@rssb.rw" TargetMode="External"/><Relationship Id="rId1073" Type="http://schemas.openxmlformats.org/officeDocument/2006/relationships/hyperlink" Target="mailto:jhanclement@gmail.com/'esclmnyanza@gmail.com'" TargetMode="External"/><Relationship Id="rId1280" Type="http://schemas.openxmlformats.org/officeDocument/2006/relationships/hyperlink" Target="mailto:gahendak.george@gmail.com" TargetMode="External"/><Relationship Id="rId303" Type="http://schemas.openxmlformats.org/officeDocument/2006/relationships/hyperlink" Target="mailto:dirinfosyscec@minadef.gov.rw" TargetMode="External"/><Relationship Id="rId748" Type="http://schemas.openxmlformats.org/officeDocument/2006/relationships/hyperlink" Target="mailto:kibogorabookings@gmail.com" TargetMode="External"/><Relationship Id="rId955" Type="http://schemas.openxmlformats.org/officeDocument/2006/relationships/hyperlink" Target="mailto:karongidistrict@karongi.gov.rw" TargetMode="External"/><Relationship Id="rId1140" Type="http://schemas.openxmlformats.org/officeDocument/2006/relationships/hyperlink" Target="mailto:frugema@rac.co.rw" TargetMode="External"/><Relationship Id="rId84" Type="http://schemas.openxmlformats.org/officeDocument/2006/relationships/hyperlink" Target="mailto:anicet.kubwumuremyi@rra.gov.rw,claudine.byukusenge@rra.gov.rw" TargetMode="External"/><Relationship Id="rId387" Type="http://schemas.openxmlformats.org/officeDocument/2006/relationships/hyperlink" Target="mailto:hrutebuka@sfhrwanda.org,imigambi@sfhrwanda.org" TargetMode="External"/><Relationship Id="rId510" Type="http://schemas.openxmlformats.org/officeDocument/2006/relationships/hyperlink" Target="mailto:gikondo@kicukiro.gov.rw" TargetMode="External"/><Relationship Id="rId594" Type="http://schemas.openxmlformats.org/officeDocument/2006/relationships/hyperlink" Target="mailto:nzabandoraf@gmail.com" TargetMode="External"/><Relationship Id="rId608" Type="http://schemas.openxmlformats.org/officeDocument/2006/relationships/hyperlink" Target="mailto:nzabandoraf@gmail.com" TargetMode="External"/><Relationship Id="rId815" Type="http://schemas.openxmlformats.org/officeDocument/2006/relationships/hyperlink" Target="mailto:arwema@gmail.com" TargetMode="External"/><Relationship Id="rId1238" Type="http://schemas.openxmlformats.org/officeDocument/2006/relationships/hyperlink" Target="mailto:fred.gashemeza@judiciary.gov.rw" TargetMode="External"/><Relationship Id="rId247" Type="http://schemas.openxmlformats.org/officeDocument/2006/relationships/hyperlink" Target="mailto:euwiringiyimana@rp.ac.rw" TargetMode="External"/><Relationship Id="rId899" Type="http://schemas.openxmlformats.org/officeDocument/2006/relationships/hyperlink" Target="mailto:odette.kampire@rssb.rw" TargetMode="External"/><Relationship Id="rId1000" Type="http://schemas.openxmlformats.org/officeDocument/2006/relationships/hyperlink" Target="mailto:dirinfosyscec@minadef.gov.rw" TargetMode="External"/><Relationship Id="rId1084" Type="http://schemas.openxmlformats.org/officeDocument/2006/relationships/hyperlink" Target="mailto:eskirambo1997@yahoo.fr" TargetMode="External"/><Relationship Id="rId1305" Type="http://schemas.openxmlformats.org/officeDocument/2006/relationships/hyperlink" Target="mailto:ramadhani.nshaka@liquid.tech" TargetMode="External"/><Relationship Id="rId107" Type="http://schemas.openxmlformats.org/officeDocument/2006/relationships/hyperlink" Target="mailto:crwagasore@migration.gov.rw,mrwamwaga@state.gov.rw,dkuwase@state.gov.rw" TargetMode="External"/><Relationship Id="rId454" Type="http://schemas.openxmlformats.org/officeDocument/2006/relationships/hyperlink" Target="mailto:akundimana@minict.gov.rw" TargetMode="External"/><Relationship Id="rId661" Type="http://schemas.openxmlformats.org/officeDocument/2006/relationships/hyperlink" Target="mailto:mntabana@unicef.org" TargetMode="External"/><Relationship Id="rId759" Type="http://schemas.openxmlformats.org/officeDocument/2006/relationships/hyperlink" Target="mailto:kacyiru.hospital@moh.gov.rw" TargetMode="External"/><Relationship Id="rId966" Type="http://schemas.openxmlformats.org/officeDocument/2006/relationships/hyperlink" Target="mailto:fabrice.tubanenimana@nirda.gov.rw" TargetMode="External"/><Relationship Id="rId1291" Type="http://schemas.openxmlformats.org/officeDocument/2006/relationships/hyperlink" Target="mailto:florent.kwizera@minecofin.gov.rw" TargetMode="External"/><Relationship Id="rId11" Type="http://schemas.openxmlformats.org/officeDocument/2006/relationships/hyperlink" Target="mailto:dirinfosyscec@minadef.gov.rw" TargetMode="External"/><Relationship Id="rId314" Type="http://schemas.openxmlformats.org/officeDocument/2006/relationships/hyperlink" Target="mailto:mntabana@unicef.org" TargetMode="External"/><Relationship Id="rId398" Type="http://schemas.openxmlformats.org/officeDocument/2006/relationships/hyperlink" Target="mailto:Jeandedieu.mazimpaka@mininvest.gov.rw" TargetMode="External"/><Relationship Id="rId521" Type="http://schemas.openxmlformats.org/officeDocument/2006/relationships/hyperlink" Target="mailto:corporate@rwamagana.gov.rw" TargetMode="External"/><Relationship Id="rId619" Type="http://schemas.openxmlformats.org/officeDocument/2006/relationships/hyperlink" Target="mailto:samuel.kagiraneza@rbc.gov.rw" TargetMode="External"/><Relationship Id="rId1151" Type="http://schemas.openxmlformats.org/officeDocument/2006/relationships/hyperlink" Target="mailto:Evergiste.Bushayija@oag.gov.rw" TargetMode="External"/><Relationship Id="rId1249" Type="http://schemas.openxmlformats.org/officeDocument/2006/relationships/hyperlink" Target="mailto:fred.gashemeza@judiciary.gov.rw" TargetMode="External"/><Relationship Id="rId95" Type="http://schemas.openxmlformats.org/officeDocument/2006/relationships/hyperlink" Target="mailto:anicet.kubwumuremyi@rra.gov.rw,claudine.byukusenge@rra.gov.rw" TargetMode="External"/><Relationship Id="rId160" Type="http://schemas.openxmlformats.org/officeDocument/2006/relationships/hyperlink" Target="mailto:crwagasore@migration.gov.rw,mrwamwaga@state.gov.rw,dkuwase@state.gov.rw" TargetMode="External"/><Relationship Id="rId826" Type="http://schemas.openxmlformats.org/officeDocument/2006/relationships/hyperlink" Target="mailto:riomakaveli@gmail.com" TargetMode="External"/><Relationship Id="rId1011" Type="http://schemas.openxmlformats.org/officeDocument/2006/relationships/hyperlink" Target="mailto:dirinfosyscec@minadef.gov.rw" TargetMode="External"/><Relationship Id="rId1109" Type="http://schemas.openxmlformats.org/officeDocument/2006/relationships/hyperlink" Target="mailto:agashugi@primature.gov.rw" TargetMode="External"/><Relationship Id="rId258" Type="http://schemas.openxmlformats.org/officeDocument/2006/relationships/hyperlink" Target="mailto:stuyishimire@reb.rw" TargetMode="External"/><Relationship Id="rId465" Type="http://schemas.openxmlformats.org/officeDocument/2006/relationships/hyperlink" Target="mailto:jeannot.gapira@rpfinkotanyi.rw" TargetMode="External"/><Relationship Id="rId672" Type="http://schemas.openxmlformats.org/officeDocument/2006/relationships/hyperlink" Target="mailto:mntabana@unicef.org" TargetMode="External"/><Relationship Id="rId1095" Type="http://schemas.openxmlformats.org/officeDocument/2006/relationships/hyperlink" Target="mailto:gsmaterdeinyanz@yahoo.fr;pelagiemat@gmail.com" TargetMode="External"/><Relationship Id="rId1316" Type="http://schemas.openxmlformats.org/officeDocument/2006/relationships/hyperlink" Target="mailto:aline.umutesi@ktrn.rw" TargetMode="External"/><Relationship Id="rId22" Type="http://schemas.openxmlformats.org/officeDocument/2006/relationships/hyperlink" Target="mailto:jackline.uwimbabazi@rwb.rw" TargetMode="External"/><Relationship Id="rId118" Type="http://schemas.openxmlformats.org/officeDocument/2006/relationships/hyperlink" Target="mailto:crwagasore@migration.gov.rw,mrwamwaga@state.gov.rw,dkuwase@state.gov.rw" TargetMode="External"/><Relationship Id="rId325" Type="http://schemas.openxmlformats.org/officeDocument/2006/relationships/hyperlink" Target="mailto:mntabana@unicef.org" TargetMode="External"/><Relationship Id="rId532" Type="http://schemas.openxmlformats.org/officeDocument/2006/relationships/hyperlink" Target="mailto:nsengavincent@yahoo.com" TargetMode="External"/><Relationship Id="rId977" Type="http://schemas.openxmlformats.org/officeDocument/2006/relationships/hyperlink" Target="mailto:o.hategeka@bdf.rw" TargetMode="External"/><Relationship Id="rId1162" Type="http://schemas.openxmlformats.org/officeDocument/2006/relationships/hyperlink" Target="mailto:sosthene.nsabimana@nppa.gov.rw" TargetMode="External"/><Relationship Id="rId171" Type="http://schemas.openxmlformats.org/officeDocument/2006/relationships/hyperlink" Target="mailto:crwagasore@migration.gov.rw,mrwamwaga@state.gov.rw,dkuwase@state.gov.rw" TargetMode="External"/><Relationship Id="rId837" Type="http://schemas.openxmlformats.org/officeDocument/2006/relationships/hyperlink" Target="mailto:josette.mukarukundo@parliament.gov.rw" TargetMode="External"/><Relationship Id="rId1022" Type="http://schemas.openxmlformats.org/officeDocument/2006/relationships/hyperlink" Target="mailto:dirinfosyscec@minadef.gov.rw" TargetMode="External"/><Relationship Id="rId269" Type="http://schemas.openxmlformats.org/officeDocument/2006/relationships/hyperlink" Target="mailto:dirinfosyscec@minadef.gov.rw" TargetMode="External"/><Relationship Id="rId476" Type="http://schemas.openxmlformats.org/officeDocument/2006/relationships/hyperlink" Target="mailto:Aimable.nshimiye@marriott.com" TargetMode="External"/><Relationship Id="rId683" Type="http://schemas.openxmlformats.org/officeDocument/2006/relationships/hyperlink" Target="mailto:fkarambizi@pih.org" TargetMode="External"/><Relationship Id="rId890" Type="http://schemas.openxmlformats.org/officeDocument/2006/relationships/hyperlink" Target="mailto:odette.kampire@rssb.rw" TargetMode="External"/><Relationship Id="rId904" Type="http://schemas.openxmlformats.org/officeDocument/2006/relationships/hyperlink" Target="mailto:odette.kampire@rssb.rw" TargetMode="External"/><Relationship Id="rId1327" Type="http://schemas.openxmlformats.org/officeDocument/2006/relationships/hyperlink" Target="mailto:jerome.ndayambaje@cma.rw" TargetMode="External"/><Relationship Id="rId33" Type="http://schemas.openxmlformats.org/officeDocument/2006/relationships/hyperlink" Target="mailto:anicet.kubwumuremyi@rra.gov.rw,claudine.byukusenge@rra.gov.rw" TargetMode="External"/><Relationship Id="rId129" Type="http://schemas.openxmlformats.org/officeDocument/2006/relationships/hyperlink" Target="mailto:crwagasore@migration.gov.rw,mrwamwaga@state.gov.rw,dkuwase@state.gov.rw" TargetMode="External"/><Relationship Id="rId336" Type="http://schemas.openxmlformats.org/officeDocument/2006/relationships/hyperlink" Target="mailto:nzabandoraf@gmail.com" TargetMode="External"/><Relationship Id="rId543" Type="http://schemas.openxmlformats.org/officeDocument/2006/relationships/hyperlink" Target="mailto:prosper.ndutiye@flyzipline.com" TargetMode="External"/><Relationship Id="rId988" Type="http://schemas.openxmlformats.org/officeDocument/2006/relationships/hyperlink" Target="mailto:o.hategeka@bdf.rw" TargetMode="External"/><Relationship Id="rId1173" Type="http://schemas.openxmlformats.org/officeDocument/2006/relationships/hyperlink" Target="mailto:sosthene.nsabimana@nppa.gov.rw" TargetMode="External"/><Relationship Id="rId182" Type="http://schemas.openxmlformats.org/officeDocument/2006/relationships/hyperlink" Target="mailto:crwagasore@migration.gov.rw,mrwamwaga@state.gov.rw,dkuwase@state.gov.rw" TargetMode="External"/><Relationship Id="rId403" Type="http://schemas.openxmlformats.org/officeDocument/2006/relationships/hyperlink" Target="mailto:sedar.sagamba@agaciro.rw" TargetMode="External"/><Relationship Id="rId750" Type="http://schemas.openxmlformats.org/officeDocument/2006/relationships/hyperlink" Target="mailto:nsenga1@gmail.com/kibagaba.hospital@moh.gov.rw" TargetMode="External"/><Relationship Id="rId848" Type="http://schemas.openxmlformats.org/officeDocument/2006/relationships/hyperlink" Target="mailto:nkurunzemma@palmkash.com" TargetMode="External"/><Relationship Id="rId1033" Type="http://schemas.openxmlformats.org/officeDocument/2006/relationships/hyperlink" Target="mailto:dirinfosyscec@minadef.gov.rw" TargetMode="External"/><Relationship Id="rId487" Type="http://schemas.openxmlformats.org/officeDocument/2006/relationships/hyperlink" Target="mailto:ictsandrine@easternprovince.gov.rw" TargetMode="External"/><Relationship Id="rId610" Type="http://schemas.openxmlformats.org/officeDocument/2006/relationships/hyperlink" Target="mailto:nzabandoraf@gmail.com" TargetMode="External"/><Relationship Id="rId694" Type="http://schemas.openxmlformats.org/officeDocument/2006/relationships/hyperlink" Target="mailto:ruhango.hospital@moh.gov.rw" TargetMode="External"/><Relationship Id="rId708" Type="http://schemas.openxmlformats.org/officeDocument/2006/relationships/hyperlink" Target="mailto:nyabikenke.hospital@moh.gov.rw" TargetMode="External"/><Relationship Id="rId915" Type="http://schemas.openxmlformats.org/officeDocument/2006/relationships/hyperlink" Target="mailto:odette.kampire@rssb.rw" TargetMode="External"/><Relationship Id="rId1240" Type="http://schemas.openxmlformats.org/officeDocument/2006/relationships/hyperlink" Target="mailto:fred.gashemeza@judiciary.gov.rw" TargetMode="External"/><Relationship Id="rId1338" Type="http://schemas.openxmlformats.org/officeDocument/2006/relationships/hyperlink" Target="mailto:sage.umutoniwabo@trac.africa" TargetMode="External"/><Relationship Id="rId347" Type="http://schemas.openxmlformats.org/officeDocument/2006/relationships/hyperlink" Target="mailto:it@minisports.gov.rw" TargetMode="External"/><Relationship Id="rId999" Type="http://schemas.openxmlformats.org/officeDocument/2006/relationships/hyperlink" Target="mailto:dirinfosyscec@minadef.gov.rw" TargetMode="External"/><Relationship Id="rId1100" Type="http://schemas.openxmlformats.org/officeDocument/2006/relationships/hyperlink" Target="mailto:samnkuru1975@gmail.com/kagaramasec@yahoo.com" TargetMode="External"/><Relationship Id="rId1184" Type="http://schemas.openxmlformats.org/officeDocument/2006/relationships/hyperlink" Target="mailto:sosthene.nsabimana@nppa.gov.rw" TargetMode="External"/><Relationship Id="rId44" Type="http://schemas.openxmlformats.org/officeDocument/2006/relationships/hyperlink" Target="mailto:anicet.kubwumuremyi@rra.gov.rw,claudine.byukusenge@rra.gov.rw" TargetMode="External"/><Relationship Id="rId554" Type="http://schemas.openxmlformats.org/officeDocument/2006/relationships/hyperlink" Target="mailto:vniyomugenga@nilebasin.org" TargetMode="External"/><Relationship Id="rId761" Type="http://schemas.openxmlformats.org/officeDocument/2006/relationships/hyperlink" Target="mailto:pantaleon.biraho@kabgayihospital.rw;info@kabgayihospital.rw" TargetMode="External"/><Relationship Id="rId859" Type="http://schemas.openxmlformats.org/officeDocument/2006/relationships/hyperlink" Target="mailto:psonga@rema.gov.rw" TargetMode="External"/><Relationship Id="rId193" Type="http://schemas.openxmlformats.org/officeDocument/2006/relationships/hyperlink" Target="mailto:crwagasore@migration.gov.rw,mrwamwaga@state.gov.rw,dkuwase@state.gov.rw" TargetMode="External"/><Relationship Id="rId207" Type="http://schemas.openxmlformats.org/officeDocument/2006/relationships/hyperlink" Target="mailto:jeanne.niyonsaba@kicukiro.gov.rw" TargetMode="External"/><Relationship Id="rId414" Type="http://schemas.openxmlformats.org/officeDocument/2006/relationships/hyperlink" Target="mailto:it.support@rmb.gov.rw,jbonfils.tuyishimire@rmb.gov.rw" TargetMode="External"/><Relationship Id="rId498" Type="http://schemas.openxmlformats.org/officeDocument/2006/relationships/hyperlink" Target="mailto:pierrot.kagabe@atl.rw" TargetMode="External"/><Relationship Id="rId621" Type="http://schemas.openxmlformats.org/officeDocument/2006/relationships/hyperlink" Target="mailto:samuel.kagiraneza@rbc.gov.rw" TargetMode="External"/><Relationship Id="rId1044" Type="http://schemas.openxmlformats.org/officeDocument/2006/relationships/hyperlink" Target="mailto:christine.uzamukunda@rmi.rw" TargetMode="External"/><Relationship Id="rId1251" Type="http://schemas.openxmlformats.org/officeDocument/2006/relationships/hyperlink" Target="mailto:fred.gashemeza@judiciary.gov.rw" TargetMode="External"/><Relationship Id="rId1349" Type="http://schemas.openxmlformats.org/officeDocument/2006/relationships/hyperlink" Target="mailto:brice.kayihura@aos.rw" TargetMode="External"/><Relationship Id="rId260" Type="http://schemas.openxmlformats.org/officeDocument/2006/relationships/hyperlink" Target="mailto:ahodari@iprcmusanze.rp.ac.rw;info@iprcmusanze.rp.ac.rw" TargetMode="External"/><Relationship Id="rId719" Type="http://schemas.openxmlformats.org/officeDocument/2006/relationships/hyperlink" Target="mailto:muhororohospital@gmail.com" TargetMode="External"/><Relationship Id="rId926" Type="http://schemas.openxmlformats.org/officeDocument/2006/relationships/hyperlink" Target="mailto:dit@police.gov.rw" TargetMode="External"/><Relationship Id="rId1111" Type="http://schemas.openxmlformats.org/officeDocument/2006/relationships/hyperlink" Target="mailto:headcec@minadef.gov.rw" TargetMode="External"/><Relationship Id="rId55" Type="http://schemas.openxmlformats.org/officeDocument/2006/relationships/hyperlink" Target="mailto:anicet.kubwumuremyi@rra.gov.rw,claudine.byukusenge@rra.gov.rw" TargetMode="External"/><Relationship Id="rId120" Type="http://schemas.openxmlformats.org/officeDocument/2006/relationships/hyperlink" Target="mailto:crwagasore@migration.gov.rw,mrwamwaga@state.gov.rw,dkuwase@state.gov.rw" TargetMode="External"/><Relationship Id="rId358" Type="http://schemas.openxmlformats.org/officeDocument/2006/relationships/hyperlink" Target="mailto:emwizerwa@nesa.gov.rw" TargetMode="External"/><Relationship Id="rId565" Type="http://schemas.openxmlformats.org/officeDocument/2006/relationships/hyperlink" Target="mailto:rvuningoma@kigalicity.gov.rw" TargetMode="External"/><Relationship Id="rId772" Type="http://schemas.openxmlformats.org/officeDocument/2006/relationships/hyperlink" Target="mailto:ngamile31@gmail.com;gatonde.hospital@moh.gov.rw" TargetMode="External"/><Relationship Id="rId1195" Type="http://schemas.openxmlformats.org/officeDocument/2006/relationships/hyperlink" Target="mailto:rene.manzi@mtn.com" TargetMode="External"/><Relationship Id="rId1209" Type="http://schemas.openxmlformats.org/officeDocument/2006/relationships/hyperlink" Target="mailto:headcec@minadef.gov.rw" TargetMode="External"/><Relationship Id="rId218" Type="http://schemas.openxmlformats.org/officeDocument/2006/relationships/hyperlink" Target="mailto:network@nyamagabe.gov.rw" TargetMode="External"/><Relationship Id="rId425" Type="http://schemas.openxmlformats.org/officeDocument/2006/relationships/hyperlink" Target="mailto:digitalization@minicom.gov.rw" TargetMode="External"/><Relationship Id="rId632" Type="http://schemas.openxmlformats.org/officeDocument/2006/relationships/hyperlink" Target="mailto:byigsndl@gmail.com" TargetMode="External"/><Relationship Id="rId1055" Type="http://schemas.openxmlformats.org/officeDocument/2006/relationships/hyperlink" Target="mailto:nzabojustin@gmail.com/nzidavid@ulk.ac.rw;ndayisaba.alexis@ulk.ac.rw" TargetMode="External"/><Relationship Id="rId1262" Type="http://schemas.openxmlformats.org/officeDocument/2006/relationships/hyperlink" Target="mailto:fred.gashemeza@judiciary.gov.rw" TargetMode="External"/><Relationship Id="rId271" Type="http://schemas.openxmlformats.org/officeDocument/2006/relationships/hyperlink" Target="mailto:dirinfosyscec@minadef.gov.rw" TargetMode="External"/><Relationship Id="rId937" Type="http://schemas.openxmlformats.org/officeDocument/2006/relationships/hyperlink" Target="mailto:exec@nyanza.gov.rw" TargetMode="External"/><Relationship Id="rId1122" Type="http://schemas.openxmlformats.org/officeDocument/2006/relationships/hyperlink" Target="mailto:irene@simbanet.co.ke" TargetMode="External"/><Relationship Id="rId66" Type="http://schemas.openxmlformats.org/officeDocument/2006/relationships/hyperlink" Target="mailto:anicet.kubwumuremyi@rra.gov.rw,claudine.byukusenge@rra.gov.rw" TargetMode="External"/><Relationship Id="rId131" Type="http://schemas.openxmlformats.org/officeDocument/2006/relationships/hyperlink" Target="mailto:crwagasore@migration.gov.rw,mrwamwaga@state.gov.rw,dkuwase@state.gov.rw" TargetMode="External"/><Relationship Id="rId369" Type="http://schemas.openxmlformats.org/officeDocument/2006/relationships/hyperlink" Target="mailto:patrick.manzi@gva.africa" TargetMode="External"/><Relationship Id="rId576" Type="http://schemas.openxmlformats.org/officeDocument/2006/relationships/hyperlink" Target="mailto:info@stecoma.org.rw" TargetMode="External"/><Relationship Id="rId783" Type="http://schemas.openxmlformats.org/officeDocument/2006/relationships/hyperlink" Target="mailto:info@bushengehospital.gov.rw" TargetMode="External"/><Relationship Id="rId990" Type="http://schemas.openxmlformats.org/officeDocument/2006/relationships/hyperlink" Target="mailto:o.hategeka@bdf.rw" TargetMode="External"/><Relationship Id="rId229" Type="http://schemas.openxmlformats.org/officeDocument/2006/relationships/hyperlink" Target="mailto:sosthene.nsabimana@nppa.gov.rw" TargetMode="External"/><Relationship Id="rId436" Type="http://schemas.openxmlformats.org/officeDocument/2006/relationships/hyperlink" Target="mailto:jackline.uwimbabazi@rwb.rw" TargetMode="External"/><Relationship Id="rId643" Type="http://schemas.openxmlformats.org/officeDocument/2006/relationships/hyperlink" Target="mailto:mntabana@unicef.org" TargetMode="External"/><Relationship Id="rId1066" Type="http://schemas.openxmlformats.org/officeDocument/2006/relationships/hyperlink" Target="mailto:manzibenjamin2018@gmail.com" TargetMode="External"/><Relationship Id="rId1273" Type="http://schemas.openxmlformats.org/officeDocument/2006/relationships/hyperlink" Target="mailto:fred.gashemeza@judiciary.gov.rw" TargetMode="External"/><Relationship Id="rId850" Type="http://schemas.openxmlformats.org/officeDocument/2006/relationships/hyperlink" Target="mailto:infospiu@minagri.gov.rw" TargetMode="External"/><Relationship Id="rId948" Type="http://schemas.openxmlformats.org/officeDocument/2006/relationships/hyperlink" Target="mailto:emmy.bucyana@rha.gov.rw" TargetMode="External"/><Relationship Id="rId1133" Type="http://schemas.openxmlformats.org/officeDocument/2006/relationships/hyperlink" Target="mailto:nipacifique@rgb.rw" TargetMode="External"/><Relationship Id="rId77" Type="http://schemas.openxmlformats.org/officeDocument/2006/relationships/hyperlink" Target="mailto:anicet.kubwumuremyi@rra.gov.rw,claudine.byukusenge@rra.gov.rw" TargetMode="External"/><Relationship Id="rId282" Type="http://schemas.openxmlformats.org/officeDocument/2006/relationships/hyperlink" Target="mailto:dirinfosyscec@minadef.gov.rw" TargetMode="External"/><Relationship Id="rId503" Type="http://schemas.openxmlformats.org/officeDocument/2006/relationships/hyperlink" Target="mailto:ict@kamonyi.gov.rw" TargetMode="External"/><Relationship Id="rId587" Type="http://schemas.openxmlformats.org/officeDocument/2006/relationships/hyperlink" Target="mailto:nzabandoraf@gmail.com" TargetMode="External"/><Relationship Id="rId710" Type="http://schemas.openxmlformats.org/officeDocument/2006/relationships/hyperlink" Target="mailto:ngarama.hospital@moh.gov.rw" TargetMode="External"/><Relationship Id="rId808" Type="http://schemas.openxmlformats.org/officeDocument/2006/relationships/hyperlink" Target="mailto:fmubiligi@rppa.gov.rw" TargetMode="External"/><Relationship Id="rId1340" Type="http://schemas.openxmlformats.org/officeDocument/2006/relationships/hyperlink" Target="mailto:sage.umutoniwabo@trac.africa" TargetMode="External"/><Relationship Id="rId8" Type="http://schemas.openxmlformats.org/officeDocument/2006/relationships/hyperlink" Target="mailto:dirinfosyscec@minadef.gov.rw" TargetMode="External"/><Relationship Id="rId142" Type="http://schemas.openxmlformats.org/officeDocument/2006/relationships/hyperlink" Target="mailto:crwagasore@migration.gov.rw,mrwamwaga@state.gov.rw,dkuwase@state.gov.rw" TargetMode="External"/><Relationship Id="rId447" Type="http://schemas.openxmlformats.org/officeDocument/2006/relationships/hyperlink" Target="mailto:auwisibo@presidency.gov.rw" TargetMode="External"/><Relationship Id="rId794" Type="http://schemas.openxmlformats.org/officeDocument/2006/relationships/hyperlink" Target="mailto:emwizerwa@nesa.gov.rw" TargetMode="External"/><Relationship Id="rId1077" Type="http://schemas.openxmlformats.org/officeDocument/2006/relationships/hyperlink" Target="mailto:ahodari@iprcmusanze.rp.ac.rw;info@iprcmusanze.rp.ac.rw;df@iprcmusanze.rp.ac.rw" TargetMode="External"/><Relationship Id="rId1200" Type="http://schemas.openxmlformats.org/officeDocument/2006/relationships/hyperlink" Target="mailto:headcec@minadef.gov.rw" TargetMode="External"/><Relationship Id="rId654" Type="http://schemas.openxmlformats.org/officeDocument/2006/relationships/hyperlink" Target="mailto:mntabana@unicef.org" TargetMode="External"/><Relationship Id="rId861" Type="http://schemas.openxmlformats.org/officeDocument/2006/relationships/hyperlink" Target="mailto:rba_it@rba.co.rw" TargetMode="External"/><Relationship Id="rId959" Type="http://schemas.openxmlformats.org/officeDocument/2006/relationships/hyperlink" Target="mailto:rmutabazi@ralga.rw" TargetMode="External"/><Relationship Id="rId1284" Type="http://schemas.openxmlformats.org/officeDocument/2006/relationships/hyperlink" Target="mailto:jmv.mbonyumuvunyi@mininter.gov.rw%3E" TargetMode="External"/><Relationship Id="rId293" Type="http://schemas.openxmlformats.org/officeDocument/2006/relationships/hyperlink" Target="mailto:dirinfosyscec@minadef.gov.rw" TargetMode="External"/><Relationship Id="rId307" Type="http://schemas.openxmlformats.org/officeDocument/2006/relationships/hyperlink" Target="mailto:hashituky@gmail.com" TargetMode="External"/><Relationship Id="rId514" Type="http://schemas.openxmlformats.org/officeDocument/2006/relationships/hyperlink" Target="mailto:didier.mugiraneza@gtbank.com" TargetMode="External"/><Relationship Id="rId721" Type="http://schemas.openxmlformats.org/officeDocument/2006/relationships/hyperlink" Target="mailto:muhima.hospital@moh.gov.rw" TargetMode="External"/><Relationship Id="rId1144" Type="http://schemas.openxmlformats.org/officeDocument/2006/relationships/hyperlink" Target="mailto:frugema@rac.co.rw" TargetMode="External"/><Relationship Id="rId1351" Type="http://schemas.openxmlformats.org/officeDocument/2006/relationships/hyperlink" Target="mailto:brice.kayihura@aos.rw" TargetMode="External"/><Relationship Id="rId88" Type="http://schemas.openxmlformats.org/officeDocument/2006/relationships/hyperlink" Target="mailto:anicet.kubwumuremyi@rra.gov.rw,claudine.byukusenge@rra.gov.rw" TargetMode="External"/><Relationship Id="rId153" Type="http://schemas.openxmlformats.org/officeDocument/2006/relationships/hyperlink" Target="mailto:crwagasore@migration.gov.rw,mrwamwaga@state.gov.rw,dkuwase@state.gov.rw" TargetMode="External"/><Relationship Id="rId360" Type="http://schemas.openxmlformats.org/officeDocument/2006/relationships/hyperlink" Target="mailto:rusororosector@gasabo.gov.rw" TargetMode="External"/><Relationship Id="rId598" Type="http://schemas.openxmlformats.org/officeDocument/2006/relationships/hyperlink" Target="mailto:nzabandoraf@gmail.com" TargetMode="External"/><Relationship Id="rId819" Type="http://schemas.openxmlformats.org/officeDocument/2006/relationships/hyperlink" Target="mailto:paymaticltd@gmail.com" TargetMode="External"/><Relationship Id="rId1004" Type="http://schemas.openxmlformats.org/officeDocument/2006/relationships/hyperlink" Target="mailto:dirinfosyscec@minadef.gov.rw" TargetMode="External"/><Relationship Id="rId1211" Type="http://schemas.openxmlformats.org/officeDocument/2006/relationships/hyperlink" Target="mailto:headcec@minadef.gov.rw" TargetMode="External"/><Relationship Id="rId220" Type="http://schemas.openxmlformats.org/officeDocument/2006/relationships/hyperlink" Target="mailto:srutaganda@cnf.gov.rw" TargetMode="External"/><Relationship Id="rId458" Type="http://schemas.openxmlformats.org/officeDocument/2006/relationships/hyperlink" Target="mailto:akundimana@minict.gov.rw" TargetMode="External"/><Relationship Id="rId665" Type="http://schemas.openxmlformats.org/officeDocument/2006/relationships/hyperlink" Target="mailto:mntabana@unicef.org" TargetMode="External"/><Relationship Id="rId872" Type="http://schemas.openxmlformats.org/officeDocument/2006/relationships/hyperlink" Target="mailto:ict@rusizi.gov.rw" TargetMode="External"/><Relationship Id="rId1088" Type="http://schemas.openxmlformats.org/officeDocument/2006/relationships/hyperlink" Target="mailto:gsrr02@gmail.com" TargetMode="External"/><Relationship Id="rId1295" Type="http://schemas.openxmlformats.org/officeDocument/2006/relationships/hyperlink" Target="mailto:claude.mugabo@minaloc.gov.rw" TargetMode="External"/><Relationship Id="rId1309" Type="http://schemas.openxmlformats.org/officeDocument/2006/relationships/hyperlink" Target="mailto:ramadhani.nshaka@liquid.tech" TargetMode="External"/><Relationship Id="rId15" Type="http://schemas.openxmlformats.org/officeDocument/2006/relationships/hyperlink" Target="mailto:dirinfosyscec@minadef.gov.rw" TargetMode="External"/><Relationship Id="rId318" Type="http://schemas.openxmlformats.org/officeDocument/2006/relationships/hyperlink" Target="mailto:mntabana@unicef.org" TargetMode="External"/><Relationship Id="rId525" Type="http://schemas.openxmlformats.org/officeDocument/2006/relationships/hyperlink" Target="mailto:gatsatasector@yahoo.com" TargetMode="External"/><Relationship Id="rId732" Type="http://schemas.openxmlformats.org/officeDocument/2006/relationships/hyperlink" Target="mailto:ali.muhire@kfhkigali.com" TargetMode="External"/><Relationship Id="rId1155" Type="http://schemas.openxmlformats.org/officeDocument/2006/relationships/hyperlink" Target="mailto:remy.ntwali@npsc.gov.rw" TargetMode="External"/><Relationship Id="rId1362" Type="http://schemas.openxmlformats.org/officeDocument/2006/relationships/hyperlink" Target="mailto:jruzigana@isco.co.rw" TargetMode="External"/><Relationship Id="rId99" Type="http://schemas.openxmlformats.org/officeDocument/2006/relationships/hyperlink" Target="mailto:headcec@minadef.gov.rw" TargetMode="External"/><Relationship Id="rId164" Type="http://schemas.openxmlformats.org/officeDocument/2006/relationships/hyperlink" Target="mailto:crwagasore@migration.gov.rw,mrwamwaga@state.gov.rw,dkuwase@state.gov.rw" TargetMode="External"/><Relationship Id="rId371" Type="http://schemas.openxmlformats.org/officeDocument/2006/relationships/hyperlink" Target="mailto:murenzi.igor@mastersteel.co" TargetMode="External"/><Relationship Id="rId1015" Type="http://schemas.openxmlformats.org/officeDocument/2006/relationships/hyperlink" Target="mailto:dirinfosyscec@minadef.gov.rw" TargetMode="External"/><Relationship Id="rId1222" Type="http://schemas.openxmlformats.org/officeDocument/2006/relationships/hyperlink" Target="mailto:fred.gashemeza@judiciary.gov.rw" TargetMode="External"/><Relationship Id="rId469" Type="http://schemas.openxmlformats.org/officeDocument/2006/relationships/hyperlink" Target="mailto:antoine.twizere@rura.rw" TargetMode="External"/><Relationship Id="rId676" Type="http://schemas.openxmlformats.org/officeDocument/2006/relationships/hyperlink" Target="mailto:eskigarama@yahoo.fr" TargetMode="External"/><Relationship Id="rId883" Type="http://schemas.openxmlformats.org/officeDocument/2006/relationships/hyperlink" Target="mailto:odette.kampire@rssb.rw" TargetMode="External"/><Relationship Id="rId1099" Type="http://schemas.openxmlformats.org/officeDocument/2006/relationships/hyperlink" Target="mailto:odon@kplonline.org" TargetMode="External"/><Relationship Id="rId26" Type="http://schemas.openxmlformats.org/officeDocument/2006/relationships/hyperlink" Target="mailto:m.mediatrice@naeb.gov.rw" TargetMode="External"/><Relationship Id="rId231" Type="http://schemas.openxmlformats.org/officeDocument/2006/relationships/hyperlink" Target="mailto:kamustreet@gmail.com" TargetMode="External"/><Relationship Id="rId329" Type="http://schemas.openxmlformats.org/officeDocument/2006/relationships/hyperlink" Target="mailto:mntabana@unicef.org" TargetMode="External"/><Relationship Id="rId536" Type="http://schemas.openxmlformats.org/officeDocument/2006/relationships/hyperlink" Target="mailto:gatera02@gmail.com" TargetMode="External"/><Relationship Id="rId1166" Type="http://schemas.openxmlformats.org/officeDocument/2006/relationships/hyperlink" Target="mailto:sosthene.nsabimana@nppa.gov.rw" TargetMode="External"/><Relationship Id="rId1373" Type="http://schemas.openxmlformats.org/officeDocument/2006/relationships/hyperlink" Target="mailto:corporate@rwamagana.gov.rw" TargetMode="External"/><Relationship Id="rId175" Type="http://schemas.openxmlformats.org/officeDocument/2006/relationships/hyperlink" Target="mailto:crwagasore@migration.gov.rw,mrwamwaga@state.gov.rw,dkuwase@state.gov.rw" TargetMode="External"/><Relationship Id="rId743" Type="http://schemas.openxmlformats.org/officeDocument/2006/relationships/hyperlink" Target="mailto:info@krh.gov.rw" TargetMode="External"/><Relationship Id="rId950" Type="http://schemas.openxmlformats.org/officeDocument/2006/relationships/hyperlink" Target="mailto:nhilaire@demobrwanda.gov.rw%3E" TargetMode="External"/><Relationship Id="rId1026" Type="http://schemas.openxmlformats.org/officeDocument/2006/relationships/hyperlink" Target="mailto:dirinfosyscec@minadef.gov.rw" TargetMode="External"/><Relationship Id="rId382" Type="http://schemas.openxmlformats.org/officeDocument/2006/relationships/hyperlink" Target="mailto:jeanpaul.ndisanze@rnit.rw,natureemmanuel.icyitegetse@rnit.rw,admin@rnit.rw" TargetMode="External"/><Relationship Id="rId603" Type="http://schemas.openxmlformats.org/officeDocument/2006/relationships/hyperlink" Target="mailto:nzabandoraf@gmail.com" TargetMode="External"/><Relationship Id="rId687" Type="http://schemas.openxmlformats.org/officeDocument/2006/relationships/hyperlink" Target="mailto:rwamagana.hospital@moh.gov.rw" TargetMode="External"/><Relationship Id="rId810" Type="http://schemas.openxmlformats.org/officeDocument/2006/relationships/hyperlink" Target="mailto:fanny.colombe@pivotaccess.com" TargetMode="External"/><Relationship Id="rId908" Type="http://schemas.openxmlformats.org/officeDocument/2006/relationships/hyperlink" Target="mailto:odette.kampire@rssb.rw" TargetMode="External"/><Relationship Id="rId1233" Type="http://schemas.openxmlformats.org/officeDocument/2006/relationships/hyperlink" Target="mailto:fred.gashemeza@judiciary.gov.rw" TargetMode="External"/><Relationship Id="rId242" Type="http://schemas.openxmlformats.org/officeDocument/2006/relationships/hyperlink" Target="mailto:rubavudistrict@rubavu.gov.rw" TargetMode="External"/><Relationship Id="rId894" Type="http://schemas.openxmlformats.org/officeDocument/2006/relationships/hyperlink" Target="mailto:odette.kampire@rssb.rw" TargetMode="External"/><Relationship Id="rId1177" Type="http://schemas.openxmlformats.org/officeDocument/2006/relationships/hyperlink" Target="mailto:sosthene.nsabimana@nppa.gov.rw" TargetMode="External"/><Relationship Id="rId1300" Type="http://schemas.openxmlformats.org/officeDocument/2006/relationships/hyperlink" Target="mailto:ramadhani.nshaka@liquid.tech" TargetMode="External"/><Relationship Id="rId37" Type="http://schemas.openxmlformats.org/officeDocument/2006/relationships/hyperlink" Target="mailto:anicet.kubwumuremyi@rra.gov.rw,claudine.byukusenge@rra.gov.rw" TargetMode="External"/><Relationship Id="rId102" Type="http://schemas.openxmlformats.org/officeDocument/2006/relationships/hyperlink" Target="mailto:crwagasore@migration.gov.rw,mrwamwaga@state.gov.rw,dkuwase@state.gov.rw" TargetMode="External"/><Relationship Id="rId547" Type="http://schemas.openxmlformats.org/officeDocument/2006/relationships/hyperlink" Target="mailto:prosper.hakizimana@nyarugenge.gov.rw" TargetMode="External"/><Relationship Id="rId754" Type="http://schemas.openxmlformats.org/officeDocument/2006/relationships/hyperlink" Target="mailto:umuconso@gmail.com" TargetMode="External"/><Relationship Id="rId961" Type="http://schemas.openxmlformats.org/officeDocument/2006/relationships/hyperlink" Target="mailto:m.mediatrice@naeb.gov.rw" TargetMode="External"/><Relationship Id="rId90" Type="http://schemas.openxmlformats.org/officeDocument/2006/relationships/hyperlink" Target="mailto:anicet.kubwumuremyi@rra.gov.rw,claudine.byukusenge@rra.gov.rw" TargetMode="External"/><Relationship Id="rId186" Type="http://schemas.openxmlformats.org/officeDocument/2006/relationships/hyperlink" Target="mailto:crwagasore@migration.gov.rw,mrwamwaga@state.gov.rw,dkuwase@state.gov.rw" TargetMode="External"/><Relationship Id="rId393" Type="http://schemas.openxmlformats.org/officeDocument/2006/relationships/hyperlink" Target="mailto:hgakwaya@reaf.gov.rw,abirungi@reaf.gov.rw" TargetMode="External"/><Relationship Id="rId407" Type="http://schemas.openxmlformats.org/officeDocument/2006/relationships/hyperlink" Target="mailto:gkabera@myculture.gov.rw,dmutunge@myculture.gov.rw" TargetMode="External"/><Relationship Id="rId614" Type="http://schemas.openxmlformats.org/officeDocument/2006/relationships/hyperlink" Target="mailto:nzabandoraf@gmail.com" TargetMode="External"/><Relationship Id="rId821" Type="http://schemas.openxmlformats.org/officeDocument/2006/relationships/hyperlink" Target="mailto:aamizero@gmail.com" TargetMode="External"/><Relationship Id="rId1037" Type="http://schemas.openxmlformats.org/officeDocument/2006/relationships/hyperlink" Target="mailto:dirinfosyscec@minadef.gov.rw" TargetMode="External"/><Relationship Id="rId1244" Type="http://schemas.openxmlformats.org/officeDocument/2006/relationships/hyperlink" Target="mailto:fred.gashemeza@judiciary.gov.rw" TargetMode="External"/><Relationship Id="rId253" Type="http://schemas.openxmlformats.org/officeDocument/2006/relationships/hyperlink" Target="mailto:sbuhigiro@reb.rw" TargetMode="External"/><Relationship Id="rId460" Type="http://schemas.openxmlformats.org/officeDocument/2006/relationships/hyperlink" Target="mailto:justin.munyemana@rfa.rw" TargetMode="External"/><Relationship Id="rId698" Type="http://schemas.openxmlformats.org/officeDocument/2006/relationships/hyperlink" Target="mailto:nyanza.hospital@moh.gov.rw" TargetMode="External"/><Relationship Id="rId919" Type="http://schemas.openxmlformats.org/officeDocument/2006/relationships/hyperlink" Target="mailto:odette.kampire@rssb.rw" TargetMode="External"/><Relationship Id="rId1090" Type="http://schemas.openxmlformats.org/officeDocument/2006/relationships/hyperlink" Target="mailto:fathebu@yahoo.fr;rurangwarene@yahoo.fr" TargetMode="External"/><Relationship Id="rId1104" Type="http://schemas.openxmlformats.org/officeDocument/2006/relationships/hyperlink" Target="mailto:egishoma@yahoo.fr/amwitaba@yahoo.fr" TargetMode="External"/><Relationship Id="rId1311" Type="http://schemas.openxmlformats.org/officeDocument/2006/relationships/hyperlink" Target="mailto:ramadhani.nshaka@liquid.tech" TargetMode="External"/><Relationship Id="rId48" Type="http://schemas.openxmlformats.org/officeDocument/2006/relationships/hyperlink" Target="mailto:anicet.kubwumuremyi@rra.gov.rw,claudine.byukusenge@rra.gov.rw" TargetMode="External"/><Relationship Id="rId113" Type="http://schemas.openxmlformats.org/officeDocument/2006/relationships/hyperlink" Target="mailto:crwagasore@migration.gov.rw,mrwamwaga@state.gov.rw,dkuwase@state.gov.rw" TargetMode="External"/><Relationship Id="rId320" Type="http://schemas.openxmlformats.org/officeDocument/2006/relationships/hyperlink" Target="mailto:mntabana@unicef.org" TargetMode="External"/><Relationship Id="rId558" Type="http://schemas.openxmlformats.org/officeDocument/2006/relationships/hyperlink" Target="mailto:bkobusingye@rw.nationmedia.com" TargetMode="External"/><Relationship Id="rId765" Type="http://schemas.openxmlformats.org/officeDocument/2006/relationships/hyperlink" Target="mailto:kabgeye@gmail.com" TargetMode="External"/><Relationship Id="rId972" Type="http://schemas.openxmlformats.org/officeDocument/2006/relationships/hyperlink" Target="mailto:ENgirinshuti@bnr.rw" TargetMode="External"/><Relationship Id="rId1188" Type="http://schemas.openxmlformats.org/officeDocument/2006/relationships/hyperlink" Target="mailto:sosthene.nsabimana@nppa.gov.rw" TargetMode="External"/><Relationship Id="rId197" Type="http://schemas.openxmlformats.org/officeDocument/2006/relationships/hyperlink" Target="mailto:crwagasore@migration.gov.rw,mrwamwaga@state.gov.rw,dkuwase@state.gov.rw" TargetMode="External"/><Relationship Id="rId418" Type="http://schemas.openxmlformats.org/officeDocument/2006/relationships/hyperlink" Target="mailto:ngabe.paul@gmail.com,info@forumfp.org.rw" TargetMode="External"/><Relationship Id="rId625" Type="http://schemas.openxmlformats.org/officeDocument/2006/relationships/hyperlink" Target="mailto:ict@moh.gov.rw,info@moh.gov.rw" TargetMode="External"/><Relationship Id="rId832" Type="http://schemas.openxmlformats.org/officeDocument/2006/relationships/hyperlink" Target="mailto:rmutabazi@minema.gov.rw" TargetMode="External"/><Relationship Id="rId1048" Type="http://schemas.openxmlformats.org/officeDocument/2006/relationships/hyperlink" Target="mailto:havumiragira@yahoo.fr/ehavumiragira@iprctumba.rp.ac.rw" TargetMode="External"/><Relationship Id="rId1255" Type="http://schemas.openxmlformats.org/officeDocument/2006/relationships/hyperlink" Target="mailto:fred.gashemeza@judiciary.gov.rw" TargetMode="External"/><Relationship Id="rId264" Type="http://schemas.openxmlformats.org/officeDocument/2006/relationships/hyperlink" Target="mailto:ictofficer@gisagara.gov.rw" TargetMode="External"/><Relationship Id="rId471" Type="http://schemas.openxmlformats.org/officeDocument/2006/relationships/hyperlink" Target="mailto:ENgirinshuti@bnr.rw" TargetMode="External"/><Relationship Id="rId1115" Type="http://schemas.openxmlformats.org/officeDocument/2006/relationships/hyperlink" Target="mailto:irene@simbanet.co.ke" TargetMode="External"/><Relationship Id="rId1322" Type="http://schemas.openxmlformats.org/officeDocument/2006/relationships/hyperlink" Target="mailto:iragyhadavid@gmail.com" TargetMode="External"/><Relationship Id="rId59" Type="http://schemas.openxmlformats.org/officeDocument/2006/relationships/hyperlink" Target="mailto:anicet.kubwumuremyi@rra.gov.rw,claudine.byukusenge@rra.gov.rw" TargetMode="External"/><Relationship Id="rId124" Type="http://schemas.openxmlformats.org/officeDocument/2006/relationships/hyperlink" Target="mailto:crwagasore@migration.gov.rw,mrwamwaga@state.gov.rw,dkuwase@state.gov.rw" TargetMode="External"/><Relationship Id="rId569" Type="http://schemas.openxmlformats.org/officeDocument/2006/relationships/hyperlink" Target="mailto:ict@ruhango.gov.rw" TargetMode="External"/><Relationship Id="rId776" Type="http://schemas.openxmlformats.org/officeDocument/2006/relationships/hyperlink" Target="mailto:info@chub.rw;gada@chub.rw" TargetMode="External"/><Relationship Id="rId983" Type="http://schemas.openxmlformats.org/officeDocument/2006/relationships/hyperlink" Target="mailto:o.hategeka@bdf.rw" TargetMode="External"/><Relationship Id="rId1199" Type="http://schemas.openxmlformats.org/officeDocument/2006/relationships/hyperlink" Target="mailto:headcec@minadef.gov.rw" TargetMode="External"/><Relationship Id="rId331" Type="http://schemas.openxmlformats.org/officeDocument/2006/relationships/hyperlink" Target="mailto:mntabana@unicef.org" TargetMode="External"/><Relationship Id="rId429" Type="http://schemas.openxmlformats.org/officeDocument/2006/relationships/hyperlink" Target="mailto:digitalization@minicom.gov.rw" TargetMode="External"/><Relationship Id="rId636" Type="http://schemas.openxmlformats.org/officeDocument/2006/relationships/hyperlink" Target="mailto:felix.kanamugire@unesco.org" TargetMode="External"/><Relationship Id="rId1059" Type="http://schemas.openxmlformats.org/officeDocument/2006/relationships/hyperlink" Target="mailto:info@rp.iprcngoma.ac.rw;ranaclet2012@gmail.com;bizpeter2020@gmail.com" TargetMode="External"/><Relationship Id="rId1266" Type="http://schemas.openxmlformats.org/officeDocument/2006/relationships/hyperlink" Target="mailto:fred.gashemeza@judiciary.gov.rw" TargetMode="External"/><Relationship Id="rId843" Type="http://schemas.openxmlformats.org/officeDocument/2006/relationships/hyperlink" Target="mailto:nkurunzemma@palmkash.com" TargetMode="External"/><Relationship Id="rId1126" Type="http://schemas.openxmlformats.org/officeDocument/2006/relationships/hyperlink" Target="mailto:accounts@roketelkom.co.ug" TargetMode="External"/><Relationship Id="rId275" Type="http://schemas.openxmlformats.org/officeDocument/2006/relationships/hyperlink" Target="mailto:dirinfosyscec@minadef.gov.rw" TargetMode="External"/><Relationship Id="rId482" Type="http://schemas.openxmlformats.org/officeDocument/2006/relationships/hyperlink" Target="mailto:faustin.rushema@accessbankplc.com" TargetMode="External"/><Relationship Id="rId703" Type="http://schemas.openxmlformats.org/officeDocument/2006/relationships/hyperlink" Target="mailto:nyamata.hospital@moh.gov.rw" TargetMode="External"/><Relationship Id="rId910" Type="http://schemas.openxmlformats.org/officeDocument/2006/relationships/hyperlink" Target="mailto:odette.kampire@rssb.rw" TargetMode="External"/><Relationship Id="rId1333" Type="http://schemas.openxmlformats.org/officeDocument/2006/relationships/hyperlink" Target="mailto:winston@bcs-ea.com" TargetMode="External"/><Relationship Id="rId135" Type="http://schemas.openxmlformats.org/officeDocument/2006/relationships/hyperlink" Target="mailto:crwagasore@migration.gov.rw,mrwamwaga@state.gov.rw,dkuwase@state.gov.rw" TargetMode="External"/><Relationship Id="rId342" Type="http://schemas.openxmlformats.org/officeDocument/2006/relationships/hyperlink" Target="mailto:it@minisports.gov.rw" TargetMode="External"/><Relationship Id="rId787" Type="http://schemas.openxmlformats.org/officeDocument/2006/relationships/hyperlink" Target="mailto:jmatovu@minisports.gov.rw" TargetMode="External"/><Relationship Id="rId994" Type="http://schemas.openxmlformats.org/officeDocument/2006/relationships/hyperlink" Target="mailto:rubenhaba6@gmail.com" TargetMode="External"/><Relationship Id="rId202" Type="http://schemas.openxmlformats.org/officeDocument/2006/relationships/hyperlink" Target="mailto:Evergiste.Bushayija@oag.gov.rw" TargetMode="External"/><Relationship Id="rId647" Type="http://schemas.openxmlformats.org/officeDocument/2006/relationships/hyperlink" Target="mailto:mntabana@unicef.org" TargetMode="External"/><Relationship Id="rId854" Type="http://schemas.openxmlformats.org/officeDocument/2006/relationships/hyperlink" Target="mailto:ekwizera@minagri.gov.rw" TargetMode="External"/><Relationship Id="rId1277" Type="http://schemas.openxmlformats.org/officeDocument/2006/relationships/hyperlink" Target="mailto:admin@techplusys.com" TargetMode="External"/><Relationship Id="rId286" Type="http://schemas.openxmlformats.org/officeDocument/2006/relationships/hyperlink" Target="mailto:dirinfosyscec@minadef.gov.rw" TargetMode="External"/><Relationship Id="rId493" Type="http://schemas.openxmlformats.org/officeDocument/2006/relationships/hyperlink" Target="mailto:t.maniriho@ncsa.gov.rw" TargetMode="External"/><Relationship Id="rId507" Type="http://schemas.openxmlformats.org/officeDocument/2006/relationships/hyperlink" Target="mailto:Twaha.Twagirimana@scatec.com" TargetMode="External"/><Relationship Id="rId714" Type="http://schemas.openxmlformats.org/officeDocument/2006/relationships/hyperlink" Target="mailto:murunda.hospital@moh.gov.rw" TargetMode="External"/><Relationship Id="rId921" Type="http://schemas.openxmlformats.org/officeDocument/2006/relationships/hyperlink" Target="mailto:odette.kampire@rssb.rw" TargetMode="External"/><Relationship Id="rId1137" Type="http://schemas.openxmlformats.org/officeDocument/2006/relationships/hyperlink" Target="mailto:mgasana@caa.gov.rw" TargetMode="External"/><Relationship Id="rId1344" Type="http://schemas.openxmlformats.org/officeDocument/2006/relationships/hyperlink" Target="mailto:sage.umutoniwabo@trac.africa" TargetMode="External"/><Relationship Id="rId50" Type="http://schemas.openxmlformats.org/officeDocument/2006/relationships/hyperlink" Target="mailto:anicet.kubwumuremyi@rra.gov.rw,claudine.byukusenge@rra.gov.rw" TargetMode="External"/><Relationship Id="rId146" Type="http://schemas.openxmlformats.org/officeDocument/2006/relationships/hyperlink" Target="mailto:crwagasore@migration.gov.rw,mrwamwaga@state.gov.rw,dkuwase@state.gov.rw" TargetMode="External"/><Relationship Id="rId353" Type="http://schemas.openxmlformats.org/officeDocument/2006/relationships/hyperlink" Target="mailto:rmutabazi@minema.gov.rw" TargetMode="External"/><Relationship Id="rId560" Type="http://schemas.openxmlformats.org/officeDocument/2006/relationships/hyperlink" Target="mailto:ictofficer@kirehe.gov.rw" TargetMode="External"/><Relationship Id="rId798" Type="http://schemas.openxmlformats.org/officeDocument/2006/relationships/hyperlink" Target="mailto:pascal.ndikubwimana@nyabihu.gov.rw" TargetMode="External"/><Relationship Id="rId1190" Type="http://schemas.openxmlformats.org/officeDocument/2006/relationships/hyperlink" Target="mailto:sosthene.nsabimana@nppa.gov.rw" TargetMode="External"/><Relationship Id="rId1204" Type="http://schemas.openxmlformats.org/officeDocument/2006/relationships/hyperlink" Target="mailto:headcec@minadef.gov.rw" TargetMode="External"/><Relationship Id="rId213" Type="http://schemas.openxmlformats.org/officeDocument/2006/relationships/hyperlink" Target="mailto:remerasector@gasabo.gov.rw" TargetMode="External"/><Relationship Id="rId420" Type="http://schemas.openxmlformats.org/officeDocument/2006/relationships/hyperlink" Target="mailto:cbusogi@nec.gov.rw" TargetMode="External"/><Relationship Id="rId658" Type="http://schemas.openxmlformats.org/officeDocument/2006/relationships/hyperlink" Target="mailto:mntabana@unicef.org" TargetMode="External"/><Relationship Id="rId865" Type="http://schemas.openxmlformats.org/officeDocument/2006/relationships/hyperlink" Target="mailto:BRWIGAMBA@mineduc.gov.rw" TargetMode="External"/><Relationship Id="rId1050" Type="http://schemas.openxmlformats.org/officeDocument/2006/relationships/hyperlink" Target="mailto:iaimable@iprckigali.ac.rw%3E" TargetMode="External"/><Relationship Id="rId1288" Type="http://schemas.openxmlformats.org/officeDocument/2006/relationships/hyperlink" Target="mailto:egide.mugwaneza@minijust.gov.rw" TargetMode="External"/><Relationship Id="rId297" Type="http://schemas.openxmlformats.org/officeDocument/2006/relationships/hyperlink" Target="mailto:dirinfosyscec@minadef.gov.rw" TargetMode="External"/><Relationship Id="rId518" Type="http://schemas.openxmlformats.org/officeDocument/2006/relationships/hyperlink" Target="mailto:jeanpaul.mahene@gasabo.gov.rw" TargetMode="External"/><Relationship Id="rId725" Type="http://schemas.openxmlformats.org/officeDocument/2006/relationships/hyperlink" Target="mailto:masaka.hospital@moh.gov.rw" TargetMode="External"/><Relationship Id="rId932" Type="http://schemas.openxmlformats.org/officeDocument/2006/relationships/hyperlink" Target="mailto:network@nyamagabe.gov.rw" TargetMode="External"/><Relationship Id="rId1148" Type="http://schemas.openxmlformats.org/officeDocument/2006/relationships/hyperlink" Target="mailto:agashugi@primature.gov.rw" TargetMode="External"/><Relationship Id="rId1355" Type="http://schemas.openxmlformats.org/officeDocument/2006/relationships/hyperlink" Target="mailto:Samuel.Murenzi@rw.airtel.com" TargetMode="External"/><Relationship Id="rId157" Type="http://schemas.openxmlformats.org/officeDocument/2006/relationships/hyperlink" Target="mailto:crwagasore@migration.gov.rw,mrwamwaga@state.gov.rw,dkuwase@state.gov.rw" TargetMode="External"/><Relationship Id="rId364" Type="http://schemas.openxmlformats.org/officeDocument/2006/relationships/hyperlink" Target="mailto:patrick.manzi@gva.africa" TargetMode="External"/><Relationship Id="rId1008" Type="http://schemas.openxmlformats.org/officeDocument/2006/relationships/hyperlink" Target="mailto:dirinfosyscec@minadef.gov.rw" TargetMode="External"/><Relationship Id="rId1215" Type="http://schemas.openxmlformats.org/officeDocument/2006/relationships/hyperlink" Target="mailto:headcec@minadef.gov.rw" TargetMode="External"/><Relationship Id="rId61" Type="http://schemas.openxmlformats.org/officeDocument/2006/relationships/hyperlink" Target="mailto:anicet.kubwumuremyi@rra.gov.rw,claudine.byukusenge@rra.gov.rw" TargetMode="External"/><Relationship Id="rId571" Type="http://schemas.openxmlformats.org/officeDocument/2006/relationships/hyperlink" Target="mailto:ictrutsiro@rutsiro.gov.rw" TargetMode="External"/><Relationship Id="rId669" Type="http://schemas.openxmlformats.org/officeDocument/2006/relationships/hyperlink" Target="mailto:mntabana@unicef.org" TargetMode="External"/><Relationship Id="rId876" Type="http://schemas.openxmlformats.org/officeDocument/2006/relationships/hyperlink" Target="mailto:odette.kampire@rssb.rw" TargetMode="External"/><Relationship Id="rId1299" Type="http://schemas.openxmlformats.org/officeDocument/2006/relationships/hyperlink" Target="mailto:ramadhani.nshaka@liquid.tech" TargetMode="External"/><Relationship Id="rId19" Type="http://schemas.openxmlformats.org/officeDocument/2006/relationships/hyperlink" Target="mailto:deo.kimonyo@risa.gov.rw" TargetMode="External"/><Relationship Id="rId224" Type="http://schemas.openxmlformats.org/officeDocument/2006/relationships/hyperlink" Target="mailto:amugwaneza@space.gov.rw" TargetMode="External"/><Relationship Id="rId431" Type="http://schemas.openxmlformats.org/officeDocument/2006/relationships/hyperlink" Target="mailto:digitalization@minicom.gov.rw" TargetMode="External"/><Relationship Id="rId529" Type="http://schemas.openxmlformats.org/officeDocument/2006/relationships/hyperlink" Target="mailto:patrice.mvuyekure@ngoma.gov.rw" TargetMode="External"/><Relationship Id="rId736" Type="http://schemas.openxmlformats.org/officeDocument/2006/relationships/hyperlink" Target="mailto:musema13@gmail.com" TargetMode="External"/><Relationship Id="rId1061" Type="http://schemas.openxmlformats.org/officeDocument/2006/relationships/hyperlink" Target="mailto:info@rp.iprcngoma.ac.rw;ranaclet2012@gmail.com;bizpeter2020@gmail.com" TargetMode="External"/><Relationship Id="rId1159" Type="http://schemas.openxmlformats.org/officeDocument/2006/relationships/hyperlink" Target="mailto:sosthene.nsabimana@nppa.gov.rw" TargetMode="External"/><Relationship Id="rId1366" Type="http://schemas.openxmlformats.org/officeDocument/2006/relationships/hyperlink" Target="mailto:msugira@fic.gov.rw" TargetMode="External"/><Relationship Id="rId168" Type="http://schemas.openxmlformats.org/officeDocument/2006/relationships/hyperlink" Target="mailto:crwagasore@migration.gov.rw,mrwamwaga@state.gov.rw,dkuwase@state.gov.rw" TargetMode="External"/><Relationship Id="rId943" Type="http://schemas.openxmlformats.org/officeDocument/2006/relationships/hyperlink" Target="mailto:ictofficer@southernprovince.gov.rw" TargetMode="External"/><Relationship Id="rId1019" Type="http://schemas.openxmlformats.org/officeDocument/2006/relationships/hyperlink" Target="mailto:dirinfosyscec@minadef.gov.rw" TargetMode="External"/><Relationship Id="rId72" Type="http://schemas.openxmlformats.org/officeDocument/2006/relationships/hyperlink" Target="mailto:anicet.kubwumuremyi@rra.gov.rw,claudine.byukusenge@rra.gov.rw" TargetMode="External"/><Relationship Id="rId375" Type="http://schemas.openxmlformats.org/officeDocument/2006/relationships/hyperlink" Target="mailto:ictmusanze@musanze.gov.rw" TargetMode="External"/><Relationship Id="rId582" Type="http://schemas.openxmlformats.org/officeDocument/2006/relationships/hyperlink" Target="mailto:nzabandoraf@gmail.com" TargetMode="External"/><Relationship Id="rId803" Type="http://schemas.openxmlformats.org/officeDocument/2006/relationships/hyperlink" Target="mailto:wilsonkazungu@forefrontservices.rw" TargetMode="External"/><Relationship Id="rId1226" Type="http://schemas.openxmlformats.org/officeDocument/2006/relationships/hyperlink" Target="mailto:fred.gashemeza@judiciary.gov.rw" TargetMode="External"/><Relationship Id="rId3" Type="http://schemas.openxmlformats.org/officeDocument/2006/relationships/hyperlink" Target="mailto:dirinfosyscec@minadef.gov.rw" TargetMode="External"/><Relationship Id="rId235" Type="http://schemas.openxmlformats.org/officeDocument/2006/relationships/hyperlink" Target="mailto:mwangamj@gmail.com" TargetMode="External"/><Relationship Id="rId442" Type="http://schemas.openxmlformats.org/officeDocument/2006/relationships/hyperlink" Target="mailto:antoine.twizere@rura.rw" TargetMode="External"/><Relationship Id="rId887" Type="http://schemas.openxmlformats.org/officeDocument/2006/relationships/hyperlink" Target="mailto:odette.kampire@rssb.rw" TargetMode="External"/><Relationship Id="rId1072" Type="http://schemas.openxmlformats.org/officeDocument/2006/relationships/hyperlink" Target="mailto:gsgihundweadpr@gmail.com/nshimaalbert@yahoo.fr" TargetMode="External"/><Relationship Id="rId302" Type="http://schemas.openxmlformats.org/officeDocument/2006/relationships/hyperlink" Target="mailto:dirinfosyscec@minadef.gov.rw" TargetMode="External"/><Relationship Id="rId747" Type="http://schemas.openxmlformats.org/officeDocument/2006/relationships/hyperlink" Target="mailto:francismuhire1@gmail.com/kibogorahospital@gmail.com/kibogora.hospital@moh.gov.rw" TargetMode="External"/><Relationship Id="rId954" Type="http://schemas.openxmlformats.org/officeDocument/2006/relationships/hyperlink" Target="mailto:karongidistrict@karongi.gov.rw" TargetMode="External"/><Relationship Id="rId83" Type="http://schemas.openxmlformats.org/officeDocument/2006/relationships/hyperlink" Target="mailto:anicet.kubwumuremyi@rra.gov.rw,claudine.byukusenge@rra.gov.rw" TargetMode="External"/><Relationship Id="rId179" Type="http://schemas.openxmlformats.org/officeDocument/2006/relationships/hyperlink" Target="mailto:crwagasore@migration.gov.rw,mrwamwaga@state.gov.rw,dkuwase@state.gov.rw" TargetMode="External"/><Relationship Id="rId386" Type="http://schemas.openxmlformats.org/officeDocument/2006/relationships/hyperlink" Target="mailto:hrutebuka@sfhrwanda.org,imigambi@sfhrwanda.org" TargetMode="External"/><Relationship Id="rId593" Type="http://schemas.openxmlformats.org/officeDocument/2006/relationships/hyperlink" Target="mailto:nzabandoraf@gmail.com" TargetMode="External"/><Relationship Id="rId607" Type="http://schemas.openxmlformats.org/officeDocument/2006/relationships/hyperlink" Target="mailto:nzabandoraf@gmail.com" TargetMode="External"/><Relationship Id="rId814" Type="http://schemas.openxmlformats.org/officeDocument/2006/relationships/hyperlink" Target="mailto:dukuzumuremyi@cooperation.rw" TargetMode="External"/><Relationship Id="rId1237" Type="http://schemas.openxmlformats.org/officeDocument/2006/relationships/hyperlink" Target="mailto:fred.gashemeza@judiciary.gov.rw" TargetMode="External"/><Relationship Id="rId246" Type="http://schemas.openxmlformats.org/officeDocument/2006/relationships/hyperlink" Target="mailto:euwiringiyimana@rp.ac.rw" TargetMode="External"/><Relationship Id="rId453" Type="http://schemas.openxmlformats.org/officeDocument/2006/relationships/hyperlink" Target="mailto:gkabera@myculture.gov.rw,dmutunge@myculture.gov.rw" TargetMode="External"/><Relationship Id="rId660" Type="http://schemas.openxmlformats.org/officeDocument/2006/relationships/hyperlink" Target="mailto:mntabana@unicef.org" TargetMode="External"/><Relationship Id="rId898" Type="http://schemas.openxmlformats.org/officeDocument/2006/relationships/hyperlink" Target="mailto:odette.kampire@rssb.rw" TargetMode="External"/><Relationship Id="rId1083" Type="http://schemas.openxmlformats.org/officeDocument/2006/relationships/hyperlink" Target="mailto:mururuttc@gmail.com" TargetMode="External"/><Relationship Id="rId1290" Type="http://schemas.openxmlformats.org/officeDocument/2006/relationships/hyperlink" Target="mailto:florent.kwizera@minecofin.gov.rw" TargetMode="External"/><Relationship Id="rId1304" Type="http://schemas.openxmlformats.org/officeDocument/2006/relationships/hyperlink" Target="mailto:ramadhani.nshaka@liquid.tech" TargetMode="External"/><Relationship Id="rId106" Type="http://schemas.openxmlformats.org/officeDocument/2006/relationships/hyperlink" Target="mailto:crwagasore@migration.gov.rw,mrwamwaga@state.gov.rw,dkuwase@state.gov.rw" TargetMode="External"/><Relationship Id="rId313" Type="http://schemas.openxmlformats.org/officeDocument/2006/relationships/hyperlink" Target="mailto:mntabana@unicef.org" TargetMode="External"/><Relationship Id="rId758" Type="http://schemas.openxmlformats.org/officeDocument/2006/relationships/hyperlink" Target="mailto:kacyiru.hospital@moh.gov.rw" TargetMode="External"/><Relationship Id="rId965" Type="http://schemas.openxmlformats.org/officeDocument/2006/relationships/hyperlink" Target="mailto:fabrice.tubanenimana@nirda.gov.rw" TargetMode="External"/><Relationship Id="rId1150" Type="http://schemas.openxmlformats.org/officeDocument/2006/relationships/hyperlink" Target="mailto:Evergiste.Bushayija@oag.gov.rw" TargetMode="External"/><Relationship Id="rId10" Type="http://schemas.openxmlformats.org/officeDocument/2006/relationships/hyperlink" Target="mailto:dirinfosyscec@minadef.gov.rw" TargetMode="External"/><Relationship Id="rId94" Type="http://schemas.openxmlformats.org/officeDocument/2006/relationships/hyperlink" Target="mailto:anicet.kubwumuremyi@rra.gov.rw,claudine.byukusenge@rra.gov.rw" TargetMode="External"/><Relationship Id="rId397" Type="http://schemas.openxmlformats.org/officeDocument/2006/relationships/hyperlink" Target="mailto:Jeandedieu.mazimpaka@mininvest.gov.rw" TargetMode="External"/><Relationship Id="rId520" Type="http://schemas.openxmlformats.org/officeDocument/2006/relationships/hyperlink" Target="mailto:patrick.ntwali@imbank.co.rw" TargetMode="External"/><Relationship Id="rId618" Type="http://schemas.openxmlformats.org/officeDocument/2006/relationships/hyperlink" Target="mailto:nzabandoraf@gmail.com" TargetMode="External"/><Relationship Id="rId825" Type="http://schemas.openxmlformats.org/officeDocument/2006/relationships/hyperlink" Target="mailto:riomakaveli@gmail.com" TargetMode="External"/><Relationship Id="rId1248" Type="http://schemas.openxmlformats.org/officeDocument/2006/relationships/hyperlink" Target="mailto:fred.gashemeza@judiciary.gov.rw" TargetMode="External"/><Relationship Id="rId257" Type="http://schemas.openxmlformats.org/officeDocument/2006/relationships/hyperlink" Target="mailto:sbuhigiro@reb.rw" TargetMode="External"/><Relationship Id="rId464" Type="http://schemas.openxmlformats.org/officeDocument/2006/relationships/hyperlink" Target="mailto:justin.munyemana@rfa.rw" TargetMode="External"/><Relationship Id="rId1010" Type="http://schemas.openxmlformats.org/officeDocument/2006/relationships/hyperlink" Target="mailto:dirinfosyscec@minadef.gov.rw" TargetMode="External"/><Relationship Id="rId1094" Type="http://schemas.openxmlformats.org/officeDocument/2006/relationships/hyperlink" Target="mailto:esnyange@yahoo.fr;jmukandayisaba@gmail.com" TargetMode="External"/><Relationship Id="rId1108" Type="http://schemas.openxmlformats.org/officeDocument/2006/relationships/hyperlink" Target="mailto:irene@simbanet.co.ke" TargetMode="External"/><Relationship Id="rId1315" Type="http://schemas.openxmlformats.org/officeDocument/2006/relationships/hyperlink" Target="mailto:aline.umutesi@ktrn.rw" TargetMode="External"/><Relationship Id="rId117" Type="http://schemas.openxmlformats.org/officeDocument/2006/relationships/hyperlink" Target="mailto:crwagasore@migration.gov.rw,mrwamwaga@state.gov.rw,dkuwase@state.gov.rw" TargetMode="External"/><Relationship Id="rId671" Type="http://schemas.openxmlformats.org/officeDocument/2006/relationships/hyperlink" Target="mailto:mntabana@unicef.org" TargetMode="External"/><Relationship Id="rId769" Type="http://schemas.openxmlformats.org/officeDocument/2006/relationships/hyperlink" Target="mailto:gisenyi.hospital@moh.gov.rw" TargetMode="External"/><Relationship Id="rId976" Type="http://schemas.openxmlformats.org/officeDocument/2006/relationships/hyperlink" Target="mailto:o.hategeka@bdf.rw" TargetMode="External"/><Relationship Id="rId324" Type="http://schemas.openxmlformats.org/officeDocument/2006/relationships/hyperlink" Target="mailto:mntabana@unicef.org" TargetMode="External"/><Relationship Id="rId531" Type="http://schemas.openxmlformats.org/officeDocument/2006/relationships/hyperlink" Target="mailto:jeanclaude_niyonsaba13@yahoo.com" TargetMode="External"/><Relationship Id="rId629" Type="http://schemas.openxmlformats.org/officeDocument/2006/relationships/hyperlink" Target="mailto:big117466@gmail.com" TargetMode="External"/><Relationship Id="rId1161" Type="http://schemas.openxmlformats.org/officeDocument/2006/relationships/hyperlink" Target="mailto:sosthene.nsabimana@nppa.gov.rw" TargetMode="External"/><Relationship Id="rId1259" Type="http://schemas.openxmlformats.org/officeDocument/2006/relationships/hyperlink" Target="mailto:fred.gashemeza@judiciary.gov.rw" TargetMode="External"/><Relationship Id="rId836" Type="http://schemas.openxmlformats.org/officeDocument/2006/relationships/hyperlink" Target="mailto:jniyitanga@ikigega.rw%3E" TargetMode="External"/><Relationship Id="rId1021" Type="http://schemas.openxmlformats.org/officeDocument/2006/relationships/hyperlink" Target="mailto:dirinfosyscec@minadef.gov.rw" TargetMode="External"/><Relationship Id="rId1119" Type="http://schemas.openxmlformats.org/officeDocument/2006/relationships/hyperlink" Target="mailto:irene@simbanet.co.ke" TargetMode="External"/><Relationship Id="rId903" Type="http://schemas.openxmlformats.org/officeDocument/2006/relationships/hyperlink" Target="mailto:odette.kampire@rssb.rw" TargetMode="External"/><Relationship Id="rId1326" Type="http://schemas.openxmlformats.org/officeDocument/2006/relationships/hyperlink" Target="tel:+250788307098" TargetMode="External"/><Relationship Id="rId32" Type="http://schemas.openxmlformats.org/officeDocument/2006/relationships/hyperlink" Target="mailto:sage.umutoniwabo@trac.africa" TargetMode="External"/><Relationship Id="rId181" Type="http://schemas.openxmlformats.org/officeDocument/2006/relationships/hyperlink" Target="mailto:crwagasore@migration.gov.rw,mrwamwaga@state.gov.rw,dkuwase@state.gov.rw" TargetMode="External"/><Relationship Id="rId279" Type="http://schemas.openxmlformats.org/officeDocument/2006/relationships/hyperlink" Target="mailto:dirinfosyscec@minadef.gov.rw" TargetMode="External"/><Relationship Id="rId486" Type="http://schemas.openxmlformats.org/officeDocument/2006/relationships/hyperlink" Target="mailto:ictsandrine@easternprovince.gov.rw" TargetMode="External"/><Relationship Id="rId693" Type="http://schemas.openxmlformats.org/officeDocument/2006/relationships/hyperlink" Target="mailto:ruhengeri.hospital@moh.gov.rw" TargetMode="External"/><Relationship Id="rId139" Type="http://schemas.openxmlformats.org/officeDocument/2006/relationships/hyperlink" Target="mailto:crwagasore@migration.gov.rw,mrwamwaga@state.gov.rw,dkuwase@state.gov.rw" TargetMode="External"/><Relationship Id="rId346" Type="http://schemas.openxmlformats.org/officeDocument/2006/relationships/hyperlink" Target="mailto:it@minisports.gov.rw" TargetMode="External"/><Relationship Id="rId553" Type="http://schemas.openxmlformats.org/officeDocument/2006/relationships/hyperlink" Target="mailto:freddy.shabani@rswitch.co.rw" TargetMode="External"/><Relationship Id="rId760" Type="http://schemas.openxmlformats.org/officeDocument/2006/relationships/hyperlink" Target="mailto:ngabo123edyy@gmail.com;kabutare.hospital@moh.gov.rw" TargetMode="External"/><Relationship Id="rId998" Type="http://schemas.openxmlformats.org/officeDocument/2006/relationships/hyperlink" Target="mailto:dirinfosyscec@minadef.gov.rw" TargetMode="External"/><Relationship Id="rId1183" Type="http://schemas.openxmlformats.org/officeDocument/2006/relationships/hyperlink" Target="mailto:sosthene.nsabimana@nppa.gov.rw" TargetMode="External"/><Relationship Id="rId206" Type="http://schemas.openxmlformats.org/officeDocument/2006/relationships/hyperlink" Target="mailto:patrick.ntwali@imbank.co.rw" TargetMode="External"/><Relationship Id="rId413" Type="http://schemas.openxmlformats.org/officeDocument/2006/relationships/hyperlink" Target="mailto:it.support@rmb.gov.rw,jbonfils.tuyishimire@rmb.gov.rw" TargetMode="External"/><Relationship Id="rId858" Type="http://schemas.openxmlformats.org/officeDocument/2006/relationships/hyperlink" Target="mailto:psonga@rema.gov.rw" TargetMode="External"/><Relationship Id="rId1043" Type="http://schemas.openxmlformats.org/officeDocument/2006/relationships/hyperlink" Target="mailto:christine.uzamukunda@rmi.rw" TargetMode="External"/><Relationship Id="rId620" Type="http://schemas.openxmlformats.org/officeDocument/2006/relationships/hyperlink" Target="mailto:samuel.kagiraneza@rbc.gov.rw" TargetMode="External"/><Relationship Id="rId718" Type="http://schemas.openxmlformats.org/officeDocument/2006/relationships/hyperlink" Target="mailto:muhororohospital@gmail.com" TargetMode="External"/><Relationship Id="rId925" Type="http://schemas.openxmlformats.org/officeDocument/2006/relationships/hyperlink" Target="mailto:odette.kampire@rssb.rw" TargetMode="External"/><Relationship Id="rId1250" Type="http://schemas.openxmlformats.org/officeDocument/2006/relationships/hyperlink" Target="mailto:fred.gashemeza@judiciary.gov.rw" TargetMode="External"/><Relationship Id="rId1348" Type="http://schemas.openxmlformats.org/officeDocument/2006/relationships/hyperlink" Target="mailto:brice.kayihura@aos.rw" TargetMode="External"/><Relationship Id="rId1110" Type="http://schemas.openxmlformats.org/officeDocument/2006/relationships/hyperlink" Target="mailto:gedeon.intwari@rcb.rw" TargetMode="External"/><Relationship Id="rId1208" Type="http://schemas.openxmlformats.org/officeDocument/2006/relationships/hyperlink" Target="mailto:headcec@minadef.gov.rw" TargetMode="External"/><Relationship Id="rId54" Type="http://schemas.openxmlformats.org/officeDocument/2006/relationships/hyperlink" Target="mailto:anicet.kubwumuremyi@rra.gov.rw,claudine.byukusenge@rra.gov.rw" TargetMode="External"/><Relationship Id="rId270" Type="http://schemas.openxmlformats.org/officeDocument/2006/relationships/hyperlink" Target="mailto:dirinfosyscec@minadef.gov.rw" TargetMode="External"/><Relationship Id="rId130" Type="http://schemas.openxmlformats.org/officeDocument/2006/relationships/hyperlink" Target="mailto:crwagasore@migration.gov.rw,mrwamwaga@state.gov.rw,dkuwase@state.gov.rw" TargetMode="External"/><Relationship Id="rId368" Type="http://schemas.openxmlformats.org/officeDocument/2006/relationships/hyperlink" Target="mailto:patrick.manzi@gva.africa" TargetMode="External"/><Relationship Id="rId575" Type="http://schemas.openxmlformats.org/officeDocument/2006/relationships/hyperlink" Target="mailto:info@rwandafda.gov.rw" TargetMode="External"/><Relationship Id="rId782" Type="http://schemas.openxmlformats.org/officeDocument/2006/relationships/hyperlink" Target="mailto:butaro.hospital@moh.gov.rw" TargetMode="External"/><Relationship Id="rId228" Type="http://schemas.openxmlformats.org/officeDocument/2006/relationships/hyperlink" Target="mailto:geoffrey.k@ricta.org.rw" TargetMode="External"/><Relationship Id="rId435" Type="http://schemas.openxmlformats.org/officeDocument/2006/relationships/hyperlink" Target="mailto:jackline.uwimbabazi@rwb.rw" TargetMode="External"/><Relationship Id="rId642" Type="http://schemas.openxmlformats.org/officeDocument/2006/relationships/hyperlink" Target="mailto:mntabana@unicef.org" TargetMode="External"/><Relationship Id="rId1065" Type="http://schemas.openxmlformats.org/officeDocument/2006/relationships/hyperlink" Target="mailto:fathebu@yahoo.fr;rurangwarene@yahoo.fr" TargetMode="External"/><Relationship Id="rId1272" Type="http://schemas.openxmlformats.org/officeDocument/2006/relationships/hyperlink" Target="mailto:fred.gashemeza@judiciary.gov.rw" TargetMode="External"/><Relationship Id="rId502" Type="http://schemas.openxmlformats.org/officeDocument/2006/relationships/hyperlink" Target="mailto:aderamia12@gmail.com" TargetMode="External"/><Relationship Id="rId947" Type="http://schemas.openxmlformats.org/officeDocument/2006/relationships/hyperlink" Target="mailto:emmy.bucyana@rha.gov.rw" TargetMode="External"/><Relationship Id="rId1132" Type="http://schemas.openxmlformats.org/officeDocument/2006/relationships/hyperlink" Target="mailto:nipacifique@rgb.rw" TargetMode="External"/><Relationship Id="rId76" Type="http://schemas.openxmlformats.org/officeDocument/2006/relationships/hyperlink" Target="mailto:anicet.kubwumuremyi@rra.gov.rw,claudine.byukusenge@rra.gov.rw" TargetMode="External"/><Relationship Id="rId807" Type="http://schemas.openxmlformats.org/officeDocument/2006/relationships/hyperlink" Target="mailto:fmubiligi@rppa.gov.rw" TargetMode="External"/><Relationship Id="rId292" Type="http://schemas.openxmlformats.org/officeDocument/2006/relationships/hyperlink" Target="mailto:dirinfosyscec@minadef.gov.rw" TargetMode="External"/><Relationship Id="rId597" Type="http://schemas.openxmlformats.org/officeDocument/2006/relationships/hyperlink" Target="mailto:nzabandoraf@gmail.com" TargetMode="External"/><Relationship Id="rId152" Type="http://schemas.openxmlformats.org/officeDocument/2006/relationships/hyperlink" Target="mailto:crwagasore@migration.gov.rw,mrwamwaga@state.gov.rw,dkuwase@state.gov.rw" TargetMode="External"/><Relationship Id="rId457" Type="http://schemas.openxmlformats.org/officeDocument/2006/relationships/hyperlink" Target="mailto:akundimana@minict.gov.rw" TargetMode="External"/><Relationship Id="rId1087" Type="http://schemas.openxmlformats.org/officeDocument/2006/relationships/hyperlink" Target="mailto:philippenerigisagara@gmail.com" TargetMode="External"/><Relationship Id="rId1294" Type="http://schemas.openxmlformats.org/officeDocument/2006/relationships/hyperlink" Target="mailto:claude.mugabo@minaloc.gov.rw" TargetMode="External"/><Relationship Id="rId664" Type="http://schemas.openxmlformats.org/officeDocument/2006/relationships/hyperlink" Target="mailto:mntabana@unicef.org" TargetMode="External"/><Relationship Id="rId871" Type="http://schemas.openxmlformats.org/officeDocument/2006/relationships/hyperlink" Target="mailto:augustin.ndayambaje@rab.gov.rw" TargetMode="External"/><Relationship Id="rId969" Type="http://schemas.openxmlformats.org/officeDocument/2006/relationships/hyperlink" Target="mailto:jeandamour.habiyambere@loda.gov.rw" TargetMode="External"/><Relationship Id="rId317" Type="http://schemas.openxmlformats.org/officeDocument/2006/relationships/hyperlink" Target="mailto:mntabana@unicef.org" TargetMode="External"/><Relationship Id="rId524" Type="http://schemas.openxmlformats.org/officeDocument/2006/relationships/hyperlink" Target="mailto:uwachan12@gmail.com" TargetMode="External"/><Relationship Id="rId731" Type="http://schemas.openxmlformats.org/officeDocument/2006/relationships/hyperlink" Target="mailto:kinihira.hospital@moh.gov.rw" TargetMode="External"/><Relationship Id="rId1154" Type="http://schemas.openxmlformats.org/officeDocument/2006/relationships/hyperlink" Target="mailto:jbosco.dusabimana@nrs.gov.rw" TargetMode="External"/><Relationship Id="rId1361" Type="http://schemas.openxmlformats.org/officeDocument/2006/relationships/hyperlink" Target="mailto:jruzigana@isco.co.rw" TargetMode="External"/><Relationship Id="rId98" Type="http://schemas.openxmlformats.org/officeDocument/2006/relationships/hyperlink" Target="mailto:headcec@minadef.gov.rw" TargetMode="External"/><Relationship Id="rId829" Type="http://schemas.openxmlformats.org/officeDocument/2006/relationships/hyperlink" Target="mailto:willy.nsabiyumva@nida.gov.rw" TargetMode="External"/><Relationship Id="rId1014" Type="http://schemas.openxmlformats.org/officeDocument/2006/relationships/hyperlink" Target="mailto:dirinfosyscec@minadef.gov.rw" TargetMode="External"/><Relationship Id="rId1221" Type="http://schemas.openxmlformats.org/officeDocument/2006/relationships/hyperlink" Target="mailto:fred.gashemeza@judiciary.gov.rw" TargetMode="External"/><Relationship Id="rId1319" Type="http://schemas.openxmlformats.org/officeDocument/2006/relationships/hyperlink" Target="mailto:ngango@ilpd.ac.rw" TargetMode="External"/><Relationship Id="rId25" Type="http://schemas.openxmlformats.org/officeDocument/2006/relationships/hyperlink" Target="mailto:corporate@rwamagana.gov.rw" TargetMode="External"/><Relationship Id="rId174" Type="http://schemas.openxmlformats.org/officeDocument/2006/relationships/hyperlink" Target="mailto:crwagasore@migration.gov.rw,mrwamwaga@state.gov.rw,dkuwase@state.gov.rw" TargetMode="External"/><Relationship Id="rId381" Type="http://schemas.openxmlformats.org/officeDocument/2006/relationships/hyperlink" Target="mailto:crwagasore@migration.gov.rw" TargetMode="External"/><Relationship Id="rId241" Type="http://schemas.openxmlformats.org/officeDocument/2006/relationships/hyperlink" Target="mailto:jmanzi@agropyltd.com" TargetMode="External"/><Relationship Id="rId479" Type="http://schemas.openxmlformats.org/officeDocument/2006/relationships/hyperlink" Target="mailto:protaisn@africanparks.org" TargetMode="External"/><Relationship Id="rId686" Type="http://schemas.openxmlformats.org/officeDocument/2006/relationships/hyperlink" Target="mailto:rwamagana.hospital@moh.gov.rw" TargetMode="External"/><Relationship Id="rId893" Type="http://schemas.openxmlformats.org/officeDocument/2006/relationships/hyperlink" Target="mailto:odette.kampire@rssb.rw" TargetMode="External"/><Relationship Id="rId339" Type="http://schemas.openxmlformats.org/officeDocument/2006/relationships/hyperlink" Target="mailto:theobard.bayingana@rfl.gov.rw" TargetMode="External"/><Relationship Id="rId546" Type="http://schemas.openxmlformats.org/officeDocument/2006/relationships/hyperlink" Target="mailto:prosper.hakizimana@nyarugenge.gov.rw" TargetMode="External"/><Relationship Id="rId753" Type="http://schemas.openxmlformats.org/officeDocument/2006/relationships/hyperlink" Target="mailto:nsenga1@gmail.com/kibagaba.hospital@moh.gov.rw" TargetMode="External"/><Relationship Id="rId1176" Type="http://schemas.openxmlformats.org/officeDocument/2006/relationships/hyperlink" Target="mailto:sosthene.nsabimana@nppa.gov.rw" TargetMode="External"/><Relationship Id="rId101" Type="http://schemas.openxmlformats.org/officeDocument/2006/relationships/hyperlink" Target="mailto:crwagasore@migration.gov.rw,mrwamwaga@state.gov.rw,dkuwase@state.gov.rw" TargetMode="External"/><Relationship Id="rId406" Type="http://schemas.openxmlformats.org/officeDocument/2006/relationships/hyperlink" Target="mailto:gkabera@myculture.gov.rw,dmutunge@myculture.gov.rw" TargetMode="External"/><Relationship Id="rId960" Type="http://schemas.openxmlformats.org/officeDocument/2006/relationships/hyperlink" Target="mailto:m.mediatrice@naeb.gov.rw" TargetMode="External"/><Relationship Id="rId1036" Type="http://schemas.openxmlformats.org/officeDocument/2006/relationships/hyperlink" Target="mailto:dirinfosyscec@minadef.gov.rw" TargetMode="External"/><Relationship Id="rId1243" Type="http://schemas.openxmlformats.org/officeDocument/2006/relationships/hyperlink" Target="mailto:fred.gashemeza@judiciary.gov.rw" TargetMode="External"/><Relationship Id="rId613" Type="http://schemas.openxmlformats.org/officeDocument/2006/relationships/hyperlink" Target="mailto:nzabandoraf@gmail.com" TargetMode="External"/><Relationship Id="rId820" Type="http://schemas.openxmlformats.org/officeDocument/2006/relationships/hyperlink" Target="mailto:edward@uplus.rw" TargetMode="External"/><Relationship Id="rId918" Type="http://schemas.openxmlformats.org/officeDocument/2006/relationships/hyperlink" Target="mailto:odette.kampire@rssb.rw" TargetMode="External"/><Relationship Id="rId1103" Type="http://schemas.openxmlformats.org/officeDocument/2006/relationships/hyperlink" Target="mailto:ecoledessciencesdegisenyi@gmail.com" TargetMode="External"/><Relationship Id="rId1310" Type="http://schemas.openxmlformats.org/officeDocument/2006/relationships/hyperlink" Target="mailto:ramadhani.nshaka@liquid.tech" TargetMode="External"/><Relationship Id="rId47" Type="http://schemas.openxmlformats.org/officeDocument/2006/relationships/hyperlink" Target="mailto:anicet.kubwumuremyi@rra.gov.rw,claudine.byukusenge@rra.gov.rw" TargetMode="External"/><Relationship Id="rId196" Type="http://schemas.openxmlformats.org/officeDocument/2006/relationships/hyperlink" Target="mailto:crwagasore@migration.gov.rw,mrwamwaga@state.gov.rw,dkuwase@state.gov.rw" TargetMode="External"/><Relationship Id="rId263" Type="http://schemas.openxmlformats.org/officeDocument/2006/relationships/hyperlink" Target="mailto:mukamahoro07@gmail.com" TargetMode="External"/><Relationship Id="rId470" Type="http://schemas.openxmlformats.org/officeDocument/2006/relationships/hyperlink" Target="mailto:wilson.kabagambe@rcs.gov.rw" TargetMode="External"/><Relationship Id="rId123" Type="http://schemas.openxmlformats.org/officeDocument/2006/relationships/hyperlink" Target="mailto:crwagasore@migration.gov.rw,mrwamwaga@state.gov.rw,dkuwase@state.gov.rw" TargetMode="External"/><Relationship Id="rId330" Type="http://schemas.openxmlformats.org/officeDocument/2006/relationships/hyperlink" Target="mailto:mntabana@unicef.org" TargetMode="External"/><Relationship Id="rId568" Type="http://schemas.openxmlformats.org/officeDocument/2006/relationships/hyperlink" Target="mailto:bumbogo_sector@yahoo.com" TargetMode="External"/><Relationship Id="rId775" Type="http://schemas.openxmlformats.org/officeDocument/2006/relationships/hyperlink" Target="mailto:alpaarsne.marara@chuk.rw" TargetMode="External"/><Relationship Id="rId982" Type="http://schemas.openxmlformats.org/officeDocument/2006/relationships/hyperlink" Target="mailto:o.hategeka@bdf.rw" TargetMode="External"/><Relationship Id="rId1198" Type="http://schemas.openxmlformats.org/officeDocument/2006/relationships/hyperlink" Target="mailto:headcec@minadef.gov.rw" TargetMode="External"/><Relationship Id="rId428" Type="http://schemas.openxmlformats.org/officeDocument/2006/relationships/hyperlink" Target="mailto:digitalization@minicom.gov.rw" TargetMode="External"/><Relationship Id="rId635" Type="http://schemas.openxmlformats.org/officeDocument/2006/relationships/hyperlink" Target="mailto:basangabo2020@yahoo.fr" TargetMode="External"/><Relationship Id="rId842" Type="http://schemas.openxmlformats.org/officeDocument/2006/relationships/hyperlink" Target="mailto:jack@africastalking.com" TargetMode="External"/><Relationship Id="rId1058" Type="http://schemas.openxmlformats.org/officeDocument/2006/relationships/hyperlink" Target="mailto:sibizima@yahoo.fr" TargetMode="External"/><Relationship Id="rId1265" Type="http://schemas.openxmlformats.org/officeDocument/2006/relationships/hyperlink" Target="mailto:fred.gashemeza@judiciary.gov.rw" TargetMode="External"/><Relationship Id="rId702" Type="http://schemas.openxmlformats.org/officeDocument/2006/relationships/hyperlink" Target="mailto:nyamata.hospital@moh.gov.rw" TargetMode="External"/><Relationship Id="rId1125" Type="http://schemas.openxmlformats.org/officeDocument/2006/relationships/hyperlink" Target="mailto:andrew@rwandawomenenetwork.org" TargetMode="External"/><Relationship Id="rId1332" Type="http://schemas.openxmlformats.org/officeDocument/2006/relationships/hyperlink" Target="mailto:tmugaragu@bk.rw" TargetMode="External"/><Relationship Id="rId69" Type="http://schemas.openxmlformats.org/officeDocument/2006/relationships/hyperlink" Target="mailto:anicet.kubwumuremyi@rra.gov.rw,claudine.byukusenge@rra.gov.rw" TargetMode="External"/><Relationship Id="rId285" Type="http://schemas.openxmlformats.org/officeDocument/2006/relationships/hyperlink" Target="mailto:dirinfosyscec@minadef.gov.rw" TargetMode="External"/><Relationship Id="rId492" Type="http://schemas.openxmlformats.org/officeDocument/2006/relationships/hyperlink" Target="mailto:ndubasector@yahoo.com" TargetMode="External"/><Relationship Id="rId797" Type="http://schemas.openxmlformats.org/officeDocument/2006/relationships/hyperlink" Target="mailto:ictofficer@gisagara.gov.rw" TargetMode="External"/><Relationship Id="rId145" Type="http://schemas.openxmlformats.org/officeDocument/2006/relationships/hyperlink" Target="mailto:crwagasore@migration.gov.rw,mrwamwaga@state.gov.rw,dkuwase@state.gov.rw" TargetMode="External"/><Relationship Id="rId352" Type="http://schemas.openxmlformats.org/officeDocument/2006/relationships/hyperlink" Target="mailto:theobard.bayingana@rfl.gov.rw" TargetMode="External"/><Relationship Id="rId1287" Type="http://schemas.openxmlformats.org/officeDocument/2006/relationships/hyperlink" Target="mailto:egide.mugwaneza@minijust.gov.rw" TargetMode="External"/><Relationship Id="rId212" Type="http://schemas.openxmlformats.org/officeDocument/2006/relationships/hyperlink" Target="mailto:remerasector@gasabo.gov.rw" TargetMode="External"/><Relationship Id="rId657" Type="http://schemas.openxmlformats.org/officeDocument/2006/relationships/hyperlink" Target="mailto:mntabana@unicef.org" TargetMode="External"/><Relationship Id="rId864" Type="http://schemas.openxmlformats.org/officeDocument/2006/relationships/hyperlink" Target="mailto:theogene.ntakirutimana@cndp.org.rw" TargetMode="External"/><Relationship Id="rId517" Type="http://schemas.openxmlformats.org/officeDocument/2006/relationships/hyperlink" Target="mailto:rubavudistrict@rubavu.gov.rw" TargetMode="External"/><Relationship Id="rId724" Type="http://schemas.openxmlformats.org/officeDocument/2006/relationships/hyperlink" Target="mailto:masaka.hospital@moh.gov.rw" TargetMode="External"/><Relationship Id="rId931" Type="http://schemas.openxmlformats.org/officeDocument/2006/relationships/hyperlink" Target="mailto:thierry.mugisha@umwalimusacco.rw" TargetMode="External"/><Relationship Id="rId1147" Type="http://schemas.openxmlformats.org/officeDocument/2006/relationships/hyperlink" Target="mailto:agashugi@primature.gov.rw" TargetMode="External"/><Relationship Id="rId1354" Type="http://schemas.openxmlformats.org/officeDocument/2006/relationships/hyperlink" Target="mailto:Samuel.Murenzi@rw.airtel.com" TargetMode="External"/><Relationship Id="rId60" Type="http://schemas.openxmlformats.org/officeDocument/2006/relationships/hyperlink" Target="mailto:anicet.kubwumuremyi@rra.gov.rw,claudine.byukusenge@rra.gov.rw" TargetMode="External"/><Relationship Id="rId1007" Type="http://schemas.openxmlformats.org/officeDocument/2006/relationships/hyperlink" Target="mailto:dirinfosyscec@minadef.gov.rw" TargetMode="External"/><Relationship Id="rId1214" Type="http://schemas.openxmlformats.org/officeDocument/2006/relationships/hyperlink" Target="mailto:headcec@minadef.gov.rw" TargetMode="External"/><Relationship Id="rId18" Type="http://schemas.openxmlformats.org/officeDocument/2006/relationships/hyperlink" Target="mailto:ramadhani.nshaka@liquid.tech" TargetMode="External"/><Relationship Id="rId167" Type="http://schemas.openxmlformats.org/officeDocument/2006/relationships/hyperlink" Target="mailto:crwagasore@migration.gov.rw,mrwamwaga@state.gov.rw,dkuwase@state.gov.rw" TargetMode="External"/><Relationship Id="rId374" Type="http://schemas.openxmlformats.org/officeDocument/2006/relationships/hyperlink" Target="mailto:james.kanamugire@raeb.gov.rw" TargetMode="External"/><Relationship Id="rId581" Type="http://schemas.openxmlformats.org/officeDocument/2006/relationships/hyperlink" Target="mailto:nzabandoraf@gmail.com" TargetMode="External"/><Relationship Id="rId234" Type="http://schemas.openxmlformats.org/officeDocument/2006/relationships/hyperlink" Target="mailto:info@rmlogistics.rw" TargetMode="External"/><Relationship Id="rId679" Type="http://schemas.openxmlformats.org/officeDocument/2006/relationships/hyperlink" Target="mailto:inyemerakolej10@gmail.com" TargetMode="External"/><Relationship Id="rId886" Type="http://schemas.openxmlformats.org/officeDocument/2006/relationships/hyperlink" Target="mailto:odette.kampire@rssb.rw" TargetMode="External"/><Relationship Id="rId2" Type="http://schemas.openxmlformats.org/officeDocument/2006/relationships/hyperlink" Target="mailto:dirinfosyscec@minadef.gov.rw" TargetMode="External"/><Relationship Id="rId441" Type="http://schemas.openxmlformats.org/officeDocument/2006/relationships/hyperlink" Target="mailto:antoine.twizere@rura.rw" TargetMode="External"/><Relationship Id="rId539" Type="http://schemas.openxmlformats.org/officeDocument/2006/relationships/hyperlink" Target="mailto:ritah.ingabire@vw.rw" TargetMode="External"/><Relationship Id="rId746" Type="http://schemas.openxmlformats.org/officeDocument/2006/relationships/hyperlink" Target="mailto:francismuhire1@gmail.com/kibogorahospital@gmail.com/kibogora.hospital@moh.gov.rw" TargetMode="External"/><Relationship Id="rId1071" Type="http://schemas.openxmlformats.org/officeDocument/2006/relationships/hyperlink" Target="mailto:igathangi@mku.ac.ke;dkariuki@mku.ac.ke" TargetMode="External"/><Relationship Id="rId1169" Type="http://schemas.openxmlformats.org/officeDocument/2006/relationships/hyperlink" Target="mailto:sosthene.nsabimana@nppa.gov.rw" TargetMode="External"/><Relationship Id="rId1376" Type="http://schemas.microsoft.com/office/2019/04/relationships/namedSheetView" Target="../namedSheetViews/namedSheetView1.xml"/><Relationship Id="rId301" Type="http://schemas.openxmlformats.org/officeDocument/2006/relationships/hyperlink" Target="mailto:dirinfosyscec@minadef.gov.rw" TargetMode="External"/><Relationship Id="rId953" Type="http://schemas.openxmlformats.org/officeDocument/2006/relationships/hyperlink" Target="mailto:karongidistrict@karongi.gov.rw" TargetMode="External"/><Relationship Id="rId1029" Type="http://schemas.openxmlformats.org/officeDocument/2006/relationships/hyperlink" Target="mailto:dirinfosyscec@minadef.gov.rw" TargetMode="External"/><Relationship Id="rId1236" Type="http://schemas.openxmlformats.org/officeDocument/2006/relationships/hyperlink" Target="mailto:fred.gashemeza@judiciary.gov.rw" TargetMode="External"/><Relationship Id="rId82" Type="http://schemas.openxmlformats.org/officeDocument/2006/relationships/hyperlink" Target="mailto:anicet.kubwumuremyi@rra.gov.rw,claudine.byukusenge@rra.gov.rw" TargetMode="External"/><Relationship Id="rId606" Type="http://schemas.openxmlformats.org/officeDocument/2006/relationships/hyperlink" Target="mailto:nzabandoraf@gmail.com" TargetMode="External"/><Relationship Id="rId813" Type="http://schemas.openxmlformats.org/officeDocument/2006/relationships/hyperlink" Target="mailto:ssenga@ensafrica.com" TargetMode="External"/><Relationship Id="rId1303" Type="http://schemas.openxmlformats.org/officeDocument/2006/relationships/hyperlink" Target="mailto:ramadhani.nshaka@liquid.tech" TargetMode="External"/><Relationship Id="rId189" Type="http://schemas.openxmlformats.org/officeDocument/2006/relationships/hyperlink" Target="mailto:crwagasore@migration.gov.rw,mrwamwaga@state.gov.rw,dkuwase@state.gov.rw" TargetMode="External"/><Relationship Id="rId396" Type="http://schemas.openxmlformats.org/officeDocument/2006/relationships/hyperlink" Target="mailto:Jeandedieu.mazimpaka@mininvest.gov.rw" TargetMode="External"/><Relationship Id="rId256" Type="http://schemas.openxmlformats.org/officeDocument/2006/relationships/hyperlink" Target="mailto:sbuhigiro@reb.rw" TargetMode="External"/><Relationship Id="rId463" Type="http://schemas.openxmlformats.org/officeDocument/2006/relationships/hyperlink" Target="mailto:justin.munyemana@rfa.rw" TargetMode="External"/><Relationship Id="rId670" Type="http://schemas.openxmlformats.org/officeDocument/2006/relationships/hyperlink" Target="mailto:mntabana@unicef.org" TargetMode="External"/><Relationship Id="rId1093" Type="http://schemas.openxmlformats.org/officeDocument/2006/relationships/hyperlink" Target="mailto:euwiringiyimana@rp.ac.rw" TargetMode="External"/><Relationship Id="rId116" Type="http://schemas.openxmlformats.org/officeDocument/2006/relationships/hyperlink" Target="mailto:crwagasore@migration.gov.rw,mrwamwaga@state.gov.rw,dkuwase@state.gov.rw" TargetMode="External"/><Relationship Id="rId323" Type="http://schemas.openxmlformats.org/officeDocument/2006/relationships/hyperlink" Target="mailto:mntabana@unicef.org" TargetMode="External"/><Relationship Id="rId530" Type="http://schemas.openxmlformats.org/officeDocument/2006/relationships/hyperlink" Target="mailto:jeanclaude_niyonsaba13@yahoo.com" TargetMode="External"/><Relationship Id="rId768" Type="http://schemas.openxmlformats.org/officeDocument/2006/relationships/hyperlink" Target="mailto:gisenyi.hospital@moh.gov.rw" TargetMode="External"/><Relationship Id="rId975" Type="http://schemas.openxmlformats.org/officeDocument/2006/relationships/hyperlink" Target="mailto:o.hategeka@bdf.rw" TargetMode="External"/><Relationship Id="rId1160" Type="http://schemas.openxmlformats.org/officeDocument/2006/relationships/hyperlink" Target="mailto:sosthene.nsabimana@nppa.gov.rw" TargetMode="External"/><Relationship Id="rId628" Type="http://schemas.openxmlformats.org/officeDocument/2006/relationships/hyperlink" Target="mailto:ict@moh.gov.rw,info@moh.gov.rw" TargetMode="External"/><Relationship Id="rId835" Type="http://schemas.openxmlformats.org/officeDocument/2006/relationships/hyperlink" Target="mailto:jniyitanga@ikigega.rw%3E" TargetMode="External"/><Relationship Id="rId1258" Type="http://schemas.openxmlformats.org/officeDocument/2006/relationships/hyperlink" Target="mailto:fred.gashemeza@judiciary.gov.rw" TargetMode="External"/><Relationship Id="rId1020" Type="http://schemas.openxmlformats.org/officeDocument/2006/relationships/hyperlink" Target="mailto:dirinfosyscec@minadef.gov.rw" TargetMode="External"/><Relationship Id="rId1118" Type="http://schemas.openxmlformats.org/officeDocument/2006/relationships/hyperlink" Target="mailto:irene@simbanet.co.ke" TargetMode="External"/><Relationship Id="rId1325" Type="http://schemas.openxmlformats.org/officeDocument/2006/relationships/hyperlink" Target="mailto:kstraton1964@gmail.com" TargetMode="External"/><Relationship Id="rId902" Type="http://schemas.openxmlformats.org/officeDocument/2006/relationships/hyperlink" Target="mailto:odette.kampire@rssb.rw" TargetMode="External"/><Relationship Id="rId31" Type="http://schemas.openxmlformats.org/officeDocument/2006/relationships/hyperlink" Target="mailto:imprimu@gmail.com" TargetMode="External"/><Relationship Id="rId180" Type="http://schemas.openxmlformats.org/officeDocument/2006/relationships/hyperlink" Target="mailto:crwagasore@migration.gov.rw,mrwamwaga@state.gov.rw,dkuwase@state.gov.rw" TargetMode="External"/><Relationship Id="rId278" Type="http://schemas.openxmlformats.org/officeDocument/2006/relationships/hyperlink" Target="mailto:dirinfosyscec@minadef.gov.rw" TargetMode="External"/><Relationship Id="rId485" Type="http://schemas.openxmlformats.org/officeDocument/2006/relationships/hyperlink" Target="mailto:deo.kimonyo@risa.gov.rw" TargetMode="External"/><Relationship Id="rId692" Type="http://schemas.openxmlformats.org/officeDocument/2006/relationships/hyperlink" Target="mailto:ruhengeri.hospital@moh.gov.rw" TargetMode="External"/><Relationship Id="rId138" Type="http://schemas.openxmlformats.org/officeDocument/2006/relationships/hyperlink" Target="mailto:crwagasore@migration.gov.rw,mrwamwaga@state.gov.rw,dkuwase@state.gov.rw" TargetMode="External"/><Relationship Id="rId345" Type="http://schemas.openxmlformats.org/officeDocument/2006/relationships/hyperlink" Target="mailto:it@minisports.gov.rw" TargetMode="External"/><Relationship Id="rId552" Type="http://schemas.openxmlformats.org/officeDocument/2006/relationships/hyperlink" Target="mailto:ict@kamonyi.gov.rw" TargetMode="External"/><Relationship Id="rId997" Type="http://schemas.openxmlformats.org/officeDocument/2006/relationships/hyperlink" Target="mailto:ngendapr@yahoo.fr" TargetMode="External"/><Relationship Id="rId1182" Type="http://schemas.openxmlformats.org/officeDocument/2006/relationships/hyperlink" Target="mailto:sosthene.nsabimana@nppa.gov.rw" TargetMode="External"/><Relationship Id="rId205" Type="http://schemas.openxmlformats.org/officeDocument/2006/relationships/hyperlink" Target="mailto:odette.kampire@rssb.rw" TargetMode="External"/><Relationship Id="rId412" Type="http://schemas.openxmlformats.org/officeDocument/2006/relationships/hyperlink" Target="mailto:it.support@rmb.gov.rw,jbonfils.tuyishimire@rmb.gov.rw" TargetMode="External"/><Relationship Id="rId857" Type="http://schemas.openxmlformats.org/officeDocument/2006/relationships/hyperlink" Target="mailto:theobard.bayingana@rfl.gov.rw" TargetMode="External"/><Relationship Id="rId1042" Type="http://schemas.openxmlformats.org/officeDocument/2006/relationships/hyperlink" Target="mailto:christine.uzamukunda@rmi.rw" TargetMode="External"/><Relationship Id="rId717" Type="http://schemas.openxmlformats.org/officeDocument/2006/relationships/hyperlink" Target="mailto:muhororohospital@gmail.com" TargetMode="External"/><Relationship Id="rId924" Type="http://schemas.openxmlformats.org/officeDocument/2006/relationships/hyperlink" Target="mailto:odette.kampire@rssb.rw" TargetMode="External"/><Relationship Id="rId1347" Type="http://schemas.openxmlformats.org/officeDocument/2006/relationships/hyperlink" Target="mailto:sage.umutoniwabo@trac.africa" TargetMode="External"/><Relationship Id="rId53" Type="http://schemas.openxmlformats.org/officeDocument/2006/relationships/hyperlink" Target="mailto:anicet.kubwumuremyi@rra.gov.rw,claudine.byukusenge@rra.gov.rw" TargetMode="External"/><Relationship Id="rId1207" Type="http://schemas.openxmlformats.org/officeDocument/2006/relationships/hyperlink" Target="mailto:headcec@minadef.gov.rw" TargetMode="External"/><Relationship Id="rId367" Type="http://schemas.openxmlformats.org/officeDocument/2006/relationships/hyperlink" Target="mailto:patrick.manzi@gva.africa" TargetMode="External"/><Relationship Id="rId574" Type="http://schemas.openxmlformats.org/officeDocument/2006/relationships/hyperlink" Target="mailto:info@rwandafda.gov.rw" TargetMode="External"/><Relationship Id="rId227" Type="http://schemas.openxmlformats.org/officeDocument/2006/relationships/hyperlink" Target="mailto:deo.kimonyo@risa.gov.rw" TargetMode="External"/><Relationship Id="rId781" Type="http://schemas.openxmlformats.org/officeDocument/2006/relationships/hyperlink" Target="mailto:chrisneza@gmail.com" TargetMode="External"/><Relationship Id="rId879" Type="http://schemas.openxmlformats.org/officeDocument/2006/relationships/hyperlink" Target="mailto:odette.kampire@rssb.rw" TargetMode="External"/><Relationship Id="rId434" Type="http://schemas.openxmlformats.org/officeDocument/2006/relationships/hyperlink" Target="mailto:jackline.uwimbabazi@rwb.rw" TargetMode="External"/><Relationship Id="rId641" Type="http://schemas.openxmlformats.org/officeDocument/2006/relationships/hyperlink" Target="mailto:mntabana@unicef.org" TargetMode="External"/><Relationship Id="rId739" Type="http://schemas.openxmlformats.org/officeDocument/2006/relationships/hyperlink" Target="mailto:tuyishimefortunatus@gmail.com" TargetMode="External"/><Relationship Id="rId1064" Type="http://schemas.openxmlformats.org/officeDocument/2006/relationships/hyperlink" Target="mailto:info@iprckarongi.rp.ac.rw/ictdepartment@iprckarongi.rp.ac.rw" TargetMode="External"/><Relationship Id="rId1271" Type="http://schemas.openxmlformats.org/officeDocument/2006/relationships/hyperlink" Target="mailto:fred.gashemeza@judiciary.gov.rw" TargetMode="External"/><Relationship Id="rId1369" Type="http://schemas.openxmlformats.org/officeDocument/2006/relationships/hyperlink" Target="mailto:havumiragira@yahoo.fr/ehavumiragira@iprctumba.rp.ac.rw" TargetMode="External"/><Relationship Id="rId501" Type="http://schemas.openxmlformats.org/officeDocument/2006/relationships/hyperlink" Target="mailto:nderasector@gasabo.gov.rw" TargetMode="External"/><Relationship Id="rId946" Type="http://schemas.openxmlformats.org/officeDocument/2006/relationships/hyperlink" Target="mailto:brice.rukirande@rfl.rw" TargetMode="External"/><Relationship Id="rId1131" Type="http://schemas.openxmlformats.org/officeDocument/2006/relationships/hyperlink" Target="mailto:nipacifique@rgb.rw" TargetMode="External"/><Relationship Id="rId1229" Type="http://schemas.openxmlformats.org/officeDocument/2006/relationships/hyperlink" Target="mailto:fred.gashemeza@judiciary.gov.rw" TargetMode="External"/><Relationship Id="rId75" Type="http://schemas.openxmlformats.org/officeDocument/2006/relationships/hyperlink" Target="mailto:anicet.kubwumuremyi@rra.gov.rw,claudine.byukusenge@rra.gov.rw" TargetMode="External"/><Relationship Id="rId806" Type="http://schemas.openxmlformats.org/officeDocument/2006/relationships/hyperlink" Target="mailto:renekabagamba@gmail.com" TargetMode="External"/><Relationship Id="rId291" Type="http://schemas.openxmlformats.org/officeDocument/2006/relationships/hyperlink" Target="mailto:dirinfosyscec@minadef.gov.rw" TargetMode="External"/><Relationship Id="rId151" Type="http://schemas.openxmlformats.org/officeDocument/2006/relationships/hyperlink" Target="mailto:crwagasore@migration.gov.rw,mrwamwaga@state.gov.rw,dkuwase@state.gov.rw" TargetMode="External"/><Relationship Id="rId389" Type="http://schemas.openxmlformats.org/officeDocument/2006/relationships/hyperlink" Target="mailto:ombudsinfo@ombudsman.gov.rw" TargetMode="External"/><Relationship Id="rId596" Type="http://schemas.openxmlformats.org/officeDocument/2006/relationships/hyperlink" Target="mailto:nzabandoraf@gmail.com" TargetMode="External"/><Relationship Id="rId249" Type="http://schemas.openxmlformats.org/officeDocument/2006/relationships/hyperlink" Target="mailto:kozigundusacco@gmail.com" TargetMode="External"/><Relationship Id="rId456" Type="http://schemas.openxmlformats.org/officeDocument/2006/relationships/hyperlink" Target="mailto:akundimana@minict.gov.rw" TargetMode="External"/><Relationship Id="rId663" Type="http://schemas.openxmlformats.org/officeDocument/2006/relationships/hyperlink" Target="mailto:mntabana@unicef.org" TargetMode="External"/><Relationship Id="rId870" Type="http://schemas.openxmlformats.org/officeDocument/2006/relationships/hyperlink" Target="mailto:augustin.ndayambaje@rab.gov.rw" TargetMode="External"/><Relationship Id="rId1086" Type="http://schemas.openxmlformats.org/officeDocument/2006/relationships/hyperlink" Target="mailto:esc.byimana@yahoo.com;crekafms@gmail.com" TargetMode="External"/><Relationship Id="rId1293" Type="http://schemas.openxmlformats.org/officeDocument/2006/relationships/hyperlink" Target="mailto:florent.kwizera@minecofin.gov.rw" TargetMode="External"/><Relationship Id="rId109" Type="http://schemas.openxmlformats.org/officeDocument/2006/relationships/hyperlink" Target="mailto:crwagasore@migration.gov.rw,mrwamwaga@state.gov.rw,dkuwase@state.gov.rw" TargetMode="External"/><Relationship Id="rId316" Type="http://schemas.openxmlformats.org/officeDocument/2006/relationships/hyperlink" Target="mailto:mntabana@unicef.org" TargetMode="External"/><Relationship Id="rId523" Type="http://schemas.openxmlformats.org/officeDocument/2006/relationships/hyperlink" Target="mailto:uwachan12@gmail.com" TargetMode="External"/><Relationship Id="rId968" Type="http://schemas.openxmlformats.org/officeDocument/2006/relationships/hyperlink" Target="mailto:jeandamour.habiyambere@loda.gov.rw" TargetMode="External"/><Relationship Id="rId1153" Type="http://schemas.openxmlformats.org/officeDocument/2006/relationships/hyperlink" Target="mailto:jbosco.dusabimana@nrs.gov.rw" TargetMode="External"/><Relationship Id="rId97" Type="http://schemas.openxmlformats.org/officeDocument/2006/relationships/hyperlink" Target="mailto:anicet.kubwumuremyi@rra.gov.rw,claudine.byukusenge@rra.gov.rw" TargetMode="External"/><Relationship Id="rId730" Type="http://schemas.openxmlformats.org/officeDocument/2006/relationships/hyperlink" Target="mailto:kinihira.hospital@moh.gov.rw" TargetMode="External"/><Relationship Id="rId828" Type="http://schemas.openxmlformats.org/officeDocument/2006/relationships/hyperlink" Target="mailto:uwizewe@i-posita.rw" TargetMode="External"/><Relationship Id="rId1013" Type="http://schemas.openxmlformats.org/officeDocument/2006/relationships/hyperlink" Target="mailto:dirinfosyscec@minadef.gov.rw" TargetMode="External"/><Relationship Id="rId1360" Type="http://schemas.openxmlformats.org/officeDocument/2006/relationships/hyperlink" Target="mailto:jruzigana@isco.co.rw" TargetMode="External"/><Relationship Id="rId1220" Type="http://schemas.openxmlformats.org/officeDocument/2006/relationships/hyperlink" Target="mailto:raymond.ntirenganya@minubumwe.gov.rw" TargetMode="External"/><Relationship Id="rId1318" Type="http://schemas.openxmlformats.org/officeDocument/2006/relationships/hyperlink" Target="mailto:ngango@ilpd.ac.rw" TargetMode="External"/><Relationship Id="rId24" Type="http://schemas.openxmlformats.org/officeDocument/2006/relationships/hyperlink" Target="mailto:auwisibo@presidency.gov.rw" TargetMode="External"/><Relationship Id="rId173" Type="http://schemas.openxmlformats.org/officeDocument/2006/relationships/hyperlink" Target="mailto:crwagasore@migration.gov.rw,mrwamwaga@state.gov.rw,dkuwase@state.gov.rw" TargetMode="External"/><Relationship Id="rId380" Type="http://schemas.openxmlformats.org/officeDocument/2006/relationships/hyperlink" Target="mailto:crwagasore@migration.gov.rw" TargetMode="External"/><Relationship Id="rId240" Type="http://schemas.openxmlformats.org/officeDocument/2006/relationships/hyperlink" Target="mailto:saccogikondo@gmail.com" TargetMode="External"/><Relationship Id="rId478" Type="http://schemas.openxmlformats.org/officeDocument/2006/relationships/hyperlink" Target="mailto:protaisn@africanparks.org" TargetMode="External"/><Relationship Id="rId685" Type="http://schemas.openxmlformats.org/officeDocument/2006/relationships/hyperlink" Target="mailto:d.gatete@rmh.rw" TargetMode="External"/><Relationship Id="rId892" Type="http://schemas.openxmlformats.org/officeDocument/2006/relationships/hyperlink" Target="mailto:odette.kampire@rssb.rw" TargetMode="External"/><Relationship Id="rId100" Type="http://schemas.openxmlformats.org/officeDocument/2006/relationships/hyperlink" Target="mailto:crwagasore@migration.gov.rw,mrwamwaga@state.gov.rw,dkuwase@state.gov.rw" TargetMode="External"/><Relationship Id="rId338" Type="http://schemas.openxmlformats.org/officeDocument/2006/relationships/hyperlink" Target="mailto:psonga@rema.gov.rw" TargetMode="External"/><Relationship Id="rId545" Type="http://schemas.openxmlformats.org/officeDocument/2006/relationships/hyperlink" Target="mailto:robertbita4@gmail.com" TargetMode="External"/><Relationship Id="rId752" Type="http://schemas.openxmlformats.org/officeDocument/2006/relationships/hyperlink" Target="mailto:nsenga1@gmail.com/kibagaba.hospital@moh.gov.rw" TargetMode="External"/><Relationship Id="rId1175" Type="http://schemas.openxmlformats.org/officeDocument/2006/relationships/hyperlink" Target="mailto:sosthene.nsabimana@nppa.gov.rw" TargetMode="Externa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13BEC-6B65-4710-B80E-4AAAB845F95B}">
  <dimension ref="A3:B11"/>
  <sheetViews>
    <sheetView showGridLines="0" workbookViewId="0">
      <selection activeCell="B7" sqref="B7"/>
    </sheetView>
  </sheetViews>
  <sheetFormatPr defaultColWidth="8.88671875" defaultRowHeight="13.8" x14ac:dyDescent="0.25"/>
  <cols>
    <col min="1" max="1" width="15.109375" style="100" bestFit="1" customWidth="1"/>
    <col min="2" max="2" width="12.77734375" style="100" bestFit="1" customWidth="1"/>
    <col min="3" max="16384" width="8.88671875" style="100"/>
  </cols>
  <sheetData>
    <row r="3" spans="1:2" x14ac:dyDescent="0.25">
      <c r="A3" s="99" t="s">
        <v>0</v>
      </c>
      <c r="B3" s="100" t="s">
        <v>1</v>
      </c>
    </row>
    <row r="4" spans="1:2" x14ac:dyDescent="0.25">
      <c r="A4" s="101" t="s">
        <v>2</v>
      </c>
      <c r="B4" s="102">
        <v>6344</v>
      </c>
    </row>
    <row r="5" spans="1:2" x14ac:dyDescent="0.25">
      <c r="A5" s="101" t="s">
        <v>3</v>
      </c>
      <c r="B5" s="102"/>
    </row>
    <row r="6" spans="1:2" x14ac:dyDescent="0.25">
      <c r="A6" s="101" t="s">
        <v>4</v>
      </c>
      <c r="B6" s="102"/>
    </row>
    <row r="7" spans="1:2" x14ac:dyDescent="0.25">
      <c r="A7" s="101" t="s">
        <v>5</v>
      </c>
      <c r="B7" s="102">
        <v>10297</v>
      </c>
    </row>
    <row r="8" spans="1:2" x14ac:dyDescent="0.25">
      <c r="A8" s="101" t="s">
        <v>6</v>
      </c>
      <c r="B8" s="102">
        <v>30</v>
      </c>
    </row>
    <row r="9" spans="1:2" x14ac:dyDescent="0.25">
      <c r="A9" s="101" t="s">
        <v>7</v>
      </c>
      <c r="B9" s="102">
        <v>14</v>
      </c>
    </row>
    <row r="10" spans="1:2" x14ac:dyDescent="0.25">
      <c r="A10" s="101" t="s">
        <v>8</v>
      </c>
      <c r="B10" s="102">
        <v>16685</v>
      </c>
    </row>
    <row r="11" spans="1:2" ht="14.4" x14ac:dyDescent="0.3">
      <c r="A11"/>
      <c r="B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1A2F-5EF9-413B-B527-7E17C0A4F5E3}">
  <dimension ref="A3:B11"/>
  <sheetViews>
    <sheetView showGridLines="0" workbookViewId="0">
      <selection activeCell="B4" sqref="B4"/>
    </sheetView>
  </sheetViews>
  <sheetFormatPr defaultColWidth="8.88671875" defaultRowHeight="13.8" x14ac:dyDescent="0.25"/>
  <cols>
    <col min="1" max="1" width="12.5546875" style="100" bestFit="1" customWidth="1"/>
    <col min="2" max="2" width="10.6640625" style="100" bestFit="1" customWidth="1"/>
    <col min="3" max="3" width="9.109375" style="100" bestFit="1" customWidth="1"/>
    <col min="4" max="16384" width="8.88671875" style="100"/>
  </cols>
  <sheetData>
    <row r="3" spans="1:2" ht="14.4" x14ac:dyDescent="0.3">
      <c r="A3" s="109" t="s">
        <v>0</v>
      </c>
      <c r="B3"/>
    </row>
    <row r="4" spans="1:2" ht="14.4" x14ac:dyDescent="0.3">
      <c r="A4" s="110" t="s">
        <v>9</v>
      </c>
      <c r="B4"/>
    </row>
    <row r="5" spans="1:2" ht="14.4" x14ac:dyDescent="0.3">
      <c r="A5" s="110" t="s">
        <v>10</v>
      </c>
      <c r="B5"/>
    </row>
    <row r="6" spans="1:2" ht="14.4" x14ac:dyDescent="0.3">
      <c r="A6" s="110" t="s">
        <v>8</v>
      </c>
      <c r="B6"/>
    </row>
    <row r="7" spans="1:2" ht="14.4" x14ac:dyDescent="0.3">
      <c r="A7"/>
      <c r="B7"/>
    </row>
    <row r="8" spans="1:2" x14ac:dyDescent="0.25">
      <c r="A8" s="101"/>
      <c r="B8" s="102"/>
    </row>
    <row r="9" spans="1:2" x14ac:dyDescent="0.25">
      <c r="A9" s="101"/>
      <c r="B9" s="102"/>
    </row>
    <row r="10" spans="1:2" x14ac:dyDescent="0.25">
      <c r="A10" s="101"/>
      <c r="B10" s="102"/>
    </row>
    <row r="11" spans="1:2" x14ac:dyDescent="0.25">
      <c r="A11" s="101"/>
      <c r="B11" s="10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7E54B-85C7-4742-ABE9-CE92DA5246B2}">
  <dimension ref="A3:E17"/>
  <sheetViews>
    <sheetView showGridLines="0" workbookViewId="0">
      <selection activeCell="B9" sqref="B9"/>
    </sheetView>
  </sheetViews>
  <sheetFormatPr defaultColWidth="8.88671875" defaultRowHeight="13.8" x14ac:dyDescent="0.25"/>
  <cols>
    <col min="1" max="1" width="12.6640625" style="100" bestFit="1" customWidth="1"/>
    <col min="2" max="2" width="15.5546875" style="100" bestFit="1" customWidth="1"/>
    <col min="3" max="3" width="9.44140625" style="100" bestFit="1" customWidth="1"/>
    <col min="4" max="4" width="10.77734375" style="100" bestFit="1" customWidth="1"/>
    <col min="5" max="5" width="11.33203125" style="100" bestFit="1" customWidth="1"/>
    <col min="6" max="16384" width="8.88671875" style="100"/>
  </cols>
  <sheetData>
    <row r="3" spans="1:5" ht="14.4" x14ac:dyDescent="0.3">
      <c r="A3" s="109" t="s">
        <v>1</v>
      </c>
      <c r="B3" s="109" t="s">
        <v>11</v>
      </c>
      <c r="C3"/>
      <c r="D3"/>
      <c r="E3"/>
    </row>
    <row r="4" spans="1:5" ht="14.4" x14ac:dyDescent="0.3">
      <c r="A4" s="109" t="s">
        <v>0</v>
      </c>
      <c r="B4" t="s">
        <v>9</v>
      </c>
      <c r="C4" t="s">
        <v>10</v>
      </c>
      <c r="D4" t="s">
        <v>8</v>
      </c>
      <c r="E4"/>
    </row>
    <row r="5" spans="1:5" ht="14.4" x14ac:dyDescent="0.3">
      <c r="A5" s="110" t="s">
        <v>12</v>
      </c>
      <c r="B5" s="112">
        <v>1101</v>
      </c>
      <c r="C5" s="112">
        <v>818</v>
      </c>
      <c r="D5" s="112">
        <v>1919</v>
      </c>
      <c r="E5"/>
    </row>
    <row r="6" spans="1:5" ht="14.4" x14ac:dyDescent="0.3">
      <c r="A6" s="110" t="s">
        <v>13</v>
      </c>
      <c r="B6" s="112">
        <v>3009</v>
      </c>
      <c r="C6" s="112">
        <v>293</v>
      </c>
      <c r="D6" s="112">
        <v>3302</v>
      </c>
      <c r="E6"/>
    </row>
    <row r="7" spans="1:5" ht="14.4" x14ac:dyDescent="0.3">
      <c r="A7" s="110" t="s">
        <v>14</v>
      </c>
      <c r="B7" s="112"/>
      <c r="C7" s="112"/>
      <c r="D7" s="112"/>
      <c r="E7"/>
    </row>
    <row r="8" spans="1:5" ht="14.4" x14ac:dyDescent="0.3">
      <c r="A8" s="110" t="s">
        <v>15</v>
      </c>
      <c r="B8" s="112"/>
      <c r="C8" s="112"/>
      <c r="D8" s="112"/>
      <c r="E8"/>
    </row>
    <row r="9" spans="1:5" ht="14.4" x14ac:dyDescent="0.3">
      <c r="A9" s="110" t="s">
        <v>16</v>
      </c>
      <c r="B9" s="112">
        <v>296</v>
      </c>
      <c r="C9" s="112"/>
      <c r="D9" s="112">
        <v>296</v>
      </c>
      <c r="E9"/>
    </row>
    <row r="10" spans="1:5" ht="14.4" x14ac:dyDescent="0.3">
      <c r="A10" s="110" t="s">
        <v>17</v>
      </c>
      <c r="B10" s="112">
        <v>1455</v>
      </c>
      <c r="C10" s="112">
        <v>315</v>
      </c>
      <c r="D10" s="112">
        <v>1770</v>
      </c>
      <c r="E10"/>
    </row>
    <row r="11" spans="1:5" ht="14.4" x14ac:dyDescent="0.3">
      <c r="A11" s="110" t="s">
        <v>18</v>
      </c>
      <c r="B11" s="112">
        <v>604</v>
      </c>
      <c r="C11" s="112">
        <v>1492</v>
      </c>
      <c r="D11" s="112">
        <v>2096</v>
      </c>
      <c r="E11"/>
    </row>
    <row r="12" spans="1:5" ht="14.4" x14ac:dyDescent="0.3">
      <c r="A12" s="110" t="s">
        <v>19</v>
      </c>
      <c r="B12" s="112">
        <v>1342</v>
      </c>
      <c r="C12" s="112">
        <v>4</v>
      </c>
      <c r="D12" s="112">
        <v>1346</v>
      </c>
      <c r="E12"/>
    </row>
    <row r="13" spans="1:5" ht="14.4" x14ac:dyDescent="0.3">
      <c r="A13" s="110" t="s">
        <v>20</v>
      </c>
      <c r="B13" s="112">
        <v>1137</v>
      </c>
      <c r="C13" s="112">
        <v>241</v>
      </c>
      <c r="D13" s="112">
        <v>1378</v>
      </c>
      <c r="E13"/>
    </row>
    <row r="14" spans="1:5" ht="14.4" x14ac:dyDescent="0.3">
      <c r="A14" s="110" t="s">
        <v>21</v>
      </c>
      <c r="B14" s="112">
        <v>1465</v>
      </c>
      <c r="C14" s="112">
        <v>3113</v>
      </c>
      <c r="D14" s="112">
        <v>4578</v>
      </c>
      <c r="E14"/>
    </row>
    <row r="15" spans="1:5" ht="14.4" x14ac:dyDescent="0.3">
      <c r="A15" s="110" t="s">
        <v>3798</v>
      </c>
      <c r="B15" s="112"/>
      <c r="C15" s="112"/>
      <c r="D15" s="112"/>
      <c r="E15"/>
    </row>
    <row r="16" spans="1:5" ht="14.4" x14ac:dyDescent="0.3">
      <c r="A16" s="110" t="s">
        <v>8</v>
      </c>
      <c r="B16" s="112">
        <v>10409</v>
      </c>
      <c r="C16" s="112">
        <v>6276</v>
      </c>
      <c r="D16" s="112">
        <v>16685</v>
      </c>
    </row>
    <row r="17" spans="1:4" ht="14.4" x14ac:dyDescent="0.3">
      <c r="A17"/>
      <c r="B17"/>
      <c r="C17"/>
      <c r="D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EDC99-795D-40B9-B1E4-A59E7647132D}">
  <dimension ref="B2:C94"/>
  <sheetViews>
    <sheetView showGridLines="0" workbookViewId="0">
      <selection activeCell="E22" sqref="E22"/>
    </sheetView>
  </sheetViews>
  <sheetFormatPr defaultRowHeight="14.4" x14ac:dyDescent="0.3"/>
  <cols>
    <col min="1" max="1" width="4.33203125" customWidth="1"/>
    <col min="2" max="2" width="51.5546875" bestFit="1" customWidth="1"/>
    <col min="3" max="3" width="13" bestFit="1" customWidth="1"/>
  </cols>
  <sheetData>
    <row r="2" spans="2:3" ht="18.75" customHeight="1" x14ac:dyDescent="0.3">
      <c r="B2" s="230" t="s">
        <v>22</v>
      </c>
      <c r="C2" s="230"/>
    </row>
    <row r="4" spans="2:3" x14ac:dyDescent="0.3">
      <c r="B4" t="s">
        <v>23</v>
      </c>
      <c r="C4" s="114" t="s">
        <v>1</v>
      </c>
    </row>
    <row r="5" spans="2:3" hidden="1" x14ac:dyDescent="0.3">
      <c r="B5" t="s">
        <v>24</v>
      </c>
      <c r="C5">
        <v>273</v>
      </c>
    </row>
    <row r="6" spans="2:3" hidden="1" x14ac:dyDescent="0.3">
      <c r="B6" t="s">
        <v>25</v>
      </c>
      <c r="C6">
        <v>150</v>
      </c>
    </row>
    <row r="7" spans="2:3" hidden="1" x14ac:dyDescent="0.3">
      <c r="B7" t="s">
        <v>26</v>
      </c>
      <c r="C7" s="114">
        <v>1000</v>
      </c>
    </row>
    <row r="8" spans="2:3" x14ac:dyDescent="0.3">
      <c r="B8" t="s">
        <v>27</v>
      </c>
      <c r="C8" s="114">
        <v>150</v>
      </c>
    </row>
    <row r="9" spans="2:3" x14ac:dyDescent="0.3">
      <c r="B9" t="s">
        <v>28</v>
      </c>
      <c r="C9" s="114">
        <v>105</v>
      </c>
    </row>
    <row r="10" spans="2:3" x14ac:dyDescent="0.3">
      <c r="B10" t="s">
        <v>29</v>
      </c>
      <c r="C10" s="114">
        <v>100</v>
      </c>
    </row>
    <row r="11" spans="2:3" hidden="1" x14ac:dyDescent="0.3">
      <c r="B11" t="s">
        <v>30</v>
      </c>
      <c r="C11">
        <v>70</v>
      </c>
    </row>
    <row r="12" spans="2:3" x14ac:dyDescent="0.3">
      <c r="B12" t="s">
        <v>31</v>
      </c>
      <c r="C12" s="114">
        <v>64</v>
      </c>
    </row>
    <row r="13" spans="2:3" hidden="1" x14ac:dyDescent="0.3">
      <c r="B13" t="s">
        <v>32</v>
      </c>
      <c r="C13">
        <v>60</v>
      </c>
    </row>
    <row r="14" spans="2:3" x14ac:dyDescent="0.3">
      <c r="B14" t="s">
        <v>33</v>
      </c>
      <c r="C14" s="114">
        <v>50</v>
      </c>
    </row>
    <row r="15" spans="2:3" x14ac:dyDescent="0.3">
      <c r="B15" t="s">
        <v>34</v>
      </c>
      <c r="C15" s="114">
        <v>50</v>
      </c>
    </row>
    <row r="16" spans="2:3" x14ac:dyDescent="0.3">
      <c r="B16" t="s">
        <v>35</v>
      </c>
      <c r="C16" s="114">
        <v>50</v>
      </c>
    </row>
    <row r="17" spans="2:3" x14ac:dyDescent="0.3">
      <c r="B17" t="s">
        <v>36</v>
      </c>
      <c r="C17" s="114">
        <v>50</v>
      </c>
    </row>
    <row r="18" spans="2:3" hidden="1" x14ac:dyDescent="0.3">
      <c r="B18" t="s">
        <v>37</v>
      </c>
      <c r="C18">
        <v>40</v>
      </c>
    </row>
    <row r="19" spans="2:3" x14ac:dyDescent="0.3">
      <c r="B19" t="s">
        <v>38</v>
      </c>
      <c r="C19" s="114">
        <v>35</v>
      </c>
    </row>
    <row r="20" spans="2:3" x14ac:dyDescent="0.3">
      <c r="B20" t="s">
        <v>39</v>
      </c>
      <c r="C20" s="114">
        <v>35</v>
      </c>
    </row>
    <row r="21" spans="2:3" hidden="1" x14ac:dyDescent="0.3">
      <c r="B21" t="s">
        <v>40</v>
      </c>
      <c r="C21">
        <v>30</v>
      </c>
    </row>
    <row r="22" spans="2:3" x14ac:dyDescent="0.3">
      <c r="B22" t="s">
        <v>41</v>
      </c>
      <c r="C22" s="114">
        <v>25</v>
      </c>
    </row>
    <row r="23" spans="2:3" x14ac:dyDescent="0.3">
      <c r="B23" t="s">
        <v>42</v>
      </c>
      <c r="C23" s="114">
        <v>25</v>
      </c>
    </row>
    <row r="24" spans="2:3" x14ac:dyDescent="0.3">
      <c r="B24" t="s">
        <v>43</v>
      </c>
      <c r="C24" s="114">
        <v>25</v>
      </c>
    </row>
    <row r="25" spans="2:3" hidden="1" x14ac:dyDescent="0.3">
      <c r="B25" t="s">
        <v>44</v>
      </c>
      <c r="C25">
        <v>25</v>
      </c>
    </row>
    <row r="26" spans="2:3" hidden="1" x14ac:dyDescent="0.3">
      <c r="B26" t="s">
        <v>45</v>
      </c>
      <c r="C26">
        <v>25</v>
      </c>
    </row>
    <row r="27" spans="2:3" hidden="1" x14ac:dyDescent="0.3">
      <c r="B27" t="s">
        <v>46</v>
      </c>
      <c r="C27">
        <v>20</v>
      </c>
    </row>
    <row r="28" spans="2:3" x14ac:dyDescent="0.3">
      <c r="B28" t="s">
        <v>47</v>
      </c>
      <c r="C28" s="114">
        <v>20</v>
      </c>
    </row>
    <row r="29" spans="2:3" x14ac:dyDescent="0.3">
      <c r="B29" t="s">
        <v>48</v>
      </c>
      <c r="C29" s="114">
        <v>20</v>
      </c>
    </row>
    <row r="30" spans="2:3" hidden="1" x14ac:dyDescent="0.3">
      <c r="B30" t="s">
        <v>49</v>
      </c>
      <c r="C30">
        <v>20</v>
      </c>
    </row>
    <row r="31" spans="2:3" hidden="1" x14ac:dyDescent="0.3">
      <c r="B31" t="s">
        <v>50</v>
      </c>
      <c r="C31">
        <v>20</v>
      </c>
    </row>
    <row r="32" spans="2:3" x14ac:dyDescent="0.3">
      <c r="B32" t="s">
        <v>51</v>
      </c>
      <c r="C32" s="114">
        <v>20</v>
      </c>
    </row>
    <row r="33" spans="2:3" x14ac:dyDescent="0.3">
      <c r="B33" t="s">
        <v>52</v>
      </c>
      <c r="C33" s="114">
        <v>20</v>
      </c>
    </row>
    <row r="34" spans="2:3" hidden="1" x14ac:dyDescent="0.3">
      <c r="B34" t="s">
        <v>53</v>
      </c>
      <c r="C34">
        <v>10</v>
      </c>
    </row>
    <row r="35" spans="2:3" x14ac:dyDescent="0.3">
      <c r="B35" t="s">
        <v>54</v>
      </c>
      <c r="C35" s="114">
        <v>10</v>
      </c>
    </row>
    <row r="36" spans="2:3" x14ac:dyDescent="0.3">
      <c r="B36" t="s">
        <v>55</v>
      </c>
      <c r="C36" s="114">
        <v>10</v>
      </c>
    </row>
    <row r="37" spans="2:3" hidden="1" x14ac:dyDescent="0.3">
      <c r="B37" t="s">
        <v>56</v>
      </c>
      <c r="C37">
        <v>10</v>
      </c>
    </row>
    <row r="38" spans="2:3" hidden="1" x14ac:dyDescent="0.3">
      <c r="B38" t="s">
        <v>57</v>
      </c>
      <c r="C38">
        <v>7</v>
      </c>
    </row>
    <row r="39" spans="2:3" hidden="1" x14ac:dyDescent="0.3">
      <c r="B39" t="s">
        <v>58</v>
      </c>
      <c r="C39">
        <v>5</v>
      </c>
    </row>
    <row r="40" spans="2:3" hidden="1" x14ac:dyDescent="0.3">
      <c r="B40" t="s">
        <v>59</v>
      </c>
      <c r="C40">
        <v>5</v>
      </c>
    </row>
    <row r="41" spans="2:3" hidden="1" x14ac:dyDescent="0.3">
      <c r="B41" t="s">
        <v>60</v>
      </c>
      <c r="C41">
        <v>5</v>
      </c>
    </row>
    <row r="42" spans="2:3" hidden="1" x14ac:dyDescent="0.3">
      <c r="B42" t="s">
        <v>61</v>
      </c>
      <c r="C42">
        <v>5</v>
      </c>
    </row>
    <row r="43" spans="2:3" hidden="1" x14ac:dyDescent="0.3">
      <c r="B43" t="s">
        <v>62</v>
      </c>
      <c r="C43">
        <v>5</v>
      </c>
    </row>
    <row r="44" spans="2:3" hidden="1" x14ac:dyDescent="0.3">
      <c r="B44" t="s">
        <v>63</v>
      </c>
      <c r="C44">
        <v>5</v>
      </c>
    </row>
    <row r="45" spans="2:3" x14ac:dyDescent="0.3">
      <c r="B45" t="s">
        <v>64</v>
      </c>
      <c r="C45" s="114">
        <v>5</v>
      </c>
    </row>
    <row r="46" spans="2:3" x14ac:dyDescent="0.3">
      <c r="B46" t="s">
        <v>65</v>
      </c>
      <c r="C46" s="114">
        <v>5</v>
      </c>
    </row>
    <row r="47" spans="2:3" hidden="1" x14ac:dyDescent="0.3">
      <c r="B47" t="s">
        <v>66</v>
      </c>
      <c r="C47">
        <v>5</v>
      </c>
    </row>
    <row r="48" spans="2:3" hidden="1" x14ac:dyDescent="0.3">
      <c r="B48" t="s">
        <v>67</v>
      </c>
      <c r="C48">
        <v>5</v>
      </c>
    </row>
    <row r="49" spans="2:3" x14ac:dyDescent="0.3">
      <c r="B49" t="s">
        <v>68</v>
      </c>
      <c r="C49" s="114">
        <v>3</v>
      </c>
    </row>
    <row r="50" spans="2:3" hidden="1" x14ac:dyDescent="0.3">
      <c r="B50" t="s">
        <v>69</v>
      </c>
      <c r="C50">
        <v>3</v>
      </c>
    </row>
    <row r="51" spans="2:3" hidden="1" x14ac:dyDescent="0.3">
      <c r="B51" t="s">
        <v>70</v>
      </c>
      <c r="C51">
        <v>3</v>
      </c>
    </row>
    <row r="52" spans="2:3" hidden="1" x14ac:dyDescent="0.3">
      <c r="B52" t="s">
        <v>71</v>
      </c>
      <c r="C52">
        <v>3</v>
      </c>
    </row>
    <row r="53" spans="2:3" hidden="1" x14ac:dyDescent="0.3">
      <c r="B53" t="s">
        <v>72</v>
      </c>
      <c r="C53">
        <v>3</v>
      </c>
    </row>
    <row r="54" spans="2:3" hidden="1" x14ac:dyDescent="0.3">
      <c r="B54" t="s">
        <v>73</v>
      </c>
      <c r="C54">
        <v>3</v>
      </c>
    </row>
    <row r="55" spans="2:3" hidden="1" x14ac:dyDescent="0.3">
      <c r="B55" t="s">
        <v>74</v>
      </c>
      <c r="C55">
        <v>3</v>
      </c>
    </row>
    <row r="56" spans="2:3" hidden="1" x14ac:dyDescent="0.3">
      <c r="B56" t="s">
        <v>75</v>
      </c>
      <c r="C56">
        <v>3</v>
      </c>
    </row>
    <row r="57" spans="2:3" hidden="1" x14ac:dyDescent="0.3">
      <c r="B57" t="s">
        <v>76</v>
      </c>
      <c r="C57">
        <v>3</v>
      </c>
    </row>
    <row r="58" spans="2:3" hidden="1" x14ac:dyDescent="0.3">
      <c r="B58" t="s">
        <v>77</v>
      </c>
      <c r="C58">
        <v>3</v>
      </c>
    </row>
    <row r="59" spans="2:3" hidden="1" x14ac:dyDescent="0.3">
      <c r="B59" t="s">
        <v>78</v>
      </c>
      <c r="C59">
        <v>3</v>
      </c>
    </row>
    <row r="60" spans="2:3" hidden="1" x14ac:dyDescent="0.3">
      <c r="B60" t="s">
        <v>79</v>
      </c>
      <c r="C60">
        <v>3</v>
      </c>
    </row>
    <row r="61" spans="2:3" hidden="1" x14ac:dyDescent="0.3">
      <c r="B61" t="s">
        <v>80</v>
      </c>
      <c r="C61">
        <v>3</v>
      </c>
    </row>
    <row r="62" spans="2:3" hidden="1" x14ac:dyDescent="0.3">
      <c r="B62" t="s">
        <v>81</v>
      </c>
      <c r="C62">
        <v>3</v>
      </c>
    </row>
    <row r="63" spans="2:3" hidden="1" x14ac:dyDescent="0.3">
      <c r="B63" t="s">
        <v>82</v>
      </c>
      <c r="C63">
        <v>3</v>
      </c>
    </row>
    <row r="64" spans="2:3" hidden="1" x14ac:dyDescent="0.3">
      <c r="B64" t="s">
        <v>83</v>
      </c>
      <c r="C64">
        <v>3</v>
      </c>
    </row>
    <row r="65" spans="2:3" hidden="1" x14ac:dyDescent="0.3">
      <c r="B65" t="s">
        <v>84</v>
      </c>
      <c r="C65">
        <v>3</v>
      </c>
    </row>
    <row r="66" spans="2:3" hidden="1" x14ac:dyDescent="0.3">
      <c r="B66" t="s">
        <v>85</v>
      </c>
      <c r="C66">
        <v>3</v>
      </c>
    </row>
    <row r="67" spans="2:3" hidden="1" x14ac:dyDescent="0.3">
      <c r="B67" t="s">
        <v>86</v>
      </c>
      <c r="C67">
        <v>3</v>
      </c>
    </row>
    <row r="68" spans="2:3" hidden="1" x14ac:dyDescent="0.3">
      <c r="B68" t="s">
        <v>87</v>
      </c>
      <c r="C68">
        <v>3</v>
      </c>
    </row>
    <row r="69" spans="2:3" hidden="1" x14ac:dyDescent="0.3">
      <c r="B69" t="s">
        <v>88</v>
      </c>
      <c r="C69">
        <v>3</v>
      </c>
    </row>
    <row r="70" spans="2:3" hidden="1" x14ac:dyDescent="0.3">
      <c r="B70" t="s">
        <v>89</v>
      </c>
      <c r="C70">
        <v>3</v>
      </c>
    </row>
    <row r="71" spans="2:3" hidden="1" x14ac:dyDescent="0.3">
      <c r="B71" t="s">
        <v>90</v>
      </c>
      <c r="C71">
        <v>3</v>
      </c>
    </row>
    <row r="72" spans="2:3" hidden="1" x14ac:dyDescent="0.3">
      <c r="B72" t="s">
        <v>91</v>
      </c>
      <c r="C72">
        <v>3</v>
      </c>
    </row>
    <row r="73" spans="2:3" hidden="1" x14ac:dyDescent="0.3">
      <c r="B73" t="s">
        <v>92</v>
      </c>
      <c r="C73">
        <v>3</v>
      </c>
    </row>
    <row r="74" spans="2:3" hidden="1" x14ac:dyDescent="0.3">
      <c r="B74" t="s">
        <v>93</v>
      </c>
      <c r="C74">
        <v>3</v>
      </c>
    </row>
    <row r="75" spans="2:3" hidden="1" x14ac:dyDescent="0.3">
      <c r="B75" t="s">
        <v>94</v>
      </c>
      <c r="C75">
        <v>3</v>
      </c>
    </row>
    <row r="76" spans="2:3" hidden="1" x14ac:dyDescent="0.3">
      <c r="B76" t="s">
        <v>95</v>
      </c>
      <c r="C76">
        <v>3</v>
      </c>
    </row>
    <row r="77" spans="2:3" hidden="1" x14ac:dyDescent="0.3">
      <c r="B77" t="s">
        <v>96</v>
      </c>
      <c r="C77">
        <v>3</v>
      </c>
    </row>
    <row r="78" spans="2:3" hidden="1" x14ac:dyDescent="0.3">
      <c r="B78" t="s">
        <v>97</v>
      </c>
      <c r="C78">
        <v>3</v>
      </c>
    </row>
    <row r="79" spans="2:3" hidden="1" x14ac:dyDescent="0.3">
      <c r="B79" t="s">
        <v>98</v>
      </c>
      <c r="C79">
        <v>3</v>
      </c>
    </row>
    <row r="80" spans="2:3" hidden="1" x14ac:dyDescent="0.3">
      <c r="B80" t="s">
        <v>99</v>
      </c>
      <c r="C80">
        <v>1</v>
      </c>
    </row>
    <row r="81" spans="2:3" hidden="1" x14ac:dyDescent="0.3">
      <c r="B81" t="s">
        <v>100</v>
      </c>
      <c r="C81">
        <v>1</v>
      </c>
    </row>
    <row r="82" spans="2:3" hidden="1" x14ac:dyDescent="0.3">
      <c r="B82" t="s">
        <v>101</v>
      </c>
      <c r="C82">
        <v>1</v>
      </c>
    </row>
    <row r="83" spans="2:3" hidden="1" x14ac:dyDescent="0.3">
      <c r="B83" t="s">
        <v>102</v>
      </c>
      <c r="C83">
        <v>1</v>
      </c>
    </row>
    <row r="84" spans="2:3" hidden="1" x14ac:dyDescent="0.3">
      <c r="B84" t="s">
        <v>103</v>
      </c>
      <c r="C84">
        <v>1</v>
      </c>
    </row>
    <row r="85" spans="2:3" hidden="1" x14ac:dyDescent="0.3">
      <c r="B85" t="s">
        <v>104</v>
      </c>
      <c r="C85">
        <v>1</v>
      </c>
    </row>
    <row r="86" spans="2:3" hidden="1" x14ac:dyDescent="0.3">
      <c r="B86" t="s">
        <v>105</v>
      </c>
      <c r="C86">
        <v>1</v>
      </c>
    </row>
    <row r="87" spans="2:3" hidden="1" x14ac:dyDescent="0.3">
      <c r="B87" t="s">
        <v>106</v>
      </c>
      <c r="C87">
        <v>1</v>
      </c>
    </row>
    <row r="88" spans="2:3" hidden="1" x14ac:dyDescent="0.3">
      <c r="B88" t="s">
        <v>107</v>
      </c>
      <c r="C88">
        <v>1</v>
      </c>
    </row>
    <row r="89" spans="2:3" hidden="1" x14ac:dyDescent="0.3">
      <c r="B89" t="s">
        <v>108</v>
      </c>
    </row>
    <row r="90" spans="2:3" hidden="1" x14ac:dyDescent="0.3">
      <c r="B90" t="s">
        <v>109</v>
      </c>
    </row>
    <row r="91" spans="2:3" hidden="1" x14ac:dyDescent="0.3">
      <c r="B91" t="s">
        <v>110</v>
      </c>
    </row>
    <row r="92" spans="2:3" hidden="1" x14ac:dyDescent="0.3">
      <c r="B92" t="s">
        <v>111</v>
      </c>
    </row>
    <row r="93" spans="2:3" hidden="1" x14ac:dyDescent="0.3">
      <c r="B93" t="s">
        <v>112</v>
      </c>
    </row>
    <row r="94" spans="2:3" hidden="1" x14ac:dyDescent="0.3">
      <c r="B94" t="s">
        <v>113</v>
      </c>
    </row>
  </sheetData>
  <mergeCells count="1">
    <mergeCell ref="B2:C2"/>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A11A3-61BE-450E-B70B-7DD77BBAE55C}">
  <dimension ref="A3:B1279"/>
  <sheetViews>
    <sheetView showGridLines="0" workbookViewId="0"/>
  </sheetViews>
  <sheetFormatPr defaultColWidth="8.88671875" defaultRowHeight="13.8" x14ac:dyDescent="0.25"/>
  <cols>
    <col min="1" max="1" width="69.88671875" style="100" bestFit="1" customWidth="1"/>
    <col min="2" max="2" width="20.21875" style="108" bestFit="1" customWidth="1"/>
    <col min="3" max="16384" width="8.88671875" style="100"/>
  </cols>
  <sheetData>
    <row r="3" spans="1:2" x14ac:dyDescent="0.25">
      <c r="A3" s="99" t="s">
        <v>0</v>
      </c>
      <c r="B3" s="107" t="s">
        <v>114</v>
      </c>
    </row>
    <row r="4" spans="1:2" x14ac:dyDescent="0.25">
      <c r="A4" s="101" t="s">
        <v>24</v>
      </c>
      <c r="B4" s="107">
        <v>183539288.75593221</v>
      </c>
    </row>
    <row r="5" spans="1:2" x14ac:dyDescent="0.25">
      <c r="A5" s="103" t="s">
        <v>115</v>
      </c>
      <c r="B5" s="107">
        <v>168429660.75593221</v>
      </c>
    </row>
    <row r="6" spans="1:2" x14ac:dyDescent="0.25">
      <c r="A6" s="103" t="s">
        <v>116</v>
      </c>
      <c r="B6" s="107">
        <v>340303</v>
      </c>
    </row>
    <row r="7" spans="1:2" x14ac:dyDescent="0.25">
      <c r="A7" s="103" t="s">
        <v>117</v>
      </c>
      <c r="B7" s="107">
        <v>14400000</v>
      </c>
    </row>
    <row r="8" spans="1:2" x14ac:dyDescent="0.25">
      <c r="A8" s="103" t="s">
        <v>118</v>
      </c>
      <c r="B8" s="107">
        <v>369325</v>
      </c>
    </row>
    <row r="9" spans="1:2" x14ac:dyDescent="0.25">
      <c r="A9" s="101" t="s">
        <v>119</v>
      </c>
      <c r="B9" s="107">
        <v>176672524.84084746</v>
      </c>
    </row>
    <row r="10" spans="1:2" x14ac:dyDescent="0.25">
      <c r="A10" s="103" t="s">
        <v>115</v>
      </c>
      <c r="B10" s="107">
        <v>20248700.789999999</v>
      </c>
    </row>
    <row r="11" spans="1:2" x14ac:dyDescent="0.25">
      <c r="A11" s="103" t="s">
        <v>116</v>
      </c>
      <c r="B11" s="107"/>
    </row>
    <row r="12" spans="1:2" x14ac:dyDescent="0.25">
      <c r="A12" s="103" t="s">
        <v>117</v>
      </c>
      <c r="B12" s="107">
        <v>41117576</v>
      </c>
    </row>
    <row r="13" spans="1:2" x14ac:dyDescent="0.25">
      <c r="A13" s="103" t="s">
        <v>120</v>
      </c>
      <c r="B13" s="107">
        <v>258044.9152542373</v>
      </c>
    </row>
    <row r="14" spans="1:2" x14ac:dyDescent="0.25">
      <c r="A14" s="103" t="s">
        <v>121</v>
      </c>
      <c r="B14" s="107">
        <v>115048203.13559322</v>
      </c>
    </row>
    <row r="15" spans="1:2" x14ac:dyDescent="0.25">
      <c r="A15" s="101" t="s">
        <v>3816</v>
      </c>
      <c r="B15" s="107">
        <v>100850306.45200001</v>
      </c>
    </row>
    <row r="16" spans="1:2" x14ac:dyDescent="0.25">
      <c r="A16" s="103" t="s">
        <v>115</v>
      </c>
      <c r="B16" s="107">
        <v>100850306.45200001</v>
      </c>
    </row>
    <row r="17" spans="1:2" x14ac:dyDescent="0.25">
      <c r="A17" s="101" t="s">
        <v>122</v>
      </c>
      <c r="B17" s="107">
        <v>39517640.375254236</v>
      </c>
    </row>
    <row r="18" spans="1:2" x14ac:dyDescent="0.25">
      <c r="A18" s="103" t="s">
        <v>115</v>
      </c>
      <c r="B18" s="107">
        <v>19019065.375254236</v>
      </c>
    </row>
    <row r="19" spans="1:2" x14ac:dyDescent="0.25">
      <c r="A19" s="103" t="s">
        <v>123</v>
      </c>
      <c r="B19" s="107">
        <v>3150000</v>
      </c>
    </row>
    <row r="20" spans="1:2" x14ac:dyDescent="0.25">
      <c r="A20" s="103" t="s">
        <v>117</v>
      </c>
      <c r="B20" s="107">
        <v>15870000</v>
      </c>
    </row>
    <row r="21" spans="1:2" x14ac:dyDescent="0.25">
      <c r="A21" s="103" t="s">
        <v>118</v>
      </c>
      <c r="B21" s="107">
        <v>1478575</v>
      </c>
    </row>
    <row r="22" spans="1:2" x14ac:dyDescent="0.25">
      <c r="A22" s="101" t="s">
        <v>124</v>
      </c>
      <c r="B22" s="107">
        <v>31267369.699999999</v>
      </c>
    </row>
    <row r="23" spans="1:2" x14ac:dyDescent="0.25">
      <c r="A23" s="103" t="s">
        <v>115</v>
      </c>
      <c r="B23" s="107">
        <v>1367796.5</v>
      </c>
    </row>
    <row r="24" spans="1:2" x14ac:dyDescent="0.25">
      <c r="A24" s="103" t="s">
        <v>116</v>
      </c>
      <c r="B24" s="107">
        <v>4204629</v>
      </c>
    </row>
    <row r="25" spans="1:2" x14ac:dyDescent="0.25">
      <c r="A25" s="103" t="s">
        <v>117</v>
      </c>
      <c r="B25" s="107">
        <v>25694944.199999999</v>
      </c>
    </row>
    <row r="26" spans="1:2" x14ac:dyDescent="0.25">
      <c r="A26" s="101" t="s">
        <v>125</v>
      </c>
      <c r="B26" s="107">
        <v>30296609.932203382</v>
      </c>
    </row>
    <row r="27" spans="1:2" x14ac:dyDescent="0.25">
      <c r="A27" s="103" t="s">
        <v>126</v>
      </c>
      <c r="B27" s="107">
        <v>30296609.932203382</v>
      </c>
    </row>
    <row r="28" spans="1:2" x14ac:dyDescent="0.25">
      <c r="A28" s="101" t="s">
        <v>127</v>
      </c>
      <c r="B28" s="107">
        <v>29459506.730169475</v>
      </c>
    </row>
    <row r="29" spans="1:2" x14ac:dyDescent="0.25">
      <c r="A29" s="103" t="s">
        <v>115</v>
      </c>
      <c r="B29" s="107">
        <v>23979406.730169475</v>
      </c>
    </row>
    <row r="30" spans="1:2" ht="16.8" x14ac:dyDescent="0.4">
      <c r="A30" s="103" t="s">
        <v>117</v>
      </c>
      <c r="B30" s="107">
        <v>5480100</v>
      </c>
    </row>
    <row r="31" spans="1:2" ht="16.8" x14ac:dyDescent="0.4">
      <c r="A31" s="101" t="s">
        <v>3852</v>
      </c>
      <c r="B31" s="107">
        <v>27285000</v>
      </c>
    </row>
    <row r="32" spans="1:2" ht="16.8" x14ac:dyDescent="0.4">
      <c r="A32" s="103" t="s">
        <v>115</v>
      </c>
      <c r="B32" s="107">
        <v>27285000</v>
      </c>
    </row>
    <row r="33" spans="1:2" ht="16.8" x14ac:dyDescent="0.4">
      <c r="A33" s="101" t="s">
        <v>128</v>
      </c>
      <c r="B33" s="107">
        <v>26946273.460000001</v>
      </c>
    </row>
    <row r="34" spans="1:2" ht="16.8" x14ac:dyDescent="0.4">
      <c r="A34" s="103" t="s">
        <v>115</v>
      </c>
      <c r="B34" s="107">
        <v>6002850.46</v>
      </c>
    </row>
    <row r="35" spans="1:2" ht="16.8" x14ac:dyDescent="0.4">
      <c r="A35" s="103" t="s">
        <v>117</v>
      </c>
      <c r="B35" s="107">
        <v>11351700</v>
      </c>
    </row>
    <row r="36" spans="1:2" ht="16.8" x14ac:dyDescent="0.4">
      <c r="A36" s="103" t="s">
        <v>126</v>
      </c>
      <c r="B36" s="107">
        <v>750000</v>
      </c>
    </row>
    <row r="37" spans="1:2" ht="16.8" x14ac:dyDescent="0.4">
      <c r="A37" s="103" t="s">
        <v>121</v>
      </c>
      <c r="B37" s="107">
        <v>8841723</v>
      </c>
    </row>
    <row r="38" spans="1:2" ht="16.8" x14ac:dyDescent="0.4">
      <c r="A38" s="101" t="s">
        <v>3832</v>
      </c>
      <c r="B38" s="107">
        <v>25924350</v>
      </c>
    </row>
    <row r="39" spans="1:2" ht="16.8" x14ac:dyDescent="0.4">
      <c r="A39" s="103" t="s">
        <v>115</v>
      </c>
      <c r="B39" s="107">
        <v>25924350</v>
      </c>
    </row>
    <row r="40" spans="1:2" ht="16.8" x14ac:dyDescent="0.4">
      <c r="A40" s="101" t="s">
        <v>3822</v>
      </c>
      <c r="B40" s="107">
        <v>25122600</v>
      </c>
    </row>
    <row r="41" spans="1:2" ht="16.8" x14ac:dyDescent="0.4">
      <c r="A41" s="103" t="s">
        <v>115</v>
      </c>
      <c r="B41" s="107">
        <v>25122600</v>
      </c>
    </row>
    <row r="42" spans="1:2" ht="16.8" x14ac:dyDescent="0.4">
      <c r="A42" s="101" t="s">
        <v>129</v>
      </c>
      <c r="B42" s="107">
        <v>23963660</v>
      </c>
    </row>
    <row r="43" spans="1:2" ht="16.8" x14ac:dyDescent="0.4">
      <c r="A43" s="103" t="s">
        <v>123</v>
      </c>
      <c r="B43" s="107">
        <v>501600</v>
      </c>
    </row>
    <row r="44" spans="1:2" ht="16.8" x14ac:dyDescent="0.4">
      <c r="A44" s="103" t="s">
        <v>116</v>
      </c>
      <c r="B44" s="107">
        <v>23462060</v>
      </c>
    </row>
    <row r="45" spans="1:2" ht="16.8" x14ac:dyDescent="0.4">
      <c r="A45" s="101" t="s">
        <v>130</v>
      </c>
      <c r="B45" s="107">
        <v>20377590.266440675</v>
      </c>
    </row>
    <row r="46" spans="1:2" ht="16.8" x14ac:dyDescent="0.4">
      <c r="A46" s="103" t="s">
        <v>115</v>
      </c>
      <c r="B46" s="107">
        <v>650847.45762711868</v>
      </c>
    </row>
    <row r="47" spans="1:2" ht="16.8" x14ac:dyDescent="0.4">
      <c r="A47" s="103" t="s">
        <v>117</v>
      </c>
      <c r="B47" s="107">
        <v>18087998.741016947</v>
      </c>
    </row>
    <row r="48" spans="1:2" ht="16.8" x14ac:dyDescent="0.4">
      <c r="A48" s="103" t="s">
        <v>118</v>
      </c>
      <c r="B48" s="107">
        <v>1478574.5762711866</v>
      </c>
    </row>
    <row r="49" spans="1:2" ht="16.8" x14ac:dyDescent="0.4">
      <c r="A49" s="103" t="s">
        <v>131</v>
      </c>
      <c r="B49" s="107">
        <v>160169.49152542374</v>
      </c>
    </row>
    <row r="50" spans="1:2" ht="16.8" x14ac:dyDescent="0.4">
      <c r="A50" s="101" t="s">
        <v>26</v>
      </c>
      <c r="B50" s="107">
        <v>20320169.523559324</v>
      </c>
    </row>
    <row r="51" spans="1:2" ht="16.8" x14ac:dyDescent="0.4">
      <c r="A51" s="103" t="s">
        <v>115</v>
      </c>
      <c r="B51" s="107">
        <v>193050.87949152541</v>
      </c>
    </row>
    <row r="52" spans="1:2" ht="16.8" x14ac:dyDescent="0.4">
      <c r="A52" s="103" t="s">
        <v>117</v>
      </c>
      <c r="B52" s="107">
        <v>20127118.644067798</v>
      </c>
    </row>
    <row r="53" spans="1:2" ht="16.8" x14ac:dyDescent="0.4">
      <c r="A53" s="101" t="s">
        <v>132</v>
      </c>
      <c r="B53" s="107">
        <v>17346556.779661018</v>
      </c>
    </row>
    <row r="54" spans="1:2" ht="16.8" x14ac:dyDescent="0.4">
      <c r="A54" s="103" t="s">
        <v>123</v>
      </c>
      <c r="B54" s="107">
        <v>3343601.6949152541</v>
      </c>
    </row>
    <row r="55" spans="1:2" ht="16.8" x14ac:dyDescent="0.4">
      <c r="A55" s="103" t="s">
        <v>116</v>
      </c>
      <c r="B55" s="107">
        <v>14002955.084745763</v>
      </c>
    </row>
    <row r="56" spans="1:2" ht="16.8" x14ac:dyDescent="0.4">
      <c r="A56" s="101" t="s">
        <v>3173</v>
      </c>
      <c r="B56" s="107">
        <v>16531680.033898305</v>
      </c>
    </row>
    <row r="57" spans="1:2" ht="16.8" x14ac:dyDescent="0.4">
      <c r="A57" s="103" t="s">
        <v>134</v>
      </c>
      <c r="B57" s="107">
        <v>16531680.033898305</v>
      </c>
    </row>
    <row r="58" spans="1:2" ht="16.8" x14ac:dyDescent="0.4">
      <c r="A58" s="101" t="s">
        <v>133</v>
      </c>
      <c r="B58" s="107">
        <v>16488618.514067797</v>
      </c>
    </row>
    <row r="59" spans="1:2" ht="16.8" x14ac:dyDescent="0.4">
      <c r="A59" s="103" t="s">
        <v>115</v>
      </c>
      <c r="B59" s="107">
        <v>650847.45762711868</v>
      </c>
    </row>
    <row r="60" spans="1:2" ht="16.8" x14ac:dyDescent="0.4">
      <c r="A60" s="103" t="s">
        <v>116</v>
      </c>
      <c r="B60" s="107">
        <v>8341638</v>
      </c>
    </row>
    <row r="61" spans="1:2" ht="16.8" x14ac:dyDescent="0.4">
      <c r="A61" s="103" t="s">
        <v>134</v>
      </c>
      <c r="B61" s="107">
        <v>7244861.866440678</v>
      </c>
    </row>
    <row r="62" spans="1:2" ht="16.8" x14ac:dyDescent="0.4">
      <c r="A62" s="103" t="s">
        <v>126</v>
      </c>
      <c r="B62" s="107">
        <v>251271.19</v>
      </c>
    </row>
    <row r="63" spans="1:2" ht="16.8" x14ac:dyDescent="0.4">
      <c r="A63" s="101" t="s">
        <v>135</v>
      </c>
      <c r="B63" s="107">
        <v>15537197.90960452</v>
      </c>
    </row>
    <row r="64" spans="1:2" ht="16.8" x14ac:dyDescent="0.4">
      <c r="A64" s="103" t="s">
        <v>123</v>
      </c>
      <c r="B64" s="107">
        <v>780074.57627118647</v>
      </c>
    </row>
    <row r="65" spans="1:2" ht="16.8" x14ac:dyDescent="0.4">
      <c r="A65" s="103" t="s">
        <v>116</v>
      </c>
      <c r="B65" s="107">
        <v>960000</v>
      </c>
    </row>
    <row r="66" spans="1:2" ht="16.8" x14ac:dyDescent="0.4">
      <c r="A66" s="103" t="s">
        <v>136</v>
      </c>
      <c r="B66" s="107">
        <v>220050</v>
      </c>
    </row>
    <row r="67" spans="1:2" ht="16.8" x14ac:dyDescent="0.4">
      <c r="A67" s="103" t="s">
        <v>137</v>
      </c>
      <c r="B67" s="107">
        <v>13577073.333333334</v>
      </c>
    </row>
    <row r="68" spans="1:2" ht="16.8" x14ac:dyDescent="0.4">
      <c r="A68" s="101" t="s">
        <v>138</v>
      </c>
      <c r="B68" s="107">
        <v>13685294.152542373</v>
      </c>
    </row>
    <row r="69" spans="1:2" ht="16.8" x14ac:dyDescent="0.4">
      <c r="A69" s="103" t="s">
        <v>116</v>
      </c>
      <c r="B69" s="107">
        <v>6678345</v>
      </c>
    </row>
    <row r="70" spans="1:2" ht="16.8" x14ac:dyDescent="0.4">
      <c r="A70" s="103" t="s">
        <v>117</v>
      </c>
      <c r="B70" s="107">
        <v>7006949.1525423732</v>
      </c>
    </row>
    <row r="71" spans="1:2" ht="16.8" x14ac:dyDescent="0.4">
      <c r="A71" s="101" t="s">
        <v>139</v>
      </c>
      <c r="B71" s="107">
        <v>13644321.938983355</v>
      </c>
    </row>
    <row r="72" spans="1:2" ht="16.8" x14ac:dyDescent="0.4">
      <c r="A72" s="103" t="s">
        <v>115</v>
      </c>
      <c r="B72" s="107">
        <v>5029321.9389833556</v>
      </c>
    </row>
    <row r="73" spans="1:2" ht="16.8" x14ac:dyDescent="0.4">
      <c r="A73" s="103" t="s">
        <v>117</v>
      </c>
      <c r="B73" s="107">
        <v>8370000</v>
      </c>
    </row>
    <row r="74" spans="1:2" ht="16.8" x14ac:dyDescent="0.4">
      <c r="A74" s="103" t="s">
        <v>126</v>
      </c>
      <c r="B74" s="107">
        <v>245000</v>
      </c>
    </row>
    <row r="75" spans="1:2" ht="16.8" x14ac:dyDescent="0.4">
      <c r="A75" s="101" t="s">
        <v>140</v>
      </c>
      <c r="B75" s="107">
        <v>13252345</v>
      </c>
    </row>
    <row r="76" spans="1:2" ht="16.8" x14ac:dyDescent="0.4">
      <c r="A76" s="103" t="s">
        <v>116</v>
      </c>
      <c r="B76" s="107">
        <v>13252345</v>
      </c>
    </row>
    <row r="77" spans="1:2" ht="16.8" x14ac:dyDescent="0.4">
      <c r="A77" s="103" t="s">
        <v>136</v>
      </c>
      <c r="B77" s="107">
        <v>0</v>
      </c>
    </row>
    <row r="78" spans="1:2" ht="16.8" x14ac:dyDescent="0.4">
      <c r="A78" s="101" t="s">
        <v>141</v>
      </c>
      <c r="B78" s="107">
        <v>12200000</v>
      </c>
    </row>
    <row r="79" spans="1:2" ht="16.8" x14ac:dyDescent="0.4">
      <c r="A79" s="103" t="s">
        <v>134</v>
      </c>
      <c r="B79" s="107">
        <v>12200000</v>
      </c>
    </row>
    <row r="80" spans="1:2" ht="16.8" x14ac:dyDescent="0.4">
      <c r="A80" s="101" t="s">
        <v>142</v>
      </c>
      <c r="B80" s="107">
        <v>11980340</v>
      </c>
    </row>
    <row r="81" spans="1:2" ht="16.8" x14ac:dyDescent="0.4">
      <c r="A81" s="103" t="s">
        <v>134</v>
      </c>
      <c r="B81" s="107">
        <v>11980340</v>
      </c>
    </row>
    <row r="82" spans="1:2" ht="16.8" x14ac:dyDescent="0.4">
      <c r="A82" s="101" t="s">
        <v>144</v>
      </c>
      <c r="B82" s="107">
        <v>11452038.373728</v>
      </c>
    </row>
    <row r="83" spans="1:2" ht="16.8" x14ac:dyDescent="0.4">
      <c r="A83" s="103" t="s">
        <v>117</v>
      </c>
      <c r="B83" s="107">
        <v>7728000</v>
      </c>
    </row>
    <row r="84" spans="1:2" ht="16.8" x14ac:dyDescent="0.4">
      <c r="A84" s="103" t="s">
        <v>118</v>
      </c>
      <c r="B84" s="107">
        <v>369325.42372800002</v>
      </c>
    </row>
    <row r="85" spans="1:2" ht="16.8" x14ac:dyDescent="0.4">
      <c r="A85" s="103" t="s">
        <v>120</v>
      </c>
      <c r="B85" s="107">
        <v>3354712.9499999988</v>
      </c>
    </row>
    <row r="86" spans="1:2" ht="16.8" x14ac:dyDescent="0.4">
      <c r="A86" s="101" t="s">
        <v>143</v>
      </c>
      <c r="B86" s="107">
        <v>11250000</v>
      </c>
    </row>
    <row r="87" spans="1:2" ht="16.8" x14ac:dyDescent="0.4">
      <c r="A87" s="103" t="s">
        <v>117</v>
      </c>
      <c r="B87" s="107">
        <v>11250000</v>
      </c>
    </row>
    <row r="88" spans="1:2" ht="16.8" x14ac:dyDescent="0.4">
      <c r="A88" s="101" t="s">
        <v>145</v>
      </c>
      <c r="B88" s="107">
        <v>10510407.92</v>
      </c>
    </row>
    <row r="89" spans="1:2" ht="16.8" x14ac:dyDescent="0.4">
      <c r="A89" s="103" t="s">
        <v>115</v>
      </c>
      <c r="B89" s="107">
        <v>917288.00000000012</v>
      </c>
    </row>
    <row r="90" spans="1:2" ht="16.8" x14ac:dyDescent="0.4">
      <c r="A90" s="103" t="s">
        <v>117</v>
      </c>
      <c r="B90" s="107">
        <v>1770000</v>
      </c>
    </row>
    <row r="91" spans="1:2" ht="16.8" x14ac:dyDescent="0.4">
      <c r="A91" s="103" t="s">
        <v>118</v>
      </c>
      <c r="B91" s="107">
        <v>1478575</v>
      </c>
    </row>
    <row r="92" spans="1:2" ht="16.8" x14ac:dyDescent="0.4">
      <c r="A92" s="103" t="s">
        <v>120</v>
      </c>
      <c r="B92" s="107">
        <v>258044.92</v>
      </c>
    </row>
    <row r="93" spans="1:2" ht="16.8" x14ac:dyDescent="0.4">
      <c r="A93" s="103" t="s">
        <v>131</v>
      </c>
      <c r="B93" s="107">
        <v>160500</v>
      </c>
    </row>
    <row r="94" spans="1:2" ht="16.8" x14ac:dyDescent="0.4">
      <c r="A94" s="103" t="s">
        <v>121</v>
      </c>
      <c r="B94" s="107">
        <v>5926000</v>
      </c>
    </row>
    <row r="95" spans="1:2" ht="16.8" x14ac:dyDescent="0.4">
      <c r="A95" s="101" t="s">
        <v>146</v>
      </c>
      <c r="B95" s="107">
        <v>9600000</v>
      </c>
    </row>
    <row r="96" spans="1:2" ht="16.8" x14ac:dyDescent="0.4">
      <c r="A96" s="103" t="s">
        <v>116</v>
      </c>
      <c r="B96" s="107">
        <v>9600000</v>
      </c>
    </row>
    <row r="97" spans="1:2" ht="16.8" x14ac:dyDescent="0.4">
      <c r="A97" s="101" t="s">
        <v>147</v>
      </c>
      <c r="B97" s="107">
        <v>8970149.7654237282</v>
      </c>
    </row>
    <row r="98" spans="1:2" ht="16.8" x14ac:dyDescent="0.4">
      <c r="A98" s="103" t="s">
        <v>115</v>
      </c>
      <c r="B98" s="107">
        <v>7031609.850169491</v>
      </c>
    </row>
    <row r="99" spans="1:2" ht="16.8" x14ac:dyDescent="0.4">
      <c r="A99" s="103" t="s">
        <v>117</v>
      </c>
      <c r="B99" s="107">
        <v>690000</v>
      </c>
    </row>
    <row r="100" spans="1:2" ht="16.8" x14ac:dyDescent="0.4">
      <c r="A100" s="103" t="s">
        <v>118</v>
      </c>
      <c r="B100" s="107">
        <v>990495</v>
      </c>
    </row>
    <row r="101" spans="1:2" ht="16.8" x14ac:dyDescent="0.4">
      <c r="A101" s="103" t="s">
        <v>120</v>
      </c>
      <c r="B101" s="107">
        <v>258044.9152542373</v>
      </c>
    </row>
    <row r="102" spans="1:2" ht="16.8" x14ac:dyDescent="0.4">
      <c r="A102" s="101" t="s">
        <v>148</v>
      </c>
      <c r="B102" s="107">
        <v>8799701.6949152537</v>
      </c>
    </row>
    <row r="103" spans="1:2" ht="16.8" x14ac:dyDescent="0.4">
      <c r="A103" s="103" t="s">
        <v>116</v>
      </c>
      <c r="B103" s="107">
        <v>999701.69491525425</v>
      </c>
    </row>
    <row r="104" spans="1:2" ht="16.8" x14ac:dyDescent="0.4">
      <c r="A104" s="103" t="s">
        <v>117</v>
      </c>
      <c r="B104" s="107">
        <v>7800000</v>
      </c>
    </row>
    <row r="105" spans="1:2" ht="16.8" x14ac:dyDescent="0.4">
      <c r="A105" s="101" t="s">
        <v>149</v>
      </c>
      <c r="B105" s="107">
        <v>8787246.3559326623</v>
      </c>
    </row>
    <row r="106" spans="1:2" ht="16.8" x14ac:dyDescent="0.4">
      <c r="A106" s="103" t="s">
        <v>115</v>
      </c>
      <c r="B106" s="107">
        <v>298728.81355977966</v>
      </c>
    </row>
    <row r="107" spans="1:2" ht="16.8" x14ac:dyDescent="0.4">
      <c r="A107" s="103" t="s">
        <v>117</v>
      </c>
      <c r="B107" s="107">
        <v>6123840</v>
      </c>
    </row>
    <row r="108" spans="1:2" ht="16.8" x14ac:dyDescent="0.4">
      <c r="A108" s="103" t="s">
        <v>118</v>
      </c>
      <c r="B108" s="107">
        <v>2364677.5423728819</v>
      </c>
    </row>
    <row r="109" spans="1:2" ht="16.8" x14ac:dyDescent="0.4">
      <c r="A109" s="101" t="s">
        <v>150</v>
      </c>
      <c r="B109" s="107">
        <v>8696144.9199999999</v>
      </c>
    </row>
    <row r="110" spans="1:2" ht="16.8" x14ac:dyDescent="0.4">
      <c r="A110" s="103" t="s">
        <v>117</v>
      </c>
      <c r="B110" s="107">
        <v>8438100</v>
      </c>
    </row>
    <row r="111" spans="1:2" ht="16.8" x14ac:dyDescent="0.4">
      <c r="A111" s="103" t="s">
        <v>120</v>
      </c>
      <c r="B111" s="107">
        <v>258044.92</v>
      </c>
    </row>
    <row r="112" spans="1:2" ht="16.8" x14ac:dyDescent="0.4">
      <c r="A112" s="101" t="s">
        <v>151</v>
      </c>
      <c r="B112" s="107">
        <v>8350760.1040677968</v>
      </c>
    </row>
    <row r="113" spans="1:2" ht="16.8" x14ac:dyDescent="0.4">
      <c r="A113" s="103" t="s">
        <v>115</v>
      </c>
      <c r="B113" s="107">
        <v>6823389.764067797</v>
      </c>
    </row>
    <row r="114" spans="1:2" ht="16.8" x14ac:dyDescent="0.4">
      <c r="A114" s="103" t="s">
        <v>117</v>
      </c>
      <c r="B114" s="107">
        <v>900000</v>
      </c>
    </row>
    <row r="115" spans="1:2" ht="16.8" x14ac:dyDescent="0.4">
      <c r="A115" s="103" t="s">
        <v>118</v>
      </c>
      <c r="B115" s="107">
        <v>369325.42</v>
      </c>
    </row>
    <row r="116" spans="1:2" ht="16.8" x14ac:dyDescent="0.4">
      <c r="A116" s="103" t="s">
        <v>120</v>
      </c>
      <c r="B116" s="107">
        <v>258044.92</v>
      </c>
    </row>
    <row r="117" spans="1:2" ht="16.8" x14ac:dyDescent="0.4">
      <c r="A117" s="101" t="s">
        <v>152</v>
      </c>
      <c r="B117" s="107">
        <v>8113347.4576340001</v>
      </c>
    </row>
    <row r="118" spans="1:2" ht="16.8" x14ac:dyDescent="0.4">
      <c r="A118" s="103" t="s">
        <v>115</v>
      </c>
      <c r="B118" s="107">
        <v>820847.45763399999</v>
      </c>
    </row>
    <row r="119" spans="1:2" ht="16.8" x14ac:dyDescent="0.4">
      <c r="A119" s="103" t="s">
        <v>117</v>
      </c>
      <c r="B119" s="107">
        <v>1800000</v>
      </c>
    </row>
    <row r="120" spans="1:2" ht="16.8" x14ac:dyDescent="0.4">
      <c r="A120" s="103" t="s">
        <v>118</v>
      </c>
      <c r="B120" s="107">
        <v>5414500</v>
      </c>
    </row>
    <row r="121" spans="1:2" ht="16.8" x14ac:dyDescent="0.4">
      <c r="A121" s="103" t="s">
        <v>131</v>
      </c>
      <c r="B121" s="107">
        <v>78000</v>
      </c>
    </row>
    <row r="122" spans="1:2" ht="16.8" x14ac:dyDescent="0.4">
      <c r="A122" s="101" t="s">
        <v>153</v>
      </c>
      <c r="B122" s="107">
        <v>7975935.103051153</v>
      </c>
    </row>
    <row r="123" spans="1:2" ht="16.8" x14ac:dyDescent="0.4">
      <c r="A123" s="103" t="s">
        <v>115</v>
      </c>
      <c r="B123" s="107">
        <v>5896610.103051153</v>
      </c>
    </row>
    <row r="124" spans="1:2" ht="16.8" x14ac:dyDescent="0.4">
      <c r="A124" s="103" t="s">
        <v>117</v>
      </c>
      <c r="B124" s="107">
        <v>1710000</v>
      </c>
    </row>
    <row r="125" spans="1:2" ht="16.8" x14ac:dyDescent="0.4">
      <c r="A125" s="103" t="s">
        <v>118</v>
      </c>
      <c r="B125" s="107">
        <v>369325</v>
      </c>
    </row>
    <row r="126" spans="1:2" ht="16.8" x14ac:dyDescent="0.4">
      <c r="A126" s="101" t="s">
        <v>154</v>
      </c>
      <c r="B126" s="107">
        <v>7505620</v>
      </c>
    </row>
    <row r="127" spans="1:2" ht="16.8" x14ac:dyDescent="0.4">
      <c r="A127" s="103" t="s">
        <v>117</v>
      </c>
      <c r="B127" s="107">
        <v>5580000</v>
      </c>
    </row>
    <row r="128" spans="1:2" ht="16.8" x14ac:dyDescent="0.4">
      <c r="A128" s="103" t="s">
        <v>118</v>
      </c>
      <c r="B128" s="107">
        <v>1478575</v>
      </c>
    </row>
    <row r="129" spans="1:2" ht="16.8" x14ac:dyDescent="0.4">
      <c r="A129" s="103" t="s">
        <v>120</v>
      </c>
      <c r="B129" s="107">
        <v>258045</v>
      </c>
    </row>
    <row r="130" spans="1:2" ht="16.8" x14ac:dyDescent="0.4">
      <c r="A130" s="103" t="s">
        <v>131</v>
      </c>
      <c r="B130" s="107">
        <v>189000</v>
      </c>
    </row>
    <row r="131" spans="1:2" ht="16.8" x14ac:dyDescent="0.4">
      <c r="A131" s="101" t="s">
        <v>155</v>
      </c>
      <c r="B131" s="107">
        <v>6670000</v>
      </c>
    </row>
    <row r="132" spans="1:2" ht="16.8" x14ac:dyDescent="0.4">
      <c r="A132" s="103" t="s">
        <v>134</v>
      </c>
      <c r="B132" s="107">
        <v>6670000</v>
      </c>
    </row>
    <row r="133" spans="1:2" ht="16.8" x14ac:dyDescent="0.4">
      <c r="A133" s="101" t="s">
        <v>156</v>
      </c>
      <c r="B133" s="107">
        <v>6615420.5028813574</v>
      </c>
    </row>
    <row r="134" spans="1:2" ht="16.8" x14ac:dyDescent="0.4">
      <c r="A134" s="103" t="s">
        <v>115</v>
      </c>
      <c r="B134" s="107">
        <v>5298050.5028813574</v>
      </c>
    </row>
    <row r="135" spans="1:2" ht="16.8" x14ac:dyDescent="0.4">
      <c r="A135" s="103" t="s">
        <v>117</v>
      </c>
      <c r="B135" s="107">
        <v>690000</v>
      </c>
    </row>
    <row r="136" spans="1:2" ht="16.8" x14ac:dyDescent="0.4">
      <c r="A136" s="103" t="s">
        <v>118</v>
      </c>
      <c r="B136" s="107">
        <v>369325</v>
      </c>
    </row>
    <row r="137" spans="1:2" ht="16.8" x14ac:dyDescent="0.4">
      <c r="A137" s="103" t="s">
        <v>120</v>
      </c>
      <c r="B137" s="107">
        <v>258045</v>
      </c>
    </row>
    <row r="138" spans="1:2" ht="16.8" x14ac:dyDescent="0.4">
      <c r="A138" s="101" t="s">
        <v>157</v>
      </c>
      <c r="B138" s="107">
        <v>6369488.5606690003</v>
      </c>
    </row>
    <row r="139" spans="1:2" ht="16.8" x14ac:dyDescent="0.4">
      <c r="A139" s="103" t="s">
        <v>115</v>
      </c>
      <c r="B139" s="107">
        <v>5292118.2206690004</v>
      </c>
    </row>
    <row r="140" spans="1:2" ht="16.8" x14ac:dyDescent="0.4">
      <c r="A140" s="103" t="s">
        <v>117</v>
      </c>
      <c r="B140" s="107">
        <v>450000</v>
      </c>
    </row>
    <row r="141" spans="1:2" ht="16.8" x14ac:dyDescent="0.4">
      <c r="A141" s="103" t="s">
        <v>118</v>
      </c>
      <c r="B141" s="107">
        <v>369325.42</v>
      </c>
    </row>
    <row r="142" spans="1:2" ht="16.8" x14ac:dyDescent="0.4">
      <c r="A142" s="103" t="s">
        <v>120</v>
      </c>
      <c r="B142" s="107">
        <v>258044.92</v>
      </c>
    </row>
    <row r="143" spans="1:2" ht="16.8" x14ac:dyDescent="0.4">
      <c r="A143" s="101" t="s">
        <v>158</v>
      </c>
      <c r="B143" s="107">
        <v>6338574</v>
      </c>
    </row>
    <row r="144" spans="1:2" ht="16.8" x14ac:dyDescent="0.4">
      <c r="A144" s="103" t="s">
        <v>117</v>
      </c>
      <c r="B144" s="107">
        <v>4860000</v>
      </c>
    </row>
    <row r="145" spans="1:2" ht="16.8" x14ac:dyDescent="0.4">
      <c r="A145" s="103" t="s">
        <v>118</v>
      </c>
      <c r="B145" s="107">
        <v>1478574</v>
      </c>
    </row>
    <row r="146" spans="1:2" ht="16.8" x14ac:dyDescent="0.4">
      <c r="A146" s="101" t="s">
        <v>3829</v>
      </c>
      <c r="B146" s="107">
        <v>6300000</v>
      </c>
    </row>
    <row r="147" spans="1:2" ht="16.8" x14ac:dyDescent="0.4">
      <c r="A147" s="103" t="s">
        <v>115</v>
      </c>
      <c r="B147" s="107">
        <v>6300000</v>
      </c>
    </row>
    <row r="148" spans="1:2" ht="16.8" x14ac:dyDescent="0.4">
      <c r="A148" s="101" t="s">
        <v>159</v>
      </c>
      <c r="B148" s="107">
        <v>6298383.511864407</v>
      </c>
    </row>
    <row r="149" spans="1:2" ht="16.8" x14ac:dyDescent="0.4">
      <c r="A149" s="103" t="s">
        <v>115</v>
      </c>
      <c r="B149" s="107">
        <v>5140338.5918644071</v>
      </c>
    </row>
    <row r="150" spans="1:2" ht="16.8" x14ac:dyDescent="0.4">
      <c r="A150" s="103" t="s">
        <v>117</v>
      </c>
      <c r="B150" s="107">
        <v>900000</v>
      </c>
    </row>
    <row r="151" spans="1:2" ht="16.8" x14ac:dyDescent="0.4">
      <c r="A151" s="103" t="s">
        <v>120</v>
      </c>
      <c r="B151" s="107">
        <v>258044.92</v>
      </c>
    </row>
    <row r="152" spans="1:2" ht="16.8" x14ac:dyDescent="0.4">
      <c r="A152" s="101" t="s">
        <v>160</v>
      </c>
      <c r="B152" s="107">
        <v>6249745.7108474579</v>
      </c>
    </row>
    <row r="153" spans="1:2" ht="16.8" x14ac:dyDescent="0.4">
      <c r="A153" s="103" t="s">
        <v>115</v>
      </c>
      <c r="B153" s="107">
        <v>2079745.7108474579</v>
      </c>
    </row>
    <row r="154" spans="1:2" ht="16.8" x14ac:dyDescent="0.4">
      <c r="A154" s="103" t="s">
        <v>117</v>
      </c>
      <c r="B154" s="107">
        <v>4170000</v>
      </c>
    </row>
    <row r="155" spans="1:2" ht="16.8" x14ac:dyDescent="0.4">
      <c r="A155" s="101" t="s">
        <v>161</v>
      </c>
      <c r="B155" s="107">
        <v>6157879.059322034</v>
      </c>
    </row>
    <row r="156" spans="1:2" ht="16.8" x14ac:dyDescent="0.4">
      <c r="A156" s="103" t="s">
        <v>115</v>
      </c>
      <c r="B156" s="107">
        <v>4360508.7193220342</v>
      </c>
    </row>
    <row r="157" spans="1:2" ht="16.8" x14ac:dyDescent="0.4">
      <c r="A157" s="103" t="s">
        <v>117</v>
      </c>
      <c r="B157" s="107">
        <v>1170000</v>
      </c>
    </row>
    <row r="158" spans="1:2" ht="16.8" x14ac:dyDescent="0.4">
      <c r="A158" s="103" t="s">
        <v>118</v>
      </c>
      <c r="B158" s="107">
        <v>369325.42</v>
      </c>
    </row>
    <row r="159" spans="1:2" ht="16.8" x14ac:dyDescent="0.4">
      <c r="A159" s="103" t="s">
        <v>120</v>
      </c>
      <c r="B159" s="107">
        <v>258044.92</v>
      </c>
    </row>
    <row r="160" spans="1:2" ht="16.8" x14ac:dyDescent="0.4">
      <c r="A160" s="101" t="s">
        <v>162</v>
      </c>
      <c r="B160" s="107">
        <v>6120000</v>
      </c>
    </row>
    <row r="161" spans="1:2" ht="16.8" x14ac:dyDescent="0.4">
      <c r="A161" s="103" t="s">
        <v>117</v>
      </c>
      <c r="B161" s="107">
        <v>6120000</v>
      </c>
    </row>
    <row r="162" spans="1:2" ht="16.8" x14ac:dyDescent="0.4">
      <c r="A162" s="101" t="s">
        <v>163</v>
      </c>
      <c r="B162" s="107">
        <v>6010675.1908474583</v>
      </c>
    </row>
    <row r="163" spans="1:2" ht="16.8" x14ac:dyDescent="0.4">
      <c r="A163" s="103" t="s">
        <v>115</v>
      </c>
      <c r="B163" s="107">
        <v>4483304.8508474585</v>
      </c>
    </row>
    <row r="164" spans="1:2" ht="16.8" x14ac:dyDescent="0.4">
      <c r="A164" s="103" t="s">
        <v>117</v>
      </c>
      <c r="B164" s="107">
        <v>900000</v>
      </c>
    </row>
    <row r="165" spans="1:2" ht="16.8" x14ac:dyDescent="0.4">
      <c r="A165" s="103" t="s">
        <v>118</v>
      </c>
      <c r="B165" s="107">
        <v>369325.42</v>
      </c>
    </row>
    <row r="166" spans="1:2" ht="16.8" x14ac:dyDescent="0.4">
      <c r="A166" s="103" t="s">
        <v>120</v>
      </c>
      <c r="B166" s="107">
        <v>258044.92</v>
      </c>
    </row>
    <row r="167" spans="1:2" ht="16.8" x14ac:dyDescent="0.4">
      <c r="A167" s="101" t="s">
        <v>164</v>
      </c>
      <c r="B167" s="107">
        <v>5838816.0969491526</v>
      </c>
    </row>
    <row r="168" spans="1:2" ht="16.8" x14ac:dyDescent="0.4">
      <c r="A168" s="103" t="s">
        <v>115</v>
      </c>
      <c r="B168" s="107">
        <v>2949491.0969491526</v>
      </c>
    </row>
    <row r="169" spans="1:2" ht="16.8" x14ac:dyDescent="0.4">
      <c r="A169" s="103" t="s">
        <v>117</v>
      </c>
      <c r="B169" s="107">
        <v>2520000</v>
      </c>
    </row>
    <row r="170" spans="1:2" ht="16.8" x14ac:dyDescent="0.4">
      <c r="A170" s="103" t="s">
        <v>118</v>
      </c>
      <c r="B170" s="107">
        <v>369325</v>
      </c>
    </row>
    <row r="171" spans="1:2" ht="16.8" x14ac:dyDescent="0.4">
      <c r="A171" s="101" t="s">
        <v>165</v>
      </c>
      <c r="B171" s="107">
        <v>5813763.96</v>
      </c>
    </row>
    <row r="172" spans="1:2" ht="16.8" x14ac:dyDescent="0.4">
      <c r="A172" s="103" t="s">
        <v>115</v>
      </c>
      <c r="B172" s="107">
        <v>1322033.96</v>
      </c>
    </row>
    <row r="173" spans="1:2" ht="16.8" x14ac:dyDescent="0.4">
      <c r="A173" s="103" t="s">
        <v>117</v>
      </c>
      <c r="B173" s="107">
        <v>1800000</v>
      </c>
    </row>
    <row r="174" spans="1:2" ht="16.8" x14ac:dyDescent="0.4">
      <c r="A174" s="103" t="s">
        <v>118</v>
      </c>
      <c r="B174" s="107">
        <v>369325</v>
      </c>
    </row>
    <row r="175" spans="1:2" ht="16.8" x14ac:dyDescent="0.4">
      <c r="A175" s="103" t="s">
        <v>120</v>
      </c>
      <c r="B175" s="107">
        <v>2322405</v>
      </c>
    </row>
    <row r="176" spans="1:2" ht="16.8" x14ac:dyDescent="0.4">
      <c r="A176" s="101" t="s">
        <v>166</v>
      </c>
      <c r="B176" s="107">
        <v>5669497.4844067805</v>
      </c>
    </row>
    <row r="177" spans="1:2" ht="16.8" x14ac:dyDescent="0.4">
      <c r="A177" s="103" t="s">
        <v>115</v>
      </c>
      <c r="B177" s="107">
        <v>1114067.6644067797</v>
      </c>
    </row>
    <row r="178" spans="1:2" ht="16.8" x14ac:dyDescent="0.4">
      <c r="A178" s="103" t="s">
        <v>117</v>
      </c>
      <c r="B178" s="107">
        <v>3300000</v>
      </c>
    </row>
    <row r="179" spans="1:2" ht="16.8" x14ac:dyDescent="0.4">
      <c r="A179" s="103" t="s">
        <v>118</v>
      </c>
      <c r="B179" s="107">
        <v>1255429.8199999998</v>
      </c>
    </row>
    <row r="180" spans="1:2" ht="16.8" x14ac:dyDescent="0.4">
      <c r="A180" s="101" t="s">
        <v>167</v>
      </c>
      <c r="B180" s="107">
        <v>5551739.6979999999</v>
      </c>
    </row>
    <row r="181" spans="1:2" ht="16.8" x14ac:dyDescent="0.4">
      <c r="A181" s="103" t="s">
        <v>115</v>
      </c>
      <c r="B181" s="107">
        <v>20338.98</v>
      </c>
    </row>
    <row r="182" spans="1:2" ht="16.8" x14ac:dyDescent="0.4">
      <c r="A182" s="103" t="s">
        <v>116</v>
      </c>
      <c r="B182" s="107">
        <v>2206400.7179999999</v>
      </c>
    </row>
    <row r="183" spans="1:2" ht="16.8" x14ac:dyDescent="0.4">
      <c r="A183" s="103" t="s">
        <v>117</v>
      </c>
      <c r="B183" s="107">
        <v>3325000</v>
      </c>
    </row>
    <row r="184" spans="1:2" ht="16.8" x14ac:dyDescent="0.4">
      <c r="A184" s="101" t="s">
        <v>168</v>
      </c>
      <c r="B184" s="107">
        <v>5414500</v>
      </c>
    </row>
    <row r="185" spans="1:2" ht="16.8" x14ac:dyDescent="0.4">
      <c r="A185" s="103" t="s">
        <v>134</v>
      </c>
      <c r="B185" s="107">
        <v>5414500</v>
      </c>
    </row>
    <row r="186" spans="1:2" ht="16.8" x14ac:dyDescent="0.4">
      <c r="A186" s="101" t="s">
        <v>169</v>
      </c>
      <c r="B186" s="107">
        <v>5367872.881355932</v>
      </c>
    </row>
    <row r="187" spans="1:2" ht="16.8" x14ac:dyDescent="0.4">
      <c r="A187" s="103" t="s">
        <v>134</v>
      </c>
      <c r="B187" s="107">
        <v>5100000</v>
      </c>
    </row>
    <row r="188" spans="1:2" ht="16.8" x14ac:dyDescent="0.4">
      <c r="A188" s="103" t="s">
        <v>131</v>
      </c>
      <c r="B188" s="107">
        <v>267872.88135593222</v>
      </c>
    </row>
    <row r="189" spans="1:2" ht="16.8" x14ac:dyDescent="0.4">
      <c r="A189" s="101" t="s">
        <v>170</v>
      </c>
      <c r="B189" s="107">
        <v>5270251.28</v>
      </c>
    </row>
    <row r="190" spans="1:2" ht="16.8" x14ac:dyDescent="0.4">
      <c r="A190" s="103" t="s">
        <v>115</v>
      </c>
      <c r="B190" s="107">
        <v>3952880.9400000004</v>
      </c>
    </row>
    <row r="191" spans="1:2" ht="16.8" x14ac:dyDescent="0.4">
      <c r="A191" s="103" t="s">
        <v>117</v>
      </c>
      <c r="B191" s="107">
        <v>690000</v>
      </c>
    </row>
    <row r="192" spans="1:2" ht="16.8" x14ac:dyDescent="0.4">
      <c r="A192" s="103" t="s">
        <v>118</v>
      </c>
      <c r="B192" s="107">
        <v>369325.42</v>
      </c>
    </row>
    <row r="193" spans="1:2" ht="16.8" x14ac:dyDescent="0.4">
      <c r="A193" s="103" t="s">
        <v>120</v>
      </c>
      <c r="B193" s="107">
        <v>258044.92</v>
      </c>
    </row>
    <row r="194" spans="1:2" ht="16.8" x14ac:dyDescent="0.4">
      <c r="A194" s="101" t="s">
        <v>171</v>
      </c>
      <c r="B194" s="107">
        <v>5250590.6789830504</v>
      </c>
    </row>
    <row r="195" spans="1:2" ht="16.8" x14ac:dyDescent="0.4">
      <c r="A195" s="103" t="s">
        <v>115</v>
      </c>
      <c r="B195" s="107">
        <v>3933220.3389830505</v>
      </c>
    </row>
    <row r="196" spans="1:2" ht="16.8" x14ac:dyDescent="0.4">
      <c r="A196" s="103" t="s">
        <v>117</v>
      </c>
      <c r="B196" s="107">
        <v>690000</v>
      </c>
    </row>
    <row r="197" spans="1:2" ht="16.8" x14ac:dyDescent="0.4">
      <c r="A197" s="103" t="s">
        <v>118</v>
      </c>
      <c r="B197" s="107">
        <v>369325.42</v>
      </c>
    </row>
    <row r="198" spans="1:2" ht="16.8" x14ac:dyDescent="0.4">
      <c r="A198" s="103" t="s">
        <v>120</v>
      </c>
      <c r="B198" s="107">
        <v>258044.92</v>
      </c>
    </row>
    <row r="199" spans="1:2" ht="16.8" x14ac:dyDescent="0.4">
      <c r="A199" s="101" t="s">
        <v>172</v>
      </c>
      <c r="B199" s="107">
        <v>5218556.4444067795</v>
      </c>
    </row>
    <row r="200" spans="1:2" ht="16.8" x14ac:dyDescent="0.4">
      <c r="A200" s="103" t="s">
        <v>115</v>
      </c>
      <c r="B200" s="107">
        <v>2851186.1044067796</v>
      </c>
    </row>
    <row r="201" spans="1:2" ht="16.8" x14ac:dyDescent="0.4">
      <c r="A201" s="103" t="s">
        <v>117</v>
      </c>
      <c r="B201" s="107">
        <v>1740000</v>
      </c>
    </row>
    <row r="202" spans="1:2" ht="16.8" x14ac:dyDescent="0.4">
      <c r="A202" s="103" t="s">
        <v>118</v>
      </c>
      <c r="B202" s="107">
        <v>369325.42</v>
      </c>
    </row>
    <row r="203" spans="1:2" ht="16.8" x14ac:dyDescent="0.4">
      <c r="A203" s="103" t="s">
        <v>120</v>
      </c>
      <c r="B203" s="107">
        <v>258044.92</v>
      </c>
    </row>
    <row r="204" spans="1:2" ht="16.8" x14ac:dyDescent="0.4">
      <c r="A204" s="101" t="s">
        <v>241</v>
      </c>
      <c r="B204" s="107">
        <v>5067153.38</v>
      </c>
    </row>
    <row r="205" spans="1:2" ht="16.8" x14ac:dyDescent="0.4">
      <c r="A205" s="103" t="s">
        <v>115</v>
      </c>
      <c r="B205" s="107">
        <v>90677.96</v>
      </c>
    </row>
    <row r="206" spans="1:2" ht="16.8" x14ac:dyDescent="0.4">
      <c r="A206" s="103" t="s">
        <v>117</v>
      </c>
      <c r="B206" s="107">
        <v>1650000</v>
      </c>
    </row>
    <row r="207" spans="1:2" ht="16.8" x14ac:dyDescent="0.4">
      <c r="A207" s="103" t="s">
        <v>118</v>
      </c>
      <c r="B207" s="107">
        <v>3326475.42</v>
      </c>
    </row>
    <row r="208" spans="1:2" ht="16.8" x14ac:dyDescent="0.4">
      <c r="A208" s="101" t="s">
        <v>173</v>
      </c>
      <c r="B208" s="107">
        <v>5037877.1898305081</v>
      </c>
    </row>
    <row r="209" spans="1:2" ht="16.8" x14ac:dyDescent="0.4">
      <c r="A209" s="103" t="s">
        <v>115</v>
      </c>
      <c r="B209" s="107">
        <v>2430508.1898305085</v>
      </c>
    </row>
    <row r="210" spans="1:2" ht="16.8" x14ac:dyDescent="0.4">
      <c r="A210" s="103" t="s">
        <v>117</v>
      </c>
      <c r="B210" s="107">
        <v>1980000</v>
      </c>
    </row>
    <row r="211" spans="1:2" ht="16.8" x14ac:dyDescent="0.4">
      <c r="A211" s="103" t="s">
        <v>118</v>
      </c>
      <c r="B211" s="107">
        <v>369325</v>
      </c>
    </row>
    <row r="212" spans="1:2" ht="16.8" x14ac:dyDescent="0.4">
      <c r="A212" s="103" t="s">
        <v>120</v>
      </c>
      <c r="B212" s="107">
        <v>258044</v>
      </c>
    </row>
    <row r="213" spans="1:2" ht="16.8" x14ac:dyDescent="0.4">
      <c r="A213" s="101" t="s">
        <v>180</v>
      </c>
      <c r="B213" s="107">
        <v>4859816.101697525</v>
      </c>
    </row>
    <row r="214" spans="1:2" ht="16.8" x14ac:dyDescent="0.4">
      <c r="A214" s="103" t="s">
        <v>115</v>
      </c>
      <c r="B214" s="107">
        <v>311355.93220600003</v>
      </c>
    </row>
    <row r="215" spans="1:2" ht="16.8" x14ac:dyDescent="0.4">
      <c r="A215" s="103" t="s">
        <v>116</v>
      </c>
      <c r="B215" s="107">
        <v>1694915.2542372881</v>
      </c>
    </row>
    <row r="216" spans="1:2" ht="16.8" x14ac:dyDescent="0.4">
      <c r="A216" s="103" t="s">
        <v>117</v>
      </c>
      <c r="B216" s="107">
        <v>2595500</v>
      </c>
    </row>
    <row r="217" spans="1:2" ht="16.8" x14ac:dyDescent="0.4">
      <c r="A217" s="103" t="s">
        <v>120</v>
      </c>
      <c r="B217" s="107">
        <v>258044.9152542373</v>
      </c>
    </row>
    <row r="218" spans="1:2" ht="16.8" x14ac:dyDescent="0.4">
      <c r="A218" s="101" t="s">
        <v>174</v>
      </c>
      <c r="B218" s="107">
        <v>4844824.6747457627</v>
      </c>
    </row>
    <row r="219" spans="1:2" ht="16.8" x14ac:dyDescent="0.4">
      <c r="A219" s="103" t="s">
        <v>115</v>
      </c>
      <c r="B219" s="107">
        <v>86779.674745762706</v>
      </c>
    </row>
    <row r="220" spans="1:2" ht="16.8" x14ac:dyDescent="0.4">
      <c r="A220" s="103" t="s">
        <v>117</v>
      </c>
      <c r="B220" s="107">
        <v>4500000</v>
      </c>
    </row>
    <row r="221" spans="1:2" ht="16.8" x14ac:dyDescent="0.4">
      <c r="A221" s="103" t="s">
        <v>120</v>
      </c>
      <c r="B221" s="107">
        <v>258045</v>
      </c>
    </row>
    <row r="222" spans="1:2" ht="16.8" x14ac:dyDescent="0.4">
      <c r="A222" s="101" t="s">
        <v>178</v>
      </c>
      <c r="B222" s="107">
        <v>4830679.6562711857</v>
      </c>
    </row>
    <row r="223" spans="1:2" ht="16.8" x14ac:dyDescent="0.4">
      <c r="A223" s="103" t="s">
        <v>115</v>
      </c>
      <c r="B223" s="107">
        <v>4011354.6562711862</v>
      </c>
    </row>
    <row r="224" spans="1:2" ht="16.8" x14ac:dyDescent="0.4">
      <c r="A224" s="103" t="s">
        <v>117</v>
      </c>
      <c r="B224" s="107">
        <v>450000</v>
      </c>
    </row>
    <row r="225" spans="1:2" ht="16.8" x14ac:dyDescent="0.4">
      <c r="A225" s="103" t="s">
        <v>118</v>
      </c>
      <c r="B225" s="107">
        <v>369325</v>
      </c>
    </row>
    <row r="226" spans="1:2" ht="16.8" x14ac:dyDescent="0.4">
      <c r="A226" s="101" t="s">
        <v>175</v>
      </c>
      <c r="B226" s="107">
        <v>4818387.8108474575</v>
      </c>
    </row>
    <row r="227" spans="1:2" ht="16.8" x14ac:dyDescent="0.4">
      <c r="A227" s="103" t="s">
        <v>115</v>
      </c>
      <c r="B227" s="107">
        <v>3361017.4708474576</v>
      </c>
    </row>
    <row r="228" spans="1:2" ht="16.8" x14ac:dyDescent="0.4">
      <c r="A228" s="103" t="s">
        <v>117</v>
      </c>
      <c r="B228" s="107">
        <v>830000</v>
      </c>
    </row>
    <row r="229" spans="1:2" ht="16.8" x14ac:dyDescent="0.4">
      <c r="A229" s="103" t="s">
        <v>118</v>
      </c>
      <c r="B229" s="107">
        <v>369325.42</v>
      </c>
    </row>
    <row r="230" spans="1:2" ht="16.8" x14ac:dyDescent="0.4">
      <c r="A230" s="103" t="s">
        <v>120</v>
      </c>
      <c r="B230" s="107">
        <v>258044.92</v>
      </c>
    </row>
    <row r="231" spans="1:2" ht="16.8" x14ac:dyDescent="0.4">
      <c r="A231" s="101" t="s">
        <v>176</v>
      </c>
      <c r="B231" s="107">
        <v>4779325</v>
      </c>
    </row>
    <row r="232" spans="1:2" ht="16.8" x14ac:dyDescent="0.4">
      <c r="A232" s="103" t="s">
        <v>117</v>
      </c>
      <c r="B232" s="107">
        <v>4410000</v>
      </c>
    </row>
    <row r="233" spans="1:2" ht="16.8" x14ac:dyDescent="0.4">
      <c r="A233" s="103" t="s">
        <v>118</v>
      </c>
      <c r="B233" s="107">
        <v>369325</v>
      </c>
    </row>
    <row r="234" spans="1:2" ht="16.8" x14ac:dyDescent="0.4">
      <c r="A234" s="101" t="s">
        <v>177</v>
      </c>
      <c r="B234" s="107">
        <v>4753087.5762711866</v>
      </c>
    </row>
    <row r="235" spans="1:2" ht="16.8" x14ac:dyDescent="0.4">
      <c r="A235" s="103" t="s">
        <v>115</v>
      </c>
      <c r="B235" s="107">
        <v>508474.57627118647</v>
      </c>
    </row>
    <row r="236" spans="1:2" ht="16.8" x14ac:dyDescent="0.4">
      <c r="A236" s="103" t="s">
        <v>123</v>
      </c>
      <c r="B236" s="107">
        <v>2444613</v>
      </c>
    </row>
    <row r="237" spans="1:2" ht="16.8" x14ac:dyDescent="0.4">
      <c r="A237" s="103" t="s">
        <v>117</v>
      </c>
      <c r="B237" s="107">
        <v>1800000</v>
      </c>
    </row>
    <row r="238" spans="1:2" ht="16.8" x14ac:dyDescent="0.4">
      <c r="A238" s="101" t="s">
        <v>3814</v>
      </c>
      <c r="B238" s="107">
        <v>4723100</v>
      </c>
    </row>
    <row r="239" spans="1:2" ht="16.8" x14ac:dyDescent="0.4">
      <c r="A239" s="103" t="s">
        <v>115</v>
      </c>
      <c r="B239" s="107">
        <v>4723100</v>
      </c>
    </row>
    <row r="240" spans="1:2" ht="16.8" x14ac:dyDescent="0.4">
      <c r="A240" s="101" t="s">
        <v>5</v>
      </c>
      <c r="B240" s="107">
        <v>4628000</v>
      </c>
    </row>
    <row r="241" spans="1:2" ht="16.8" x14ac:dyDescent="0.4">
      <c r="A241" s="103" t="s">
        <v>116</v>
      </c>
      <c r="B241" s="107">
        <v>4628000</v>
      </c>
    </row>
    <row r="242" spans="1:2" ht="16.8" x14ac:dyDescent="0.4">
      <c r="A242" s="101" t="s">
        <v>179</v>
      </c>
      <c r="B242" s="107">
        <v>4559489.26</v>
      </c>
    </row>
    <row r="243" spans="1:2" ht="16.8" x14ac:dyDescent="0.4">
      <c r="A243" s="103" t="s">
        <v>115</v>
      </c>
      <c r="B243" s="107">
        <v>1862119.26</v>
      </c>
    </row>
    <row r="244" spans="1:2" ht="16.8" x14ac:dyDescent="0.4">
      <c r="A244" s="103" t="s">
        <v>117</v>
      </c>
      <c r="B244" s="107">
        <v>2070000</v>
      </c>
    </row>
    <row r="245" spans="1:2" ht="16.8" x14ac:dyDescent="0.4">
      <c r="A245" s="103" t="s">
        <v>118</v>
      </c>
      <c r="B245" s="107">
        <v>369325</v>
      </c>
    </row>
    <row r="246" spans="1:2" ht="16.8" x14ac:dyDescent="0.4">
      <c r="A246" s="103" t="s">
        <v>120</v>
      </c>
      <c r="B246" s="107">
        <v>258045</v>
      </c>
    </row>
    <row r="247" spans="1:2" ht="16.8" x14ac:dyDescent="0.4">
      <c r="A247" s="101" t="s">
        <v>25</v>
      </c>
      <c r="B247" s="107">
        <v>4480500</v>
      </c>
    </row>
    <row r="248" spans="1:2" ht="16.8" x14ac:dyDescent="0.4">
      <c r="A248" s="103" t="s">
        <v>134</v>
      </c>
      <c r="B248" s="107">
        <v>4480500</v>
      </c>
    </row>
    <row r="249" spans="1:2" ht="16.8" x14ac:dyDescent="0.4">
      <c r="A249" s="101" t="s">
        <v>27</v>
      </c>
      <c r="B249" s="107">
        <v>4440000</v>
      </c>
    </row>
    <row r="250" spans="1:2" ht="16.8" x14ac:dyDescent="0.4">
      <c r="A250" s="103" t="s">
        <v>134</v>
      </c>
      <c r="B250" s="107">
        <v>4440000</v>
      </c>
    </row>
    <row r="251" spans="1:2" ht="16.8" x14ac:dyDescent="0.4">
      <c r="A251" s="101" t="s">
        <v>3825</v>
      </c>
      <c r="B251" s="107">
        <v>4436653</v>
      </c>
    </row>
    <row r="252" spans="1:2" ht="16.8" x14ac:dyDescent="0.4">
      <c r="A252" s="103" t="s">
        <v>3801</v>
      </c>
      <c r="B252" s="107">
        <v>4436653</v>
      </c>
    </row>
    <row r="253" spans="1:2" ht="16.8" x14ac:dyDescent="0.4">
      <c r="A253" s="101" t="s">
        <v>184</v>
      </c>
      <c r="B253" s="107">
        <v>4427799.5762339998</v>
      </c>
    </row>
    <row r="254" spans="1:2" ht="16.8" x14ac:dyDescent="0.4">
      <c r="A254" s="103" t="s">
        <v>115</v>
      </c>
      <c r="B254" s="107">
        <v>1778474.576234</v>
      </c>
    </row>
    <row r="255" spans="1:2" ht="16.8" x14ac:dyDescent="0.4">
      <c r="A255" s="103" t="s">
        <v>117</v>
      </c>
      <c r="B255" s="107">
        <v>2280000</v>
      </c>
    </row>
    <row r="256" spans="1:2" ht="16.8" x14ac:dyDescent="0.4">
      <c r="A256" s="103" t="s">
        <v>118</v>
      </c>
      <c r="B256" s="107">
        <v>369325</v>
      </c>
    </row>
    <row r="257" spans="1:2" ht="16.8" x14ac:dyDescent="0.4">
      <c r="A257" s="101" t="s">
        <v>181</v>
      </c>
      <c r="B257" s="107">
        <v>4399063.5593220275</v>
      </c>
    </row>
    <row r="258" spans="1:2" ht="16.8" x14ac:dyDescent="0.4">
      <c r="A258" s="103" t="s">
        <v>115</v>
      </c>
      <c r="B258" s="107">
        <v>566101.69491525425</v>
      </c>
    </row>
    <row r="259" spans="1:2" ht="16.8" x14ac:dyDescent="0.4">
      <c r="A259" s="103" t="s">
        <v>134</v>
      </c>
      <c r="B259" s="107">
        <v>3463636.4406779599</v>
      </c>
    </row>
    <row r="260" spans="1:2" ht="16.8" x14ac:dyDescent="0.4">
      <c r="A260" s="103" t="s">
        <v>118</v>
      </c>
      <c r="B260" s="107">
        <v>369325.42372881301</v>
      </c>
    </row>
    <row r="261" spans="1:2" ht="16.8" x14ac:dyDescent="0.4">
      <c r="A261" s="101" t="s">
        <v>182</v>
      </c>
      <c r="B261" s="107">
        <v>4306692.1352542378</v>
      </c>
    </row>
    <row r="262" spans="1:2" ht="16.8" x14ac:dyDescent="0.4">
      <c r="A262" s="103" t="s">
        <v>115</v>
      </c>
      <c r="B262" s="107">
        <v>2779321.7952542375</v>
      </c>
    </row>
    <row r="263" spans="1:2" ht="16.8" x14ac:dyDescent="0.4">
      <c r="A263" s="103" t="s">
        <v>117</v>
      </c>
      <c r="B263" s="107">
        <v>900000</v>
      </c>
    </row>
    <row r="264" spans="1:2" ht="16.8" x14ac:dyDescent="0.4">
      <c r="A264" s="103" t="s">
        <v>118</v>
      </c>
      <c r="B264" s="107">
        <v>369325.42</v>
      </c>
    </row>
    <row r="265" spans="1:2" ht="16.8" x14ac:dyDescent="0.4">
      <c r="A265" s="103" t="s">
        <v>120</v>
      </c>
      <c r="B265" s="107">
        <v>258044.92</v>
      </c>
    </row>
    <row r="266" spans="1:2" ht="16.8" x14ac:dyDescent="0.4">
      <c r="A266" s="101" t="s">
        <v>183</v>
      </c>
      <c r="B266" s="107">
        <v>4270596.6100000003</v>
      </c>
    </row>
    <row r="267" spans="1:2" ht="16.8" x14ac:dyDescent="0.4">
      <c r="A267" s="103" t="s">
        <v>115</v>
      </c>
      <c r="B267" s="107">
        <v>301271.19</v>
      </c>
    </row>
    <row r="268" spans="1:2" ht="16.8" x14ac:dyDescent="0.4">
      <c r="A268" s="103" t="s">
        <v>134</v>
      </c>
      <c r="B268" s="107">
        <v>3600000</v>
      </c>
    </row>
    <row r="269" spans="1:2" ht="16.8" x14ac:dyDescent="0.4">
      <c r="A269" s="103" t="s">
        <v>118</v>
      </c>
      <c r="B269" s="107">
        <v>369325.42</v>
      </c>
    </row>
    <row r="270" spans="1:2" ht="16.8" x14ac:dyDescent="0.4">
      <c r="A270" s="101" t="s">
        <v>185</v>
      </c>
      <c r="B270" s="107">
        <v>4258388.0249150172</v>
      </c>
    </row>
    <row r="271" spans="1:2" ht="16.8" x14ac:dyDescent="0.4">
      <c r="A271" s="103" t="s">
        <v>115</v>
      </c>
      <c r="B271" s="107">
        <v>2911017.2649150169</v>
      </c>
    </row>
    <row r="272" spans="1:2" ht="16.8" x14ac:dyDescent="0.4">
      <c r="A272" s="103" t="s">
        <v>117</v>
      </c>
      <c r="B272" s="107">
        <v>720000</v>
      </c>
    </row>
    <row r="273" spans="1:2" ht="16.8" x14ac:dyDescent="0.4">
      <c r="A273" s="103" t="s">
        <v>118</v>
      </c>
      <c r="B273" s="107">
        <v>369325</v>
      </c>
    </row>
    <row r="274" spans="1:2" ht="16.8" x14ac:dyDescent="0.4">
      <c r="A274" s="103" t="s">
        <v>120</v>
      </c>
      <c r="B274" s="107">
        <v>258045.76</v>
      </c>
    </row>
    <row r="275" spans="1:2" ht="16.8" x14ac:dyDescent="0.4">
      <c r="A275" s="101" t="s">
        <v>186</v>
      </c>
      <c r="B275" s="107">
        <v>4243980.4662711862</v>
      </c>
    </row>
    <row r="276" spans="1:2" ht="16.8" x14ac:dyDescent="0.4">
      <c r="A276" s="103" t="s">
        <v>115</v>
      </c>
      <c r="B276" s="107">
        <v>3166610.4662711862</v>
      </c>
    </row>
    <row r="277" spans="1:2" ht="16.8" x14ac:dyDescent="0.4">
      <c r="A277" s="103" t="s">
        <v>117</v>
      </c>
      <c r="B277" s="107">
        <v>450000</v>
      </c>
    </row>
    <row r="278" spans="1:2" ht="16.8" x14ac:dyDescent="0.4">
      <c r="A278" s="103" t="s">
        <v>118</v>
      </c>
      <c r="B278" s="107">
        <v>369325</v>
      </c>
    </row>
    <row r="279" spans="1:2" ht="16.8" x14ac:dyDescent="0.4">
      <c r="A279" s="103" t="s">
        <v>120</v>
      </c>
      <c r="B279" s="107">
        <v>258045</v>
      </c>
    </row>
    <row r="280" spans="1:2" ht="16.8" x14ac:dyDescent="0.4">
      <c r="A280" s="101" t="s">
        <v>187</v>
      </c>
      <c r="B280" s="107">
        <v>4238000</v>
      </c>
    </row>
    <row r="281" spans="1:2" ht="16.8" x14ac:dyDescent="0.4">
      <c r="A281" s="103" t="s">
        <v>117</v>
      </c>
      <c r="B281" s="107">
        <v>4238000</v>
      </c>
    </row>
    <row r="282" spans="1:2" ht="16.8" x14ac:dyDescent="0.4">
      <c r="A282" s="101" t="s">
        <v>188</v>
      </c>
      <c r="B282" s="107">
        <v>4157285.39</v>
      </c>
    </row>
    <row r="283" spans="1:2" ht="16.8" x14ac:dyDescent="0.4">
      <c r="A283" s="103" t="s">
        <v>115</v>
      </c>
      <c r="B283" s="107">
        <v>2269915.39</v>
      </c>
    </row>
    <row r="284" spans="1:2" ht="16.8" x14ac:dyDescent="0.4">
      <c r="A284" s="103" t="s">
        <v>117</v>
      </c>
      <c r="B284" s="107">
        <v>1260000</v>
      </c>
    </row>
    <row r="285" spans="1:2" ht="16.8" x14ac:dyDescent="0.4">
      <c r="A285" s="103" t="s">
        <v>118</v>
      </c>
      <c r="B285" s="107">
        <v>369325</v>
      </c>
    </row>
    <row r="286" spans="1:2" ht="16.8" x14ac:dyDescent="0.4">
      <c r="A286" s="103" t="s">
        <v>120</v>
      </c>
      <c r="B286" s="107">
        <v>258045</v>
      </c>
    </row>
    <row r="287" spans="1:2" ht="16.8" x14ac:dyDescent="0.4">
      <c r="A287" s="101" t="s">
        <v>189</v>
      </c>
      <c r="B287" s="107">
        <v>4151014.1962711867</v>
      </c>
    </row>
    <row r="288" spans="1:2" ht="16.8" x14ac:dyDescent="0.4">
      <c r="A288" s="103" t="s">
        <v>115</v>
      </c>
      <c r="B288" s="107">
        <v>2743643.8562711868</v>
      </c>
    </row>
    <row r="289" spans="1:2" ht="16.8" x14ac:dyDescent="0.4">
      <c r="A289" s="103" t="s">
        <v>117</v>
      </c>
      <c r="B289" s="107">
        <v>780000</v>
      </c>
    </row>
    <row r="290" spans="1:2" ht="16.8" x14ac:dyDescent="0.4">
      <c r="A290" s="103" t="s">
        <v>118</v>
      </c>
      <c r="B290" s="107">
        <v>369325.42</v>
      </c>
    </row>
    <row r="291" spans="1:2" ht="16.8" x14ac:dyDescent="0.4">
      <c r="A291" s="103" t="s">
        <v>120</v>
      </c>
      <c r="B291" s="107">
        <v>258044.92</v>
      </c>
    </row>
    <row r="292" spans="1:2" ht="16.8" x14ac:dyDescent="0.4">
      <c r="A292" s="101" t="s">
        <v>190</v>
      </c>
      <c r="B292" s="107">
        <v>4074923.6666666665</v>
      </c>
    </row>
    <row r="293" spans="1:2" ht="16.8" x14ac:dyDescent="0.4">
      <c r="A293" s="103" t="s">
        <v>116</v>
      </c>
      <c r="B293" s="107">
        <v>3725007</v>
      </c>
    </row>
    <row r="294" spans="1:2" ht="16.8" x14ac:dyDescent="0.4">
      <c r="A294" s="103" t="s">
        <v>137</v>
      </c>
      <c r="B294" s="107">
        <v>349916.66666666669</v>
      </c>
    </row>
    <row r="295" spans="1:2" ht="16.8" x14ac:dyDescent="0.4">
      <c r="A295" s="101" t="s">
        <v>191</v>
      </c>
      <c r="B295" s="107">
        <v>4024228.4099999997</v>
      </c>
    </row>
    <row r="296" spans="1:2" ht="16.8" x14ac:dyDescent="0.4">
      <c r="A296" s="103" t="s">
        <v>115</v>
      </c>
      <c r="B296" s="107">
        <v>19491.53</v>
      </c>
    </row>
    <row r="297" spans="1:2" ht="16.8" x14ac:dyDescent="0.4">
      <c r="A297" s="103" t="s">
        <v>117</v>
      </c>
      <c r="B297" s="107">
        <v>3059322.04</v>
      </c>
    </row>
    <row r="298" spans="1:2" ht="16.8" x14ac:dyDescent="0.4">
      <c r="A298" s="103" t="s">
        <v>118</v>
      </c>
      <c r="B298" s="107">
        <v>369325</v>
      </c>
    </row>
    <row r="299" spans="1:2" ht="16.8" x14ac:dyDescent="0.4">
      <c r="A299" s="103" t="s">
        <v>120</v>
      </c>
      <c r="B299" s="107">
        <v>516089.84</v>
      </c>
    </row>
    <row r="300" spans="1:2" ht="16.8" x14ac:dyDescent="0.4">
      <c r="A300" s="103" t="s">
        <v>131</v>
      </c>
      <c r="B300" s="107">
        <v>60000</v>
      </c>
    </row>
    <row r="301" spans="1:2" ht="16.8" x14ac:dyDescent="0.4">
      <c r="A301" s="101" t="s">
        <v>192</v>
      </c>
      <c r="B301" s="107">
        <v>4020866.1186490003</v>
      </c>
    </row>
    <row r="302" spans="1:2" ht="16.8" x14ac:dyDescent="0.4">
      <c r="A302" s="103" t="s">
        <v>115</v>
      </c>
      <c r="B302" s="107">
        <v>957627.11864900007</v>
      </c>
    </row>
    <row r="303" spans="1:2" ht="16.8" x14ac:dyDescent="0.4">
      <c r="A303" s="103" t="s">
        <v>117</v>
      </c>
      <c r="B303" s="107">
        <v>2521654</v>
      </c>
    </row>
    <row r="304" spans="1:2" ht="16.8" x14ac:dyDescent="0.4">
      <c r="A304" s="103" t="s">
        <v>118</v>
      </c>
      <c r="B304" s="107">
        <v>541585</v>
      </c>
    </row>
    <row r="305" spans="1:2" ht="16.8" x14ac:dyDescent="0.4">
      <c r="A305" s="101" t="s">
        <v>193</v>
      </c>
      <c r="B305" s="107">
        <v>3986014.8</v>
      </c>
    </row>
    <row r="306" spans="1:2" ht="16.8" x14ac:dyDescent="0.4">
      <c r="A306" s="103" t="s">
        <v>115</v>
      </c>
      <c r="B306" s="107">
        <v>2668644.38</v>
      </c>
    </row>
    <row r="307" spans="1:2" ht="16.8" x14ac:dyDescent="0.4">
      <c r="A307" s="103" t="s">
        <v>117</v>
      </c>
      <c r="B307" s="107">
        <v>690000</v>
      </c>
    </row>
    <row r="308" spans="1:2" ht="16.8" x14ac:dyDescent="0.4">
      <c r="A308" s="103" t="s">
        <v>118</v>
      </c>
      <c r="B308" s="107">
        <v>369325.42</v>
      </c>
    </row>
    <row r="309" spans="1:2" ht="16.8" x14ac:dyDescent="0.4">
      <c r="A309" s="103" t="s">
        <v>120</v>
      </c>
      <c r="B309" s="107">
        <v>258045</v>
      </c>
    </row>
    <row r="310" spans="1:2" ht="16.8" x14ac:dyDescent="0.4">
      <c r="A310" s="101" t="s">
        <v>194</v>
      </c>
      <c r="B310" s="107">
        <v>3960591.0130508472</v>
      </c>
    </row>
    <row r="311" spans="1:2" ht="16.8" x14ac:dyDescent="0.4">
      <c r="A311" s="103" t="s">
        <v>115</v>
      </c>
      <c r="B311" s="107">
        <v>2643220.6730508474</v>
      </c>
    </row>
    <row r="312" spans="1:2" ht="16.8" x14ac:dyDescent="0.4">
      <c r="A312" s="103" t="s">
        <v>117</v>
      </c>
      <c r="B312" s="107">
        <v>690000</v>
      </c>
    </row>
    <row r="313" spans="1:2" ht="16.8" x14ac:dyDescent="0.4">
      <c r="A313" s="103" t="s">
        <v>118</v>
      </c>
      <c r="B313" s="107">
        <v>369325.42</v>
      </c>
    </row>
    <row r="314" spans="1:2" ht="16.8" x14ac:dyDescent="0.4">
      <c r="A314" s="103" t="s">
        <v>120</v>
      </c>
      <c r="B314" s="107">
        <v>258044.92</v>
      </c>
    </row>
    <row r="315" spans="1:2" ht="16.8" x14ac:dyDescent="0.4">
      <c r="A315" s="101" t="s">
        <v>195</v>
      </c>
      <c r="B315" s="107">
        <v>3846098.8600000003</v>
      </c>
    </row>
    <row r="316" spans="1:2" ht="16.8" x14ac:dyDescent="0.4">
      <c r="A316" s="103" t="s">
        <v>115</v>
      </c>
      <c r="B316" s="107">
        <v>2318728.5200000005</v>
      </c>
    </row>
    <row r="317" spans="1:2" ht="16.8" x14ac:dyDescent="0.4">
      <c r="A317" s="103" t="s">
        <v>117</v>
      </c>
      <c r="B317" s="107">
        <v>900000</v>
      </c>
    </row>
    <row r="318" spans="1:2" ht="16.8" x14ac:dyDescent="0.4">
      <c r="A318" s="103" t="s">
        <v>118</v>
      </c>
      <c r="B318" s="107">
        <v>369325.42</v>
      </c>
    </row>
    <row r="319" spans="1:2" ht="16.8" x14ac:dyDescent="0.4">
      <c r="A319" s="103" t="s">
        <v>120</v>
      </c>
      <c r="B319" s="107">
        <v>258044.92</v>
      </c>
    </row>
    <row r="320" spans="1:2" ht="16.8" x14ac:dyDescent="0.4">
      <c r="A320" s="101" t="s">
        <v>196</v>
      </c>
      <c r="B320" s="107">
        <v>3798650.84</v>
      </c>
    </row>
    <row r="321" spans="1:2" ht="16.8" x14ac:dyDescent="0.4">
      <c r="A321" s="103" t="s">
        <v>117</v>
      </c>
      <c r="B321" s="107">
        <v>3060000</v>
      </c>
    </row>
    <row r="322" spans="1:2" ht="16.8" x14ac:dyDescent="0.4">
      <c r="A322" s="103" t="s">
        <v>118</v>
      </c>
      <c r="B322" s="107">
        <v>738650.84</v>
      </c>
    </row>
    <row r="323" spans="1:2" ht="16.8" x14ac:dyDescent="0.4">
      <c r="A323" s="101" t="s">
        <v>197</v>
      </c>
      <c r="B323" s="107">
        <v>3745762.694412</v>
      </c>
    </row>
    <row r="324" spans="1:2" ht="16.8" x14ac:dyDescent="0.4">
      <c r="A324" s="103" t="s">
        <v>115</v>
      </c>
      <c r="B324" s="107">
        <v>1615762.694412</v>
      </c>
    </row>
    <row r="325" spans="1:2" ht="16.8" x14ac:dyDescent="0.4">
      <c r="A325" s="103" t="s">
        <v>117</v>
      </c>
      <c r="B325" s="107">
        <v>2130000</v>
      </c>
    </row>
    <row r="326" spans="1:2" ht="16.8" x14ac:dyDescent="0.4">
      <c r="A326" s="101" t="s">
        <v>198</v>
      </c>
      <c r="B326" s="107">
        <v>3666700.82</v>
      </c>
    </row>
    <row r="327" spans="1:2" ht="16.8" x14ac:dyDescent="0.4">
      <c r="A327" s="103" t="s">
        <v>115</v>
      </c>
      <c r="B327" s="107">
        <v>408050.82</v>
      </c>
    </row>
    <row r="328" spans="1:2" ht="16.8" x14ac:dyDescent="0.4">
      <c r="A328" s="103" t="s">
        <v>117</v>
      </c>
      <c r="B328" s="107">
        <v>2520000</v>
      </c>
    </row>
    <row r="329" spans="1:2" ht="16.8" x14ac:dyDescent="0.4">
      <c r="A329" s="103" t="s">
        <v>118</v>
      </c>
      <c r="B329" s="107">
        <v>738650</v>
      </c>
    </row>
    <row r="330" spans="1:2" ht="16.8" x14ac:dyDescent="0.4">
      <c r="A330" s="101" t="s">
        <v>39</v>
      </c>
      <c r="B330" s="107">
        <v>3628816.53</v>
      </c>
    </row>
    <row r="331" spans="1:2" ht="16.8" x14ac:dyDescent="0.4">
      <c r="A331" s="103" t="s">
        <v>115</v>
      </c>
      <c r="B331" s="107">
        <v>19491.53</v>
      </c>
    </row>
    <row r="332" spans="1:2" ht="16.8" x14ac:dyDescent="0.4">
      <c r="A332" s="103" t="s">
        <v>117</v>
      </c>
      <c r="B332" s="107">
        <v>3240000</v>
      </c>
    </row>
    <row r="333" spans="1:2" ht="16.8" x14ac:dyDescent="0.4">
      <c r="A333" s="103" t="s">
        <v>118</v>
      </c>
      <c r="B333" s="107">
        <v>369325</v>
      </c>
    </row>
    <row r="334" spans="1:2" ht="16.8" x14ac:dyDescent="0.4">
      <c r="A334" s="101" t="s">
        <v>199</v>
      </c>
      <c r="B334" s="107">
        <v>3609325</v>
      </c>
    </row>
    <row r="335" spans="1:2" ht="16.8" x14ac:dyDescent="0.4">
      <c r="A335" s="103" t="s">
        <v>117</v>
      </c>
      <c r="B335" s="107">
        <v>3240000</v>
      </c>
    </row>
    <row r="336" spans="1:2" ht="16.8" x14ac:dyDescent="0.4">
      <c r="A336" s="103" t="s">
        <v>118</v>
      </c>
      <c r="B336" s="107">
        <v>369325</v>
      </c>
    </row>
    <row r="337" spans="1:2" ht="16.8" x14ac:dyDescent="0.4">
      <c r="A337" s="101" t="s">
        <v>200</v>
      </c>
      <c r="B337" s="107">
        <v>3607630.8164406782</v>
      </c>
    </row>
    <row r="338" spans="1:2" ht="16.8" x14ac:dyDescent="0.4">
      <c r="A338" s="103" t="s">
        <v>115</v>
      </c>
      <c r="B338" s="107">
        <v>2548305.3964406783</v>
      </c>
    </row>
    <row r="339" spans="1:2" ht="16.8" x14ac:dyDescent="0.4">
      <c r="A339" s="103" t="s">
        <v>117</v>
      </c>
      <c r="B339" s="107">
        <v>690000</v>
      </c>
    </row>
    <row r="340" spans="1:2" ht="16.8" x14ac:dyDescent="0.4">
      <c r="A340" s="103" t="s">
        <v>118</v>
      </c>
      <c r="B340" s="107">
        <v>369325.42</v>
      </c>
    </row>
    <row r="341" spans="1:2" ht="16.8" x14ac:dyDescent="0.4">
      <c r="A341" s="101" t="s">
        <v>29</v>
      </c>
      <c r="B341" s="107">
        <v>3600000</v>
      </c>
    </row>
    <row r="342" spans="1:2" ht="16.8" x14ac:dyDescent="0.4">
      <c r="A342" s="103" t="s">
        <v>134</v>
      </c>
      <c r="B342" s="107">
        <v>3600000</v>
      </c>
    </row>
    <row r="343" spans="1:2" ht="16.8" x14ac:dyDescent="0.4">
      <c r="A343" s="101" t="s">
        <v>3827</v>
      </c>
      <c r="B343" s="107">
        <v>3555500</v>
      </c>
    </row>
    <row r="344" spans="1:2" ht="16.8" x14ac:dyDescent="0.4">
      <c r="A344" s="103" t="s">
        <v>3828</v>
      </c>
      <c r="B344" s="107">
        <v>3555500</v>
      </c>
    </row>
    <row r="345" spans="1:2" ht="16.8" x14ac:dyDescent="0.4">
      <c r="A345" s="101" t="s">
        <v>201</v>
      </c>
      <c r="B345" s="107">
        <v>3546005.9038983048</v>
      </c>
    </row>
    <row r="346" spans="1:2" ht="16.8" x14ac:dyDescent="0.4">
      <c r="A346" s="103" t="s">
        <v>115</v>
      </c>
      <c r="B346" s="107">
        <v>2248135.5638983049</v>
      </c>
    </row>
    <row r="347" spans="1:2" ht="16.8" x14ac:dyDescent="0.4">
      <c r="A347" s="103" t="s">
        <v>117</v>
      </c>
      <c r="B347" s="107">
        <v>510000</v>
      </c>
    </row>
    <row r="348" spans="1:2" ht="16.8" x14ac:dyDescent="0.4">
      <c r="A348" s="103" t="s">
        <v>118</v>
      </c>
      <c r="B348" s="107">
        <v>369325.42</v>
      </c>
    </row>
    <row r="349" spans="1:2" ht="16.8" x14ac:dyDescent="0.4">
      <c r="A349" s="103" t="s">
        <v>120</v>
      </c>
      <c r="B349" s="107">
        <v>258044.92</v>
      </c>
    </row>
    <row r="350" spans="1:2" ht="16.8" x14ac:dyDescent="0.4">
      <c r="A350" s="103" t="s">
        <v>131</v>
      </c>
      <c r="B350" s="107">
        <v>160500</v>
      </c>
    </row>
    <row r="351" spans="1:2" ht="16.8" x14ac:dyDescent="0.4">
      <c r="A351" s="101" t="s">
        <v>110</v>
      </c>
      <c r="B351" s="107">
        <v>3416949.1525423732</v>
      </c>
    </row>
    <row r="352" spans="1:2" ht="16.8" x14ac:dyDescent="0.4">
      <c r="A352" s="103" t="s">
        <v>115</v>
      </c>
      <c r="B352" s="107">
        <v>3416949.1525423732</v>
      </c>
    </row>
    <row r="353" spans="1:2" ht="16.8" x14ac:dyDescent="0.4">
      <c r="A353" s="101" t="s">
        <v>202</v>
      </c>
      <c r="B353" s="107">
        <v>3414488.7040677965</v>
      </c>
    </row>
    <row r="354" spans="1:2" ht="16.8" x14ac:dyDescent="0.4">
      <c r="A354" s="103" t="s">
        <v>115</v>
      </c>
      <c r="B354" s="107">
        <v>2097118.3640677969</v>
      </c>
    </row>
    <row r="355" spans="1:2" ht="16.8" x14ac:dyDescent="0.4">
      <c r="A355" s="103" t="s">
        <v>117</v>
      </c>
      <c r="B355" s="107">
        <v>690000</v>
      </c>
    </row>
    <row r="356" spans="1:2" ht="16.8" x14ac:dyDescent="0.4">
      <c r="A356" s="103" t="s">
        <v>118</v>
      </c>
      <c r="B356" s="107">
        <v>369325.42</v>
      </c>
    </row>
    <row r="357" spans="1:2" ht="16.8" x14ac:dyDescent="0.4">
      <c r="A357" s="103" t="s">
        <v>120</v>
      </c>
      <c r="B357" s="107">
        <v>258044.92</v>
      </c>
    </row>
    <row r="358" spans="1:2" ht="16.8" x14ac:dyDescent="0.4">
      <c r="A358" s="101" t="s">
        <v>203</v>
      </c>
      <c r="B358" s="107">
        <v>3403728.8181360001</v>
      </c>
    </row>
    <row r="359" spans="1:2" ht="16.8" x14ac:dyDescent="0.4">
      <c r="A359" s="103" t="s">
        <v>115</v>
      </c>
      <c r="B359" s="107">
        <v>73728.818136000002</v>
      </c>
    </row>
    <row r="360" spans="1:2" ht="16.8" x14ac:dyDescent="0.4">
      <c r="A360" s="103" t="s">
        <v>117</v>
      </c>
      <c r="B360" s="107">
        <v>3330000</v>
      </c>
    </row>
    <row r="361" spans="1:2" ht="16.8" x14ac:dyDescent="0.4">
      <c r="A361" s="101" t="s">
        <v>204</v>
      </c>
      <c r="B361" s="107">
        <v>3184067.7966101696</v>
      </c>
    </row>
    <row r="362" spans="1:2" ht="16.8" x14ac:dyDescent="0.4">
      <c r="A362" s="103" t="s">
        <v>115</v>
      </c>
      <c r="B362" s="107">
        <v>244067.79661016952</v>
      </c>
    </row>
    <row r="363" spans="1:2" ht="16.8" x14ac:dyDescent="0.4">
      <c r="A363" s="103" t="s">
        <v>117</v>
      </c>
      <c r="B363" s="107">
        <v>2940000</v>
      </c>
    </row>
    <row r="364" spans="1:2" ht="16.8" x14ac:dyDescent="0.4">
      <c r="A364" s="101" t="s">
        <v>206</v>
      </c>
      <c r="B364" s="107">
        <v>3100000</v>
      </c>
    </row>
    <row r="365" spans="1:2" ht="16.8" x14ac:dyDescent="0.4">
      <c r="A365" s="103" t="s">
        <v>134</v>
      </c>
      <c r="B365" s="107">
        <v>3100000</v>
      </c>
    </row>
    <row r="366" spans="1:2" ht="16.8" x14ac:dyDescent="0.4">
      <c r="A366" s="101" t="s">
        <v>3819</v>
      </c>
      <c r="B366" s="107">
        <v>3020700</v>
      </c>
    </row>
    <row r="367" spans="1:2" ht="16.8" x14ac:dyDescent="0.4">
      <c r="A367" s="103" t="s">
        <v>115</v>
      </c>
      <c r="B367" s="107">
        <v>3020700</v>
      </c>
    </row>
    <row r="368" spans="1:2" ht="16.8" x14ac:dyDescent="0.4">
      <c r="A368" s="101" t="s">
        <v>210</v>
      </c>
      <c r="B368" s="107">
        <v>2997008.77</v>
      </c>
    </row>
    <row r="369" spans="1:2" ht="16.8" x14ac:dyDescent="0.4">
      <c r="A369" s="103" t="s">
        <v>115</v>
      </c>
      <c r="B369" s="107">
        <v>175423.77</v>
      </c>
    </row>
    <row r="370" spans="1:2" ht="16.8" x14ac:dyDescent="0.4">
      <c r="A370" s="103" t="s">
        <v>117</v>
      </c>
      <c r="B370" s="107">
        <v>2280000</v>
      </c>
    </row>
    <row r="371" spans="1:2" ht="16.8" x14ac:dyDescent="0.4">
      <c r="A371" s="103" t="s">
        <v>118</v>
      </c>
      <c r="B371" s="107">
        <v>541585</v>
      </c>
    </row>
    <row r="372" spans="1:2" ht="16.8" x14ac:dyDescent="0.4">
      <c r="A372" s="101" t="s">
        <v>205</v>
      </c>
      <c r="B372" s="107">
        <v>2973641.4266101695</v>
      </c>
    </row>
    <row r="373" spans="1:2" ht="16.8" x14ac:dyDescent="0.4">
      <c r="A373" s="103" t="s">
        <v>115</v>
      </c>
      <c r="B373" s="107">
        <v>1656271.5066101695</v>
      </c>
    </row>
    <row r="374" spans="1:2" ht="16.8" x14ac:dyDescent="0.4">
      <c r="A374" s="103" t="s">
        <v>117</v>
      </c>
      <c r="B374" s="107">
        <v>690000</v>
      </c>
    </row>
    <row r="375" spans="1:2" ht="16.8" x14ac:dyDescent="0.4">
      <c r="A375" s="103" t="s">
        <v>118</v>
      </c>
      <c r="B375" s="107">
        <v>369325</v>
      </c>
    </row>
    <row r="376" spans="1:2" ht="16.8" x14ac:dyDescent="0.4">
      <c r="A376" s="103" t="s">
        <v>120</v>
      </c>
      <c r="B376" s="107">
        <v>258044.92</v>
      </c>
    </row>
    <row r="377" spans="1:2" ht="16.8" x14ac:dyDescent="0.4">
      <c r="A377" s="101" t="s">
        <v>30</v>
      </c>
      <c r="B377" s="107">
        <v>2967325.42</v>
      </c>
    </row>
    <row r="378" spans="1:2" ht="16.8" x14ac:dyDescent="0.4">
      <c r="A378" s="103" t="s">
        <v>117</v>
      </c>
      <c r="B378" s="107">
        <v>2598000</v>
      </c>
    </row>
    <row r="379" spans="1:2" ht="16.8" x14ac:dyDescent="0.4">
      <c r="A379" s="103" t="s">
        <v>118</v>
      </c>
      <c r="B379" s="107">
        <v>369325.42</v>
      </c>
    </row>
    <row r="380" spans="1:2" ht="16.8" x14ac:dyDescent="0.4">
      <c r="A380" s="101" t="s">
        <v>50</v>
      </c>
      <c r="B380" s="107">
        <v>2934324.7800000003</v>
      </c>
    </row>
    <row r="381" spans="1:2" ht="16.8" x14ac:dyDescent="0.4">
      <c r="A381" s="103" t="s">
        <v>115</v>
      </c>
      <c r="B381" s="107">
        <v>1664999.78</v>
      </c>
    </row>
    <row r="382" spans="1:2" ht="16.8" x14ac:dyDescent="0.4">
      <c r="A382" s="103" t="s">
        <v>117</v>
      </c>
      <c r="B382" s="107">
        <v>900000</v>
      </c>
    </row>
    <row r="383" spans="1:2" ht="16.8" x14ac:dyDescent="0.4">
      <c r="A383" s="103" t="s">
        <v>118</v>
      </c>
      <c r="B383" s="107">
        <v>369325</v>
      </c>
    </row>
    <row r="384" spans="1:2" ht="16.8" x14ac:dyDescent="0.4">
      <c r="A384" s="101" t="s">
        <v>207</v>
      </c>
      <c r="B384" s="107">
        <v>2917709.66</v>
      </c>
    </row>
    <row r="385" spans="1:2" ht="16.8" x14ac:dyDescent="0.4">
      <c r="A385" s="103" t="s">
        <v>115</v>
      </c>
      <c r="B385" s="107">
        <v>1600339.32</v>
      </c>
    </row>
    <row r="386" spans="1:2" ht="16.8" x14ac:dyDescent="0.4">
      <c r="A386" s="103" t="s">
        <v>117</v>
      </c>
      <c r="B386" s="107">
        <v>690000</v>
      </c>
    </row>
    <row r="387" spans="1:2" ht="16.8" x14ac:dyDescent="0.4">
      <c r="A387" s="103" t="s">
        <v>118</v>
      </c>
      <c r="B387" s="107">
        <v>369325.42</v>
      </c>
    </row>
    <row r="388" spans="1:2" ht="16.8" x14ac:dyDescent="0.4">
      <c r="A388" s="103" t="s">
        <v>120</v>
      </c>
      <c r="B388" s="107">
        <v>258044.92</v>
      </c>
    </row>
    <row r="389" spans="1:2" ht="16.8" x14ac:dyDescent="0.4">
      <c r="A389" s="101" t="s">
        <v>208</v>
      </c>
      <c r="B389" s="107">
        <v>2916353.36</v>
      </c>
    </row>
    <row r="390" spans="1:2" ht="16.8" x14ac:dyDescent="0.4">
      <c r="A390" s="103" t="s">
        <v>115</v>
      </c>
      <c r="B390" s="107">
        <v>1388983.02</v>
      </c>
    </row>
    <row r="391" spans="1:2" ht="16.8" x14ac:dyDescent="0.4">
      <c r="A391" s="103" t="s">
        <v>117</v>
      </c>
      <c r="B391" s="107">
        <v>900000</v>
      </c>
    </row>
    <row r="392" spans="1:2" ht="16.8" x14ac:dyDescent="0.4">
      <c r="A392" s="103" t="s">
        <v>118</v>
      </c>
      <c r="B392" s="107">
        <v>369325.42</v>
      </c>
    </row>
    <row r="393" spans="1:2" ht="16.8" x14ac:dyDescent="0.4">
      <c r="A393" s="103" t="s">
        <v>120</v>
      </c>
      <c r="B393" s="107">
        <v>258044.92</v>
      </c>
    </row>
    <row r="394" spans="1:2" ht="16.8" x14ac:dyDescent="0.4">
      <c r="A394" s="101" t="s">
        <v>209</v>
      </c>
      <c r="B394" s="107">
        <v>2845338.84</v>
      </c>
    </row>
    <row r="395" spans="1:2" ht="16.8" x14ac:dyDescent="0.4">
      <c r="A395" s="103" t="s">
        <v>115</v>
      </c>
      <c r="B395" s="107">
        <v>2250338.84</v>
      </c>
    </row>
    <row r="396" spans="1:2" ht="16.8" x14ac:dyDescent="0.4">
      <c r="A396" s="103" t="s">
        <v>134</v>
      </c>
      <c r="B396" s="107">
        <v>595000</v>
      </c>
    </row>
    <row r="397" spans="1:2" ht="16.8" x14ac:dyDescent="0.4">
      <c r="A397" s="101" t="s">
        <v>211</v>
      </c>
      <c r="B397" s="107">
        <v>2822545.3389830505</v>
      </c>
    </row>
    <row r="398" spans="1:2" ht="16.8" x14ac:dyDescent="0.4">
      <c r="A398" s="103" t="s">
        <v>115</v>
      </c>
      <c r="B398" s="107">
        <v>1373220.3389830508</v>
      </c>
    </row>
    <row r="399" spans="1:2" ht="16.8" x14ac:dyDescent="0.4">
      <c r="A399" s="103" t="s">
        <v>117</v>
      </c>
      <c r="B399" s="107">
        <v>1080000</v>
      </c>
    </row>
    <row r="400" spans="1:2" ht="16.8" x14ac:dyDescent="0.4">
      <c r="A400" s="103" t="s">
        <v>118</v>
      </c>
      <c r="B400" s="107">
        <v>369325</v>
      </c>
    </row>
    <row r="401" spans="1:2" ht="16.8" x14ac:dyDescent="0.4">
      <c r="A401" s="101" t="s">
        <v>212</v>
      </c>
      <c r="B401" s="107">
        <v>2709325.4237288134</v>
      </c>
    </row>
    <row r="402" spans="1:2" ht="16.8" x14ac:dyDescent="0.4">
      <c r="A402" s="103" t="s">
        <v>117</v>
      </c>
      <c r="B402" s="107">
        <v>2340000</v>
      </c>
    </row>
    <row r="403" spans="1:2" ht="16.8" x14ac:dyDescent="0.4">
      <c r="A403" s="103" t="s">
        <v>118</v>
      </c>
      <c r="B403" s="107">
        <v>369325.42372881359</v>
      </c>
    </row>
    <row r="404" spans="1:2" ht="16.8" x14ac:dyDescent="0.4">
      <c r="A404" s="101" t="s">
        <v>28</v>
      </c>
      <c r="B404" s="107">
        <v>2690967.7966101696</v>
      </c>
    </row>
    <row r="405" spans="1:2" ht="16.8" x14ac:dyDescent="0.4">
      <c r="A405" s="103" t="s">
        <v>117</v>
      </c>
      <c r="B405" s="107">
        <v>1904667.7966101696</v>
      </c>
    </row>
    <row r="406" spans="1:2" ht="16.8" x14ac:dyDescent="0.4">
      <c r="A406" s="103" t="s">
        <v>134</v>
      </c>
      <c r="B406" s="107">
        <v>786300</v>
      </c>
    </row>
    <row r="407" spans="1:2" ht="16.8" x14ac:dyDescent="0.4">
      <c r="A407" s="101" t="s">
        <v>213</v>
      </c>
      <c r="B407" s="107">
        <v>2640000</v>
      </c>
    </row>
    <row r="408" spans="1:2" ht="16.8" x14ac:dyDescent="0.4">
      <c r="A408" s="103" t="s">
        <v>117</v>
      </c>
      <c r="B408" s="107">
        <v>2640000</v>
      </c>
    </row>
    <row r="409" spans="1:2" ht="16.8" x14ac:dyDescent="0.4">
      <c r="A409" s="101" t="s">
        <v>214</v>
      </c>
      <c r="B409" s="107">
        <v>2619325</v>
      </c>
    </row>
    <row r="410" spans="1:2" ht="16.8" x14ac:dyDescent="0.4">
      <c r="A410" s="103" t="s">
        <v>117</v>
      </c>
      <c r="B410" s="107">
        <v>2250000</v>
      </c>
    </row>
    <row r="411" spans="1:2" ht="16.8" x14ac:dyDescent="0.4">
      <c r="A411" s="103" t="s">
        <v>118</v>
      </c>
      <c r="B411" s="107">
        <v>369325</v>
      </c>
    </row>
    <row r="412" spans="1:2" ht="16.8" x14ac:dyDescent="0.4">
      <c r="A412" s="101" t="s">
        <v>215</v>
      </c>
      <c r="B412" s="107">
        <v>2618892.5698305084</v>
      </c>
    </row>
    <row r="413" spans="1:2" ht="16.8" x14ac:dyDescent="0.4">
      <c r="A413" s="103" t="s">
        <v>115</v>
      </c>
      <c r="B413" s="107">
        <v>1550847.6498305085</v>
      </c>
    </row>
    <row r="414" spans="1:2" ht="16.8" x14ac:dyDescent="0.4">
      <c r="A414" s="103" t="s">
        <v>117</v>
      </c>
      <c r="B414" s="107">
        <v>810000</v>
      </c>
    </row>
    <row r="415" spans="1:2" ht="16.8" x14ac:dyDescent="0.4">
      <c r="A415" s="103" t="s">
        <v>120</v>
      </c>
      <c r="B415" s="107">
        <v>258044.92</v>
      </c>
    </row>
    <row r="416" spans="1:2" ht="16.8" x14ac:dyDescent="0.4">
      <c r="A416" s="101" t="s">
        <v>31</v>
      </c>
      <c r="B416" s="107">
        <v>2605848</v>
      </c>
    </row>
    <row r="417" spans="1:2" ht="16.8" x14ac:dyDescent="0.4">
      <c r="A417" s="103" t="s">
        <v>117</v>
      </c>
      <c r="B417" s="107">
        <v>2605848</v>
      </c>
    </row>
    <row r="418" spans="1:2" ht="16.8" x14ac:dyDescent="0.4">
      <c r="A418" s="101" t="s">
        <v>216</v>
      </c>
      <c r="B418" s="107">
        <v>2602875.4252542369</v>
      </c>
    </row>
    <row r="419" spans="1:2" ht="16.8" x14ac:dyDescent="0.4">
      <c r="A419" s="103" t="s">
        <v>115</v>
      </c>
      <c r="B419" s="107">
        <v>64830.51</v>
      </c>
    </row>
    <row r="420" spans="1:2" ht="16.8" x14ac:dyDescent="0.4">
      <c r="A420" s="103" t="s">
        <v>117</v>
      </c>
      <c r="B420" s="107">
        <v>2280000</v>
      </c>
    </row>
    <row r="421" spans="1:2" ht="16.8" x14ac:dyDescent="0.4">
      <c r="A421" s="103" t="s">
        <v>120</v>
      </c>
      <c r="B421" s="107">
        <v>258044.9152542373</v>
      </c>
    </row>
    <row r="422" spans="1:2" ht="16.8" x14ac:dyDescent="0.4">
      <c r="A422" s="101" t="s">
        <v>217</v>
      </c>
      <c r="B422" s="107">
        <v>2591694.92</v>
      </c>
    </row>
    <row r="423" spans="1:2" ht="16.8" x14ac:dyDescent="0.4">
      <c r="A423" s="103" t="s">
        <v>115</v>
      </c>
      <c r="B423" s="107">
        <v>101694.92</v>
      </c>
    </row>
    <row r="424" spans="1:2" ht="16.8" x14ac:dyDescent="0.4">
      <c r="A424" s="103" t="s">
        <v>117</v>
      </c>
      <c r="B424" s="107">
        <v>2490000</v>
      </c>
    </row>
    <row r="425" spans="1:2" ht="16.8" x14ac:dyDescent="0.4">
      <c r="A425" s="101" t="s">
        <v>218</v>
      </c>
      <c r="B425" s="107">
        <v>2579065.1886440678</v>
      </c>
    </row>
    <row r="426" spans="1:2" ht="16.8" x14ac:dyDescent="0.4">
      <c r="A426" s="103" t="s">
        <v>115</v>
      </c>
      <c r="B426" s="107">
        <v>1501694.8486440678</v>
      </c>
    </row>
    <row r="427" spans="1:2" ht="16.8" x14ac:dyDescent="0.4">
      <c r="A427" s="103" t="s">
        <v>117</v>
      </c>
      <c r="B427" s="107">
        <v>450000</v>
      </c>
    </row>
    <row r="428" spans="1:2" ht="16.8" x14ac:dyDescent="0.4">
      <c r="A428" s="103" t="s">
        <v>118</v>
      </c>
      <c r="B428" s="107">
        <v>369325.42</v>
      </c>
    </row>
    <row r="429" spans="1:2" ht="16.8" x14ac:dyDescent="0.4">
      <c r="A429" s="103" t="s">
        <v>120</v>
      </c>
      <c r="B429" s="107">
        <v>258044.92</v>
      </c>
    </row>
    <row r="430" spans="1:2" ht="16.8" x14ac:dyDescent="0.4">
      <c r="A430" s="101" t="s">
        <v>219</v>
      </c>
      <c r="B430" s="107">
        <v>2563556.4500000002</v>
      </c>
    </row>
    <row r="431" spans="1:2" ht="16.8" x14ac:dyDescent="0.4">
      <c r="A431" s="103" t="s">
        <v>115</v>
      </c>
      <c r="B431" s="107">
        <v>136186.45000000001</v>
      </c>
    </row>
    <row r="432" spans="1:2" ht="16.8" x14ac:dyDescent="0.4">
      <c r="A432" s="103" t="s">
        <v>117</v>
      </c>
      <c r="B432" s="107">
        <v>1800000</v>
      </c>
    </row>
    <row r="433" spans="1:2" ht="16.8" x14ac:dyDescent="0.4">
      <c r="A433" s="103" t="s">
        <v>118</v>
      </c>
      <c r="B433" s="107">
        <v>369325</v>
      </c>
    </row>
    <row r="434" spans="1:2" ht="16.8" x14ac:dyDescent="0.4">
      <c r="A434" s="103" t="s">
        <v>120</v>
      </c>
      <c r="B434" s="107">
        <v>258045</v>
      </c>
    </row>
    <row r="435" spans="1:2" ht="16.8" x14ac:dyDescent="0.4">
      <c r="A435" s="101" t="s">
        <v>220</v>
      </c>
      <c r="B435" s="107">
        <v>2547325</v>
      </c>
    </row>
    <row r="436" spans="1:2" ht="16.8" x14ac:dyDescent="0.4">
      <c r="A436" s="103" t="s">
        <v>117</v>
      </c>
      <c r="B436" s="107">
        <v>2178000</v>
      </c>
    </row>
    <row r="437" spans="1:2" ht="16.8" x14ac:dyDescent="0.4">
      <c r="A437" s="103" t="s">
        <v>118</v>
      </c>
      <c r="B437" s="107">
        <v>369325</v>
      </c>
    </row>
    <row r="438" spans="1:2" ht="16.8" x14ac:dyDescent="0.4">
      <c r="A438" s="101" t="s">
        <v>221</v>
      </c>
      <c r="B438" s="107">
        <v>2487000</v>
      </c>
    </row>
    <row r="439" spans="1:2" ht="16.8" x14ac:dyDescent="0.4">
      <c r="A439" s="103" t="s">
        <v>134</v>
      </c>
      <c r="B439" s="107">
        <v>2487000</v>
      </c>
    </row>
    <row r="440" spans="1:2" ht="16.8" x14ac:dyDescent="0.4">
      <c r="A440" s="101" t="s">
        <v>222</v>
      </c>
      <c r="B440" s="107">
        <v>2486104.6800000002</v>
      </c>
    </row>
    <row r="441" spans="1:2" ht="16.8" x14ac:dyDescent="0.4">
      <c r="A441" s="103" t="s">
        <v>115</v>
      </c>
      <c r="B441" s="107">
        <v>406779.68</v>
      </c>
    </row>
    <row r="442" spans="1:2" ht="16.8" x14ac:dyDescent="0.4">
      <c r="A442" s="103" t="s">
        <v>117</v>
      </c>
      <c r="B442" s="107">
        <v>1710000</v>
      </c>
    </row>
    <row r="443" spans="1:2" ht="16.8" x14ac:dyDescent="0.4">
      <c r="A443" s="103" t="s">
        <v>118</v>
      </c>
      <c r="B443" s="107">
        <v>369325</v>
      </c>
    </row>
    <row r="444" spans="1:2" ht="16.8" x14ac:dyDescent="0.4">
      <c r="A444" s="101" t="s">
        <v>223</v>
      </c>
      <c r="B444" s="107">
        <v>2473615.1199999996</v>
      </c>
    </row>
    <row r="445" spans="1:2" ht="16.8" x14ac:dyDescent="0.4">
      <c r="A445" s="103" t="s">
        <v>115</v>
      </c>
      <c r="B445" s="107">
        <v>891355.8</v>
      </c>
    </row>
    <row r="446" spans="1:2" ht="16.8" x14ac:dyDescent="0.4">
      <c r="A446" s="103" t="s">
        <v>117</v>
      </c>
      <c r="B446" s="107">
        <v>1410000</v>
      </c>
    </row>
    <row r="447" spans="1:2" ht="16.8" x14ac:dyDescent="0.4">
      <c r="A447" s="103" t="s">
        <v>118</v>
      </c>
      <c r="B447" s="107">
        <v>172259.32</v>
      </c>
    </row>
    <row r="448" spans="1:2" ht="16.8" x14ac:dyDescent="0.4">
      <c r="A448" s="101" t="s">
        <v>224</v>
      </c>
      <c r="B448" s="107">
        <v>2451443.5366101693</v>
      </c>
    </row>
    <row r="449" spans="1:2" ht="16.8" x14ac:dyDescent="0.4">
      <c r="A449" s="103" t="s">
        <v>115</v>
      </c>
      <c r="B449" s="107">
        <v>912118.53661016957</v>
      </c>
    </row>
    <row r="450" spans="1:2" ht="16.8" x14ac:dyDescent="0.4">
      <c r="A450" s="103" t="s">
        <v>117</v>
      </c>
      <c r="B450" s="107">
        <v>900000</v>
      </c>
    </row>
    <row r="451" spans="1:2" ht="16.8" x14ac:dyDescent="0.4">
      <c r="A451" s="103" t="s">
        <v>118</v>
      </c>
      <c r="B451" s="107">
        <v>369325</v>
      </c>
    </row>
    <row r="452" spans="1:2" ht="16.8" x14ac:dyDescent="0.4">
      <c r="A452" s="103" t="s">
        <v>131</v>
      </c>
      <c r="B452" s="107">
        <v>270000</v>
      </c>
    </row>
    <row r="453" spans="1:2" ht="16.8" x14ac:dyDescent="0.4">
      <c r="A453" s="101" t="s">
        <v>47</v>
      </c>
      <c r="B453" s="107">
        <v>2450000.5172859998</v>
      </c>
    </row>
    <row r="454" spans="1:2" ht="16.8" x14ac:dyDescent="0.4">
      <c r="A454" s="103" t="s">
        <v>115</v>
      </c>
      <c r="B454" s="107">
        <v>1550000.5172860001</v>
      </c>
    </row>
    <row r="455" spans="1:2" ht="16.8" x14ac:dyDescent="0.4">
      <c r="A455" s="103" t="s">
        <v>117</v>
      </c>
      <c r="B455" s="107">
        <v>900000</v>
      </c>
    </row>
    <row r="456" spans="1:2" ht="16.8" x14ac:dyDescent="0.4">
      <c r="A456" s="101" t="s">
        <v>225</v>
      </c>
      <c r="B456" s="107">
        <v>2427031.34</v>
      </c>
    </row>
    <row r="457" spans="1:2" ht="16.8" x14ac:dyDescent="0.4">
      <c r="A457" s="103" t="s">
        <v>117</v>
      </c>
      <c r="B457" s="107">
        <v>1799661</v>
      </c>
    </row>
    <row r="458" spans="1:2" ht="16.8" x14ac:dyDescent="0.4">
      <c r="A458" s="103" t="s">
        <v>118</v>
      </c>
      <c r="B458" s="107">
        <v>369325.42</v>
      </c>
    </row>
    <row r="459" spans="1:2" ht="16.8" x14ac:dyDescent="0.4">
      <c r="A459" s="103" t="s">
        <v>120</v>
      </c>
      <c r="B459" s="107">
        <v>258044.92</v>
      </c>
    </row>
    <row r="460" spans="1:2" ht="16.8" x14ac:dyDescent="0.4">
      <c r="A460" s="101" t="s">
        <v>226</v>
      </c>
      <c r="B460" s="107">
        <v>2424427.12</v>
      </c>
    </row>
    <row r="461" spans="1:2" ht="16.8" x14ac:dyDescent="0.4">
      <c r="A461" s="103" t="s">
        <v>115</v>
      </c>
      <c r="B461" s="107">
        <v>66101.700000000012</v>
      </c>
    </row>
    <row r="462" spans="1:2" ht="16.8" x14ac:dyDescent="0.4">
      <c r="A462" s="103" t="s">
        <v>117</v>
      </c>
      <c r="B462" s="107">
        <v>1800000</v>
      </c>
    </row>
    <row r="463" spans="1:2" ht="16.8" x14ac:dyDescent="0.4">
      <c r="A463" s="103" t="s">
        <v>118</v>
      </c>
      <c r="B463" s="107">
        <v>369325.42</v>
      </c>
    </row>
    <row r="464" spans="1:2" ht="16.8" x14ac:dyDescent="0.4">
      <c r="A464" s="103" t="s">
        <v>131</v>
      </c>
      <c r="B464" s="107">
        <v>189000</v>
      </c>
    </row>
    <row r="465" spans="1:2" ht="16.8" x14ac:dyDescent="0.4">
      <c r="A465" s="101" t="s">
        <v>227</v>
      </c>
      <c r="B465" s="107">
        <v>2421861.2999999998</v>
      </c>
    </row>
    <row r="466" spans="1:2" ht="16.8" x14ac:dyDescent="0.4">
      <c r="A466" s="103" t="s">
        <v>115</v>
      </c>
      <c r="B466" s="107">
        <v>894491.38</v>
      </c>
    </row>
    <row r="467" spans="1:2" ht="16.8" x14ac:dyDescent="0.4">
      <c r="A467" s="103" t="s">
        <v>117</v>
      </c>
      <c r="B467" s="107">
        <v>900000</v>
      </c>
    </row>
    <row r="468" spans="1:2" ht="16.8" x14ac:dyDescent="0.4">
      <c r="A468" s="103" t="s">
        <v>118</v>
      </c>
      <c r="B468" s="107">
        <v>369325</v>
      </c>
    </row>
    <row r="469" spans="1:2" ht="16.8" x14ac:dyDescent="0.4">
      <c r="A469" s="103" t="s">
        <v>120</v>
      </c>
      <c r="B469" s="107">
        <v>258044.92</v>
      </c>
    </row>
    <row r="470" spans="1:2" ht="16.8" x14ac:dyDescent="0.4">
      <c r="A470" s="101" t="s">
        <v>228</v>
      </c>
      <c r="B470" s="107">
        <v>2407879.4222033899</v>
      </c>
    </row>
    <row r="471" spans="1:2" ht="16.8" x14ac:dyDescent="0.4">
      <c r="A471" s="103" t="s">
        <v>115</v>
      </c>
      <c r="B471" s="107">
        <v>880508.6622033898</v>
      </c>
    </row>
    <row r="472" spans="1:2" ht="16.8" x14ac:dyDescent="0.4">
      <c r="A472" s="103" t="s">
        <v>117</v>
      </c>
      <c r="B472" s="107">
        <v>900000</v>
      </c>
    </row>
    <row r="473" spans="1:2" ht="16.8" x14ac:dyDescent="0.4">
      <c r="A473" s="103" t="s">
        <v>118</v>
      </c>
      <c r="B473" s="107">
        <v>369325</v>
      </c>
    </row>
    <row r="474" spans="1:2" ht="16.8" x14ac:dyDescent="0.4">
      <c r="A474" s="103" t="s">
        <v>120</v>
      </c>
      <c r="B474" s="107">
        <v>258045.76</v>
      </c>
    </row>
    <row r="475" spans="1:2" ht="16.8" x14ac:dyDescent="0.4">
      <c r="A475" s="101" t="s">
        <v>229</v>
      </c>
      <c r="B475" s="107">
        <v>2398559.7000000002</v>
      </c>
    </row>
    <row r="476" spans="1:2" ht="16.8" x14ac:dyDescent="0.4">
      <c r="A476" s="103" t="s">
        <v>115</v>
      </c>
      <c r="B476" s="107">
        <v>1138559.7</v>
      </c>
    </row>
    <row r="477" spans="1:2" ht="16.8" x14ac:dyDescent="0.4">
      <c r="A477" s="103" t="s">
        <v>117</v>
      </c>
      <c r="B477" s="107">
        <v>1260000</v>
      </c>
    </row>
    <row r="478" spans="1:2" ht="16.8" x14ac:dyDescent="0.4">
      <c r="A478" s="101" t="s">
        <v>230</v>
      </c>
      <c r="B478" s="107">
        <v>2398474.59</v>
      </c>
    </row>
    <row r="479" spans="1:2" ht="16.8" x14ac:dyDescent="0.4">
      <c r="A479" s="103" t="s">
        <v>115</v>
      </c>
      <c r="B479" s="107">
        <v>58474.59</v>
      </c>
    </row>
    <row r="480" spans="1:2" ht="16.8" x14ac:dyDescent="0.4">
      <c r="A480" s="103" t="s">
        <v>117</v>
      </c>
      <c r="B480" s="107">
        <v>2340000</v>
      </c>
    </row>
    <row r="481" spans="1:2" ht="16.8" x14ac:dyDescent="0.4">
      <c r="A481" s="101" t="s">
        <v>231</v>
      </c>
      <c r="B481" s="107">
        <v>2381044.6210169489</v>
      </c>
    </row>
    <row r="482" spans="1:2" ht="16.8" x14ac:dyDescent="0.4">
      <c r="A482" s="103" t="s">
        <v>115</v>
      </c>
      <c r="B482" s="107">
        <v>1754914.9600000002</v>
      </c>
    </row>
    <row r="483" spans="1:2" ht="16.8" x14ac:dyDescent="0.4">
      <c r="A483" s="103" t="s">
        <v>117</v>
      </c>
      <c r="B483" s="107">
        <v>540000</v>
      </c>
    </row>
    <row r="484" spans="1:2" ht="16.8" x14ac:dyDescent="0.4">
      <c r="A484" s="103" t="s">
        <v>118</v>
      </c>
      <c r="B484" s="107">
        <v>86129.661016949161</v>
      </c>
    </row>
    <row r="485" spans="1:2" ht="16.8" x14ac:dyDescent="0.4">
      <c r="A485" s="101" t="s">
        <v>232</v>
      </c>
      <c r="B485" s="107">
        <v>2338305.0847459999</v>
      </c>
    </row>
    <row r="486" spans="1:2" ht="16.8" x14ac:dyDescent="0.4">
      <c r="A486" s="103" t="s">
        <v>115</v>
      </c>
      <c r="B486" s="107">
        <v>28305.084746</v>
      </c>
    </row>
    <row r="487" spans="1:2" ht="16.8" x14ac:dyDescent="0.4">
      <c r="A487" s="103" t="s">
        <v>117</v>
      </c>
      <c r="B487" s="107">
        <v>2310000</v>
      </c>
    </row>
    <row r="488" spans="1:2" ht="16.8" x14ac:dyDescent="0.4">
      <c r="A488" s="101" t="s">
        <v>233</v>
      </c>
      <c r="B488" s="107">
        <v>2304608</v>
      </c>
    </row>
    <row r="489" spans="1:2" ht="16.8" x14ac:dyDescent="0.4">
      <c r="A489" s="103" t="s">
        <v>116</v>
      </c>
      <c r="B489" s="107">
        <v>2090000</v>
      </c>
    </row>
    <row r="490" spans="1:2" ht="16.8" x14ac:dyDescent="0.4">
      <c r="A490" s="103" t="s">
        <v>136</v>
      </c>
      <c r="B490" s="107">
        <v>214608</v>
      </c>
    </row>
    <row r="491" spans="1:2" ht="16.8" x14ac:dyDescent="0.4">
      <c r="A491" s="101" t="s">
        <v>234</v>
      </c>
      <c r="B491" s="107">
        <v>2288136</v>
      </c>
    </row>
    <row r="492" spans="1:2" ht="16.8" x14ac:dyDescent="0.4">
      <c r="A492" s="103" t="s">
        <v>134</v>
      </c>
      <c r="B492" s="107">
        <v>2288136</v>
      </c>
    </row>
    <row r="493" spans="1:2" ht="16.8" x14ac:dyDescent="0.4">
      <c r="A493" s="101" t="s">
        <v>235</v>
      </c>
      <c r="B493" s="107">
        <v>2266200.87</v>
      </c>
    </row>
    <row r="494" spans="1:2" ht="16.8" x14ac:dyDescent="0.4">
      <c r="A494" s="103" t="s">
        <v>115</v>
      </c>
      <c r="B494" s="107">
        <v>549830.53</v>
      </c>
    </row>
    <row r="495" spans="1:2" ht="16.8" x14ac:dyDescent="0.4">
      <c r="A495" s="103" t="s">
        <v>117</v>
      </c>
      <c r="B495" s="107">
        <v>900000</v>
      </c>
    </row>
    <row r="496" spans="1:2" ht="16.8" x14ac:dyDescent="0.4">
      <c r="A496" s="103" t="s">
        <v>118</v>
      </c>
      <c r="B496" s="107">
        <v>369325.42</v>
      </c>
    </row>
    <row r="497" spans="1:2" ht="16.8" x14ac:dyDescent="0.4">
      <c r="A497" s="103" t="s">
        <v>120</v>
      </c>
      <c r="B497" s="107">
        <v>258044.92</v>
      </c>
    </row>
    <row r="498" spans="1:2" ht="16.8" x14ac:dyDescent="0.4">
      <c r="A498" s="103" t="s">
        <v>131</v>
      </c>
      <c r="B498" s="107">
        <v>189000</v>
      </c>
    </row>
    <row r="499" spans="1:2" ht="16.8" x14ac:dyDescent="0.4">
      <c r="A499" s="101" t="s">
        <v>236</v>
      </c>
      <c r="B499" s="107">
        <v>2204918.86</v>
      </c>
    </row>
    <row r="500" spans="1:2" ht="16.8" x14ac:dyDescent="0.4">
      <c r="A500" s="103" t="s">
        <v>115</v>
      </c>
      <c r="B500" s="107">
        <v>935593.44</v>
      </c>
    </row>
    <row r="501" spans="1:2" ht="16.8" x14ac:dyDescent="0.4">
      <c r="A501" s="103" t="s">
        <v>117</v>
      </c>
      <c r="B501" s="107">
        <v>900000</v>
      </c>
    </row>
    <row r="502" spans="1:2" ht="16.8" x14ac:dyDescent="0.4">
      <c r="A502" s="103" t="s">
        <v>118</v>
      </c>
      <c r="B502" s="107">
        <v>369325.42</v>
      </c>
    </row>
    <row r="503" spans="1:2" ht="16.8" x14ac:dyDescent="0.4">
      <c r="A503" s="101" t="s">
        <v>237</v>
      </c>
      <c r="B503" s="107">
        <v>2200000</v>
      </c>
    </row>
    <row r="504" spans="1:2" ht="16.8" x14ac:dyDescent="0.4">
      <c r="A504" s="103" t="s">
        <v>134</v>
      </c>
      <c r="B504" s="107">
        <v>2200000</v>
      </c>
    </row>
    <row r="505" spans="1:2" ht="16.8" x14ac:dyDescent="0.4">
      <c r="A505" s="101" t="s">
        <v>238</v>
      </c>
      <c r="B505" s="107">
        <v>2176716.5300000003</v>
      </c>
    </row>
    <row r="506" spans="1:2" ht="16.8" x14ac:dyDescent="0.4">
      <c r="A506" s="103" t="s">
        <v>115</v>
      </c>
      <c r="B506" s="107">
        <v>547391.53</v>
      </c>
    </row>
    <row r="507" spans="1:2" ht="16.8" x14ac:dyDescent="0.4">
      <c r="A507" s="103" t="s">
        <v>117</v>
      </c>
      <c r="B507" s="107">
        <v>1260000</v>
      </c>
    </row>
    <row r="508" spans="1:2" ht="16.8" x14ac:dyDescent="0.4">
      <c r="A508" s="103" t="s">
        <v>118</v>
      </c>
      <c r="B508" s="107">
        <v>369325</v>
      </c>
    </row>
    <row r="509" spans="1:2" ht="16.8" x14ac:dyDescent="0.4">
      <c r="A509" s="101" t="s">
        <v>239</v>
      </c>
      <c r="B509" s="107">
        <v>2176104.6</v>
      </c>
    </row>
    <row r="510" spans="1:2" ht="16.8" x14ac:dyDescent="0.4">
      <c r="A510" s="103" t="s">
        <v>115</v>
      </c>
      <c r="B510" s="107">
        <v>906779.60000000009</v>
      </c>
    </row>
    <row r="511" spans="1:2" ht="16.8" x14ac:dyDescent="0.4">
      <c r="A511" s="103" t="s">
        <v>117</v>
      </c>
      <c r="B511" s="107">
        <v>900000</v>
      </c>
    </row>
    <row r="512" spans="1:2" ht="16.8" x14ac:dyDescent="0.4">
      <c r="A512" s="103" t="s">
        <v>118</v>
      </c>
      <c r="B512" s="107">
        <v>369325</v>
      </c>
    </row>
    <row r="513" spans="1:2" ht="16.8" x14ac:dyDescent="0.4">
      <c r="A513" s="101" t="s">
        <v>38</v>
      </c>
      <c r="B513" s="107">
        <v>2157149.9152560001</v>
      </c>
    </row>
    <row r="514" spans="1:2" ht="16.8" x14ac:dyDescent="0.4">
      <c r="A514" s="103" t="s">
        <v>115</v>
      </c>
      <c r="B514" s="107">
        <v>171694.91525600001</v>
      </c>
    </row>
    <row r="515" spans="1:2" ht="16.8" x14ac:dyDescent="0.4">
      <c r="A515" s="103" t="s">
        <v>117</v>
      </c>
      <c r="B515" s="107">
        <v>1530000</v>
      </c>
    </row>
    <row r="516" spans="1:2" ht="16.8" x14ac:dyDescent="0.4">
      <c r="A516" s="103" t="s">
        <v>118</v>
      </c>
      <c r="B516" s="107">
        <v>455455</v>
      </c>
    </row>
    <row r="517" spans="1:2" ht="16.8" x14ac:dyDescent="0.4">
      <c r="A517" s="101" t="s">
        <v>240</v>
      </c>
      <c r="B517" s="107">
        <v>2131694.9500000002</v>
      </c>
    </row>
    <row r="518" spans="1:2" ht="16.8" x14ac:dyDescent="0.4">
      <c r="A518" s="103" t="s">
        <v>115</v>
      </c>
      <c r="B518" s="107">
        <v>361694.94999999995</v>
      </c>
    </row>
    <row r="519" spans="1:2" ht="16.8" x14ac:dyDescent="0.4">
      <c r="A519" s="103" t="s">
        <v>117</v>
      </c>
      <c r="B519" s="107">
        <v>1770000</v>
      </c>
    </row>
    <row r="520" spans="1:2" ht="16.8" x14ac:dyDescent="0.4">
      <c r="A520" s="101" t="s">
        <v>33</v>
      </c>
      <c r="B520" s="107">
        <v>2094067.8</v>
      </c>
    </row>
    <row r="521" spans="1:2" ht="16.8" x14ac:dyDescent="0.4">
      <c r="A521" s="103" t="s">
        <v>115</v>
      </c>
      <c r="B521" s="107">
        <v>294067.8</v>
      </c>
    </row>
    <row r="522" spans="1:2" ht="16.8" x14ac:dyDescent="0.4">
      <c r="A522" s="103" t="s">
        <v>117</v>
      </c>
      <c r="B522" s="107">
        <v>1800000</v>
      </c>
    </row>
    <row r="523" spans="1:2" ht="16.8" x14ac:dyDescent="0.4">
      <c r="A523" s="101" t="s">
        <v>32</v>
      </c>
      <c r="B523" s="107">
        <v>2088000</v>
      </c>
    </row>
    <row r="524" spans="1:2" ht="16.8" x14ac:dyDescent="0.4">
      <c r="A524" s="103" t="s">
        <v>117</v>
      </c>
      <c r="B524" s="107">
        <v>2088000</v>
      </c>
    </row>
    <row r="525" spans="1:2" ht="16.8" x14ac:dyDescent="0.4">
      <c r="A525" s="101" t="s">
        <v>36</v>
      </c>
      <c r="B525" s="107">
        <v>2070000</v>
      </c>
    </row>
    <row r="526" spans="1:2" ht="16.8" x14ac:dyDescent="0.4">
      <c r="A526" s="103" t="s">
        <v>117</v>
      </c>
      <c r="B526" s="107">
        <v>2070000</v>
      </c>
    </row>
    <row r="527" spans="1:2" ht="16.8" x14ac:dyDescent="0.4">
      <c r="A527" s="101" t="s">
        <v>242</v>
      </c>
      <c r="B527" s="107">
        <v>2034663.98</v>
      </c>
    </row>
    <row r="528" spans="1:2" ht="16.8" x14ac:dyDescent="0.4">
      <c r="A528" s="103" t="s">
        <v>115</v>
      </c>
      <c r="B528" s="107">
        <v>45338.98</v>
      </c>
    </row>
    <row r="529" spans="1:2" ht="16.8" x14ac:dyDescent="0.4">
      <c r="A529" s="103" t="s">
        <v>117</v>
      </c>
      <c r="B529" s="107">
        <v>1620000</v>
      </c>
    </row>
    <row r="530" spans="1:2" ht="16.8" x14ac:dyDescent="0.4">
      <c r="A530" s="103" t="s">
        <v>118</v>
      </c>
      <c r="B530" s="107">
        <v>369325</v>
      </c>
    </row>
    <row r="531" spans="1:2" ht="16.8" x14ac:dyDescent="0.4">
      <c r="A531" s="101" t="s">
        <v>243</v>
      </c>
      <c r="B531" s="107">
        <v>1997291.04</v>
      </c>
    </row>
    <row r="532" spans="1:2" ht="16.8" x14ac:dyDescent="0.4">
      <c r="A532" s="103" t="s">
        <v>115</v>
      </c>
      <c r="B532" s="107">
        <v>367966.04000000004</v>
      </c>
    </row>
    <row r="533" spans="1:2" ht="16.8" x14ac:dyDescent="0.4">
      <c r="A533" s="103" t="s">
        <v>117</v>
      </c>
      <c r="B533" s="107">
        <v>1260000</v>
      </c>
    </row>
    <row r="534" spans="1:2" ht="16.8" x14ac:dyDescent="0.4">
      <c r="A534" s="103" t="s">
        <v>118</v>
      </c>
      <c r="B534" s="107">
        <v>369325</v>
      </c>
    </row>
    <row r="535" spans="1:2" ht="16.8" x14ac:dyDescent="0.4">
      <c r="A535" s="101" t="s">
        <v>244</v>
      </c>
      <c r="B535" s="107">
        <v>1964000</v>
      </c>
    </row>
    <row r="536" spans="1:2" ht="16.8" x14ac:dyDescent="0.4">
      <c r="A536" s="103" t="s">
        <v>134</v>
      </c>
      <c r="B536" s="107">
        <v>1964000</v>
      </c>
    </row>
    <row r="537" spans="1:2" ht="16.8" x14ac:dyDescent="0.4">
      <c r="A537" s="101" t="s">
        <v>245</v>
      </c>
      <c r="B537" s="107">
        <v>1958813.66</v>
      </c>
    </row>
    <row r="538" spans="1:2" ht="16.8" x14ac:dyDescent="0.4">
      <c r="A538" s="103" t="s">
        <v>115</v>
      </c>
      <c r="B538" s="107">
        <v>428813.66</v>
      </c>
    </row>
    <row r="539" spans="1:2" ht="16.8" x14ac:dyDescent="0.4">
      <c r="A539" s="103" t="s">
        <v>117</v>
      </c>
      <c r="B539" s="107">
        <v>1530000</v>
      </c>
    </row>
    <row r="540" spans="1:2" ht="16.8" x14ac:dyDescent="0.4">
      <c r="A540" s="101" t="s">
        <v>246</v>
      </c>
      <c r="B540" s="107">
        <v>1917124.6</v>
      </c>
    </row>
    <row r="541" spans="1:2" ht="16.8" x14ac:dyDescent="0.4">
      <c r="A541" s="103" t="s">
        <v>115</v>
      </c>
      <c r="B541" s="107">
        <v>638474.6</v>
      </c>
    </row>
    <row r="542" spans="1:2" ht="16.8" x14ac:dyDescent="0.4">
      <c r="A542" s="103" t="s">
        <v>117</v>
      </c>
      <c r="B542" s="107">
        <v>540000</v>
      </c>
    </row>
    <row r="543" spans="1:2" ht="16.8" x14ac:dyDescent="0.4">
      <c r="A543" s="103" t="s">
        <v>118</v>
      </c>
      <c r="B543" s="107">
        <v>738650</v>
      </c>
    </row>
    <row r="544" spans="1:2" ht="16.8" x14ac:dyDescent="0.4">
      <c r="A544" s="101" t="s">
        <v>293</v>
      </c>
      <c r="B544" s="107">
        <v>1899325.42</v>
      </c>
    </row>
    <row r="545" spans="1:2" ht="16.8" x14ac:dyDescent="0.4">
      <c r="A545" s="103" t="s">
        <v>117</v>
      </c>
      <c r="B545" s="107">
        <v>1530000</v>
      </c>
    </row>
    <row r="546" spans="1:2" ht="16.8" x14ac:dyDescent="0.4">
      <c r="A546" s="103" t="s">
        <v>118</v>
      </c>
      <c r="B546" s="107">
        <v>369325.42</v>
      </c>
    </row>
    <row r="547" spans="1:2" ht="16.8" x14ac:dyDescent="0.4">
      <c r="A547" s="101" t="s">
        <v>247</v>
      </c>
      <c r="B547" s="107">
        <v>1874237.2881355933</v>
      </c>
    </row>
    <row r="548" spans="1:2" ht="16.8" x14ac:dyDescent="0.4">
      <c r="A548" s="103" t="s">
        <v>134</v>
      </c>
      <c r="B548" s="107">
        <v>1874237.2881355933</v>
      </c>
    </row>
    <row r="549" spans="1:2" ht="16.8" x14ac:dyDescent="0.4">
      <c r="A549" s="101" t="s">
        <v>248</v>
      </c>
      <c r="B549" s="107">
        <v>1812250</v>
      </c>
    </row>
    <row r="550" spans="1:2" ht="16.8" x14ac:dyDescent="0.4">
      <c r="A550" s="103" t="s">
        <v>116</v>
      </c>
      <c r="B550" s="107">
        <v>263750</v>
      </c>
    </row>
    <row r="551" spans="1:2" ht="16.8" x14ac:dyDescent="0.4">
      <c r="A551" s="103" t="s">
        <v>134</v>
      </c>
      <c r="B551" s="107">
        <v>1548500</v>
      </c>
    </row>
    <row r="552" spans="1:2" ht="16.8" x14ac:dyDescent="0.4">
      <c r="A552" s="101" t="s">
        <v>249</v>
      </c>
      <c r="B552" s="107">
        <v>1806500</v>
      </c>
    </row>
    <row r="553" spans="1:2" ht="16.8" x14ac:dyDescent="0.4">
      <c r="A553" s="103" t="s">
        <v>123</v>
      </c>
      <c r="B553" s="107">
        <v>236000</v>
      </c>
    </row>
    <row r="554" spans="1:2" ht="16.8" x14ac:dyDescent="0.4">
      <c r="A554" s="103" t="s">
        <v>134</v>
      </c>
      <c r="B554" s="107">
        <v>1570500</v>
      </c>
    </row>
    <row r="555" spans="1:2" ht="16.8" x14ac:dyDescent="0.4">
      <c r="A555" s="101" t="s">
        <v>250</v>
      </c>
      <c r="B555" s="107">
        <v>1800000</v>
      </c>
    </row>
    <row r="556" spans="1:2" ht="16.8" x14ac:dyDescent="0.4">
      <c r="A556" s="103" t="s">
        <v>134</v>
      </c>
      <c r="B556" s="107">
        <v>1800000</v>
      </c>
    </row>
    <row r="557" spans="1:2" ht="16.8" x14ac:dyDescent="0.4">
      <c r="A557" s="101" t="s">
        <v>34</v>
      </c>
      <c r="B557" s="107">
        <v>1800000</v>
      </c>
    </row>
    <row r="558" spans="1:2" ht="16.8" x14ac:dyDescent="0.4">
      <c r="A558" s="103" t="s">
        <v>117</v>
      </c>
      <c r="B558" s="107">
        <v>1800000</v>
      </c>
    </row>
    <row r="559" spans="1:2" ht="16.8" x14ac:dyDescent="0.4">
      <c r="A559" s="101" t="s">
        <v>41</v>
      </c>
      <c r="B559" s="107">
        <v>1800000</v>
      </c>
    </row>
    <row r="560" spans="1:2" ht="16.8" x14ac:dyDescent="0.4">
      <c r="A560" s="103" t="s">
        <v>117</v>
      </c>
      <c r="B560" s="107">
        <v>1800000</v>
      </c>
    </row>
    <row r="561" spans="1:2" ht="16.8" x14ac:dyDescent="0.4">
      <c r="A561" s="101" t="s">
        <v>251</v>
      </c>
      <c r="B561" s="107">
        <v>1745169.4152540001</v>
      </c>
    </row>
    <row r="562" spans="1:2" ht="16.8" x14ac:dyDescent="0.4">
      <c r="A562" s="103" t="s">
        <v>115</v>
      </c>
      <c r="B562" s="107">
        <v>1235169.4152540001</v>
      </c>
    </row>
    <row r="563" spans="1:2" ht="16.8" x14ac:dyDescent="0.4">
      <c r="A563" s="103" t="s">
        <v>117</v>
      </c>
      <c r="B563" s="107">
        <v>510000</v>
      </c>
    </row>
    <row r="564" spans="1:2" ht="16.8" x14ac:dyDescent="0.4">
      <c r="A564" s="101" t="s">
        <v>252</v>
      </c>
      <c r="B564" s="107">
        <v>1728644</v>
      </c>
    </row>
    <row r="565" spans="1:2" ht="16.8" x14ac:dyDescent="0.4">
      <c r="A565" s="103" t="s">
        <v>115</v>
      </c>
      <c r="B565" s="107">
        <v>1008644</v>
      </c>
    </row>
    <row r="566" spans="1:2" ht="16.8" x14ac:dyDescent="0.4">
      <c r="A566" s="103" t="s">
        <v>117</v>
      </c>
      <c r="B566" s="107">
        <v>720000</v>
      </c>
    </row>
    <row r="567" spans="1:2" ht="16.8" x14ac:dyDescent="0.4">
      <c r="A567" s="101" t="s">
        <v>253</v>
      </c>
      <c r="B567" s="107">
        <v>1720003.38</v>
      </c>
    </row>
    <row r="568" spans="1:2" ht="16.8" x14ac:dyDescent="0.4">
      <c r="A568" s="103" t="s">
        <v>115</v>
      </c>
      <c r="B568" s="107">
        <v>90677.96</v>
      </c>
    </row>
    <row r="569" spans="1:2" ht="16.8" x14ac:dyDescent="0.4">
      <c r="A569" s="103" t="s">
        <v>117</v>
      </c>
      <c r="B569" s="107">
        <v>1260000</v>
      </c>
    </row>
    <row r="570" spans="1:2" ht="16.8" x14ac:dyDescent="0.4">
      <c r="A570" s="103" t="s">
        <v>118</v>
      </c>
      <c r="B570" s="107">
        <v>369325.42</v>
      </c>
    </row>
    <row r="571" spans="1:2" ht="16.8" x14ac:dyDescent="0.4">
      <c r="A571" s="101" t="s">
        <v>254</v>
      </c>
      <c r="B571" s="107">
        <v>1713559.3220299999</v>
      </c>
    </row>
    <row r="572" spans="1:2" ht="16.8" x14ac:dyDescent="0.4">
      <c r="A572" s="103" t="s">
        <v>115</v>
      </c>
      <c r="B572" s="107">
        <v>813559.32203000004</v>
      </c>
    </row>
    <row r="573" spans="1:2" ht="16.8" x14ac:dyDescent="0.4">
      <c r="A573" s="103" t="s">
        <v>117</v>
      </c>
      <c r="B573" s="107">
        <v>900000</v>
      </c>
    </row>
    <row r="574" spans="1:2" ht="16.8" x14ac:dyDescent="0.4">
      <c r="A574" s="101" t="s">
        <v>255</v>
      </c>
      <c r="B574" s="107">
        <v>1707369.5</v>
      </c>
    </row>
    <row r="575" spans="1:2" ht="16.8" x14ac:dyDescent="0.4">
      <c r="A575" s="103" t="s">
        <v>117</v>
      </c>
      <c r="B575" s="107">
        <v>1080000</v>
      </c>
    </row>
    <row r="576" spans="1:2" ht="16.8" x14ac:dyDescent="0.4">
      <c r="A576" s="103" t="s">
        <v>118</v>
      </c>
      <c r="B576" s="107">
        <v>369324.58</v>
      </c>
    </row>
    <row r="577" spans="1:2" ht="16.8" x14ac:dyDescent="0.4">
      <c r="A577" s="103" t="s">
        <v>120</v>
      </c>
      <c r="B577" s="107">
        <v>258044.92</v>
      </c>
    </row>
    <row r="578" spans="1:2" ht="16.8" x14ac:dyDescent="0.4">
      <c r="A578" s="101" t="s">
        <v>256</v>
      </c>
      <c r="B578" s="107">
        <v>1665390</v>
      </c>
    </row>
    <row r="579" spans="1:2" ht="16.8" x14ac:dyDescent="0.4">
      <c r="A579" s="103" t="s">
        <v>134</v>
      </c>
      <c r="B579" s="107">
        <v>1665390</v>
      </c>
    </row>
    <row r="580" spans="1:2" ht="16.8" x14ac:dyDescent="0.4">
      <c r="A580" s="101" t="s">
        <v>257</v>
      </c>
      <c r="B580" s="107">
        <v>1638325</v>
      </c>
    </row>
    <row r="581" spans="1:2" ht="16.8" x14ac:dyDescent="0.4">
      <c r="A581" s="103" t="s">
        <v>117</v>
      </c>
      <c r="B581" s="107">
        <v>1080000</v>
      </c>
    </row>
    <row r="582" spans="1:2" ht="16.8" x14ac:dyDescent="0.4">
      <c r="A582" s="103" t="s">
        <v>118</v>
      </c>
      <c r="B582" s="107">
        <v>369325</v>
      </c>
    </row>
    <row r="583" spans="1:2" ht="16.8" x14ac:dyDescent="0.4">
      <c r="A583" s="103" t="s">
        <v>131</v>
      </c>
      <c r="B583" s="107">
        <v>189000</v>
      </c>
    </row>
    <row r="584" spans="1:2" ht="16.8" x14ac:dyDescent="0.4">
      <c r="A584" s="101" t="s">
        <v>258</v>
      </c>
      <c r="B584" s="107">
        <v>1613700</v>
      </c>
    </row>
    <row r="585" spans="1:2" ht="16.8" x14ac:dyDescent="0.4">
      <c r="A585" s="103" t="s">
        <v>134</v>
      </c>
      <c r="B585" s="107">
        <v>1613700</v>
      </c>
    </row>
    <row r="586" spans="1:2" ht="16.8" x14ac:dyDescent="0.4">
      <c r="A586" s="101" t="s">
        <v>259</v>
      </c>
      <c r="B586" s="107">
        <v>1612376.2711888137</v>
      </c>
    </row>
    <row r="587" spans="1:2" ht="16.8" x14ac:dyDescent="0.4">
      <c r="A587" s="103" t="s">
        <v>115</v>
      </c>
      <c r="B587" s="107">
        <v>283050.84746000002</v>
      </c>
    </row>
    <row r="588" spans="1:2" ht="16.8" x14ac:dyDescent="0.4">
      <c r="A588" s="103" t="s">
        <v>117</v>
      </c>
      <c r="B588" s="107">
        <v>900000</v>
      </c>
    </row>
    <row r="589" spans="1:2" ht="16.8" x14ac:dyDescent="0.4">
      <c r="A589" s="103" t="s">
        <v>118</v>
      </c>
      <c r="B589" s="107">
        <v>369325.42372881359</v>
      </c>
    </row>
    <row r="590" spans="1:2" ht="16.8" x14ac:dyDescent="0.4">
      <c r="A590" s="103" t="s">
        <v>131</v>
      </c>
      <c r="B590" s="107">
        <v>60000</v>
      </c>
    </row>
    <row r="591" spans="1:2" ht="16.8" x14ac:dyDescent="0.4">
      <c r="A591" s="101" t="s">
        <v>260</v>
      </c>
      <c r="B591" s="107">
        <v>1607799.6266101697</v>
      </c>
    </row>
    <row r="592" spans="1:2" ht="16.8" x14ac:dyDescent="0.4">
      <c r="A592" s="103" t="s">
        <v>115</v>
      </c>
      <c r="B592" s="107">
        <v>458474.62661016954</v>
      </c>
    </row>
    <row r="593" spans="1:2" ht="16.8" x14ac:dyDescent="0.4">
      <c r="A593" s="103" t="s">
        <v>117</v>
      </c>
      <c r="B593" s="107">
        <v>780000</v>
      </c>
    </row>
    <row r="594" spans="1:2" ht="16.8" x14ac:dyDescent="0.4">
      <c r="A594" s="103" t="s">
        <v>118</v>
      </c>
      <c r="B594" s="107">
        <v>369325</v>
      </c>
    </row>
    <row r="595" spans="1:2" ht="16.8" x14ac:dyDescent="0.4">
      <c r="A595" s="101" t="s">
        <v>261</v>
      </c>
      <c r="B595" s="107">
        <v>1606500</v>
      </c>
    </row>
    <row r="596" spans="1:2" ht="16.8" x14ac:dyDescent="0.4">
      <c r="A596" s="103" t="s">
        <v>134</v>
      </c>
      <c r="B596" s="107">
        <v>1606500</v>
      </c>
    </row>
    <row r="597" spans="1:2" ht="16.8" x14ac:dyDescent="0.4">
      <c r="A597" s="101" t="s">
        <v>35</v>
      </c>
      <c r="B597" s="107">
        <v>1584000</v>
      </c>
    </row>
    <row r="598" spans="1:2" ht="16.8" x14ac:dyDescent="0.4">
      <c r="A598" s="103" t="s">
        <v>134</v>
      </c>
      <c r="B598" s="107">
        <v>1584000</v>
      </c>
    </row>
    <row r="599" spans="1:2" ht="16.8" x14ac:dyDescent="0.4">
      <c r="A599" s="101" t="s">
        <v>262</v>
      </c>
      <c r="B599" s="107">
        <v>1560070.701016</v>
      </c>
    </row>
    <row r="600" spans="1:2" ht="16.8" x14ac:dyDescent="0.4">
      <c r="A600" s="103" t="s">
        <v>115</v>
      </c>
      <c r="B600" s="107">
        <v>774745.70101600001</v>
      </c>
    </row>
    <row r="601" spans="1:2" ht="16.8" x14ac:dyDescent="0.4">
      <c r="A601" s="103" t="s">
        <v>117</v>
      </c>
      <c r="B601" s="107">
        <v>416000</v>
      </c>
    </row>
    <row r="602" spans="1:2" ht="16.8" x14ac:dyDescent="0.4">
      <c r="A602" s="103" t="s">
        <v>118</v>
      </c>
      <c r="B602" s="107">
        <v>369325</v>
      </c>
    </row>
    <row r="603" spans="1:2" ht="16.8" x14ac:dyDescent="0.4">
      <c r="A603" s="101" t="s">
        <v>37</v>
      </c>
      <c r="B603" s="107">
        <v>1560000</v>
      </c>
    </row>
    <row r="604" spans="1:2" ht="16.8" x14ac:dyDescent="0.4">
      <c r="A604" s="103" t="s">
        <v>117</v>
      </c>
      <c r="B604" s="107">
        <v>1560000</v>
      </c>
    </row>
    <row r="605" spans="1:2" ht="16.8" x14ac:dyDescent="0.4">
      <c r="A605" s="101" t="s">
        <v>263</v>
      </c>
      <c r="B605" s="107">
        <v>1554237.2881355933</v>
      </c>
    </row>
    <row r="606" spans="1:2" ht="16.8" x14ac:dyDescent="0.4">
      <c r="A606" s="103" t="s">
        <v>115</v>
      </c>
      <c r="B606" s="107">
        <v>1554237.2881355933</v>
      </c>
    </row>
    <row r="607" spans="1:2" ht="16.8" x14ac:dyDescent="0.4">
      <c r="A607" s="101" t="s">
        <v>264</v>
      </c>
      <c r="B607" s="107">
        <v>1527369.9152542374</v>
      </c>
    </row>
    <row r="608" spans="1:2" ht="16.8" x14ac:dyDescent="0.4">
      <c r="A608" s="103" t="s">
        <v>117</v>
      </c>
      <c r="B608" s="107">
        <v>900000</v>
      </c>
    </row>
    <row r="609" spans="1:2" ht="16.8" x14ac:dyDescent="0.4">
      <c r="A609" s="103" t="s">
        <v>118</v>
      </c>
      <c r="B609" s="107">
        <v>369325</v>
      </c>
    </row>
    <row r="610" spans="1:2" ht="16.8" x14ac:dyDescent="0.4">
      <c r="A610" s="103" t="s">
        <v>120</v>
      </c>
      <c r="B610" s="107">
        <v>258044.9152542373</v>
      </c>
    </row>
    <row r="611" spans="1:2" ht="16.8" x14ac:dyDescent="0.4">
      <c r="A611" s="101" t="s">
        <v>265</v>
      </c>
      <c r="B611" s="107">
        <v>1428000</v>
      </c>
    </row>
    <row r="612" spans="1:2" ht="16.8" x14ac:dyDescent="0.4">
      <c r="A612" s="103" t="s">
        <v>123</v>
      </c>
      <c r="B612" s="107">
        <v>918000</v>
      </c>
    </row>
    <row r="613" spans="1:2" ht="16.8" x14ac:dyDescent="0.4">
      <c r="A613" s="103" t="s">
        <v>117</v>
      </c>
      <c r="B613" s="107">
        <v>510000</v>
      </c>
    </row>
    <row r="614" spans="1:2" ht="16.8" x14ac:dyDescent="0.4">
      <c r="A614" s="101" t="s">
        <v>266</v>
      </c>
      <c r="B614" s="107">
        <v>1375765.6400000001</v>
      </c>
    </row>
    <row r="615" spans="1:2" ht="16.8" x14ac:dyDescent="0.4">
      <c r="A615" s="103" t="s">
        <v>115</v>
      </c>
      <c r="B615" s="107">
        <v>226440.64</v>
      </c>
    </row>
    <row r="616" spans="1:2" ht="16.8" x14ac:dyDescent="0.4">
      <c r="A616" s="103" t="s">
        <v>117</v>
      </c>
      <c r="B616" s="107">
        <v>780000</v>
      </c>
    </row>
    <row r="617" spans="1:2" ht="16.8" x14ac:dyDescent="0.4">
      <c r="A617" s="103" t="s">
        <v>118</v>
      </c>
      <c r="B617" s="107">
        <v>369325</v>
      </c>
    </row>
    <row r="618" spans="1:2" ht="16.8" x14ac:dyDescent="0.4">
      <c r="A618" s="101" t="s">
        <v>267</v>
      </c>
      <c r="B618" s="107">
        <v>1374952.5837289998</v>
      </c>
    </row>
    <row r="619" spans="1:2" ht="16.8" x14ac:dyDescent="0.4">
      <c r="A619" s="103" t="s">
        <v>115</v>
      </c>
      <c r="B619" s="107">
        <v>387627.16</v>
      </c>
    </row>
    <row r="620" spans="1:2" ht="16.8" x14ac:dyDescent="0.4">
      <c r="A620" s="103" t="s">
        <v>117</v>
      </c>
      <c r="B620" s="107">
        <v>510000</v>
      </c>
    </row>
    <row r="621" spans="1:2" ht="16.8" x14ac:dyDescent="0.4">
      <c r="A621" s="103" t="s">
        <v>118</v>
      </c>
      <c r="B621" s="107">
        <v>369325.42372899997</v>
      </c>
    </row>
    <row r="622" spans="1:2" ht="16.8" x14ac:dyDescent="0.4">
      <c r="A622" s="103" t="s">
        <v>131</v>
      </c>
      <c r="B622" s="107">
        <v>108000</v>
      </c>
    </row>
    <row r="623" spans="1:2" ht="16.8" x14ac:dyDescent="0.4">
      <c r="A623" s="101" t="s">
        <v>268</v>
      </c>
      <c r="B623" s="107">
        <v>1365296.6099999999</v>
      </c>
    </row>
    <row r="624" spans="1:2" ht="16.8" x14ac:dyDescent="0.4">
      <c r="A624" s="103" t="s">
        <v>115</v>
      </c>
      <c r="B624" s="107">
        <v>20338.98</v>
      </c>
    </row>
    <row r="625" spans="1:2" ht="16.8" x14ac:dyDescent="0.4">
      <c r="A625" s="103" t="s">
        <v>134</v>
      </c>
      <c r="B625" s="107">
        <v>1344957.63</v>
      </c>
    </row>
    <row r="626" spans="1:2" ht="16.8" x14ac:dyDescent="0.4">
      <c r="A626" s="101" t="s">
        <v>269</v>
      </c>
      <c r="B626" s="107">
        <v>1350000</v>
      </c>
    </row>
    <row r="627" spans="1:2" ht="16.8" x14ac:dyDescent="0.4">
      <c r="A627" s="103" t="s">
        <v>134</v>
      </c>
      <c r="B627" s="107">
        <v>1350000</v>
      </c>
    </row>
    <row r="628" spans="1:2" ht="16.8" x14ac:dyDescent="0.4">
      <c r="A628" s="101" t="s">
        <v>270</v>
      </c>
      <c r="B628" s="107">
        <v>1303502.8600000001</v>
      </c>
    </row>
    <row r="629" spans="1:2" ht="16.8" x14ac:dyDescent="0.4">
      <c r="A629" s="103" t="s">
        <v>115</v>
      </c>
      <c r="B629" s="107">
        <v>317372.86000000004</v>
      </c>
    </row>
    <row r="630" spans="1:2" ht="16.8" x14ac:dyDescent="0.4">
      <c r="A630" s="103" t="s">
        <v>117</v>
      </c>
      <c r="B630" s="107">
        <v>900000</v>
      </c>
    </row>
    <row r="631" spans="1:2" ht="16.8" x14ac:dyDescent="0.4">
      <c r="A631" s="103" t="s">
        <v>118</v>
      </c>
      <c r="B631" s="107">
        <v>86130</v>
      </c>
    </row>
    <row r="632" spans="1:2" ht="16.8" x14ac:dyDescent="0.4">
      <c r="A632" s="101" t="s">
        <v>271</v>
      </c>
      <c r="B632" s="107">
        <v>1292793.72</v>
      </c>
    </row>
    <row r="633" spans="1:2" ht="16.8" x14ac:dyDescent="0.4">
      <c r="A633" s="103" t="s">
        <v>115</v>
      </c>
      <c r="B633" s="107">
        <v>155423.72</v>
      </c>
    </row>
    <row r="634" spans="1:2" ht="16.8" x14ac:dyDescent="0.4">
      <c r="A634" s="103" t="s">
        <v>117</v>
      </c>
      <c r="B634" s="107">
        <v>510000</v>
      </c>
    </row>
    <row r="635" spans="1:2" ht="16.8" x14ac:dyDescent="0.4">
      <c r="A635" s="103" t="s">
        <v>118</v>
      </c>
      <c r="B635" s="107">
        <v>369325</v>
      </c>
    </row>
    <row r="636" spans="1:2" ht="16.8" x14ac:dyDescent="0.4">
      <c r="A636" s="103" t="s">
        <v>120</v>
      </c>
      <c r="B636" s="107">
        <v>258045</v>
      </c>
    </row>
    <row r="637" spans="1:2" ht="16.8" x14ac:dyDescent="0.4">
      <c r="A637" s="101" t="s">
        <v>48</v>
      </c>
      <c r="B637" s="107">
        <v>1279876.9694915256</v>
      </c>
    </row>
    <row r="638" spans="1:2" ht="16.8" x14ac:dyDescent="0.4">
      <c r="A638" s="103" t="s">
        <v>115</v>
      </c>
      <c r="B638" s="107">
        <v>56610.169491525427</v>
      </c>
    </row>
    <row r="639" spans="1:2" ht="16.8" x14ac:dyDescent="0.4">
      <c r="A639" s="103" t="s">
        <v>117</v>
      </c>
      <c r="B639" s="107">
        <v>1020000</v>
      </c>
    </row>
    <row r="640" spans="1:2" ht="16.8" x14ac:dyDescent="0.4">
      <c r="A640" s="103" t="s">
        <v>118</v>
      </c>
      <c r="B640" s="107">
        <v>203266.8</v>
      </c>
    </row>
    <row r="641" spans="1:2" ht="16.8" x14ac:dyDescent="0.4">
      <c r="A641" s="101" t="s">
        <v>294</v>
      </c>
      <c r="B641" s="107">
        <v>1269325</v>
      </c>
    </row>
    <row r="642" spans="1:2" ht="16.8" x14ac:dyDescent="0.4">
      <c r="A642" s="103" t="s">
        <v>117</v>
      </c>
      <c r="B642" s="107">
        <v>900000</v>
      </c>
    </row>
    <row r="643" spans="1:2" ht="16.8" x14ac:dyDescent="0.4">
      <c r="A643" s="103" t="s">
        <v>118</v>
      </c>
      <c r="B643" s="107">
        <v>369325</v>
      </c>
    </row>
    <row r="644" spans="1:2" ht="16.8" x14ac:dyDescent="0.4">
      <c r="A644" s="101" t="s">
        <v>272</v>
      </c>
      <c r="B644" s="107">
        <v>1265000</v>
      </c>
    </row>
    <row r="645" spans="1:2" ht="16.8" x14ac:dyDescent="0.4">
      <c r="A645" s="103" t="s">
        <v>116</v>
      </c>
      <c r="B645" s="107">
        <v>220000</v>
      </c>
    </row>
    <row r="646" spans="1:2" ht="16.8" x14ac:dyDescent="0.4">
      <c r="A646" s="103" t="s">
        <v>134</v>
      </c>
      <c r="B646" s="107">
        <v>1045000</v>
      </c>
    </row>
    <row r="647" spans="1:2" ht="16.8" x14ac:dyDescent="0.4">
      <c r="A647" s="101" t="s">
        <v>273</v>
      </c>
      <c r="B647" s="107">
        <v>1260000</v>
      </c>
    </row>
    <row r="648" spans="1:2" ht="16.8" x14ac:dyDescent="0.4">
      <c r="A648" s="103" t="s">
        <v>117</v>
      </c>
      <c r="B648" s="107">
        <v>1260000</v>
      </c>
    </row>
    <row r="649" spans="1:2" ht="16.8" x14ac:dyDescent="0.4">
      <c r="A649" s="101" t="s">
        <v>40</v>
      </c>
      <c r="B649" s="107">
        <v>1260000</v>
      </c>
    </row>
    <row r="650" spans="1:2" ht="16.8" x14ac:dyDescent="0.4">
      <c r="A650" s="103" t="s">
        <v>117</v>
      </c>
      <c r="B650" s="107">
        <v>1260000</v>
      </c>
    </row>
    <row r="651" spans="1:2" ht="16.8" x14ac:dyDescent="0.4">
      <c r="A651" s="101" t="s">
        <v>274</v>
      </c>
      <c r="B651" s="107">
        <v>1257627.1200000001</v>
      </c>
    </row>
    <row r="652" spans="1:2" ht="16.8" x14ac:dyDescent="0.4">
      <c r="A652" s="103" t="s">
        <v>134</v>
      </c>
      <c r="B652" s="107">
        <v>1050000</v>
      </c>
    </row>
    <row r="653" spans="1:2" ht="16.8" x14ac:dyDescent="0.4">
      <c r="A653" s="103" t="s">
        <v>126</v>
      </c>
      <c r="B653" s="107">
        <v>207627.12</v>
      </c>
    </row>
    <row r="654" spans="1:2" ht="16.8" x14ac:dyDescent="0.4">
      <c r="A654" s="101" t="s">
        <v>3841</v>
      </c>
      <c r="B654" s="107">
        <v>1253500</v>
      </c>
    </row>
    <row r="655" spans="1:2" ht="16.8" x14ac:dyDescent="0.4">
      <c r="A655" s="103" t="s">
        <v>115</v>
      </c>
      <c r="B655" s="107">
        <v>1253500</v>
      </c>
    </row>
    <row r="656" spans="1:2" ht="16.8" x14ac:dyDescent="0.4">
      <c r="A656" s="101" t="s">
        <v>275</v>
      </c>
      <c r="B656" s="107">
        <v>1247627.0779650002</v>
      </c>
    </row>
    <row r="657" spans="1:2" ht="16.8" x14ac:dyDescent="0.4">
      <c r="A657" s="103" t="s">
        <v>115</v>
      </c>
      <c r="B657" s="107">
        <v>737627.07796500006</v>
      </c>
    </row>
    <row r="658" spans="1:2" ht="16.8" x14ac:dyDescent="0.4">
      <c r="A658" s="103" t="s">
        <v>117</v>
      </c>
      <c r="B658" s="107">
        <v>510000</v>
      </c>
    </row>
    <row r="659" spans="1:2" ht="16.8" x14ac:dyDescent="0.4">
      <c r="A659" s="101" t="s">
        <v>276</v>
      </c>
      <c r="B659" s="107">
        <v>1243388</v>
      </c>
    </row>
    <row r="660" spans="1:2" ht="16.8" x14ac:dyDescent="0.4">
      <c r="A660" s="103" t="s">
        <v>115</v>
      </c>
      <c r="B660" s="107">
        <v>1243388</v>
      </c>
    </row>
    <row r="661" spans="1:2" ht="16.8" x14ac:dyDescent="0.4">
      <c r="A661" s="101" t="s">
        <v>277</v>
      </c>
      <c r="B661" s="107">
        <v>1240002.96</v>
      </c>
    </row>
    <row r="662" spans="1:2" ht="16.8" x14ac:dyDescent="0.4">
      <c r="A662" s="103" t="s">
        <v>115</v>
      </c>
      <c r="B662" s="107">
        <v>90677.96</v>
      </c>
    </row>
    <row r="663" spans="1:2" ht="16.8" x14ac:dyDescent="0.4">
      <c r="A663" s="103" t="s">
        <v>117</v>
      </c>
      <c r="B663" s="107">
        <v>780000</v>
      </c>
    </row>
    <row r="664" spans="1:2" ht="16.8" x14ac:dyDescent="0.4">
      <c r="A664" s="103" t="s">
        <v>118</v>
      </c>
      <c r="B664" s="107">
        <v>369325</v>
      </c>
    </row>
    <row r="665" spans="1:2" ht="16.8" x14ac:dyDescent="0.4">
      <c r="A665" s="101" t="s">
        <v>285</v>
      </c>
      <c r="B665" s="107">
        <v>1239325</v>
      </c>
    </row>
    <row r="666" spans="1:2" ht="16.8" x14ac:dyDescent="0.4">
      <c r="A666" s="103" t="s">
        <v>117</v>
      </c>
      <c r="B666" s="107">
        <v>810000</v>
      </c>
    </row>
    <row r="667" spans="1:2" ht="16.8" x14ac:dyDescent="0.4">
      <c r="A667" s="103" t="s">
        <v>118</v>
      </c>
      <c r="B667" s="107">
        <v>369325</v>
      </c>
    </row>
    <row r="668" spans="1:2" ht="16.8" x14ac:dyDescent="0.4">
      <c r="A668" s="103" t="s">
        <v>131</v>
      </c>
      <c r="B668" s="107">
        <v>60000</v>
      </c>
    </row>
    <row r="669" spans="1:2" ht="16.8" x14ac:dyDescent="0.4">
      <c r="A669" s="101" t="s">
        <v>43</v>
      </c>
      <c r="B669" s="107">
        <v>1230000</v>
      </c>
    </row>
    <row r="670" spans="1:2" ht="16.8" x14ac:dyDescent="0.4">
      <c r="A670" s="103" t="s">
        <v>117</v>
      </c>
      <c r="B670" s="107">
        <v>1230000</v>
      </c>
    </row>
    <row r="671" spans="1:2" ht="16.8" x14ac:dyDescent="0.4">
      <c r="A671" s="101" t="s">
        <v>278</v>
      </c>
      <c r="B671" s="107">
        <v>1210186.440677966</v>
      </c>
    </row>
    <row r="672" spans="1:2" ht="16.8" x14ac:dyDescent="0.4">
      <c r="A672" s="103" t="s">
        <v>115</v>
      </c>
      <c r="B672" s="107">
        <v>121186.44067796611</v>
      </c>
    </row>
    <row r="673" spans="1:2" ht="16.8" x14ac:dyDescent="0.4">
      <c r="A673" s="103" t="s">
        <v>117</v>
      </c>
      <c r="B673" s="107">
        <v>900000</v>
      </c>
    </row>
    <row r="674" spans="1:2" ht="16.8" x14ac:dyDescent="0.4">
      <c r="A674" s="103" t="s">
        <v>131</v>
      </c>
      <c r="B674" s="107">
        <v>189000</v>
      </c>
    </row>
    <row r="675" spans="1:2" ht="16.8" x14ac:dyDescent="0.4">
      <c r="A675" s="101" t="s">
        <v>279</v>
      </c>
      <c r="B675" s="107">
        <v>1204406.81</v>
      </c>
    </row>
    <row r="676" spans="1:2" ht="16.8" x14ac:dyDescent="0.4">
      <c r="A676" s="103" t="s">
        <v>115</v>
      </c>
      <c r="B676" s="107">
        <v>664406.81000000006</v>
      </c>
    </row>
    <row r="677" spans="1:2" ht="16.8" x14ac:dyDescent="0.4">
      <c r="A677" s="103" t="s">
        <v>134</v>
      </c>
      <c r="B677" s="107">
        <v>540000</v>
      </c>
    </row>
    <row r="678" spans="1:2" ht="16.8" x14ac:dyDescent="0.4">
      <c r="A678" s="101" t="s">
        <v>281</v>
      </c>
      <c r="B678" s="107">
        <v>1202545.32</v>
      </c>
    </row>
    <row r="679" spans="1:2" ht="16.8" x14ac:dyDescent="0.4">
      <c r="A679" s="103" t="s">
        <v>115</v>
      </c>
      <c r="B679" s="107">
        <v>113220.32</v>
      </c>
    </row>
    <row r="680" spans="1:2" ht="16.8" x14ac:dyDescent="0.4">
      <c r="A680" s="103" t="s">
        <v>117</v>
      </c>
      <c r="B680" s="107">
        <v>720000</v>
      </c>
    </row>
    <row r="681" spans="1:2" ht="16.8" x14ac:dyDescent="0.4">
      <c r="A681" s="103" t="s">
        <v>118</v>
      </c>
      <c r="B681" s="107">
        <v>369325</v>
      </c>
    </row>
    <row r="682" spans="1:2" ht="16.8" x14ac:dyDescent="0.4">
      <c r="A682" s="101" t="s">
        <v>280</v>
      </c>
      <c r="B682" s="107">
        <v>1202545.32</v>
      </c>
    </row>
    <row r="683" spans="1:2" ht="16.8" x14ac:dyDescent="0.4">
      <c r="A683" s="103" t="s">
        <v>115</v>
      </c>
      <c r="B683" s="107">
        <v>113220.32</v>
      </c>
    </row>
    <row r="684" spans="1:2" ht="16.8" x14ac:dyDescent="0.4">
      <c r="A684" s="103" t="s">
        <v>117</v>
      </c>
      <c r="B684" s="107">
        <v>720000</v>
      </c>
    </row>
    <row r="685" spans="1:2" ht="16.8" x14ac:dyDescent="0.4">
      <c r="A685" s="103" t="s">
        <v>118</v>
      </c>
      <c r="B685" s="107">
        <v>369325</v>
      </c>
    </row>
    <row r="686" spans="1:2" ht="16.8" x14ac:dyDescent="0.4">
      <c r="A686" s="101" t="s">
        <v>282</v>
      </c>
      <c r="B686" s="107">
        <v>1177630.08</v>
      </c>
    </row>
    <row r="687" spans="1:2" ht="16.8" x14ac:dyDescent="0.4">
      <c r="A687" s="103" t="s">
        <v>115</v>
      </c>
      <c r="B687" s="107">
        <v>28305.08</v>
      </c>
    </row>
    <row r="688" spans="1:2" ht="16.8" x14ac:dyDescent="0.4">
      <c r="A688" s="103" t="s">
        <v>117</v>
      </c>
      <c r="B688" s="107">
        <v>780000</v>
      </c>
    </row>
    <row r="689" spans="1:2" ht="16.8" x14ac:dyDescent="0.4">
      <c r="A689" s="103" t="s">
        <v>118</v>
      </c>
      <c r="B689" s="107">
        <v>369325</v>
      </c>
    </row>
    <row r="690" spans="1:2" ht="16.8" x14ac:dyDescent="0.4">
      <c r="A690" s="101" t="s">
        <v>45</v>
      </c>
      <c r="B690" s="107">
        <v>1170000</v>
      </c>
    </row>
    <row r="691" spans="1:2" ht="16.8" x14ac:dyDescent="0.4">
      <c r="A691" s="103" t="s">
        <v>117</v>
      </c>
      <c r="B691" s="107">
        <v>1170000</v>
      </c>
    </row>
    <row r="692" spans="1:2" ht="16.8" x14ac:dyDescent="0.4">
      <c r="A692" s="101" t="s">
        <v>283</v>
      </c>
      <c r="B692" s="107">
        <v>1167291.1200000001</v>
      </c>
    </row>
    <row r="693" spans="1:2" ht="16.8" x14ac:dyDescent="0.4">
      <c r="A693" s="103" t="s">
        <v>115</v>
      </c>
      <c r="B693" s="107">
        <v>77966.12</v>
      </c>
    </row>
    <row r="694" spans="1:2" ht="16.8" x14ac:dyDescent="0.4">
      <c r="A694" s="103" t="s">
        <v>117</v>
      </c>
      <c r="B694" s="107">
        <v>720000</v>
      </c>
    </row>
    <row r="695" spans="1:2" ht="16.8" x14ac:dyDescent="0.4">
      <c r="A695" s="103" t="s">
        <v>118</v>
      </c>
      <c r="B695" s="107">
        <v>369325</v>
      </c>
    </row>
    <row r="696" spans="1:2" ht="16.8" x14ac:dyDescent="0.4">
      <c r="A696" s="101" t="s">
        <v>286</v>
      </c>
      <c r="B696" s="107">
        <v>1149325</v>
      </c>
    </row>
    <row r="697" spans="1:2" ht="16.8" x14ac:dyDescent="0.4">
      <c r="A697" s="103" t="s">
        <v>117</v>
      </c>
      <c r="B697" s="107">
        <v>780000</v>
      </c>
    </row>
    <row r="698" spans="1:2" ht="16.8" x14ac:dyDescent="0.4">
      <c r="A698" s="103" t="s">
        <v>118</v>
      </c>
      <c r="B698" s="107">
        <v>369325</v>
      </c>
    </row>
    <row r="699" spans="1:2" ht="16.8" x14ac:dyDescent="0.4">
      <c r="A699" s="101" t="s">
        <v>284</v>
      </c>
      <c r="B699" s="107">
        <v>1149325</v>
      </c>
    </row>
    <row r="700" spans="1:2" ht="16.8" x14ac:dyDescent="0.4">
      <c r="A700" s="103" t="s">
        <v>117</v>
      </c>
      <c r="B700" s="107">
        <v>780000</v>
      </c>
    </row>
    <row r="701" spans="1:2" ht="16.8" x14ac:dyDescent="0.4">
      <c r="A701" s="103" t="s">
        <v>118</v>
      </c>
      <c r="B701" s="107">
        <v>369325</v>
      </c>
    </row>
    <row r="702" spans="1:2" ht="16.8" x14ac:dyDescent="0.4">
      <c r="A702" s="101" t="s">
        <v>287</v>
      </c>
      <c r="B702" s="107">
        <v>1144068</v>
      </c>
    </row>
    <row r="703" spans="1:2" ht="16.8" x14ac:dyDescent="0.4">
      <c r="A703" s="103" t="s">
        <v>134</v>
      </c>
      <c r="B703" s="107">
        <v>1144068</v>
      </c>
    </row>
    <row r="704" spans="1:2" ht="16.8" x14ac:dyDescent="0.4">
      <c r="A704" s="101" t="s">
        <v>288</v>
      </c>
      <c r="B704" s="107">
        <v>1122146.94</v>
      </c>
    </row>
    <row r="705" spans="1:2" ht="16.8" x14ac:dyDescent="0.4">
      <c r="A705" s="103" t="s">
        <v>115</v>
      </c>
      <c r="B705" s="107">
        <v>136016.94</v>
      </c>
    </row>
    <row r="706" spans="1:2" ht="16.8" x14ac:dyDescent="0.4">
      <c r="A706" s="103" t="s">
        <v>117</v>
      </c>
      <c r="B706" s="107">
        <v>900000</v>
      </c>
    </row>
    <row r="707" spans="1:2" ht="16.8" x14ac:dyDescent="0.4">
      <c r="A707" s="103" t="s">
        <v>118</v>
      </c>
      <c r="B707" s="107">
        <v>86130</v>
      </c>
    </row>
    <row r="708" spans="1:2" ht="16.8" x14ac:dyDescent="0.4">
      <c r="A708" s="101" t="s">
        <v>289</v>
      </c>
      <c r="B708" s="107">
        <v>1120000</v>
      </c>
    </row>
    <row r="709" spans="1:2" ht="16.8" x14ac:dyDescent="0.4">
      <c r="A709" s="103" t="s">
        <v>134</v>
      </c>
      <c r="B709" s="107">
        <v>1120000</v>
      </c>
    </row>
    <row r="710" spans="1:2" ht="16.8" x14ac:dyDescent="0.4">
      <c r="A710" s="101" t="s">
        <v>290</v>
      </c>
      <c r="B710" s="107">
        <v>1118731.78</v>
      </c>
    </row>
    <row r="711" spans="1:2" ht="16.8" x14ac:dyDescent="0.4">
      <c r="A711" s="103" t="s">
        <v>115</v>
      </c>
      <c r="B711" s="107">
        <v>179406.78</v>
      </c>
    </row>
    <row r="712" spans="1:2" ht="16.8" x14ac:dyDescent="0.4">
      <c r="A712" s="103" t="s">
        <v>117</v>
      </c>
      <c r="B712" s="107">
        <v>510000</v>
      </c>
    </row>
    <row r="713" spans="1:2" ht="16.8" x14ac:dyDescent="0.4">
      <c r="A713" s="103" t="s">
        <v>118</v>
      </c>
      <c r="B713" s="107">
        <v>369325</v>
      </c>
    </row>
    <row r="714" spans="1:2" ht="16.8" x14ac:dyDescent="0.4">
      <c r="A714" s="103" t="s">
        <v>131</v>
      </c>
      <c r="B714" s="107">
        <v>60000</v>
      </c>
    </row>
    <row r="715" spans="1:2" ht="16.8" x14ac:dyDescent="0.4">
      <c r="A715" s="101" t="s">
        <v>291</v>
      </c>
      <c r="B715" s="107">
        <v>1117630.08</v>
      </c>
    </row>
    <row r="716" spans="1:2" ht="16.8" x14ac:dyDescent="0.4">
      <c r="A716" s="103" t="s">
        <v>115</v>
      </c>
      <c r="B716" s="107">
        <v>28305.08</v>
      </c>
    </row>
    <row r="717" spans="1:2" ht="16.8" x14ac:dyDescent="0.4">
      <c r="A717" s="103" t="s">
        <v>117</v>
      </c>
      <c r="B717" s="107">
        <v>720000</v>
      </c>
    </row>
    <row r="718" spans="1:2" ht="16.8" x14ac:dyDescent="0.4">
      <c r="A718" s="103" t="s">
        <v>118</v>
      </c>
      <c r="B718" s="107">
        <v>369325</v>
      </c>
    </row>
    <row r="719" spans="1:2" ht="16.8" x14ac:dyDescent="0.4">
      <c r="A719" s="101" t="s">
        <v>292</v>
      </c>
      <c r="B719" s="107">
        <v>1109830.6000000001</v>
      </c>
    </row>
    <row r="720" spans="1:2" ht="16.8" x14ac:dyDescent="0.4">
      <c r="A720" s="103" t="s">
        <v>115</v>
      </c>
      <c r="B720" s="107">
        <v>389830.6</v>
      </c>
    </row>
    <row r="721" spans="1:2" ht="16.8" x14ac:dyDescent="0.4">
      <c r="A721" s="103" t="s">
        <v>117</v>
      </c>
      <c r="B721" s="107">
        <v>720000</v>
      </c>
    </row>
    <row r="722" spans="1:2" ht="16.8" x14ac:dyDescent="0.4">
      <c r="A722" s="101" t="s">
        <v>42</v>
      </c>
      <c r="B722" s="107">
        <v>1100000</v>
      </c>
    </row>
    <row r="723" spans="1:2" ht="16.8" x14ac:dyDescent="0.4">
      <c r="A723" s="103" t="s">
        <v>134</v>
      </c>
      <c r="B723" s="107">
        <v>1100000</v>
      </c>
    </row>
    <row r="724" spans="1:2" ht="16.8" x14ac:dyDescent="0.4">
      <c r="A724" s="101" t="s">
        <v>295</v>
      </c>
      <c r="B724" s="107">
        <v>1089325</v>
      </c>
    </row>
    <row r="725" spans="1:2" ht="16.8" x14ac:dyDescent="0.4">
      <c r="A725" s="103" t="s">
        <v>117</v>
      </c>
      <c r="B725" s="107">
        <v>720000</v>
      </c>
    </row>
    <row r="726" spans="1:2" ht="16.8" x14ac:dyDescent="0.4">
      <c r="A726" s="103" t="s">
        <v>118</v>
      </c>
      <c r="B726" s="107">
        <v>369325</v>
      </c>
    </row>
    <row r="727" spans="1:2" ht="16.8" x14ac:dyDescent="0.4">
      <c r="A727" s="101" t="s">
        <v>296</v>
      </c>
      <c r="B727" s="107">
        <v>1065000</v>
      </c>
    </row>
    <row r="728" spans="1:2" ht="16.8" x14ac:dyDescent="0.4">
      <c r="A728" s="103" t="s">
        <v>134</v>
      </c>
      <c r="B728" s="107">
        <v>1065000</v>
      </c>
    </row>
    <row r="729" spans="1:2" ht="16.8" x14ac:dyDescent="0.4">
      <c r="A729" s="101" t="s">
        <v>297</v>
      </c>
      <c r="B729" s="107">
        <v>1045000</v>
      </c>
    </row>
    <row r="730" spans="1:2" ht="16.8" x14ac:dyDescent="0.4">
      <c r="A730" s="103" t="s">
        <v>134</v>
      </c>
      <c r="B730" s="107">
        <v>1045000</v>
      </c>
    </row>
    <row r="731" spans="1:2" ht="16.8" x14ac:dyDescent="0.4">
      <c r="A731" s="101" t="s">
        <v>298</v>
      </c>
      <c r="B731" s="107">
        <v>1000000</v>
      </c>
    </row>
    <row r="732" spans="1:2" ht="16.8" x14ac:dyDescent="0.4">
      <c r="A732" s="103" t="s">
        <v>134</v>
      </c>
      <c r="B732" s="107">
        <v>1000000</v>
      </c>
    </row>
    <row r="733" spans="1:2" ht="16.8" x14ac:dyDescent="0.4">
      <c r="A733" s="101" t="s">
        <v>44</v>
      </c>
      <c r="B733" s="107">
        <v>1000000</v>
      </c>
    </row>
    <row r="734" spans="1:2" ht="16.8" x14ac:dyDescent="0.4">
      <c r="A734" s="103" t="s">
        <v>134</v>
      </c>
      <c r="B734" s="107">
        <v>1000000</v>
      </c>
    </row>
    <row r="735" spans="1:2" ht="16.8" x14ac:dyDescent="0.4">
      <c r="A735" s="101" t="s">
        <v>299</v>
      </c>
      <c r="B735" s="107">
        <v>965785</v>
      </c>
    </row>
    <row r="736" spans="1:2" ht="16.8" x14ac:dyDescent="0.4">
      <c r="A736" s="103" t="s">
        <v>123</v>
      </c>
      <c r="B736" s="107">
        <v>965785</v>
      </c>
    </row>
    <row r="737" spans="1:2" ht="16.8" x14ac:dyDescent="0.4">
      <c r="A737" s="101" t="s">
        <v>300</v>
      </c>
      <c r="B737" s="107">
        <v>940500</v>
      </c>
    </row>
    <row r="738" spans="1:2" ht="16.8" x14ac:dyDescent="0.4">
      <c r="A738" s="103" t="s">
        <v>134</v>
      </c>
      <c r="B738" s="107">
        <v>940500</v>
      </c>
    </row>
    <row r="739" spans="1:2" ht="16.8" x14ac:dyDescent="0.4">
      <c r="A739" s="101" t="s">
        <v>301</v>
      </c>
      <c r="B739" s="107">
        <v>939325</v>
      </c>
    </row>
    <row r="740" spans="1:2" ht="16.8" x14ac:dyDescent="0.4">
      <c r="A740" s="103" t="s">
        <v>117</v>
      </c>
      <c r="B740" s="107">
        <v>510000</v>
      </c>
    </row>
    <row r="741" spans="1:2" ht="16.8" x14ac:dyDescent="0.4">
      <c r="A741" s="103" t="s">
        <v>118</v>
      </c>
      <c r="B741" s="107">
        <v>369325</v>
      </c>
    </row>
    <row r="742" spans="1:2" ht="16.8" x14ac:dyDescent="0.4">
      <c r="A742" s="103" t="s">
        <v>131</v>
      </c>
      <c r="B742" s="107">
        <v>60000</v>
      </c>
    </row>
    <row r="743" spans="1:2" ht="16.8" x14ac:dyDescent="0.4">
      <c r="A743" s="101" t="s">
        <v>302</v>
      </c>
      <c r="B743" s="107">
        <v>938983</v>
      </c>
    </row>
    <row r="744" spans="1:2" ht="16.8" x14ac:dyDescent="0.4">
      <c r="A744" s="103" t="s">
        <v>134</v>
      </c>
      <c r="B744" s="107">
        <v>938983</v>
      </c>
    </row>
    <row r="745" spans="1:2" ht="16.8" x14ac:dyDescent="0.4">
      <c r="A745" s="101" t="s">
        <v>303</v>
      </c>
      <c r="B745" s="107">
        <v>937630.08</v>
      </c>
    </row>
    <row r="746" spans="1:2" ht="16.8" x14ac:dyDescent="0.4">
      <c r="A746" s="103" t="s">
        <v>115</v>
      </c>
      <c r="B746" s="107">
        <v>28305.08</v>
      </c>
    </row>
    <row r="747" spans="1:2" ht="16.8" x14ac:dyDescent="0.4">
      <c r="A747" s="103" t="s">
        <v>117</v>
      </c>
      <c r="B747" s="107">
        <v>540000</v>
      </c>
    </row>
    <row r="748" spans="1:2" ht="16.8" x14ac:dyDescent="0.4">
      <c r="A748" s="103" t="s">
        <v>118</v>
      </c>
      <c r="B748" s="107">
        <v>369325</v>
      </c>
    </row>
    <row r="749" spans="1:2" ht="16.8" x14ac:dyDescent="0.4">
      <c r="A749" s="101" t="s">
        <v>304</v>
      </c>
      <c r="B749" s="107">
        <v>919491.53</v>
      </c>
    </row>
    <row r="750" spans="1:2" ht="16.8" x14ac:dyDescent="0.4">
      <c r="A750" s="103" t="s">
        <v>115</v>
      </c>
      <c r="B750" s="107">
        <v>19491.53</v>
      </c>
    </row>
    <row r="751" spans="1:2" ht="16.8" x14ac:dyDescent="0.4">
      <c r="A751" s="103" t="s">
        <v>117</v>
      </c>
      <c r="B751" s="107">
        <v>900000</v>
      </c>
    </row>
    <row r="752" spans="1:2" ht="16.8" x14ac:dyDescent="0.4">
      <c r="A752" s="101" t="s">
        <v>310</v>
      </c>
      <c r="B752" s="107">
        <v>909325</v>
      </c>
    </row>
    <row r="753" spans="1:2" ht="16.8" x14ac:dyDescent="0.4">
      <c r="A753" s="103" t="s">
        <v>117</v>
      </c>
      <c r="B753" s="107">
        <v>540000</v>
      </c>
    </row>
    <row r="754" spans="1:2" ht="16.8" x14ac:dyDescent="0.4">
      <c r="A754" s="103" t="s">
        <v>118</v>
      </c>
      <c r="B754" s="107">
        <v>369325</v>
      </c>
    </row>
    <row r="755" spans="1:2" ht="16.8" x14ac:dyDescent="0.4">
      <c r="A755" s="101" t="s">
        <v>309</v>
      </c>
      <c r="B755" s="107">
        <v>909325</v>
      </c>
    </row>
    <row r="756" spans="1:2" ht="16.8" x14ac:dyDescent="0.4">
      <c r="A756" s="103" t="s">
        <v>117</v>
      </c>
      <c r="B756" s="107">
        <v>540000</v>
      </c>
    </row>
    <row r="757" spans="1:2" ht="16.8" x14ac:dyDescent="0.4">
      <c r="A757" s="103" t="s">
        <v>118</v>
      </c>
      <c r="B757" s="107">
        <v>369325</v>
      </c>
    </row>
    <row r="758" spans="1:2" ht="16.8" x14ac:dyDescent="0.4">
      <c r="A758" s="101" t="s">
        <v>317</v>
      </c>
      <c r="B758" s="107">
        <v>909325</v>
      </c>
    </row>
    <row r="759" spans="1:2" ht="16.8" x14ac:dyDescent="0.4">
      <c r="A759" s="103" t="s">
        <v>117</v>
      </c>
      <c r="B759" s="107">
        <v>540000</v>
      </c>
    </row>
    <row r="760" spans="1:2" ht="16.8" x14ac:dyDescent="0.4">
      <c r="A760" s="103" t="s">
        <v>118</v>
      </c>
      <c r="B760" s="107">
        <v>369325</v>
      </c>
    </row>
    <row r="761" spans="1:2" ht="16.8" x14ac:dyDescent="0.4">
      <c r="A761" s="101" t="s">
        <v>316</v>
      </c>
      <c r="B761" s="107">
        <v>909325</v>
      </c>
    </row>
    <row r="762" spans="1:2" ht="16.8" x14ac:dyDescent="0.4">
      <c r="A762" s="103" t="s">
        <v>117</v>
      </c>
      <c r="B762" s="107">
        <v>540000</v>
      </c>
    </row>
    <row r="763" spans="1:2" ht="16.8" x14ac:dyDescent="0.4">
      <c r="A763" s="103" t="s">
        <v>118</v>
      </c>
      <c r="B763" s="107">
        <v>369325</v>
      </c>
    </row>
    <row r="764" spans="1:2" ht="16.8" x14ac:dyDescent="0.4">
      <c r="A764" s="101" t="s">
        <v>308</v>
      </c>
      <c r="B764" s="107">
        <v>909325</v>
      </c>
    </row>
    <row r="765" spans="1:2" ht="16.8" x14ac:dyDescent="0.4">
      <c r="A765" s="103" t="s">
        <v>117</v>
      </c>
      <c r="B765" s="107">
        <v>540000</v>
      </c>
    </row>
    <row r="766" spans="1:2" ht="16.8" x14ac:dyDescent="0.4">
      <c r="A766" s="103" t="s">
        <v>118</v>
      </c>
      <c r="B766" s="107">
        <v>369325</v>
      </c>
    </row>
    <row r="767" spans="1:2" ht="16.8" x14ac:dyDescent="0.4">
      <c r="A767" s="101" t="s">
        <v>313</v>
      </c>
      <c r="B767" s="107">
        <v>909325</v>
      </c>
    </row>
    <row r="768" spans="1:2" ht="16.8" x14ac:dyDescent="0.4">
      <c r="A768" s="103" t="s">
        <v>117</v>
      </c>
      <c r="B768" s="107">
        <v>540000</v>
      </c>
    </row>
    <row r="769" spans="1:2" ht="16.8" x14ac:dyDescent="0.4">
      <c r="A769" s="103" t="s">
        <v>118</v>
      </c>
      <c r="B769" s="107">
        <v>369325</v>
      </c>
    </row>
    <row r="770" spans="1:2" ht="16.8" x14ac:dyDescent="0.4">
      <c r="A770" s="101" t="s">
        <v>312</v>
      </c>
      <c r="B770" s="107">
        <v>909325</v>
      </c>
    </row>
    <row r="771" spans="1:2" ht="16.8" x14ac:dyDescent="0.4">
      <c r="A771" s="103" t="s">
        <v>117</v>
      </c>
      <c r="B771" s="107">
        <v>540000</v>
      </c>
    </row>
    <row r="772" spans="1:2" ht="16.8" x14ac:dyDescent="0.4">
      <c r="A772" s="103" t="s">
        <v>118</v>
      </c>
      <c r="B772" s="107">
        <v>369325</v>
      </c>
    </row>
    <row r="773" spans="1:2" ht="16.8" x14ac:dyDescent="0.4">
      <c r="A773" s="101" t="s">
        <v>311</v>
      </c>
      <c r="B773" s="107">
        <v>909325</v>
      </c>
    </row>
    <row r="774" spans="1:2" ht="16.8" x14ac:dyDescent="0.4">
      <c r="A774" s="103" t="s">
        <v>117</v>
      </c>
      <c r="B774" s="107">
        <v>540000</v>
      </c>
    </row>
    <row r="775" spans="1:2" ht="16.8" x14ac:dyDescent="0.4">
      <c r="A775" s="103" t="s">
        <v>118</v>
      </c>
      <c r="B775" s="107">
        <v>369325</v>
      </c>
    </row>
    <row r="776" spans="1:2" ht="16.8" x14ac:dyDescent="0.4">
      <c r="A776" s="101" t="s">
        <v>307</v>
      </c>
      <c r="B776" s="107">
        <v>909325</v>
      </c>
    </row>
    <row r="777" spans="1:2" ht="16.8" x14ac:dyDescent="0.4">
      <c r="A777" s="103" t="s">
        <v>117</v>
      </c>
      <c r="B777" s="107">
        <v>540000</v>
      </c>
    </row>
    <row r="778" spans="1:2" ht="16.8" x14ac:dyDescent="0.4">
      <c r="A778" s="103" t="s">
        <v>118</v>
      </c>
      <c r="B778" s="107">
        <v>369325</v>
      </c>
    </row>
    <row r="779" spans="1:2" ht="16.8" x14ac:dyDescent="0.4">
      <c r="A779" s="101" t="s">
        <v>306</v>
      </c>
      <c r="B779" s="107">
        <v>909325</v>
      </c>
    </row>
    <row r="780" spans="1:2" ht="16.8" x14ac:dyDescent="0.4">
      <c r="A780" s="103" t="s">
        <v>117</v>
      </c>
      <c r="B780" s="107">
        <v>540000</v>
      </c>
    </row>
    <row r="781" spans="1:2" ht="16.8" x14ac:dyDescent="0.4">
      <c r="A781" s="103" t="s">
        <v>118</v>
      </c>
      <c r="B781" s="107">
        <v>369325</v>
      </c>
    </row>
    <row r="782" spans="1:2" ht="16.8" x14ac:dyDescent="0.4">
      <c r="A782" s="101" t="s">
        <v>318</v>
      </c>
      <c r="B782" s="107">
        <v>909325</v>
      </c>
    </row>
    <row r="783" spans="1:2" ht="16.8" x14ac:dyDescent="0.4">
      <c r="A783" s="103" t="s">
        <v>117</v>
      </c>
      <c r="B783" s="107">
        <v>540000</v>
      </c>
    </row>
    <row r="784" spans="1:2" ht="16.8" x14ac:dyDescent="0.4">
      <c r="A784" s="103" t="s">
        <v>118</v>
      </c>
      <c r="B784" s="107">
        <v>369325</v>
      </c>
    </row>
    <row r="785" spans="1:2" ht="16.8" x14ac:dyDescent="0.4">
      <c r="A785" s="101" t="s">
        <v>305</v>
      </c>
      <c r="B785" s="107">
        <v>909325</v>
      </c>
    </row>
    <row r="786" spans="1:2" ht="16.8" x14ac:dyDescent="0.4">
      <c r="A786" s="103" t="s">
        <v>117</v>
      </c>
      <c r="B786" s="107">
        <v>540000</v>
      </c>
    </row>
    <row r="787" spans="1:2" ht="16.8" x14ac:dyDescent="0.4">
      <c r="A787" s="103" t="s">
        <v>118</v>
      </c>
      <c r="B787" s="107">
        <v>369325</v>
      </c>
    </row>
    <row r="788" spans="1:2" ht="16.8" x14ac:dyDescent="0.4">
      <c r="A788" s="101" t="s">
        <v>314</v>
      </c>
      <c r="B788" s="107">
        <v>909325</v>
      </c>
    </row>
    <row r="789" spans="1:2" ht="16.8" x14ac:dyDescent="0.4">
      <c r="A789" s="103" t="s">
        <v>117</v>
      </c>
      <c r="B789" s="107">
        <v>540000</v>
      </c>
    </row>
    <row r="790" spans="1:2" ht="16.8" x14ac:dyDescent="0.4">
      <c r="A790" s="103" t="s">
        <v>118</v>
      </c>
      <c r="B790" s="107">
        <v>369325</v>
      </c>
    </row>
    <row r="791" spans="1:2" ht="16.8" x14ac:dyDescent="0.4">
      <c r="A791" s="101" t="s">
        <v>315</v>
      </c>
      <c r="B791" s="107">
        <v>909325</v>
      </c>
    </row>
    <row r="792" spans="1:2" ht="16.8" x14ac:dyDescent="0.4">
      <c r="A792" s="103" t="s">
        <v>117</v>
      </c>
      <c r="B792" s="107">
        <v>540000</v>
      </c>
    </row>
    <row r="793" spans="1:2" ht="16.8" x14ac:dyDescent="0.4">
      <c r="A793" s="103" t="s">
        <v>118</v>
      </c>
      <c r="B793" s="107">
        <v>369325</v>
      </c>
    </row>
    <row r="794" spans="1:2" ht="16.8" x14ac:dyDescent="0.4">
      <c r="A794" s="101" t="s">
        <v>319</v>
      </c>
      <c r="B794" s="107">
        <v>907630.5</v>
      </c>
    </row>
    <row r="795" spans="1:2" ht="16.8" x14ac:dyDescent="0.4">
      <c r="A795" s="103" t="s">
        <v>115</v>
      </c>
      <c r="B795" s="107">
        <v>28305.08</v>
      </c>
    </row>
    <row r="796" spans="1:2" ht="16.8" x14ac:dyDescent="0.4">
      <c r="A796" s="103" t="s">
        <v>117</v>
      </c>
      <c r="B796" s="107">
        <v>510000</v>
      </c>
    </row>
    <row r="797" spans="1:2" ht="16.8" x14ac:dyDescent="0.4">
      <c r="A797" s="103" t="s">
        <v>118</v>
      </c>
      <c r="B797" s="107">
        <v>369325.42</v>
      </c>
    </row>
    <row r="798" spans="1:2" ht="16.8" x14ac:dyDescent="0.4">
      <c r="A798" s="101" t="s">
        <v>320</v>
      </c>
      <c r="B798" s="107">
        <v>906794</v>
      </c>
    </row>
    <row r="799" spans="1:2" ht="16.8" x14ac:dyDescent="0.4">
      <c r="A799" s="103" t="s">
        <v>123</v>
      </c>
      <c r="B799" s="107">
        <v>396794</v>
      </c>
    </row>
    <row r="800" spans="1:2" ht="16.8" x14ac:dyDescent="0.4">
      <c r="A800" s="103" t="s">
        <v>134</v>
      </c>
      <c r="B800" s="107">
        <v>510000</v>
      </c>
    </row>
    <row r="801" spans="1:2" ht="16.8" x14ac:dyDescent="0.4">
      <c r="A801" s="101" t="s">
        <v>51</v>
      </c>
      <c r="B801" s="107">
        <v>900000</v>
      </c>
    </row>
    <row r="802" spans="1:2" ht="16.8" x14ac:dyDescent="0.4">
      <c r="A802" s="103" t="s">
        <v>134</v>
      </c>
      <c r="B802" s="107">
        <v>900000</v>
      </c>
    </row>
    <row r="803" spans="1:2" ht="16.8" x14ac:dyDescent="0.4">
      <c r="A803" s="101" t="s">
        <v>321</v>
      </c>
      <c r="B803" s="107">
        <v>900000</v>
      </c>
    </row>
    <row r="804" spans="1:2" ht="16.8" x14ac:dyDescent="0.4">
      <c r="A804" s="103" t="s">
        <v>117</v>
      </c>
      <c r="B804" s="107">
        <v>900000</v>
      </c>
    </row>
    <row r="805" spans="1:2" ht="16.8" x14ac:dyDescent="0.4">
      <c r="A805" s="101" t="s">
        <v>49</v>
      </c>
      <c r="B805" s="107">
        <v>900000</v>
      </c>
    </row>
    <row r="806" spans="1:2" ht="16.8" x14ac:dyDescent="0.4">
      <c r="A806" s="103" t="s">
        <v>117</v>
      </c>
      <c r="B806" s="107">
        <v>900000</v>
      </c>
    </row>
    <row r="807" spans="1:2" ht="16.8" x14ac:dyDescent="0.4">
      <c r="A807" s="101" t="s">
        <v>322</v>
      </c>
      <c r="B807" s="107">
        <v>900000</v>
      </c>
    </row>
    <row r="808" spans="1:2" ht="16.8" x14ac:dyDescent="0.4">
      <c r="A808" s="103" t="s">
        <v>117</v>
      </c>
      <c r="B808" s="107">
        <v>900000</v>
      </c>
    </row>
    <row r="809" spans="1:2" ht="16.8" x14ac:dyDescent="0.4">
      <c r="A809" s="101" t="s">
        <v>46</v>
      </c>
      <c r="B809" s="107">
        <v>900000</v>
      </c>
    </row>
    <row r="810" spans="1:2" ht="16.8" x14ac:dyDescent="0.4">
      <c r="A810" s="103" t="s">
        <v>134</v>
      </c>
      <c r="B810" s="107">
        <v>900000</v>
      </c>
    </row>
    <row r="811" spans="1:2" ht="16.8" x14ac:dyDescent="0.4">
      <c r="A811" s="101" t="s">
        <v>325</v>
      </c>
      <c r="B811" s="107">
        <v>879325</v>
      </c>
    </row>
    <row r="812" spans="1:2" ht="16.8" x14ac:dyDescent="0.4">
      <c r="A812" s="103" t="s">
        <v>117</v>
      </c>
      <c r="B812" s="107">
        <v>510000</v>
      </c>
    </row>
    <row r="813" spans="1:2" ht="16.8" x14ac:dyDescent="0.4">
      <c r="A813" s="103" t="s">
        <v>118</v>
      </c>
      <c r="B813" s="107">
        <v>369325</v>
      </c>
    </row>
    <row r="814" spans="1:2" ht="16.8" x14ac:dyDescent="0.4">
      <c r="A814" s="101" t="s">
        <v>324</v>
      </c>
      <c r="B814" s="107">
        <v>879325</v>
      </c>
    </row>
    <row r="815" spans="1:2" ht="16.8" x14ac:dyDescent="0.4">
      <c r="A815" s="103" t="s">
        <v>117</v>
      </c>
      <c r="B815" s="107">
        <v>510000</v>
      </c>
    </row>
    <row r="816" spans="1:2" ht="16.8" x14ac:dyDescent="0.4">
      <c r="A816" s="103" t="s">
        <v>118</v>
      </c>
      <c r="B816" s="107">
        <v>369325</v>
      </c>
    </row>
    <row r="817" spans="1:2" ht="16.8" x14ac:dyDescent="0.4">
      <c r="A817" s="101" t="s">
        <v>323</v>
      </c>
      <c r="B817" s="107">
        <v>879325</v>
      </c>
    </row>
    <row r="818" spans="1:2" ht="16.8" x14ac:dyDescent="0.4">
      <c r="A818" s="103" t="s">
        <v>117</v>
      </c>
      <c r="B818" s="107">
        <v>510000</v>
      </c>
    </row>
    <row r="819" spans="1:2" ht="16.8" x14ac:dyDescent="0.4">
      <c r="A819" s="103" t="s">
        <v>118</v>
      </c>
      <c r="B819" s="107">
        <v>369325</v>
      </c>
    </row>
    <row r="820" spans="1:2" ht="16.8" x14ac:dyDescent="0.4">
      <c r="A820" s="101" t="s">
        <v>326</v>
      </c>
      <c r="B820" s="107">
        <v>849194.92</v>
      </c>
    </row>
    <row r="821" spans="1:2" ht="16.8" x14ac:dyDescent="0.4">
      <c r="A821" s="103" t="s">
        <v>117</v>
      </c>
      <c r="B821" s="107">
        <v>720000</v>
      </c>
    </row>
    <row r="822" spans="1:2" ht="16.8" x14ac:dyDescent="0.4">
      <c r="A822" s="103" t="s">
        <v>118</v>
      </c>
      <c r="B822" s="107">
        <v>129194.92</v>
      </c>
    </row>
    <row r="823" spans="1:2" ht="16.8" x14ac:dyDescent="0.4">
      <c r="A823" s="101" t="s">
        <v>327</v>
      </c>
      <c r="B823" s="107">
        <v>819325</v>
      </c>
    </row>
    <row r="824" spans="1:2" ht="16.8" x14ac:dyDescent="0.4">
      <c r="A824" s="103" t="s">
        <v>117</v>
      </c>
      <c r="B824" s="107">
        <v>450000</v>
      </c>
    </row>
    <row r="825" spans="1:2" ht="16.8" x14ac:dyDescent="0.4">
      <c r="A825" s="103" t="s">
        <v>118</v>
      </c>
      <c r="B825" s="107">
        <v>369325</v>
      </c>
    </row>
    <row r="826" spans="1:2" ht="16.8" x14ac:dyDescent="0.4">
      <c r="A826" s="101" t="s">
        <v>328</v>
      </c>
      <c r="B826" s="107">
        <v>806129.66</v>
      </c>
    </row>
    <row r="827" spans="1:2" ht="16.8" x14ac:dyDescent="0.4">
      <c r="A827" s="103" t="s">
        <v>117</v>
      </c>
      <c r="B827" s="107">
        <v>720000</v>
      </c>
    </row>
    <row r="828" spans="1:2" ht="16.8" x14ac:dyDescent="0.4">
      <c r="A828" s="103" t="s">
        <v>118</v>
      </c>
      <c r="B828" s="107">
        <v>86129.66</v>
      </c>
    </row>
    <row r="829" spans="1:2" ht="16.8" x14ac:dyDescent="0.4">
      <c r="A829" s="101" t="s">
        <v>329</v>
      </c>
      <c r="B829" s="107">
        <v>794265.56</v>
      </c>
    </row>
    <row r="830" spans="1:2" ht="16.8" x14ac:dyDescent="0.4">
      <c r="A830" s="103" t="s">
        <v>115</v>
      </c>
      <c r="B830" s="107">
        <v>198135.56</v>
      </c>
    </row>
    <row r="831" spans="1:2" ht="16.8" x14ac:dyDescent="0.4">
      <c r="A831" s="103" t="s">
        <v>117</v>
      </c>
      <c r="B831" s="107">
        <v>510000</v>
      </c>
    </row>
    <row r="832" spans="1:2" ht="16.8" x14ac:dyDescent="0.4">
      <c r="A832" s="103" t="s">
        <v>118</v>
      </c>
      <c r="B832" s="107">
        <v>86130</v>
      </c>
    </row>
    <row r="833" spans="1:2" ht="16.8" x14ac:dyDescent="0.4">
      <c r="A833" s="101" t="s">
        <v>330</v>
      </c>
      <c r="B833" s="107">
        <v>745500</v>
      </c>
    </row>
    <row r="834" spans="1:2" ht="16.8" x14ac:dyDescent="0.4">
      <c r="A834" s="103" t="s">
        <v>134</v>
      </c>
      <c r="B834" s="107">
        <v>745500</v>
      </c>
    </row>
    <row r="835" spans="1:2" ht="16.8" x14ac:dyDescent="0.4">
      <c r="A835" s="101" t="s">
        <v>331</v>
      </c>
      <c r="B835" s="107">
        <v>737542.37288699998</v>
      </c>
    </row>
    <row r="836" spans="1:2" ht="16.8" x14ac:dyDescent="0.4">
      <c r="A836" s="103" t="s">
        <v>115</v>
      </c>
      <c r="B836" s="107">
        <v>737542.37288699998</v>
      </c>
    </row>
    <row r="837" spans="1:2" ht="16.8" x14ac:dyDescent="0.4">
      <c r="A837" s="101" t="s">
        <v>333</v>
      </c>
      <c r="B837" s="107">
        <v>720000</v>
      </c>
    </row>
    <row r="838" spans="1:2" ht="16.8" x14ac:dyDescent="0.4">
      <c r="A838" s="103" t="s">
        <v>117</v>
      </c>
      <c r="B838" s="107">
        <v>720000</v>
      </c>
    </row>
    <row r="839" spans="1:2" ht="16.8" x14ac:dyDescent="0.4">
      <c r="A839" s="101" t="s">
        <v>332</v>
      </c>
      <c r="B839" s="107">
        <v>720000</v>
      </c>
    </row>
    <row r="840" spans="1:2" ht="16.8" x14ac:dyDescent="0.4">
      <c r="A840" s="103" t="s">
        <v>117</v>
      </c>
      <c r="B840" s="107">
        <v>720000</v>
      </c>
    </row>
    <row r="841" spans="1:2" ht="16.8" x14ac:dyDescent="0.4">
      <c r="A841" s="101" t="s">
        <v>334</v>
      </c>
      <c r="B841" s="107">
        <v>700000</v>
      </c>
    </row>
    <row r="842" spans="1:2" ht="16.8" x14ac:dyDescent="0.4">
      <c r="A842" s="103" t="s">
        <v>123</v>
      </c>
      <c r="B842" s="107">
        <v>700000</v>
      </c>
    </row>
    <row r="843" spans="1:2" ht="16.8" x14ac:dyDescent="0.4">
      <c r="A843" s="101" t="s">
        <v>335</v>
      </c>
      <c r="B843" s="107">
        <v>685084.915255</v>
      </c>
    </row>
    <row r="844" spans="1:2" ht="16.8" x14ac:dyDescent="0.4">
      <c r="A844" s="103" t="s">
        <v>115</v>
      </c>
      <c r="B844" s="107">
        <v>685084.915255</v>
      </c>
    </row>
    <row r="845" spans="1:2" ht="16.8" x14ac:dyDescent="0.4">
      <c r="A845" s="101" t="s">
        <v>336</v>
      </c>
      <c r="B845" s="107">
        <v>678477.96220338973</v>
      </c>
    </row>
    <row r="846" spans="1:2" ht="16.8" x14ac:dyDescent="0.4">
      <c r="A846" s="103" t="s">
        <v>115</v>
      </c>
      <c r="B846" s="107">
        <v>129152.54220338984</v>
      </c>
    </row>
    <row r="847" spans="1:2" ht="16.8" x14ac:dyDescent="0.4">
      <c r="A847" s="103" t="s">
        <v>117</v>
      </c>
      <c r="B847" s="107">
        <v>180000</v>
      </c>
    </row>
    <row r="848" spans="1:2" ht="16.8" x14ac:dyDescent="0.4">
      <c r="A848" s="103" t="s">
        <v>118</v>
      </c>
      <c r="B848" s="107">
        <v>369325.42</v>
      </c>
    </row>
    <row r="849" spans="1:2" ht="16.8" x14ac:dyDescent="0.4">
      <c r="A849" s="101" t="s">
        <v>337</v>
      </c>
      <c r="B849" s="107">
        <v>674096.12</v>
      </c>
    </row>
    <row r="850" spans="1:2" ht="16.8" x14ac:dyDescent="0.4">
      <c r="A850" s="103" t="s">
        <v>115</v>
      </c>
      <c r="B850" s="107">
        <v>77966.12</v>
      </c>
    </row>
    <row r="851" spans="1:2" ht="16.8" x14ac:dyDescent="0.4">
      <c r="A851" s="103" t="s">
        <v>117</v>
      </c>
      <c r="B851" s="107">
        <v>510000</v>
      </c>
    </row>
    <row r="852" spans="1:2" ht="16.8" x14ac:dyDescent="0.4">
      <c r="A852" s="103" t="s">
        <v>118</v>
      </c>
      <c r="B852" s="107">
        <v>86130</v>
      </c>
    </row>
    <row r="853" spans="1:2" ht="16.8" x14ac:dyDescent="0.4">
      <c r="A853" s="101" t="s">
        <v>338</v>
      </c>
      <c r="B853" s="107">
        <v>674067.72</v>
      </c>
    </row>
    <row r="854" spans="1:2" ht="16.8" x14ac:dyDescent="0.4">
      <c r="A854" s="103" t="s">
        <v>115</v>
      </c>
      <c r="B854" s="107">
        <v>674067.72</v>
      </c>
    </row>
    <row r="855" spans="1:2" ht="16.8" x14ac:dyDescent="0.4">
      <c r="A855" s="101" t="s">
        <v>339</v>
      </c>
      <c r="B855" s="107">
        <v>639325.42372881365</v>
      </c>
    </row>
    <row r="856" spans="1:2" ht="16.8" x14ac:dyDescent="0.4">
      <c r="A856" s="103" t="s">
        <v>117</v>
      </c>
      <c r="B856" s="107">
        <v>270000</v>
      </c>
    </row>
    <row r="857" spans="1:2" ht="16.8" x14ac:dyDescent="0.4">
      <c r="A857" s="103" t="s">
        <v>118</v>
      </c>
      <c r="B857" s="107">
        <v>369325.42372881359</v>
      </c>
    </row>
    <row r="858" spans="1:2" ht="16.8" x14ac:dyDescent="0.4">
      <c r="A858" s="101" t="s">
        <v>340</v>
      </c>
      <c r="B858" s="107">
        <v>614174</v>
      </c>
    </row>
    <row r="859" spans="1:2" ht="16.8" x14ac:dyDescent="0.4">
      <c r="A859" s="103" t="s">
        <v>117</v>
      </c>
      <c r="B859" s="107">
        <v>270000</v>
      </c>
    </row>
    <row r="860" spans="1:2" ht="16.8" x14ac:dyDescent="0.4">
      <c r="A860" s="103" t="s">
        <v>118</v>
      </c>
      <c r="B860" s="107">
        <v>86130</v>
      </c>
    </row>
    <row r="861" spans="1:2" ht="16.8" x14ac:dyDescent="0.4">
      <c r="A861" s="103" t="s">
        <v>120</v>
      </c>
      <c r="B861" s="107">
        <v>258044</v>
      </c>
    </row>
    <row r="862" spans="1:2" ht="16.8" x14ac:dyDescent="0.4">
      <c r="A862" s="101" t="s">
        <v>54</v>
      </c>
      <c r="B862" s="107">
        <v>607457.625</v>
      </c>
    </row>
    <row r="863" spans="1:2" ht="16.8" x14ac:dyDescent="0.4">
      <c r="A863" s="103" t="s">
        <v>115</v>
      </c>
      <c r="B863" s="107">
        <v>97457.625</v>
      </c>
    </row>
    <row r="864" spans="1:2" ht="16.8" x14ac:dyDescent="0.4">
      <c r="A864" s="103" t="s">
        <v>117</v>
      </c>
      <c r="B864" s="107">
        <v>510000</v>
      </c>
    </row>
    <row r="865" spans="1:2" ht="16.8" x14ac:dyDescent="0.4">
      <c r="A865" s="101" t="s">
        <v>341</v>
      </c>
      <c r="B865" s="107">
        <v>600000</v>
      </c>
    </row>
    <row r="866" spans="1:2" ht="16.8" x14ac:dyDescent="0.4">
      <c r="A866" s="103" t="s">
        <v>134</v>
      </c>
      <c r="B866" s="107">
        <v>600000</v>
      </c>
    </row>
    <row r="867" spans="1:2" ht="16.8" x14ac:dyDescent="0.4">
      <c r="A867" s="101" t="s">
        <v>342</v>
      </c>
      <c r="B867" s="107">
        <v>600000</v>
      </c>
    </row>
    <row r="868" spans="1:2" ht="16.8" x14ac:dyDescent="0.4">
      <c r="A868" s="103" t="s">
        <v>117</v>
      </c>
      <c r="B868" s="107">
        <v>600000</v>
      </c>
    </row>
    <row r="869" spans="1:2" ht="16.8" x14ac:dyDescent="0.4">
      <c r="A869" s="101" t="s">
        <v>343</v>
      </c>
      <c r="B869" s="107">
        <v>596310</v>
      </c>
    </row>
    <row r="870" spans="1:2" ht="16.8" x14ac:dyDescent="0.4">
      <c r="A870" s="103" t="s">
        <v>117</v>
      </c>
      <c r="B870" s="107">
        <v>510000</v>
      </c>
    </row>
    <row r="871" spans="1:2" ht="16.8" x14ac:dyDescent="0.4">
      <c r="A871" s="103" t="s">
        <v>118</v>
      </c>
      <c r="B871" s="107">
        <v>86310</v>
      </c>
    </row>
    <row r="872" spans="1:2" ht="16.8" x14ac:dyDescent="0.4">
      <c r="A872" s="101" t="s">
        <v>344</v>
      </c>
      <c r="B872" s="107">
        <v>591355.92999999993</v>
      </c>
    </row>
    <row r="873" spans="1:2" ht="16.8" x14ac:dyDescent="0.4">
      <c r="A873" s="103" t="s">
        <v>115</v>
      </c>
      <c r="B873" s="107">
        <v>81355.929999999993</v>
      </c>
    </row>
    <row r="874" spans="1:2" ht="16.8" x14ac:dyDescent="0.4">
      <c r="A874" s="103" t="s">
        <v>117</v>
      </c>
      <c r="B874" s="107">
        <v>510000</v>
      </c>
    </row>
    <row r="875" spans="1:2" ht="16.8" x14ac:dyDescent="0.4">
      <c r="A875" s="101" t="s">
        <v>345</v>
      </c>
      <c r="B875" s="107">
        <v>570000</v>
      </c>
    </row>
    <row r="876" spans="1:2" ht="16.8" x14ac:dyDescent="0.4">
      <c r="A876" s="103" t="s">
        <v>134</v>
      </c>
      <c r="B876" s="107">
        <v>570000</v>
      </c>
    </row>
    <row r="877" spans="1:2" ht="16.8" x14ac:dyDescent="0.4">
      <c r="A877" s="101" t="s">
        <v>346</v>
      </c>
      <c r="B877" s="107">
        <v>570000</v>
      </c>
    </row>
    <row r="878" spans="1:2" ht="16.8" x14ac:dyDescent="0.4">
      <c r="A878" s="103" t="s">
        <v>134</v>
      </c>
      <c r="B878" s="107">
        <v>570000</v>
      </c>
    </row>
    <row r="879" spans="1:2" ht="16.8" x14ac:dyDescent="0.4">
      <c r="A879" s="101" t="s">
        <v>347</v>
      </c>
      <c r="B879" s="107">
        <v>568305.08474576275</v>
      </c>
    </row>
    <row r="880" spans="1:2" ht="16.8" x14ac:dyDescent="0.4">
      <c r="A880" s="103" t="s">
        <v>115</v>
      </c>
      <c r="B880" s="107">
        <v>28305.084745762713</v>
      </c>
    </row>
    <row r="881" spans="1:2" ht="16.8" x14ac:dyDescent="0.4">
      <c r="A881" s="103" t="s">
        <v>117</v>
      </c>
      <c r="B881" s="107">
        <v>540000</v>
      </c>
    </row>
    <row r="882" spans="1:2" ht="16.8" x14ac:dyDescent="0.4">
      <c r="A882" s="101" t="s">
        <v>52</v>
      </c>
      <c r="B882" s="107">
        <v>566800</v>
      </c>
    </row>
    <row r="883" spans="1:2" ht="16.8" x14ac:dyDescent="0.4">
      <c r="A883" s="103" t="s">
        <v>134</v>
      </c>
      <c r="B883" s="107">
        <v>566800</v>
      </c>
    </row>
    <row r="884" spans="1:2" ht="16.8" x14ac:dyDescent="0.4">
      <c r="A884" s="101" t="s">
        <v>348</v>
      </c>
      <c r="B884" s="107">
        <v>559406.77</v>
      </c>
    </row>
    <row r="885" spans="1:2" ht="16.8" x14ac:dyDescent="0.4">
      <c r="A885" s="103" t="s">
        <v>115</v>
      </c>
      <c r="B885" s="107">
        <v>289406.76999999996</v>
      </c>
    </row>
    <row r="886" spans="1:2" ht="16.8" x14ac:dyDescent="0.4">
      <c r="A886" s="103" t="s">
        <v>134</v>
      </c>
      <c r="B886" s="107">
        <v>270000</v>
      </c>
    </row>
    <row r="887" spans="1:2" ht="16.8" x14ac:dyDescent="0.4">
      <c r="A887" s="101" t="s">
        <v>349</v>
      </c>
      <c r="B887" s="107">
        <v>557796.61017</v>
      </c>
    </row>
    <row r="888" spans="1:2" ht="16.8" x14ac:dyDescent="0.4">
      <c r="A888" s="103" t="s">
        <v>115</v>
      </c>
      <c r="B888" s="107">
        <v>47796.61017</v>
      </c>
    </row>
    <row r="889" spans="1:2" ht="16.8" x14ac:dyDescent="0.4">
      <c r="A889" s="103" t="s">
        <v>117</v>
      </c>
      <c r="B889" s="107">
        <v>510000</v>
      </c>
    </row>
    <row r="890" spans="1:2" ht="16.8" x14ac:dyDescent="0.4">
      <c r="A890" s="101" t="s">
        <v>350</v>
      </c>
      <c r="B890" s="107">
        <v>540838.98</v>
      </c>
    </row>
    <row r="891" spans="1:2" ht="16.8" x14ac:dyDescent="0.4">
      <c r="A891" s="103" t="s">
        <v>115</v>
      </c>
      <c r="B891" s="107">
        <v>45338.98</v>
      </c>
    </row>
    <row r="892" spans="1:2" ht="16.8" x14ac:dyDescent="0.4">
      <c r="A892" s="103" t="s">
        <v>123</v>
      </c>
      <c r="B892" s="107">
        <v>45500</v>
      </c>
    </row>
    <row r="893" spans="1:2" ht="16.8" x14ac:dyDescent="0.4">
      <c r="A893" s="103" t="s">
        <v>117</v>
      </c>
      <c r="B893" s="107">
        <v>450000</v>
      </c>
    </row>
    <row r="894" spans="1:2" ht="16.8" x14ac:dyDescent="0.4">
      <c r="A894" s="101" t="s">
        <v>351</v>
      </c>
      <c r="B894" s="107">
        <v>524174.66101694916</v>
      </c>
    </row>
    <row r="895" spans="1:2" ht="16.8" x14ac:dyDescent="0.4">
      <c r="A895" s="103" t="s">
        <v>117</v>
      </c>
      <c r="B895" s="107">
        <v>180000</v>
      </c>
    </row>
    <row r="896" spans="1:2" ht="16.8" x14ac:dyDescent="0.4">
      <c r="A896" s="103" t="s">
        <v>118</v>
      </c>
      <c r="B896" s="107">
        <v>86129.661016949161</v>
      </c>
    </row>
    <row r="897" spans="1:2" ht="16.8" x14ac:dyDescent="0.4">
      <c r="A897" s="103" t="s">
        <v>120</v>
      </c>
      <c r="B897" s="107">
        <v>258045</v>
      </c>
    </row>
    <row r="898" spans="1:2" ht="16.8" x14ac:dyDescent="0.4">
      <c r="A898" s="101" t="s">
        <v>352</v>
      </c>
      <c r="B898" s="107">
        <v>524174.52</v>
      </c>
    </row>
    <row r="899" spans="1:2" ht="16.8" x14ac:dyDescent="0.4">
      <c r="A899" s="103" t="s">
        <v>117</v>
      </c>
      <c r="B899" s="107">
        <v>180000</v>
      </c>
    </row>
    <row r="900" spans="1:2" ht="16.8" x14ac:dyDescent="0.4">
      <c r="A900" s="103" t="s">
        <v>118</v>
      </c>
      <c r="B900" s="107">
        <v>86129.600000000006</v>
      </c>
    </row>
    <row r="901" spans="1:2" ht="16.8" x14ac:dyDescent="0.4">
      <c r="A901" s="103" t="s">
        <v>120</v>
      </c>
      <c r="B901" s="107">
        <v>258044.92</v>
      </c>
    </row>
    <row r="902" spans="1:2" ht="16.8" x14ac:dyDescent="0.4">
      <c r="A902" s="101" t="s">
        <v>3847</v>
      </c>
      <c r="B902" s="107">
        <v>515060</v>
      </c>
    </row>
    <row r="903" spans="1:2" ht="16.8" x14ac:dyDescent="0.4">
      <c r="A903" s="103" t="s">
        <v>134</v>
      </c>
      <c r="B903" s="107">
        <v>515060</v>
      </c>
    </row>
    <row r="904" spans="1:2" ht="16.8" x14ac:dyDescent="0.4">
      <c r="A904" s="101" t="s">
        <v>353</v>
      </c>
      <c r="B904" s="107">
        <v>513000</v>
      </c>
    </row>
    <row r="905" spans="1:2" ht="16.8" x14ac:dyDescent="0.4">
      <c r="A905" s="103" t="s">
        <v>123</v>
      </c>
      <c r="B905" s="107">
        <v>513000</v>
      </c>
    </row>
    <row r="906" spans="1:2" ht="16.8" x14ac:dyDescent="0.4">
      <c r="A906" s="101" t="s">
        <v>356</v>
      </c>
      <c r="B906" s="107">
        <v>510000</v>
      </c>
    </row>
    <row r="907" spans="1:2" ht="16.8" x14ac:dyDescent="0.4">
      <c r="A907" s="103" t="s">
        <v>134</v>
      </c>
      <c r="B907" s="107">
        <v>510000</v>
      </c>
    </row>
    <row r="908" spans="1:2" ht="16.8" x14ac:dyDescent="0.4">
      <c r="A908" s="101" t="s">
        <v>53</v>
      </c>
      <c r="B908" s="107">
        <v>510000</v>
      </c>
    </row>
    <row r="909" spans="1:2" ht="16.8" x14ac:dyDescent="0.4">
      <c r="A909" s="103" t="s">
        <v>117</v>
      </c>
      <c r="B909" s="107">
        <v>510000</v>
      </c>
    </row>
    <row r="910" spans="1:2" ht="16.8" x14ac:dyDescent="0.4">
      <c r="A910" s="101" t="s">
        <v>55</v>
      </c>
      <c r="B910" s="107">
        <v>510000</v>
      </c>
    </row>
    <row r="911" spans="1:2" ht="16.8" x14ac:dyDescent="0.4">
      <c r="A911" s="103" t="s">
        <v>117</v>
      </c>
      <c r="B911" s="107">
        <v>510000</v>
      </c>
    </row>
    <row r="912" spans="1:2" ht="16.8" x14ac:dyDescent="0.4">
      <c r="A912" s="101" t="s">
        <v>362</v>
      </c>
      <c r="B912" s="107">
        <v>510000</v>
      </c>
    </row>
    <row r="913" spans="1:2" ht="16.8" x14ac:dyDescent="0.4">
      <c r="A913" s="103" t="s">
        <v>117</v>
      </c>
      <c r="B913" s="107">
        <v>510000</v>
      </c>
    </row>
    <row r="914" spans="1:2" ht="16.8" x14ac:dyDescent="0.4">
      <c r="A914" s="101" t="s">
        <v>361</v>
      </c>
      <c r="B914" s="107">
        <v>510000</v>
      </c>
    </row>
    <row r="915" spans="1:2" ht="16.8" x14ac:dyDescent="0.4">
      <c r="A915" s="103" t="s">
        <v>117</v>
      </c>
      <c r="B915" s="107">
        <v>510000</v>
      </c>
    </row>
    <row r="916" spans="1:2" ht="16.8" x14ac:dyDescent="0.4">
      <c r="A916" s="101" t="s">
        <v>354</v>
      </c>
      <c r="B916" s="107">
        <v>510000</v>
      </c>
    </row>
    <row r="917" spans="1:2" ht="16.8" x14ac:dyDescent="0.4">
      <c r="A917" s="103" t="s">
        <v>134</v>
      </c>
      <c r="B917" s="107">
        <v>510000</v>
      </c>
    </row>
    <row r="918" spans="1:2" ht="16.8" x14ac:dyDescent="0.4">
      <c r="A918" s="101" t="s">
        <v>365</v>
      </c>
      <c r="B918" s="107">
        <v>510000</v>
      </c>
    </row>
    <row r="919" spans="1:2" ht="16.8" x14ac:dyDescent="0.4">
      <c r="A919" s="103" t="s">
        <v>117</v>
      </c>
      <c r="B919" s="107">
        <v>510000</v>
      </c>
    </row>
    <row r="920" spans="1:2" ht="16.8" x14ac:dyDescent="0.4">
      <c r="A920" s="101" t="s">
        <v>355</v>
      </c>
      <c r="B920" s="107">
        <v>510000</v>
      </c>
    </row>
    <row r="921" spans="1:2" ht="16.8" x14ac:dyDescent="0.4">
      <c r="A921" s="103" t="s">
        <v>117</v>
      </c>
      <c r="B921" s="107">
        <v>510000</v>
      </c>
    </row>
    <row r="922" spans="1:2" ht="16.8" x14ac:dyDescent="0.4">
      <c r="A922" s="101" t="s">
        <v>363</v>
      </c>
      <c r="B922" s="107">
        <v>510000</v>
      </c>
    </row>
    <row r="923" spans="1:2" ht="16.8" x14ac:dyDescent="0.4">
      <c r="A923" s="103" t="s">
        <v>117</v>
      </c>
      <c r="B923" s="107">
        <v>510000</v>
      </c>
    </row>
    <row r="924" spans="1:2" ht="16.8" x14ac:dyDescent="0.4">
      <c r="A924" s="101" t="s">
        <v>358</v>
      </c>
      <c r="B924" s="107">
        <v>510000</v>
      </c>
    </row>
    <row r="925" spans="1:2" ht="16.8" x14ac:dyDescent="0.4">
      <c r="A925" s="103" t="s">
        <v>134</v>
      </c>
      <c r="B925" s="107">
        <v>510000</v>
      </c>
    </row>
    <row r="926" spans="1:2" ht="16.8" x14ac:dyDescent="0.4">
      <c r="A926" s="101" t="s">
        <v>366</v>
      </c>
      <c r="B926" s="107">
        <v>510000</v>
      </c>
    </row>
    <row r="927" spans="1:2" ht="16.8" x14ac:dyDescent="0.4">
      <c r="A927" s="103" t="s">
        <v>134</v>
      </c>
      <c r="B927" s="107">
        <v>510000</v>
      </c>
    </row>
    <row r="928" spans="1:2" ht="16.8" x14ac:dyDescent="0.4">
      <c r="A928" s="101" t="s">
        <v>364</v>
      </c>
      <c r="B928" s="107">
        <v>510000</v>
      </c>
    </row>
    <row r="929" spans="1:2" ht="16.8" x14ac:dyDescent="0.4">
      <c r="A929" s="103" t="s">
        <v>117</v>
      </c>
      <c r="B929" s="107">
        <v>510000</v>
      </c>
    </row>
    <row r="930" spans="1:2" ht="16.8" x14ac:dyDescent="0.4">
      <c r="A930" s="101" t="s">
        <v>56</v>
      </c>
      <c r="B930" s="107">
        <v>510000</v>
      </c>
    </row>
    <row r="931" spans="1:2" ht="16.8" x14ac:dyDescent="0.4">
      <c r="A931" s="103" t="s">
        <v>134</v>
      </c>
      <c r="B931" s="107">
        <v>510000</v>
      </c>
    </row>
    <row r="932" spans="1:2" ht="16.8" x14ac:dyDescent="0.4">
      <c r="A932" s="101" t="s">
        <v>360</v>
      </c>
      <c r="B932" s="107">
        <v>510000</v>
      </c>
    </row>
    <row r="933" spans="1:2" ht="16.8" x14ac:dyDescent="0.4">
      <c r="A933" s="103" t="s">
        <v>134</v>
      </c>
      <c r="B933" s="107">
        <v>510000</v>
      </c>
    </row>
    <row r="934" spans="1:2" ht="16.8" x14ac:dyDescent="0.4">
      <c r="A934" s="101" t="s">
        <v>357</v>
      </c>
      <c r="B934" s="107">
        <v>510000</v>
      </c>
    </row>
    <row r="935" spans="1:2" ht="16.8" x14ac:dyDescent="0.4">
      <c r="A935" s="103" t="s">
        <v>117</v>
      </c>
      <c r="B935" s="107">
        <v>510000</v>
      </c>
    </row>
    <row r="936" spans="1:2" ht="16.8" x14ac:dyDescent="0.4">
      <c r="A936" s="101" t="s">
        <v>359</v>
      </c>
      <c r="B936" s="107">
        <v>510000</v>
      </c>
    </row>
    <row r="937" spans="1:2" ht="16.8" x14ac:dyDescent="0.4">
      <c r="A937" s="103" t="s">
        <v>134</v>
      </c>
      <c r="B937" s="107">
        <v>510000</v>
      </c>
    </row>
    <row r="938" spans="1:2" ht="16.8" x14ac:dyDescent="0.4">
      <c r="A938" s="101" t="s">
        <v>367</v>
      </c>
      <c r="B938" s="107">
        <v>509745.762713</v>
      </c>
    </row>
    <row r="939" spans="1:2" ht="16.8" x14ac:dyDescent="0.4">
      <c r="A939" s="103" t="s">
        <v>115</v>
      </c>
      <c r="B939" s="107">
        <v>509745.762713</v>
      </c>
    </row>
    <row r="940" spans="1:2" ht="16.8" x14ac:dyDescent="0.4">
      <c r="A940" s="101" t="s">
        <v>109</v>
      </c>
      <c r="B940" s="107">
        <v>509491.44000000006</v>
      </c>
    </row>
    <row r="941" spans="1:2" ht="16.8" x14ac:dyDescent="0.4">
      <c r="A941" s="103" t="s">
        <v>115</v>
      </c>
      <c r="B941" s="107">
        <v>509491.44000000006</v>
      </c>
    </row>
    <row r="942" spans="1:2" ht="16.8" x14ac:dyDescent="0.4">
      <c r="A942" s="101" t="s">
        <v>368</v>
      </c>
      <c r="B942" s="107">
        <v>487288.11661016953</v>
      </c>
    </row>
    <row r="943" spans="1:2" ht="16.8" x14ac:dyDescent="0.4">
      <c r="A943" s="103" t="s">
        <v>115</v>
      </c>
      <c r="B943" s="107">
        <v>487288.11661016953</v>
      </c>
    </row>
    <row r="944" spans="1:2" ht="16.8" x14ac:dyDescent="0.4">
      <c r="A944" s="101" t="s">
        <v>369</v>
      </c>
      <c r="B944" s="107">
        <v>484575</v>
      </c>
    </row>
    <row r="945" spans="1:2" ht="16.8" x14ac:dyDescent="0.4">
      <c r="A945" s="103" t="s">
        <v>134</v>
      </c>
      <c r="B945" s="107">
        <v>484575</v>
      </c>
    </row>
    <row r="946" spans="1:2" ht="16.8" x14ac:dyDescent="0.4">
      <c r="A946" s="101" t="s">
        <v>370</v>
      </c>
      <c r="B946" s="107">
        <v>466101.69491525425</v>
      </c>
    </row>
    <row r="947" spans="1:2" ht="16.8" x14ac:dyDescent="0.4">
      <c r="A947" s="103" t="s">
        <v>134</v>
      </c>
      <c r="B947" s="107">
        <v>466101.69491525425</v>
      </c>
    </row>
    <row r="948" spans="1:2" ht="16.8" x14ac:dyDescent="0.4">
      <c r="A948" s="101" t="s">
        <v>371</v>
      </c>
      <c r="B948" s="107">
        <v>450000</v>
      </c>
    </row>
    <row r="949" spans="1:2" ht="16.8" x14ac:dyDescent="0.4">
      <c r="A949" s="103" t="s">
        <v>117</v>
      </c>
      <c r="B949" s="107">
        <v>450000</v>
      </c>
    </row>
    <row r="950" spans="1:2" ht="16.8" x14ac:dyDescent="0.4">
      <c r="A950" s="101" t="s">
        <v>372</v>
      </c>
      <c r="B950" s="107">
        <v>419067.78</v>
      </c>
    </row>
    <row r="951" spans="1:2" ht="16.8" x14ac:dyDescent="0.4">
      <c r="A951" s="103" t="s">
        <v>115</v>
      </c>
      <c r="B951" s="107">
        <v>419067.78</v>
      </c>
    </row>
    <row r="952" spans="1:2" ht="16.8" x14ac:dyDescent="0.4">
      <c r="A952" s="101" t="s">
        <v>373</v>
      </c>
      <c r="B952" s="107">
        <v>410000</v>
      </c>
    </row>
    <row r="953" spans="1:2" ht="16.8" x14ac:dyDescent="0.4">
      <c r="A953" s="103" t="s">
        <v>134</v>
      </c>
      <c r="B953" s="107">
        <v>410000</v>
      </c>
    </row>
    <row r="954" spans="1:2" ht="16.8" x14ac:dyDescent="0.4">
      <c r="A954" s="101" t="s">
        <v>374</v>
      </c>
      <c r="B954" s="107">
        <v>406780</v>
      </c>
    </row>
    <row r="955" spans="1:2" ht="16.8" x14ac:dyDescent="0.4">
      <c r="A955" s="103" t="s">
        <v>115</v>
      </c>
      <c r="B955" s="107">
        <v>406780</v>
      </c>
    </row>
    <row r="956" spans="1:2" ht="16.8" x14ac:dyDescent="0.4">
      <c r="A956" s="101" t="s">
        <v>375</v>
      </c>
      <c r="B956" s="107">
        <v>397000</v>
      </c>
    </row>
    <row r="957" spans="1:2" ht="16.8" x14ac:dyDescent="0.4">
      <c r="A957" s="103" t="s">
        <v>134</v>
      </c>
      <c r="B957" s="107">
        <v>397000</v>
      </c>
    </row>
    <row r="958" spans="1:2" ht="16.8" x14ac:dyDescent="0.4">
      <c r="A958" s="101" t="s">
        <v>376</v>
      </c>
      <c r="B958" s="107">
        <v>382796.62</v>
      </c>
    </row>
    <row r="959" spans="1:2" ht="16.8" x14ac:dyDescent="0.4">
      <c r="A959" s="103" t="s">
        <v>115</v>
      </c>
      <c r="B959" s="107">
        <v>382796.62</v>
      </c>
    </row>
    <row r="960" spans="1:2" ht="16.8" x14ac:dyDescent="0.4">
      <c r="A960" s="101" t="s">
        <v>377</v>
      </c>
      <c r="B960" s="107">
        <v>360593.220338983</v>
      </c>
    </row>
    <row r="961" spans="1:2" ht="16.8" x14ac:dyDescent="0.4">
      <c r="A961" s="103" t="s">
        <v>115</v>
      </c>
      <c r="B961" s="107">
        <v>360593.220338983</v>
      </c>
    </row>
    <row r="962" spans="1:2" ht="16.8" x14ac:dyDescent="0.4">
      <c r="A962" s="101" t="s">
        <v>378</v>
      </c>
      <c r="B962" s="107">
        <v>360000</v>
      </c>
    </row>
    <row r="963" spans="1:2" ht="16.8" x14ac:dyDescent="0.4">
      <c r="A963" s="103" t="s">
        <v>134</v>
      </c>
      <c r="B963" s="107">
        <v>360000</v>
      </c>
    </row>
    <row r="964" spans="1:2" ht="16.8" x14ac:dyDescent="0.4">
      <c r="A964" s="101" t="s">
        <v>379</v>
      </c>
      <c r="B964" s="107">
        <v>356129.66101694916</v>
      </c>
    </row>
    <row r="965" spans="1:2" ht="16.8" x14ac:dyDescent="0.4">
      <c r="A965" s="103" t="s">
        <v>117</v>
      </c>
      <c r="B965" s="107">
        <v>270000</v>
      </c>
    </row>
    <row r="966" spans="1:2" ht="16.8" x14ac:dyDescent="0.4">
      <c r="A966" s="103" t="s">
        <v>118</v>
      </c>
      <c r="B966" s="107">
        <v>86129.661016949161</v>
      </c>
    </row>
    <row r="967" spans="1:2" ht="16.8" x14ac:dyDescent="0.4">
      <c r="A967" s="101" t="s">
        <v>380</v>
      </c>
      <c r="B967" s="107">
        <v>356129.66000000003</v>
      </c>
    </row>
    <row r="968" spans="1:2" ht="16.8" x14ac:dyDescent="0.4">
      <c r="A968" s="103" t="s">
        <v>117</v>
      </c>
      <c r="B968" s="107">
        <v>270000</v>
      </c>
    </row>
    <row r="969" spans="1:2" ht="16.8" x14ac:dyDescent="0.4">
      <c r="A969" s="103" t="s">
        <v>118</v>
      </c>
      <c r="B969" s="107">
        <v>86129.66</v>
      </c>
    </row>
    <row r="970" spans="1:2" ht="16.8" x14ac:dyDescent="0.4">
      <c r="A970" s="101" t="s">
        <v>381</v>
      </c>
      <c r="B970" s="107">
        <v>351355.93</v>
      </c>
    </row>
    <row r="971" spans="1:2" ht="16.8" x14ac:dyDescent="0.4">
      <c r="A971" s="103" t="s">
        <v>115</v>
      </c>
      <c r="B971" s="107">
        <v>81355.929999999993</v>
      </c>
    </row>
    <row r="972" spans="1:2" ht="16.8" x14ac:dyDescent="0.4">
      <c r="A972" s="103" t="s">
        <v>134</v>
      </c>
      <c r="B972" s="107">
        <v>270000</v>
      </c>
    </row>
    <row r="973" spans="1:2" ht="16.8" x14ac:dyDescent="0.4">
      <c r="A973" s="101" t="s">
        <v>382</v>
      </c>
      <c r="B973" s="107">
        <v>346483.05084745761</v>
      </c>
    </row>
    <row r="974" spans="1:2" ht="16.8" x14ac:dyDescent="0.4">
      <c r="A974" s="103" t="s">
        <v>134</v>
      </c>
      <c r="B974" s="107">
        <v>346483.05084745761</v>
      </c>
    </row>
    <row r="975" spans="1:2" ht="16.8" x14ac:dyDescent="0.4">
      <c r="A975" s="101" t="s">
        <v>383</v>
      </c>
      <c r="B975" s="107">
        <v>336441.4</v>
      </c>
    </row>
    <row r="976" spans="1:2" ht="16.8" x14ac:dyDescent="0.4">
      <c r="A976" s="103" t="s">
        <v>115</v>
      </c>
      <c r="B976" s="107">
        <v>141525.40000000002</v>
      </c>
    </row>
    <row r="977" spans="1:2" ht="16.8" x14ac:dyDescent="0.4">
      <c r="A977" s="103" t="s">
        <v>126</v>
      </c>
      <c r="B977" s="107">
        <v>194916</v>
      </c>
    </row>
    <row r="978" spans="1:2" ht="16.8" x14ac:dyDescent="0.4">
      <c r="A978" s="101" t="s">
        <v>384</v>
      </c>
      <c r="B978" s="107">
        <v>325000</v>
      </c>
    </row>
    <row r="979" spans="1:2" ht="16.8" x14ac:dyDescent="0.4">
      <c r="A979" s="103" t="s">
        <v>134</v>
      </c>
      <c r="B979" s="107">
        <v>325000</v>
      </c>
    </row>
    <row r="980" spans="1:2" ht="16.8" x14ac:dyDescent="0.4">
      <c r="A980" s="101" t="s">
        <v>385</v>
      </c>
      <c r="B980" s="107">
        <v>315338.98</v>
      </c>
    </row>
    <row r="981" spans="1:2" ht="16.8" x14ac:dyDescent="0.4">
      <c r="A981" s="103" t="s">
        <v>115</v>
      </c>
      <c r="B981" s="107">
        <v>45338.98</v>
      </c>
    </row>
    <row r="982" spans="1:2" ht="16.8" x14ac:dyDescent="0.4">
      <c r="A982" s="103" t="s">
        <v>117</v>
      </c>
      <c r="B982" s="107">
        <v>270000</v>
      </c>
    </row>
    <row r="983" spans="1:2" ht="16.8" x14ac:dyDescent="0.4">
      <c r="A983" s="101" t="s">
        <v>386</v>
      </c>
      <c r="B983" s="107">
        <v>311355.88</v>
      </c>
    </row>
    <row r="984" spans="1:2" ht="16.8" x14ac:dyDescent="0.4">
      <c r="A984" s="103" t="s">
        <v>115</v>
      </c>
      <c r="B984" s="107">
        <v>311355.88</v>
      </c>
    </row>
    <row r="985" spans="1:2" ht="16.8" x14ac:dyDescent="0.4">
      <c r="A985" s="101" t="s">
        <v>387</v>
      </c>
      <c r="B985" s="107">
        <v>310000</v>
      </c>
    </row>
    <row r="986" spans="1:2" ht="16.8" x14ac:dyDescent="0.4">
      <c r="A986" s="103" t="s">
        <v>123</v>
      </c>
      <c r="B986" s="107">
        <v>310000</v>
      </c>
    </row>
    <row r="987" spans="1:2" ht="16.8" x14ac:dyDescent="0.4">
      <c r="A987" s="101" t="s">
        <v>388</v>
      </c>
      <c r="B987" s="107">
        <v>305084.76</v>
      </c>
    </row>
    <row r="988" spans="1:2" ht="16.8" x14ac:dyDescent="0.4">
      <c r="A988" s="103" t="s">
        <v>115</v>
      </c>
      <c r="B988" s="107">
        <v>305084.76</v>
      </c>
    </row>
    <row r="989" spans="1:2" ht="16.8" x14ac:dyDescent="0.4">
      <c r="A989" s="101" t="s">
        <v>389</v>
      </c>
      <c r="B989" s="107">
        <v>305084.74576200004</v>
      </c>
    </row>
    <row r="990" spans="1:2" ht="16.8" x14ac:dyDescent="0.4">
      <c r="A990" s="103" t="s">
        <v>115</v>
      </c>
      <c r="B990" s="107">
        <v>305084.74576200004</v>
      </c>
    </row>
    <row r="991" spans="1:2" ht="16.8" x14ac:dyDescent="0.4">
      <c r="A991" s="101" t="s">
        <v>390</v>
      </c>
      <c r="B991" s="107">
        <v>301694.91000000003</v>
      </c>
    </row>
    <row r="992" spans="1:2" ht="16.8" x14ac:dyDescent="0.4">
      <c r="A992" s="103" t="s">
        <v>115</v>
      </c>
      <c r="B992" s="107">
        <v>301694.91000000003</v>
      </c>
    </row>
    <row r="993" spans="1:2" ht="16.8" x14ac:dyDescent="0.4">
      <c r="A993" s="101" t="s">
        <v>391</v>
      </c>
      <c r="B993" s="107">
        <v>299999.99694915256</v>
      </c>
    </row>
    <row r="994" spans="1:2" ht="16.8" x14ac:dyDescent="0.4">
      <c r="A994" s="103" t="s">
        <v>115</v>
      </c>
      <c r="B994" s="107">
        <v>92372.878305084741</v>
      </c>
    </row>
    <row r="995" spans="1:2" ht="16.8" x14ac:dyDescent="0.4">
      <c r="A995" s="103" t="s">
        <v>126</v>
      </c>
      <c r="B995" s="107">
        <v>207627.11864406781</v>
      </c>
    </row>
    <row r="996" spans="1:2" ht="16.8" x14ac:dyDescent="0.4">
      <c r="A996" s="101" t="s">
        <v>392</v>
      </c>
      <c r="B996" s="107">
        <v>294067.8</v>
      </c>
    </row>
    <row r="997" spans="1:2" ht="16.8" x14ac:dyDescent="0.4">
      <c r="A997" s="103" t="s">
        <v>115</v>
      </c>
      <c r="B997" s="107">
        <v>294067.8</v>
      </c>
    </row>
    <row r="998" spans="1:2" ht="16.8" x14ac:dyDescent="0.4">
      <c r="A998" s="101" t="s">
        <v>113</v>
      </c>
      <c r="B998" s="107">
        <v>288305.08</v>
      </c>
    </row>
    <row r="999" spans="1:2" ht="16.8" x14ac:dyDescent="0.4">
      <c r="A999" s="103" t="s">
        <v>115</v>
      </c>
      <c r="B999" s="107">
        <v>288305.08</v>
      </c>
    </row>
    <row r="1000" spans="1:2" ht="16.8" x14ac:dyDescent="0.4">
      <c r="A1000" s="101" t="s">
        <v>393</v>
      </c>
      <c r="B1000" s="107">
        <v>284745.77220338985</v>
      </c>
    </row>
    <row r="1001" spans="1:2" ht="16.8" x14ac:dyDescent="0.4">
      <c r="A1001" s="103" t="s">
        <v>115</v>
      </c>
      <c r="B1001" s="107">
        <v>284745.77220338985</v>
      </c>
    </row>
    <row r="1002" spans="1:2" ht="16.8" x14ac:dyDescent="0.4">
      <c r="A1002" s="101" t="s">
        <v>394</v>
      </c>
      <c r="B1002" s="107">
        <v>282915</v>
      </c>
    </row>
    <row r="1003" spans="1:2" ht="16.8" x14ac:dyDescent="0.4">
      <c r="A1003" s="103" t="s">
        <v>134</v>
      </c>
      <c r="B1003" s="107">
        <v>282915</v>
      </c>
    </row>
    <row r="1004" spans="1:2" ht="16.8" x14ac:dyDescent="0.4">
      <c r="A1004" s="101" t="s">
        <v>395</v>
      </c>
      <c r="B1004" s="107">
        <v>282203.38</v>
      </c>
    </row>
    <row r="1005" spans="1:2" ht="16.8" x14ac:dyDescent="0.4">
      <c r="A1005" s="103" t="s">
        <v>115</v>
      </c>
      <c r="B1005" s="107">
        <v>282203.38</v>
      </c>
    </row>
    <row r="1006" spans="1:2" ht="16.8" x14ac:dyDescent="0.4">
      <c r="A1006" s="101" t="s">
        <v>402</v>
      </c>
      <c r="B1006" s="107">
        <v>270000</v>
      </c>
    </row>
    <row r="1007" spans="1:2" ht="16.8" x14ac:dyDescent="0.4">
      <c r="A1007" s="103" t="s">
        <v>117</v>
      </c>
      <c r="B1007" s="107">
        <v>270000</v>
      </c>
    </row>
    <row r="1008" spans="1:2" ht="16.8" x14ac:dyDescent="0.4">
      <c r="A1008" s="101" t="s">
        <v>66</v>
      </c>
      <c r="B1008" s="107">
        <v>270000</v>
      </c>
    </row>
    <row r="1009" spans="1:2" ht="16.8" x14ac:dyDescent="0.4">
      <c r="A1009" s="103" t="s">
        <v>117</v>
      </c>
      <c r="B1009" s="107">
        <v>270000</v>
      </c>
    </row>
    <row r="1010" spans="1:2" ht="16.8" x14ac:dyDescent="0.4">
      <c r="A1010" s="101" t="s">
        <v>67</v>
      </c>
      <c r="B1010" s="107">
        <v>270000</v>
      </c>
    </row>
    <row r="1011" spans="1:2" ht="16.8" x14ac:dyDescent="0.4">
      <c r="A1011" s="103" t="s">
        <v>117</v>
      </c>
      <c r="B1011" s="107">
        <v>270000</v>
      </c>
    </row>
    <row r="1012" spans="1:2" ht="16.8" x14ac:dyDescent="0.4">
      <c r="A1012" s="101" t="s">
        <v>61</v>
      </c>
      <c r="B1012" s="107">
        <v>270000</v>
      </c>
    </row>
    <row r="1013" spans="1:2" ht="16.8" x14ac:dyDescent="0.4">
      <c r="A1013" s="103" t="s">
        <v>134</v>
      </c>
      <c r="B1013" s="107">
        <v>270000</v>
      </c>
    </row>
    <row r="1014" spans="1:2" ht="16.8" x14ac:dyDescent="0.4">
      <c r="A1014" s="101" t="s">
        <v>60</v>
      </c>
      <c r="B1014" s="107">
        <v>270000</v>
      </c>
    </row>
    <row r="1015" spans="1:2" ht="16.8" x14ac:dyDescent="0.4">
      <c r="A1015" s="103" t="s">
        <v>117</v>
      </c>
      <c r="B1015" s="107">
        <v>270000</v>
      </c>
    </row>
    <row r="1016" spans="1:2" ht="16.8" x14ac:dyDescent="0.4">
      <c r="A1016" s="101" t="s">
        <v>397</v>
      </c>
      <c r="B1016" s="107">
        <v>270000</v>
      </c>
    </row>
    <row r="1017" spans="1:2" ht="16.8" x14ac:dyDescent="0.4">
      <c r="A1017" s="103" t="s">
        <v>134</v>
      </c>
      <c r="B1017" s="107">
        <v>270000</v>
      </c>
    </row>
    <row r="1018" spans="1:2" ht="16.8" x14ac:dyDescent="0.4">
      <c r="A1018" s="101" t="s">
        <v>396</v>
      </c>
      <c r="B1018" s="107">
        <v>270000</v>
      </c>
    </row>
    <row r="1019" spans="1:2" ht="16.8" x14ac:dyDescent="0.4">
      <c r="A1019" s="103" t="s">
        <v>134</v>
      </c>
      <c r="B1019" s="107">
        <v>270000</v>
      </c>
    </row>
    <row r="1020" spans="1:2" ht="16.8" x14ac:dyDescent="0.4">
      <c r="A1020" s="101" t="s">
        <v>94</v>
      </c>
      <c r="B1020" s="107">
        <v>270000</v>
      </c>
    </row>
    <row r="1021" spans="1:2" ht="16.8" x14ac:dyDescent="0.4">
      <c r="A1021" s="103" t="s">
        <v>117</v>
      </c>
      <c r="B1021" s="107">
        <v>270000</v>
      </c>
    </row>
    <row r="1022" spans="1:2" ht="16.8" x14ac:dyDescent="0.4">
      <c r="A1022" s="101" t="s">
        <v>398</v>
      </c>
      <c r="B1022" s="107">
        <v>270000</v>
      </c>
    </row>
    <row r="1023" spans="1:2" ht="16.8" x14ac:dyDescent="0.4">
      <c r="A1023" s="103" t="s">
        <v>117</v>
      </c>
      <c r="B1023" s="107">
        <v>270000</v>
      </c>
    </row>
    <row r="1024" spans="1:2" ht="16.8" x14ac:dyDescent="0.4">
      <c r="A1024" s="101" t="s">
        <v>401</v>
      </c>
      <c r="B1024" s="107">
        <v>270000</v>
      </c>
    </row>
    <row r="1025" spans="1:2" ht="16.8" x14ac:dyDescent="0.4">
      <c r="A1025" s="103" t="s">
        <v>117</v>
      </c>
      <c r="B1025" s="107">
        <v>270000</v>
      </c>
    </row>
    <row r="1026" spans="1:2" ht="16.8" x14ac:dyDescent="0.4">
      <c r="A1026" s="101" t="s">
        <v>58</v>
      </c>
      <c r="B1026" s="107">
        <v>270000</v>
      </c>
    </row>
    <row r="1027" spans="1:2" ht="16.8" x14ac:dyDescent="0.4">
      <c r="A1027" s="103" t="s">
        <v>117</v>
      </c>
      <c r="B1027" s="107">
        <v>270000</v>
      </c>
    </row>
    <row r="1028" spans="1:2" ht="16.8" x14ac:dyDescent="0.4">
      <c r="A1028" s="101" t="s">
        <v>399</v>
      </c>
      <c r="B1028" s="107">
        <v>270000</v>
      </c>
    </row>
    <row r="1029" spans="1:2" ht="16.8" x14ac:dyDescent="0.4">
      <c r="A1029" s="103" t="s">
        <v>134</v>
      </c>
      <c r="B1029" s="107">
        <v>270000</v>
      </c>
    </row>
    <row r="1030" spans="1:2" ht="16.8" x14ac:dyDescent="0.4">
      <c r="A1030" s="101" t="s">
        <v>63</v>
      </c>
      <c r="B1030" s="107">
        <v>270000</v>
      </c>
    </row>
    <row r="1031" spans="1:2" ht="16.8" x14ac:dyDescent="0.4">
      <c r="A1031" s="103" t="s">
        <v>134</v>
      </c>
      <c r="B1031" s="107">
        <v>270000</v>
      </c>
    </row>
    <row r="1032" spans="1:2" ht="16.8" x14ac:dyDescent="0.4">
      <c r="A1032" s="101" t="s">
        <v>65</v>
      </c>
      <c r="B1032" s="107">
        <v>270000</v>
      </c>
    </row>
    <row r="1033" spans="1:2" ht="16.8" x14ac:dyDescent="0.4">
      <c r="A1033" s="103" t="s">
        <v>117</v>
      </c>
      <c r="B1033" s="107">
        <v>270000</v>
      </c>
    </row>
    <row r="1034" spans="1:2" ht="16.8" x14ac:dyDescent="0.4">
      <c r="A1034" s="101" t="s">
        <v>62</v>
      </c>
      <c r="B1034" s="107">
        <v>270000</v>
      </c>
    </row>
    <row r="1035" spans="1:2" ht="16.8" x14ac:dyDescent="0.4">
      <c r="A1035" s="103" t="s">
        <v>117</v>
      </c>
      <c r="B1035" s="107">
        <v>270000</v>
      </c>
    </row>
    <row r="1036" spans="1:2" ht="16.8" x14ac:dyDescent="0.4">
      <c r="A1036" s="101" t="s">
        <v>64</v>
      </c>
      <c r="B1036" s="107">
        <v>270000</v>
      </c>
    </row>
    <row r="1037" spans="1:2" ht="16.8" x14ac:dyDescent="0.4">
      <c r="A1037" s="103" t="s">
        <v>117</v>
      </c>
      <c r="B1037" s="107">
        <v>270000</v>
      </c>
    </row>
    <row r="1038" spans="1:2" ht="16.8" x14ac:dyDescent="0.4">
      <c r="A1038" s="101" t="s">
        <v>400</v>
      </c>
      <c r="B1038" s="107">
        <v>270000</v>
      </c>
    </row>
    <row r="1039" spans="1:2" ht="16.8" x14ac:dyDescent="0.4">
      <c r="A1039" s="103" t="s">
        <v>117</v>
      </c>
      <c r="B1039" s="107">
        <v>270000</v>
      </c>
    </row>
    <row r="1040" spans="1:2" ht="16.8" x14ac:dyDescent="0.4">
      <c r="A1040" s="101" t="s">
        <v>90</v>
      </c>
      <c r="B1040" s="107">
        <v>270000</v>
      </c>
    </row>
    <row r="1041" spans="1:2" ht="16.8" x14ac:dyDescent="0.4">
      <c r="A1041" s="103" t="s">
        <v>134</v>
      </c>
      <c r="B1041" s="107">
        <v>270000</v>
      </c>
    </row>
    <row r="1042" spans="1:2" ht="16.8" x14ac:dyDescent="0.4">
      <c r="A1042" s="101" t="s">
        <v>59</v>
      </c>
      <c r="B1042" s="107">
        <v>270000</v>
      </c>
    </row>
    <row r="1043" spans="1:2" ht="16.8" x14ac:dyDescent="0.4">
      <c r="A1043" s="103" t="s">
        <v>134</v>
      </c>
      <c r="B1043" s="107">
        <v>270000</v>
      </c>
    </row>
    <row r="1044" spans="1:2" ht="16.8" x14ac:dyDescent="0.4">
      <c r="A1044" s="101" t="s">
        <v>403</v>
      </c>
      <c r="B1044" s="107">
        <v>257627.15999999997</v>
      </c>
    </row>
    <row r="1045" spans="1:2" ht="16.8" x14ac:dyDescent="0.4">
      <c r="A1045" s="103" t="s">
        <v>115</v>
      </c>
      <c r="B1045" s="107">
        <v>257627.15999999997</v>
      </c>
    </row>
    <row r="1046" spans="1:2" ht="16.8" x14ac:dyDescent="0.4">
      <c r="A1046" s="101" t="s">
        <v>404</v>
      </c>
      <c r="B1046" s="107">
        <v>246949.1847457627</v>
      </c>
    </row>
    <row r="1047" spans="1:2" ht="16.8" x14ac:dyDescent="0.4">
      <c r="A1047" s="103" t="s">
        <v>115</v>
      </c>
      <c r="B1047" s="107">
        <v>246949.1847457627</v>
      </c>
    </row>
    <row r="1048" spans="1:2" ht="16.8" x14ac:dyDescent="0.4">
      <c r="A1048" s="101" t="s">
        <v>405</v>
      </c>
      <c r="B1048" s="107">
        <v>245000</v>
      </c>
    </row>
    <row r="1049" spans="1:2" ht="16.8" x14ac:dyDescent="0.4">
      <c r="A1049" s="103" t="s">
        <v>126</v>
      </c>
      <c r="B1049" s="107">
        <v>245000</v>
      </c>
    </row>
    <row r="1050" spans="1:2" ht="16.8" x14ac:dyDescent="0.4">
      <c r="A1050" s="101" t="s">
        <v>406</v>
      </c>
      <c r="B1050" s="107">
        <v>244067.79661016952</v>
      </c>
    </row>
    <row r="1051" spans="1:2" ht="16.8" x14ac:dyDescent="0.4">
      <c r="A1051" s="103" t="s">
        <v>115</v>
      </c>
      <c r="B1051" s="107">
        <v>244067.79661016952</v>
      </c>
    </row>
    <row r="1052" spans="1:2" ht="16.8" x14ac:dyDescent="0.4">
      <c r="A1052" s="101" t="s">
        <v>407</v>
      </c>
      <c r="B1052" s="107">
        <v>228813.55932199999</v>
      </c>
    </row>
    <row r="1053" spans="1:2" ht="16.8" x14ac:dyDescent="0.4">
      <c r="A1053" s="103" t="s">
        <v>134</v>
      </c>
      <c r="B1053" s="107">
        <v>228813.55932199999</v>
      </c>
    </row>
    <row r="1054" spans="1:2" ht="16.8" x14ac:dyDescent="0.4">
      <c r="A1054" s="101" t="s">
        <v>408</v>
      </c>
      <c r="B1054" s="107">
        <v>217372.88135600003</v>
      </c>
    </row>
    <row r="1055" spans="1:2" ht="16.8" x14ac:dyDescent="0.4">
      <c r="A1055" s="103" t="s">
        <v>115</v>
      </c>
      <c r="B1055" s="107">
        <v>217372.88135600003</v>
      </c>
    </row>
    <row r="1056" spans="1:2" ht="16.8" x14ac:dyDescent="0.4">
      <c r="A1056" s="101" t="s">
        <v>409</v>
      </c>
      <c r="B1056" s="107">
        <v>214252</v>
      </c>
    </row>
    <row r="1057" spans="1:2" ht="16.8" x14ac:dyDescent="0.4">
      <c r="A1057" s="103" t="s">
        <v>123</v>
      </c>
      <c r="B1057" s="107">
        <v>214252</v>
      </c>
    </row>
    <row r="1058" spans="1:2" ht="16.8" x14ac:dyDescent="0.4">
      <c r="A1058" s="101" t="s">
        <v>410</v>
      </c>
      <c r="B1058" s="107">
        <v>212000</v>
      </c>
    </row>
    <row r="1059" spans="1:2" ht="16.8" x14ac:dyDescent="0.4">
      <c r="A1059" s="103" t="s">
        <v>126</v>
      </c>
      <c r="B1059" s="107">
        <v>212000</v>
      </c>
    </row>
    <row r="1060" spans="1:2" ht="16.8" x14ac:dyDescent="0.4">
      <c r="A1060" s="101" t="s">
        <v>411</v>
      </c>
      <c r="B1060" s="107">
        <v>203898.28000000003</v>
      </c>
    </row>
    <row r="1061" spans="1:2" ht="16.8" x14ac:dyDescent="0.4">
      <c r="A1061" s="103" t="s">
        <v>115</v>
      </c>
      <c r="B1061" s="107">
        <v>203898.28000000003</v>
      </c>
    </row>
    <row r="1062" spans="1:2" ht="16.8" x14ac:dyDescent="0.4">
      <c r="A1062" s="101" t="s">
        <v>413</v>
      </c>
      <c r="B1062" s="107">
        <v>203390</v>
      </c>
    </row>
    <row r="1063" spans="1:2" ht="16.8" x14ac:dyDescent="0.4">
      <c r="A1063" s="103" t="s">
        <v>115</v>
      </c>
      <c r="B1063" s="107">
        <v>203390</v>
      </c>
    </row>
    <row r="1064" spans="1:2" ht="16.8" x14ac:dyDescent="0.4">
      <c r="A1064" s="101" t="s">
        <v>412</v>
      </c>
      <c r="B1064" s="107">
        <v>203390</v>
      </c>
    </row>
    <row r="1065" spans="1:2" ht="16.8" x14ac:dyDescent="0.4">
      <c r="A1065" s="103" t="s">
        <v>115</v>
      </c>
      <c r="B1065" s="107">
        <v>203390</v>
      </c>
    </row>
    <row r="1066" spans="1:2" ht="16.8" x14ac:dyDescent="0.4">
      <c r="A1066" s="101" t="s">
        <v>414</v>
      </c>
      <c r="B1066" s="107">
        <v>203389.84</v>
      </c>
    </row>
    <row r="1067" spans="1:2" ht="16.8" x14ac:dyDescent="0.4">
      <c r="A1067" s="103" t="s">
        <v>115</v>
      </c>
      <c r="B1067" s="107">
        <v>203389.84</v>
      </c>
    </row>
    <row r="1068" spans="1:2" ht="16.8" x14ac:dyDescent="0.4">
      <c r="A1068" s="101" t="s">
        <v>415</v>
      </c>
      <c r="B1068" s="107">
        <v>203389.84</v>
      </c>
    </row>
    <row r="1069" spans="1:2" ht="16.8" x14ac:dyDescent="0.4">
      <c r="A1069" s="103" t="s">
        <v>115</v>
      </c>
      <c r="B1069" s="107">
        <v>203389.84</v>
      </c>
    </row>
    <row r="1070" spans="1:2" ht="16.8" x14ac:dyDescent="0.4">
      <c r="A1070" s="101" t="s">
        <v>112</v>
      </c>
      <c r="B1070" s="107">
        <v>203389.84</v>
      </c>
    </row>
    <row r="1071" spans="1:2" ht="16.8" x14ac:dyDescent="0.4">
      <c r="A1071" s="103" t="s">
        <v>115</v>
      </c>
      <c r="B1071" s="107">
        <v>203389.84</v>
      </c>
    </row>
    <row r="1072" spans="1:2" ht="16.8" x14ac:dyDescent="0.4">
      <c r="A1072" s="101" t="s">
        <v>416</v>
      </c>
      <c r="B1072" s="107">
        <v>191186.44</v>
      </c>
    </row>
    <row r="1073" spans="1:2" ht="16.8" x14ac:dyDescent="0.4">
      <c r="A1073" s="103" t="s">
        <v>115</v>
      </c>
      <c r="B1073" s="107">
        <v>191186.44</v>
      </c>
    </row>
    <row r="1074" spans="1:2" ht="16.8" x14ac:dyDescent="0.4">
      <c r="A1074" s="101" t="s">
        <v>417</v>
      </c>
      <c r="B1074" s="107">
        <v>190500</v>
      </c>
    </row>
    <row r="1075" spans="1:2" ht="16.8" x14ac:dyDescent="0.4">
      <c r="A1075" s="103" t="s">
        <v>123</v>
      </c>
      <c r="B1075" s="107">
        <v>190500</v>
      </c>
    </row>
    <row r="1076" spans="1:2" ht="16.8" x14ac:dyDescent="0.4">
      <c r="A1076" s="101" t="s">
        <v>418</v>
      </c>
      <c r="B1076" s="107">
        <v>183051</v>
      </c>
    </row>
    <row r="1077" spans="1:2" ht="16.8" x14ac:dyDescent="0.4">
      <c r="A1077" s="103" t="s">
        <v>115</v>
      </c>
      <c r="B1077" s="107">
        <v>183051</v>
      </c>
    </row>
    <row r="1078" spans="1:2" ht="16.8" x14ac:dyDescent="0.4">
      <c r="A1078" s="101" t="s">
        <v>419</v>
      </c>
      <c r="B1078" s="107">
        <v>183050.847457</v>
      </c>
    </row>
    <row r="1079" spans="1:2" ht="16.8" x14ac:dyDescent="0.4">
      <c r="A1079" s="103" t="s">
        <v>115</v>
      </c>
      <c r="B1079" s="107">
        <v>183050.847457</v>
      </c>
    </row>
    <row r="1080" spans="1:2" ht="16.8" x14ac:dyDescent="0.4">
      <c r="A1080" s="101" t="s">
        <v>82</v>
      </c>
      <c r="B1080" s="107">
        <v>180000</v>
      </c>
    </row>
    <row r="1081" spans="1:2" ht="16.8" x14ac:dyDescent="0.4">
      <c r="A1081" s="103" t="s">
        <v>117</v>
      </c>
      <c r="B1081" s="107">
        <v>180000</v>
      </c>
    </row>
    <row r="1082" spans="1:2" ht="16.8" x14ac:dyDescent="0.4">
      <c r="A1082" s="101" t="s">
        <v>72</v>
      </c>
      <c r="B1082" s="107">
        <v>180000</v>
      </c>
    </row>
    <row r="1083" spans="1:2" ht="16.8" x14ac:dyDescent="0.4">
      <c r="A1083" s="103" t="s">
        <v>117</v>
      </c>
      <c r="B1083" s="107">
        <v>180000</v>
      </c>
    </row>
    <row r="1084" spans="1:2" ht="16.8" x14ac:dyDescent="0.4">
      <c r="A1084" s="101" t="s">
        <v>423</v>
      </c>
      <c r="B1084" s="107">
        <v>180000</v>
      </c>
    </row>
    <row r="1085" spans="1:2" ht="16.8" x14ac:dyDescent="0.4">
      <c r="A1085" s="103" t="s">
        <v>134</v>
      </c>
      <c r="B1085" s="107">
        <v>180000</v>
      </c>
    </row>
    <row r="1086" spans="1:2" ht="16.8" x14ac:dyDescent="0.4">
      <c r="A1086" s="101" t="s">
        <v>422</v>
      </c>
      <c r="B1086" s="107">
        <v>180000</v>
      </c>
    </row>
    <row r="1087" spans="1:2" ht="16.8" x14ac:dyDescent="0.4">
      <c r="A1087" s="103" t="s">
        <v>134</v>
      </c>
      <c r="B1087" s="107">
        <v>180000</v>
      </c>
    </row>
    <row r="1088" spans="1:2" ht="16.8" x14ac:dyDescent="0.4">
      <c r="A1088" s="101" t="s">
        <v>71</v>
      </c>
      <c r="B1088" s="107">
        <v>180000</v>
      </c>
    </row>
    <row r="1089" spans="1:2" ht="16.8" x14ac:dyDescent="0.4">
      <c r="A1089" s="103" t="s">
        <v>117</v>
      </c>
      <c r="B1089" s="107">
        <v>180000</v>
      </c>
    </row>
    <row r="1090" spans="1:2" ht="16.8" x14ac:dyDescent="0.4">
      <c r="A1090" s="101" t="s">
        <v>420</v>
      </c>
      <c r="B1090" s="107">
        <v>180000</v>
      </c>
    </row>
    <row r="1091" spans="1:2" ht="16.8" x14ac:dyDescent="0.4">
      <c r="A1091" s="103" t="s">
        <v>117</v>
      </c>
      <c r="B1091" s="107">
        <v>180000</v>
      </c>
    </row>
    <row r="1092" spans="1:2" ht="16.8" x14ac:dyDescent="0.4">
      <c r="A1092" s="101" t="s">
        <v>92</v>
      </c>
      <c r="B1092" s="107">
        <v>180000</v>
      </c>
    </row>
    <row r="1093" spans="1:2" ht="16.8" x14ac:dyDescent="0.4">
      <c r="A1093" s="103" t="s">
        <v>117</v>
      </c>
      <c r="B1093" s="107">
        <v>180000</v>
      </c>
    </row>
    <row r="1094" spans="1:2" ht="16.8" x14ac:dyDescent="0.4">
      <c r="A1094" s="101" t="s">
        <v>91</v>
      </c>
      <c r="B1094" s="107">
        <v>180000</v>
      </c>
    </row>
    <row r="1095" spans="1:2" ht="16.8" x14ac:dyDescent="0.4">
      <c r="A1095" s="103" t="s">
        <v>117</v>
      </c>
      <c r="B1095" s="107">
        <v>180000</v>
      </c>
    </row>
    <row r="1096" spans="1:2" ht="16.8" x14ac:dyDescent="0.4">
      <c r="A1096" s="101" t="s">
        <v>77</v>
      </c>
      <c r="B1096" s="107">
        <v>180000</v>
      </c>
    </row>
    <row r="1097" spans="1:2" ht="16.8" x14ac:dyDescent="0.4">
      <c r="A1097" s="103" t="s">
        <v>117</v>
      </c>
      <c r="B1097" s="107">
        <v>180000</v>
      </c>
    </row>
    <row r="1098" spans="1:2" ht="16.8" x14ac:dyDescent="0.4">
      <c r="A1098" s="101" t="s">
        <v>93</v>
      </c>
      <c r="B1098" s="107">
        <v>180000</v>
      </c>
    </row>
    <row r="1099" spans="1:2" ht="16.8" x14ac:dyDescent="0.4">
      <c r="A1099" s="103" t="s">
        <v>117</v>
      </c>
      <c r="B1099" s="107">
        <v>180000</v>
      </c>
    </row>
    <row r="1100" spans="1:2" ht="16.8" x14ac:dyDescent="0.4">
      <c r="A1100" s="101" t="s">
        <v>86</v>
      </c>
      <c r="B1100" s="107">
        <v>180000</v>
      </c>
    </row>
    <row r="1101" spans="1:2" ht="16.8" x14ac:dyDescent="0.4">
      <c r="A1101" s="103" t="s">
        <v>117</v>
      </c>
      <c r="B1101" s="107">
        <v>180000</v>
      </c>
    </row>
    <row r="1102" spans="1:2" ht="16.8" x14ac:dyDescent="0.4">
      <c r="A1102" s="101" t="s">
        <v>78</v>
      </c>
      <c r="B1102" s="107">
        <v>180000</v>
      </c>
    </row>
    <row r="1103" spans="1:2" ht="16.8" x14ac:dyDescent="0.4">
      <c r="A1103" s="103" t="s">
        <v>117</v>
      </c>
      <c r="B1103" s="107">
        <v>180000</v>
      </c>
    </row>
    <row r="1104" spans="1:2" ht="16.8" x14ac:dyDescent="0.4">
      <c r="A1104" s="101" t="s">
        <v>69</v>
      </c>
      <c r="B1104" s="107">
        <v>180000</v>
      </c>
    </row>
    <row r="1105" spans="1:2" ht="16.8" x14ac:dyDescent="0.4">
      <c r="A1105" s="103" t="s">
        <v>134</v>
      </c>
      <c r="B1105" s="107">
        <v>180000</v>
      </c>
    </row>
    <row r="1106" spans="1:2" ht="16.8" x14ac:dyDescent="0.4">
      <c r="A1106" s="101" t="s">
        <v>73</v>
      </c>
      <c r="B1106" s="107">
        <v>180000</v>
      </c>
    </row>
    <row r="1107" spans="1:2" ht="16.8" x14ac:dyDescent="0.4">
      <c r="A1107" s="103" t="s">
        <v>134</v>
      </c>
      <c r="B1107" s="107">
        <v>180000</v>
      </c>
    </row>
    <row r="1108" spans="1:2" ht="16.8" x14ac:dyDescent="0.4">
      <c r="A1108" s="101" t="s">
        <v>97</v>
      </c>
      <c r="B1108" s="107">
        <v>180000</v>
      </c>
    </row>
    <row r="1109" spans="1:2" ht="16.8" x14ac:dyDescent="0.4">
      <c r="A1109" s="103" t="s">
        <v>117</v>
      </c>
      <c r="B1109" s="107">
        <v>180000</v>
      </c>
    </row>
    <row r="1110" spans="1:2" ht="16.8" x14ac:dyDescent="0.4">
      <c r="A1110" s="101" t="s">
        <v>98</v>
      </c>
      <c r="B1110" s="107">
        <v>180000</v>
      </c>
    </row>
    <row r="1111" spans="1:2" ht="16.8" x14ac:dyDescent="0.4">
      <c r="A1111" s="103" t="s">
        <v>117</v>
      </c>
      <c r="B1111" s="107">
        <v>180000</v>
      </c>
    </row>
    <row r="1112" spans="1:2" ht="16.8" x14ac:dyDescent="0.4">
      <c r="A1112" s="101" t="s">
        <v>96</v>
      </c>
      <c r="B1112" s="107">
        <v>180000</v>
      </c>
    </row>
    <row r="1113" spans="1:2" ht="16.8" x14ac:dyDescent="0.4">
      <c r="A1113" s="103" t="s">
        <v>117</v>
      </c>
      <c r="B1113" s="107">
        <v>180000</v>
      </c>
    </row>
    <row r="1114" spans="1:2" ht="16.8" x14ac:dyDescent="0.4">
      <c r="A1114" s="101" t="s">
        <v>425</v>
      </c>
      <c r="B1114" s="107">
        <v>180000</v>
      </c>
    </row>
    <row r="1115" spans="1:2" ht="16.8" x14ac:dyDescent="0.4">
      <c r="A1115" s="103" t="s">
        <v>117</v>
      </c>
      <c r="B1115" s="107">
        <v>180000</v>
      </c>
    </row>
    <row r="1116" spans="1:2" ht="16.8" x14ac:dyDescent="0.4">
      <c r="A1116" s="101" t="s">
        <v>424</v>
      </c>
      <c r="B1116" s="107">
        <v>180000</v>
      </c>
    </row>
    <row r="1117" spans="1:2" ht="16.8" x14ac:dyDescent="0.4">
      <c r="A1117" s="103" t="s">
        <v>117</v>
      </c>
      <c r="B1117" s="107">
        <v>180000</v>
      </c>
    </row>
    <row r="1118" spans="1:2" ht="16.8" x14ac:dyDescent="0.4">
      <c r="A1118" s="101" t="s">
        <v>83</v>
      </c>
      <c r="B1118" s="107">
        <v>180000</v>
      </c>
    </row>
    <row r="1119" spans="1:2" ht="16.8" x14ac:dyDescent="0.4">
      <c r="A1119" s="103" t="s">
        <v>117</v>
      </c>
      <c r="B1119" s="107">
        <v>180000</v>
      </c>
    </row>
    <row r="1120" spans="1:2" ht="16.8" x14ac:dyDescent="0.4">
      <c r="A1120" s="101" t="s">
        <v>87</v>
      </c>
      <c r="B1120" s="107">
        <v>180000</v>
      </c>
    </row>
    <row r="1121" spans="1:2" ht="16.8" x14ac:dyDescent="0.4">
      <c r="A1121" s="103" t="s">
        <v>117</v>
      </c>
      <c r="B1121" s="107">
        <v>180000</v>
      </c>
    </row>
    <row r="1122" spans="1:2" ht="16.8" x14ac:dyDescent="0.4">
      <c r="A1122" s="101" t="s">
        <v>84</v>
      </c>
      <c r="B1122" s="107">
        <v>180000</v>
      </c>
    </row>
    <row r="1123" spans="1:2" ht="16.8" x14ac:dyDescent="0.4">
      <c r="A1123" s="103" t="s">
        <v>117</v>
      </c>
      <c r="B1123" s="107">
        <v>180000</v>
      </c>
    </row>
    <row r="1124" spans="1:2" ht="16.8" x14ac:dyDescent="0.4">
      <c r="A1124" s="101" t="s">
        <v>88</v>
      </c>
      <c r="B1124" s="107">
        <v>180000</v>
      </c>
    </row>
    <row r="1125" spans="1:2" ht="16.8" x14ac:dyDescent="0.4">
      <c r="A1125" s="103" t="s">
        <v>117</v>
      </c>
      <c r="B1125" s="107">
        <v>180000</v>
      </c>
    </row>
    <row r="1126" spans="1:2" ht="16.8" x14ac:dyDescent="0.4">
      <c r="A1126" s="101" t="s">
        <v>85</v>
      </c>
      <c r="B1126" s="107">
        <v>180000</v>
      </c>
    </row>
    <row r="1127" spans="1:2" ht="16.8" x14ac:dyDescent="0.4">
      <c r="A1127" s="103" t="s">
        <v>117</v>
      </c>
      <c r="B1127" s="107">
        <v>180000</v>
      </c>
    </row>
    <row r="1128" spans="1:2" ht="16.8" x14ac:dyDescent="0.4">
      <c r="A1128" s="101" t="s">
        <v>76</v>
      </c>
      <c r="B1128" s="107">
        <v>180000</v>
      </c>
    </row>
    <row r="1129" spans="1:2" ht="16.8" x14ac:dyDescent="0.4">
      <c r="A1129" s="103" t="s">
        <v>117</v>
      </c>
      <c r="B1129" s="107">
        <v>180000</v>
      </c>
    </row>
    <row r="1130" spans="1:2" ht="16.8" x14ac:dyDescent="0.4">
      <c r="A1130" s="101" t="s">
        <v>75</v>
      </c>
      <c r="B1130" s="107">
        <v>180000</v>
      </c>
    </row>
    <row r="1131" spans="1:2" ht="16.8" x14ac:dyDescent="0.4">
      <c r="A1131" s="103" t="s">
        <v>117</v>
      </c>
      <c r="B1131" s="107">
        <v>180000</v>
      </c>
    </row>
    <row r="1132" spans="1:2" ht="16.8" x14ac:dyDescent="0.4">
      <c r="A1132" s="101" t="s">
        <v>95</v>
      </c>
      <c r="B1132" s="107">
        <v>180000</v>
      </c>
    </row>
    <row r="1133" spans="1:2" ht="16.8" x14ac:dyDescent="0.4">
      <c r="A1133" s="103" t="s">
        <v>117</v>
      </c>
      <c r="B1133" s="107">
        <v>180000</v>
      </c>
    </row>
    <row r="1134" spans="1:2" ht="16.8" x14ac:dyDescent="0.4">
      <c r="A1134" s="101" t="s">
        <v>81</v>
      </c>
      <c r="B1134" s="107">
        <v>180000</v>
      </c>
    </row>
    <row r="1135" spans="1:2" ht="16.8" x14ac:dyDescent="0.4">
      <c r="A1135" s="103" t="s">
        <v>117</v>
      </c>
      <c r="B1135" s="107">
        <v>180000</v>
      </c>
    </row>
    <row r="1136" spans="1:2" ht="16.8" x14ac:dyDescent="0.4">
      <c r="A1136" s="101" t="s">
        <v>68</v>
      </c>
      <c r="B1136" s="107">
        <v>180000</v>
      </c>
    </row>
    <row r="1137" spans="1:2" ht="16.8" x14ac:dyDescent="0.4">
      <c r="A1137" s="103" t="s">
        <v>117</v>
      </c>
      <c r="B1137" s="107">
        <v>180000</v>
      </c>
    </row>
    <row r="1138" spans="1:2" ht="16.8" x14ac:dyDescent="0.4">
      <c r="A1138" s="101" t="s">
        <v>89</v>
      </c>
      <c r="B1138" s="107">
        <v>180000</v>
      </c>
    </row>
    <row r="1139" spans="1:2" ht="16.8" x14ac:dyDescent="0.4">
      <c r="A1139" s="103" t="s">
        <v>117</v>
      </c>
      <c r="B1139" s="107">
        <v>180000</v>
      </c>
    </row>
    <row r="1140" spans="1:2" ht="16.8" x14ac:dyDescent="0.4">
      <c r="A1140" s="101" t="s">
        <v>79</v>
      </c>
      <c r="B1140" s="107">
        <v>180000</v>
      </c>
    </row>
    <row r="1141" spans="1:2" ht="16.8" x14ac:dyDescent="0.4">
      <c r="A1141" s="103" t="s">
        <v>117</v>
      </c>
      <c r="B1141" s="107">
        <v>180000</v>
      </c>
    </row>
    <row r="1142" spans="1:2" ht="16.8" x14ac:dyDescent="0.4">
      <c r="A1142" s="101" t="s">
        <v>421</v>
      </c>
      <c r="B1142" s="107">
        <v>180000</v>
      </c>
    </row>
    <row r="1143" spans="1:2" ht="16.8" x14ac:dyDescent="0.4">
      <c r="A1143" s="103" t="s">
        <v>134</v>
      </c>
      <c r="B1143" s="107">
        <v>180000</v>
      </c>
    </row>
    <row r="1144" spans="1:2" ht="16.8" x14ac:dyDescent="0.4">
      <c r="A1144" s="101" t="s">
        <v>80</v>
      </c>
      <c r="B1144" s="107">
        <v>180000</v>
      </c>
    </row>
    <row r="1145" spans="1:2" ht="16.8" x14ac:dyDescent="0.4">
      <c r="A1145" s="103" t="s">
        <v>117</v>
      </c>
      <c r="B1145" s="107">
        <v>180000</v>
      </c>
    </row>
    <row r="1146" spans="1:2" ht="16.8" x14ac:dyDescent="0.4">
      <c r="A1146" s="101" t="s">
        <v>70</v>
      </c>
      <c r="B1146" s="107">
        <v>180000</v>
      </c>
    </row>
    <row r="1147" spans="1:2" ht="16.8" x14ac:dyDescent="0.4">
      <c r="A1147" s="103" t="s">
        <v>117</v>
      </c>
      <c r="B1147" s="107">
        <v>180000</v>
      </c>
    </row>
    <row r="1148" spans="1:2" ht="16.8" x14ac:dyDescent="0.4">
      <c r="A1148" s="101" t="s">
        <v>74</v>
      </c>
      <c r="B1148" s="107">
        <v>180000</v>
      </c>
    </row>
    <row r="1149" spans="1:2" ht="16.8" x14ac:dyDescent="0.4">
      <c r="A1149" s="103" t="s">
        <v>117</v>
      </c>
      <c r="B1149" s="107">
        <v>180000</v>
      </c>
    </row>
    <row r="1150" spans="1:2" ht="16.8" x14ac:dyDescent="0.4">
      <c r="A1150" s="101" t="s">
        <v>426</v>
      </c>
      <c r="B1150" s="107">
        <v>169830.48</v>
      </c>
    </row>
    <row r="1151" spans="1:2" ht="16.8" x14ac:dyDescent="0.4">
      <c r="A1151" s="103" t="s">
        <v>115</v>
      </c>
      <c r="B1151" s="107">
        <v>169830.48</v>
      </c>
    </row>
    <row r="1152" spans="1:2" ht="16.8" x14ac:dyDescent="0.4">
      <c r="A1152" s="101" t="s">
        <v>3811</v>
      </c>
      <c r="B1152" s="107">
        <v>169491.52542399999</v>
      </c>
    </row>
    <row r="1153" spans="1:2" ht="16.8" x14ac:dyDescent="0.4">
      <c r="A1153" s="103" t="s">
        <v>115</v>
      </c>
      <c r="B1153" s="107">
        <v>169491.52542399999</v>
      </c>
    </row>
    <row r="1154" spans="1:2" ht="16.8" x14ac:dyDescent="0.4">
      <c r="A1154" s="101" t="s">
        <v>427</v>
      </c>
      <c r="B1154" s="107">
        <v>163543.85</v>
      </c>
    </row>
    <row r="1155" spans="1:2" ht="16.8" x14ac:dyDescent="0.4">
      <c r="A1155" s="103" t="s">
        <v>123</v>
      </c>
      <c r="B1155" s="107">
        <v>163543.85</v>
      </c>
    </row>
    <row r="1156" spans="1:2" ht="16.8" x14ac:dyDescent="0.4">
      <c r="A1156" s="101" t="s">
        <v>428</v>
      </c>
      <c r="B1156" s="107">
        <v>162500</v>
      </c>
    </row>
    <row r="1157" spans="1:2" ht="16.8" x14ac:dyDescent="0.4">
      <c r="A1157" s="103" t="s">
        <v>134</v>
      </c>
      <c r="B1157" s="107">
        <v>162500</v>
      </c>
    </row>
    <row r="1158" spans="1:2" ht="16.8" x14ac:dyDescent="0.4">
      <c r="A1158" s="101" t="s">
        <v>429</v>
      </c>
      <c r="B1158" s="107">
        <v>158305.08000000002</v>
      </c>
    </row>
    <row r="1159" spans="1:2" ht="16.8" x14ac:dyDescent="0.4">
      <c r="A1159" s="103" t="s">
        <v>115</v>
      </c>
      <c r="B1159" s="107">
        <v>158305.08000000002</v>
      </c>
    </row>
    <row r="1160" spans="1:2" ht="16.8" x14ac:dyDescent="0.4">
      <c r="A1160" s="101" t="s">
        <v>430</v>
      </c>
      <c r="B1160" s="107">
        <v>145000</v>
      </c>
    </row>
    <row r="1161" spans="1:2" ht="16.8" x14ac:dyDescent="0.4">
      <c r="A1161" s="103" t="s">
        <v>134</v>
      </c>
      <c r="B1161" s="107">
        <v>145000</v>
      </c>
    </row>
    <row r="1162" spans="1:2" ht="16.8" x14ac:dyDescent="0.4">
      <c r="A1162" s="101" t="s">
        <v>108</v>
      </c>
      <c r="B1162" s="107">
        <v>142372.881356</v>
      </c>
    </row>
    <row r="1163" spans="1:2" ht="16.8" x14ac:dyDescent="0.4">
      <c r="A1163" s="103" t="s">
        <v>115</v>
      </c>
      <c r="B1163" s="107">
        <v>142372.881356</v>
      </c>
    </row>
    <row r="1164" spans="1:2" ht="16.8" x14ac:dyDescent="0.4">
      <c r="A1164" s="101" t="s">
        <v>431</v>
      </c>
      <c r="B1164" s="107">
        <v>140677.97999999998</v>
      </c>
    </row>
    <row r="1165" spans="1:2" ht="16.8" x14ac:dyDescent="0.4">
      <c r="A1165" s="103" t="s">
        <v>115</v>
      </c>
      <c r="B1165" s="107">
        <v>140677.97999999998</v>
      </c>
    </row>
    <row r="1166" spans="1:2" ht="16.8" x14ac:dyDescent="0.4">
      <c r="A1166" s="101" t="s">
        <v>432</v>
      </c>
      <c r="B1166" s="107">
        <v>140294</v>
      </c>
    </row>
    <row r="1167" spans="1:2" ht="16.8" x14ac:dyDescent="0.4">
      <c r="A1167" s="103" t="s">
        <v>123</v>
      </c>
      <c r="B1167" s="107">
        <v>140294</v>
      </c>
    </row>
    <row r="1168" spans="1:2" ht="16.8" x14ac:dyDescent="0.4">
      <c r="A1168" s="101" t="s">
        <v>433</v>
      </c>
      <c r="B1168" s="107">
        <v>131949.15</v>
      </c>
    </row>
    <row r="1169" spans="1:2" ht="16.8" x14ac:dyDescent="0.4">
      <c r="A1169" s="103" t="s">
        <v>115</v>
      </c>
      <c r="B1169" s="107">
        <v>131949.15</v>
      </c>
    </row>
    <row r="1170" spans="1:2" ht="16.8" x14ac:dyDescent="0.4">
      <c r="A1170" s="101" t="s">
        <v>106</v>
      </c>
      <c r="B1170" s="107">
        <v>109491.53</v>
      </c>
    </row>
    <row r="1171" spans="1:2" ht="16.8" x14ac:dyDescent="0.4">
      <c r="A1171" s="103" t="s">
        <v>115</v>
      </c>
      <c r="B1171" s="107">
        <v>19491.53</v>
      </c>
    </row>
    <row r="1172" spans="1:2" ht="16.8" x14ac:dyDescent="0.4">
      <c r="A1172" s="103" t="s">
        <v>117</v>
      </c>
      <c r="B1172" s="107">
        <v>90000</v>
      </c>
    </row>
    <row r="1173" spans="1:2" ht="16.8" x14ac:dyDescent="0.4">
      <c r="A1173" s="101" t="s">
        <v>439</v>
      </c>
      <c r="B1173" s="107">
        <v>101695</v>
      </c>
    </row>
    <row r="1174" spans="1:2" ht="16.8" x14ac:dyDescent="0.4">
      <c r="A1174" s="103" t="s">
        <v>115</v>
      </c>
      <c r="B1174" s="107">
        <v>101695</v>
      </c>
    </row>
    <row r="1175" spans="1:2" ht="16.8" x14ac:dyDescent="0.4">
      <c r="A1175" s="101" t="s">
        <v>436</v>
      </c>
      <c r="B1175" s="107">
        <v>101695</v>
      </c>
    </row>
    <row r="1176" spans="1:2" ht="16.8" x14ac:dyDescent="0.4">
      <c r="A1176" s="103" t="s">
        <v>115</v>
      </c>
      <c r="B1176" s="107">
        <v>101695</v>
      </c>
    </row>
    <row r="1177" spans="1:2" ht="16.8" x14ac:dyDescent="0.4">
      <c r="A1177" s="101" t="s">
        <v>435</v>
      </c>
      <c r="B1177" s="107">
        <v>101695</v>
      </c>
    </row>
    <row r="1178" spans="1:2" ht="16.8" x14ac:dyDescent="0.4">
      <c r="A1178" s="103" t="s">
        <v>115</v>
      </c>
      <c r="B1178" s="107">
        <v>101695</v>
      </c>
    </row>
    <row r="1179" spans="1:2" ht="16.8" x14ac:dyDescent="0.4">
      <c r="A1179" s="101" t="s">
        <v>437</v>
      </c>
      <c r="B1179" s="107">
        <v>101695</v>
      </c>
    </row>
    <row r="1180" spans="1:2" ht="16.8" x14ac:dyDescent="0.4">
      <c r="A1180" s="103" t="s">
        <v>438</v>
      </c>
      <c r="B1180" s="107">
        <v>101695</v>
      </c>
    </row>
    <row r="1181" spans="1:2" ht="16.8" x14ac:dyDescent="0.4">
      <c r="A1181" s="101" t="s">
        <v>434</v>
      </c>
      <c r="B1181" s="107">
        <v>101695</v>
      </c>
    </row>
    <row r="1182" spans="1:2" ht="16.8" x14ac:dyDescent="0.4">
      <c r="A1182" s="103" t="s">
        <v>115</v>
      </c>
      <c r="B1182" s="107">
        <v>101695</v>
      </c>
    </row>
    <row r="1183" spans="1:2" ht="16.8" x14ac:dyDescent="0.4">
      <c r="A1183" s="101" t="s">
        <v>440</v>
      </c>
      <c r="B1183" s="107">
        <v>101694.92</v>
      </c>
    </row>
    <row r="1184" spans="1:2" ht="16.8" x14ac:dyDescent="0.4">
      <c r="A1184" s="103" t="s">
        <v>115</v>
      </c>
      <c r="B1184" s="107">
        <v>101694.92</v>
      </c>
    </row>
    <row r="1185" spans="1:2" ht="16.8" x14ac:dyDescent="0.4">
      <c r="A1185" s="101" t="s">
        <v>442</v>
      </c>
      <c r="B1185" s="107">
        <v>101694.92</v>
      </c>
    </row>
    <row r="1186" spans="1:2" ht="16.8" x14ac:dyDescent="0.4">
      <c r="A1186" s="103" t="s">
        <v>115</v>
      </c>
      <c r="B1186" s="107">
        <v>101694.92</v>
      </c>
    </row>
    <row r="1187" spans="1:2" ht="16.8" x14ac:dyDescent="0.4">
      <c r="A1187" s="101" t="s">
        <v>443</v>
      </c>
      <c r="B1187" s="107">
        <v>101694.92</v>
      </c>
    </row>
    <row r="1188" spans="1:2" ht="16.8" x14ac:dyDescent="0.4">
      <c r="A1188" s="103" t="s">
        <v>115</v>
      </c>
      <c r="B1188" s="107">
        <v>101694.92</v>
      </c>
    </row>
    <row r="1189" spans="1:2" ht="16.8" x14ac:dyDescent="0.4">
      <c r="A1189" s="101" t="s">
        <v>441</v>
      </c>
      <c r="B1189" s="107">
        <v>101694.92</v>
      </c>
    </row>
    <row r="1190" spans="1:2" ht="16.8" x14ac:dyDescent="0.4">
      <c r="A1190" s="103" t="s">
        <v>115</v>
      </c>
      <c r="B1190" s="107">
        <v>101694.92</v>
      </c>
    </row>
    <row r="1191" spans="1:2" ht="16.8" x14ac:dyDescent="0.4">
      <c r="A1191" s="101" t="s">
        <v>444</v>
      </c>
      <c r="B1191" s="107">
        <v>101694.91525423729</v>
      </c>
    </row>
    <row r="1192" spans="1:2" ht="16.8" x14ac:dyDescent="0.4">
      <c r="A1192" s="103" t="s">
        <v>438</v>
      </c>
      <c r="B1192" s="107">
        <v>101694.91525423729</v>
      </c>
    </row>
    <row r="1193" spans="1:2" ht="16.8" x14ac:dyDescent="0.4">
      <c r="A1193" s="101" t="s">
        <v>445</v>
      </c>
      <c r="B1193" s="107">
        <v>101694.91525400001</v>
      </c>
    </row>
    <row r="1194" spans="1:2" ht="16.8" x14ac:dyDescent="0.4">
      <c r="A1194" s="103" t="s">
        <v>115</v>
      </c>
      <c r="B1194" s="107">
        <v>101694.91525400001</v>
      </c>
    </row>
    <row r="1195" spans="1:2" ht="16.8" x14ac:dyDescent="0.4">
      <c r="A1195" s="101" t="s">
        <v>446</v>
      </c>
      <c r="B1195" s="107">
        <v>99710</v>
      </c>
    </row>
    <row r="1196" spans="1:2" ht="16.8" x14ac:dyDescent="0.4">
      <c r="A1196" s="103" t="s">
        <v>123</v>
      </c>
      <c r="B1196" s="107">
        <v>99710</v>
      </c>
    </row>
    <row r="1197" spans="1:2" ht="16.8" x14ac:dyDescent="0.4">
      <c r="A1197" s="101" t="s">
        <v>447</v>
      </c>
      <c r="B1197" s="107">
        <v>99710</v>
      </c>
    </row>
    <row r="1198" spans="1:2" ht="16.8" x14ac:dyDescent="0.4">
      <c r="A1198" s="103" t="s">
        <v>123</v>
      </c>
      <c r="B1198" s="107">
        <v>99710</v>
      </c>
    </row>
    <row r="1199" spans="1:2" ht="16.8" x14ac:dyDescent="0.4">
      <c r="A1199" s="101" t="s">
        <v>448</v>
      </c>
      <c r="B1199" s="107">
        <v>97203.39</v>
      </c>
    </row>
    <row r="1200" spans="1:2" ht="16.8" x14ac:dyDescent="0.4">
      <c r="A1200" s="103" t="s">
        <v>115</v>
      </c>
      <c r="B1200" s="107">
        <v>97203.39</v>
      </c>
    </row>
    <row r="1201" spans="1:2" ht="16.8" x14ac:dyDescent="0.4">
      <c r="A1201" s="101" t="s">
        <v>101</v>
      </c>
      <c r="B1201" s="107">
        <v>90000</v>
      </c>
    </row>
    <row r="1202" spans="1:2" ht="16.8" x14ac:dyDescent="0.4">
      <c r="A1202" s="103" t="s">
        <v>117</v>
      </c>
      <c r="B1202" s="107">
        <v>90000</v>
      </c>
    </row>
    <row r="1203" spans="1:2" ht="16.8" x14ac:dyDescent="0.4">
      <c r="A1203" s="101" t="s">
        <v>102</v>
      </c>
      <c r="B1203" s="107">
        <v>90000</v>
      </c>
    </row>
    <row r="1204" spans="1:2" ht="16.8" x14ac:dyDescent="0.4">
      <c r="A1204" s="103" t="s">
        <v>117</v>
      </c>
      <c r="B1204" s="107">
        <v>90000</v>
      </c>
    </row>
    <row r="1205" spans="1:2" ht="16.8" x14ac:dyDescent="0.4">
      <c r="A1205" s="101" t="s">
        <v>99</v>
      </c>
      <c r="B1205" s="107">
        <v>90000</v>
      </c>
    </row>
    <row r="1206" spans="1:2" ht="16.8" x14ac:dyDescent="0.4">
      <c r="A1206" s="103" t="s">
        <v>134</v>
      </c>
      <c r="B1206" s="107">
        <v>90000</v>
      </c>
    </row>
    <row r="1207" spans="1:2" ht="16.8" x14ac:dyDescent="0.4">
      <c r="A1207" s="101" t="s">
        <v>105</v>
      </c>
      <c r="B1207" s="107">
        <v>90000</v>
      </c>
    </row>
    <row r="1208" spans="1:2" ht="16.8" x14ac:dyDescent="0.4">
      <c r="A1208" s="103" t="s">
        <v>117</v>
      </c>
      <c r="B1208" s="107">
        <v>90000</v>
      </c>
    </row>
    <row r="1209" spans="1:2" ht="16.8" x14ac:dyDescent="0.4">
      <c r="A1209" s="101" t="s">
        <v>104</v>
      </c>
      <c r="B1209" s="107">
        <v>90000</v>
      </c>
    </row>
    <row r="1210" spans="1:2" ht="16.8" x14ac:dyDescent="0.4">
      <c r="A1210" s="103" t="s">
        <v>117</v>
      </c>
      <c r="B1210" s="107">
        <v>90000</v>
      </c>
    </row>
    <row r="1211" spans="1:2" ht="16.8" x14ac:dyDescent="0.4">
      <c r="A1211" s="101" t="s">
        <v>103</v>
      </c>
      <c r="B1211" s="107">
        <v>90000</v>
      </c>
    </row>
    <row r="1212" spans="1:2" ht="16.8" x14ac:dyDescent="0.4">
      <c r="A1212" s="103" t="s">
        <v>117</v>
      </c>
      <c r="B1212" s="107">
        <v>90000</v>
      </c>
    </row>
    <row r="1213" spans="1:2" ht="16.8" x14ac:dyDescent="0.4">
      <c r="A1213" s="101" t="s">
        <v>107</v>
      </c>
      <c r="B1213" s="107">
        <v>90000</v>
      </c>
    </row>
    <row r="1214" spans="1:2" ht="16.8" x14ac:dyDescent="0.4">
      <c r="A1214" s="103" t="s">
        <v>117</v>
      </c>
      <c r="B1214" s="107">
        <v>90000</v>
      </c>
    </row>
    <row r="1215" spans="1:2" ht="16.8" x14ac:dyDescent="0.4">
      <c r="A1215" s="101" t="s">
        <v>449</v>
      </c>
      <c r="B1215" s="107">
        <v>90000</v>
      </c>
    </row>
    <row r="1216" spans="1:2" ht="16.8" x14ac:dyDescent="0.4">
      <c r="A1216" s="103" t="s">
        <v>117</v>
      </c>
      <c r="B1216" s="107">
        <v>90000</v>
      </c>
    </row>
    <row r="1217" spans="1:2" ht="16.8" x14ac:dyDescent="0.4">
      <c r="A1217" s="101" t="s">
        <v>100</v>
      </c>
      <c r="B1217" s="107">
        <v>90000</v>
      </c>
    </row>
    <row r="1218" spans="1:2" ht="16.8" x14ac:dyDescent="0.4">
      <c r="A1218" s="103" t="s">
        <v>117</v>
      </c>
      <c r="B1218" s="107">
        <v>90000</v>
      </c>
    </row>
    <row r="1219" spans="1:2" ht="16.8" x14ac:dyDescent="0.4">
      <c r="A1219" s="101" t="s">
        <v>450</v>
      </c>
      <c r="B1219" s="107">
        <v>89322.033897999994</v>
      </c>
    </row>
    <row r="1220" spans="1:2" ht="16.8" x14ac:dyDescent="0.4">
      <c r="A1220" s="103" t="s">
        <v>115</v>
      </c>
      <c r="B1220" s="107">
        <v>89322.033897999994</v>
      </c>
    </row>
    <row r="1221" spans="1:2" ht="16.8" x14ac:dyDescent="0.4">
      <c r="A1221" s="101" t="s">
        <v>111</v>
      </c>
      <c r="B1221" s="107">
        <v>84745.762711864416</v>
      </c>
    </row>
    <row r="1222" spans="1:2" ht="16.8" x14ac:dyDescent="0.4">
      <c r="A1222" s="103" t="s">
        <v>115</v>
      </c>
      <c r="B1222" s="107">
        <v>84745.762711864416</v>
      </c>
    </row>
    <row r="1223" spans="1:2" ht="16.8" x14ac:dyDescent="0.4">
      <c r="A1223" s="101" t="s">
        <v>451</v>
      </c>
      <c r="B1223" s="107">
        <v>84745</v>
      </c>
    </row>
    <row r="1224" spans="1:2" ht="16.8" x14ac:dyDescent="0.4">
      <c r="A1224" s="103" t="s">
        <v>115</v>
      </c>
      <c r="B1224" s="107">
        <v>84745</v>
      </c>
    </row>
    <row r="1225" spans="1:2" ht="16.8" x14ac:dyDescent="0.4">
      <c r="A1225" s="101" t="s">
        <v>455</v>
      </c>
      <c r="B1225" s="107">
        <v>81355.932203389835</v>
      </c>
    </row>
    <row r="1226" spans="1:2" ht="16.8" x14ac:dyDescent="0.4">
      <c r="A1226" s="103" t="s">
        <v>115</v>
      </c>
      <c r="B1226" s="107">
        <v>81355.932203389835</v>
      </c>
    </row>
    <row r="1227" spans="1:2" ht="16.8" x14ac:dyDescent="0.4">
      <c r="A1227" s="101" t="s">
        <v>453</v>
      </c>
      <c r="B1227" s="107">
        <v>81355.932203389835</v>
      </c>
    </row>
    <row r="1228" spans="1:2" ht="16.8" x14ac:dyDescent="0.4">
      <c r="A1228" s="103" t="s">
        <v>115</v>
      </c>
      <c r="B1228" s="107">
        <v>81355.932203389835</v>
      </c>
    </row>
    <row r="1229" spans="1:2" ht="16.8" x14ac:dyDescent="0.4">
      <c r="A1229" s="101" t="s">
        <v>456</v>
      </c>
      <c r="B1229" s="107">
        <v>81355.932203389835</v>
      </c>
    </row>
    <row r="1230" spans="1:2" ht="16.8" x14ac:dyDescent="0.4">
      <c r="A1230" s="103" t="s">
        <v>115</v>
      </c>
      <c r="B1230" s="107">
        <v>81355.932203389835</v>
      </c>
    </row>
    <row r="1231" spans="1:2" ht="16.8" x14ac:dyDescent="0.4">
      <c r="A1231" s="101" t="s">
        <v>454</v>
      </c>
      <c r="B1231" s="107">
        <v>81355.932203389835</v>
      </c>
    </row>
    <row r="1232" spans="1:2" ht="16.8" x14ac:dyDescent="0.4">
      <c r="A1232" s="103" t="s">
        <v>115</v>
      </c>
      <c r="B1232" s="107">
        <v>81355.932203389835</v>
      </c>
    </row>
    <row r="1233" spans="1:2" ht="16.8" x14ac:dyDescent="0.4">
      <c r="A1233" s="101" t="s">
        <v>452</v>
      </c>
      <c r="B1233" s="107">
        <v>81355.932203389835</v>
      </c>
    </row>
    <row r="1234" spans="1:2" ht="16.8" x14ac:dyDescent="0.4">
      <c r="A1234" s="103" t="s">
        <v>115</v>
      </c>
      <c r="B1234" s="107">
        <v>81355.932203389835</v>
      </c>
    </row>
    <row r="1235" spans="1:2" ht="16.8" x14ac:dyDescent="0.4">
      <c r="A1235" s="101" t="s">
        <v>457</v>
      </c>
      <c r="B1235" s="107">
        <v>81355.932203000004</v>
      </c>
    </row>
    <row r="1236" spans="1:2" ht="16.8" x14ac:dyDescent="0.4">
      <c r="A1236" s="103" t="s">
        <v>115</v>
      </c>
      <c r="B1236" s="107">
        <v>81355.932203000004</v>
      </c>
    </row>
    <row r="1237" spans="1:2" ht="16.8" x14ac:dyDescent="0.4">
      <c r="A1237" s="101" t="s">
        <v>459</v>
      </c>
      <c r="B1237" s="107">
        <v>77711.86</v>
      </c>
    </row>
    <row r="1238" spans="1:2" ht="16.8" x14ac:dyDescent="0.4">
      <c r="A1238" s="103" t="s">
        <v>115</v>
      </c>
      <c r="B1238" s="107">
        <v>77711.86</v>
      </c>
    </row>
    <row r="1239" spans="1:2" ht="16.8" x14ac:dyDescent="0.4">
      <c r="A1239" s="101" t="s">
        <v>458</v>
      </c>
      <c r="B1239" s="107">
        <v>77711.86</v>
      </c>
    </row>
    <row r="1240" spans="1:2" ht="16.8" x14ac:dyDescent="0.4">
      <c r="A1240" s="103" t="s">
        <v>115</v>
      </c>
      <c r="B1240" s="107">
        <v>77711.86</v>
      </c>
    </row>
    <row r="1241" spans="1:2" ht="16.8" x14ac:dyDescent="0.4">
      <c r="A1241" s="101" t="s">
        <v>461</v>
      </c>
      <c r="B1241" s="107">
        <v>72033.898305084746</v>
      </c>
    </row>
    <row r="1242" spans="1:2" ht="16.8" x14ac:dyDescent="0.4">
      <c r="A1242" s="103" t="s">
        <v>438</v>
      </c>
      <c r="B1242" s="107">
        <v>72033.898305084746</v>
      </c>
    </row>
    <row r="1243" spans="1:2" ht="16.8" x14ac:dyDescent="0.4">
      <c r="A1243" s="101" t="s">
        <v>460</v>
      </c>
      <c r="B1243" s="107">
        <v>72033.898305084746</v>
      </c>
    </row>
    <row r="1244" spans="1:2" ht="16.8" x14ac:dyDescent="0.4">
      <c r="A1244" s="103" t="s">
        <v>438</v>
      </c>
      <c r="B1244" s="107">
        <v>72033.898305084746</v>
      </c>
    </row>
    <row r="1245" spans="1:2" ht="16.8" x14ac:dyDescent="0.4">
      <c r="A1245" s="101" t="s">
        <v>462</v>
      </c>
      <c r="B1245" s="107">
        <v>72033.898304999995</v>
      </c>
    </row>
    <row r="1246" spans="1:2" ht="16.8" x14ac:dyDescent="0.4">
      <c r="A1246" s="103" t="s">
        <v>115</v>
      </c>
      <c r="B1246" s="107">
        <v>72033.898304999995</v>
      </c>
    </row>
    <row r="1247" spans="1:2" ht="16.8" x14ac:dyDescent="0.4">
      <c r="A1247" s="101" t="s">
        <v>463</v>
      </c>
      <c r="B1247" s="107">
        <v>66101.694915254237</v>
      </c>
    </row>
    <row r="1248" spans="1:2" ht="16.8" x14ac:dyDescent="0.4">
      <c r="A1248" s="103" t="s">
        <v>115</v>
      </c>
      <c r="B1248" s="107">
        <v>66101.694915254237</v>
      </c>
    </row>
    <row r="1249" spans="1:2" ht="16.8" x14ac:dyDescent="0.4">
      <c r="A1249" s="101" t="s">
        <v>464</v>
      </c>
      <c r="B1249" s="107">
        <v>63559</v>
      </c>
    </row>
    <row r="1250" spans="1:2" ht="16.8" x14ac:dyDescent="0.4">
      <c r="A1250" s="103" t="s">
        <v>438</v>
      </c>
      <c r="B1250" s="107">
        <v>63559</v>
      </c>
    </row>
    <row r="1251" spans="1:2" ht="16.8" x14ac:dyDescent="0.4">
      <c r="A1251" s="101" t="s">
        <v>465</v>
      </c>
      <c r="B1251" s="107">
        <v>63559</v>
      </c>
    </row>
    <row r="1252" spans="1:2" ht="16.8" x14ac:dyDescent="0.4">
      <c r="A1252" s="103" t="s">
        <v>438</v>
      </c>
      <c r="B1252" s="107">
        <v>63559</v>
      </c>
    </row>
    <row r="1253" spans="1:2" ht="16.8" x14ac:dyDescent="0.4">
      <c r="A1253" s="101" t="s">
        <v>466</v>
      </c>
      <c r="B1253" s="107">
        <v>61594.33</v>
      </c>
    </row>
    <row r="1254" spans="1:2" ht="16.8" x14ac:dyDescent="0.4">
      <c r="A1254" s="103" t="s">
        <v>123</v>
      </c>
      <c r="B1254" s="107">
        <v>61594.33</v>
      </c>
    </row>
    <row r="1255" spans="1:2" ht="16.8" x14ac:dyDescent="0.4">
      <c r="A1255" s="101" t="s">
        <v>467</v>
      </c>
      <c r="B1255" s="107">
        <v>60000</v>
      </c>
    </row>
    <row r="1256" spans="1:2" ht="16.8" x14ac:dyDescent="0.4">
      <c r="A1256" s="103" t="s">
        <v>131</v>
      </c>
      <c r="B1256" s="107">
        <v>60000</v>
      </c>
    </row>
    <row r="1257" spans="1:2" ht="16.8" x14ac:dyDescent="0.4">
      <c r="A1257" s="101" t="s">
        <v>468</v>
      </c>
      <c r="B1257" s="107">
        <v>58474.59</v>
      </c>
    </row>
    <row r="1258" spans="1:2" ht="16.8" x14ac:dyDescent="0.4">
      <c r="A1258" s="103" t="s">
        <v>115</v>
      </c>
      <c r="B1258" s="107">
        <v>58474.59</v>
      </c>
    </row>
    <row r="1259" spans="1:2" ht="16.8" x14ac:dyDescent="0.4">
      <c r="A1259" s="101" t="s">
        <v>470</v>
      </c>
      <c r="B1259" s="107">
        <v>53563</v>
      </c>
    </row>
    <row r="1260" spans="1:2" ht="16.8" x14ac:dyDescent="0.4">
      <c r="A1260" s="103" t="s">
        <v>123</v>
      </c>
      <c r="B1260" s="107">
        <v>53563</v>
      </c>
    </row>
    <row r="1261" spans="1:2" ht="16.8" x14ac:dyDescent="0.4">
      <c r="A1261" s="101" t="s">
        <v>469</v>
      </c>
      <c r="B1261" s="107">
        <v>53563</v>
      </c>
    </row>
    <row r="1262" spans="1:2" ht="16.8" x14ac:dyDescent="0.4">
      <c r="A1262" s="103" t="s">
        <v>123</v>
      </c>
      <c r="B1262" s="107">
        <v>53563</v>
      </c>
    </row>
    <row r="1263" spans="1:2" ht="16.8" x14ac:dyDescent="0.4">
      <c r="A1263" s="101" t="s">
        <v>471</v>
      </c>
      <c r="B1263" s="107">
        <v>28305.084745762713</v>
      </c>
    </row>
    <row r="1264" spans="1:2" ht="16.8" x14ac:dyDescent="0.4">
      <c r="A1264" s="103" t="s">
        <v>115</v>
      </c>
      <c r="B1264" s="107">
        <v>28305.084745762713</v>
      </c>
    </row>
    <row r="1265" spans="1:2" ht="16.8" x14ac:dyDescent="0.4">
      <c r="A1265" s="101" t="s">
        <v>475</v>
      </c>
      <c r="B1265" s="107">
        <v>19491.53</v>
      </c>
    </row>
    <row r="1266" spans="1:2" ht="16.8" x14ac:dyDescent="0.4">
      <c r="A1266" s="103" t="s">
        <v>115</v>
      </c>
      <c r="B1266" s="107">
        <v>19491.53</v>
      </c>
    </row>
    <row r="1267" spans="1:2" ht="16.8" x14ac:dyDescent="0.4">
      <c r="A1267" s="101" t="s">
        <v>472</v>
      </c>
      <c r="B1267" s="107">
        <v>19491.53</v>
      </c>
    </row>
    <row r="1268" spans="1:2" ht="16.8" x14ac:dyDescent="0.4">
      <c r="A1268" s="103" t="s">
        <v>115</v>
      </c>
      <c r="B1268" s="107">
        <v>19491.53</v>
      </c>
    </row>
    <row r="1269" spans="1:2" ht="16.8" x14ac:dyDescent="0.4">
      <c r="A1269" s="101" t="s">
        <v>474</v>
      </c>
      <c r="B1269" s="107">
        <v>19491.53</v>
      </c>
    </row>
    <row r="1270" spans="1:2" ht="16.8" x14ac:dyDescent="0.4">
      <c r="A1270" s="103" t="s">
        <v>115</v>
      </c>
      <c r="B1270" s="107">
        <v>19491.53</v>
      </c>
    </row>
    <row r="1271" spans="1:2" ht="16.8" x14ac:dyDescent="0.4">
      <c r="A1271" s="101" t="s">
        <v>473</v>
      </c>
      <c r="B1271" s="107">
        <v>19491.53</v>
      </c>
    </row>
    <row r="1272" spans="1:2" ht="16.8" x14ac:dyDescent="0.4">
      <c r="A1272" s="103" t="s">
        <v>115</v>
      </c>
      <c r="B1272" s="107">
        <v>19491.53</v>
      </c>
    </row>
    <row r="1273" spans="1:2" ht="16.8" x14ac:dyDescent="0.4">
      <c r="A1273" s="101" t="s">
        <v>476</v>
      </c>
      <c r="B1273" s="107">
        <v>15451.000000000002</v>
      </c>
    </row>
    <row r="1274" spans="1:2" ht="16.8" x14ac:dyDescent="0.4">
      <c r="A1274" s="103" t="s">
        <v>123</v>
      </c>
      <c r="B1274" s="107">
        <v>15451.000000000002</v>
      </c>
    </row>
    <row r="1275" spans="1:2" ht="16.8" x14ac:dyDescent="0.4">
      <c r="A1275" s="101" t="s">
        <v>3771</v>
      </c>
      <c r="B1275" s="107">
        <v>15451</v>
      </c>
    </row>
    <row r="1276" spans="1:2" ht="16.8" x14ac:dyDescent="0.4">
      <c r="A1276" s="103" t="s">
        <v>123</v>
      </c>
      <c r="B1276" s="107">
        <v>15451</v>
      </c>
    </row>
    <row r="1277" spans="1:2" ht="16.8" x14ac:dyDescent="0.4">
      <c r="A1277" s="101" t="s">
        <v>477</v>
      </c>
      <c r="B1277" s="107">
        <v>14451</v>
      </c>
    </row>
    <row r="1278" spans="1:2" ht="16.8" x14ac:dyDescent="0.4">
      <c r="A1278" s="103" t="s">
        <v>123</v>
      </c>
      <c r="B1278" s="107">
        <v>14451</v>
      </c>
    </row>
    <row r="1279" spans="1:2" ht="16.8" x14ac:dyDescent="0.4">
      <c r="A1279" s="101" t="s">
        <v>8</v>
      </c>
      <c r="B1279" s="107">
        <v>1590041533.2966714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4A602-5F14-4768-99D4-03217EF277B8}">
  <dimension ref="A2:L11"/>
  <sheetViews>
    <sheetView showGridLines="0" zoomScale="180" workbookViewId="0">
      <selection activeCell="G20" sqref="G20"/>
    </sheetView>
  </sheetViews>
  <sheetFormatPr defaultRowHeight="14.4" x14ac:dyDescent="0.3"/>
  <cols>
    <col min="1" max="1" width="11.109375" bestFit="1" customWidth="1"/>
    <col min="2" max="2" width="10.21875" bestFit="1" customWidth="1"/>
    <col min="3" max="3" width="19.6640625" bestFit="1" customWidth="1"/>
    <col min="4" max="4" width="9.5546875" bestFit="1" customWidth="1"/>
    <col min="5" max="5" width="11.6640625" bestFit="1" customWidth="1"/>
    <col min="6" max="6" width="9.5546875" bestFit="1" customWidth="1"/>
    <col min="7" max="7" width="10.5546875" bestFit="1" customWidth="1"/>
    <col min="9" max="9" width="15.6640625" customWidth="1"/>
    <col min="10" max="10" width="11.5546875" bestFit="1" customWidth="1"/>
  </cols>
  <sheetData>
    <row r="2" spans="1:12" x14ac:dyDescent="0.3">
      <c r="A2" s="109" t="s">
        <v>478</v>
      </c>
      <c r="B2" t="s">
        <v>479</v>
      </c>
      <c r="I2" t="s">
        <v>2</v>
      </c>
      <c r="J2" s="137">
        <f>F4</f>
        <v>1276</v>
      </c>
      <c r="K2" s="138">
        <f t="shared" ref="K2:K7" si="0">J2/$J$9</f>
        <v>0.11845525436316376</v>
      </c>
      <c r="L2" s="132"/>
    </row>
    <row r="3" spans="1:12" x14ac:dyDescent="0.3">
      <c r="F3" s="138">
        <f>F4/$J$9</f>
        <v>0.11845525436316376</v>
      </c>
      <c r="I3" t="s">
        <v>140</v>
      </c>
      <c r="J3" s="137">
        <v>2600</v>
      </c>
      <c r="K3" s="138">
        <f t="shared" si="0"/>
        <v>0.24136650575566282</v>
      </c>
      <c r="L3" s="112"/>
    </row>
    <row r="4" spans="1:12" x14ac:dyDescent="0.3">
      <c r="A4" s="109" t="s">
        <v>480</v>
      </c>
      <c r="B4" t="s">
        <v>481</v>
      </c>
      <c r="E4" s="138">
        <f>G4/F4</f>
        <v>2.6089341692789967</v>
      </c>
      <c r="F4" s="137">
        <v>1276</v>
      </c>
      <c r="G4" s="137">
        <v>3329</v>
      </c>
      <c r="H4" t="s">
        <v>482</v>
      </c>
      <c r="I4" t="s">
        <v>483</v>
      </c>
      <c r="J4" s="137">
        <v>1347</v>
      </c>
      <c r="K4" s="138">
        <f t="shared" si="0"/>
        <v>0.12504641663572225</v>
      </c>
    </row>
    <row r="5" spans="1:12" x14ac:dyDescent="0.3">
      <c r="A5" s="110" t="s">
        <v>2</v>
      </c>
      <c r="B5" s="132">
        <v>6344</v>
      </c>
      <c r="E5" s="138">
        <f>G5/F5</f>
        <v>2.3547550825487789</v>
      </c>
      <c r="F5" s="137">
        <v>7329</v>
      </c>
      <c r="G5" s="137">
        <v>17258</v>
      </c>
      <c r="H5" t="s">
        <v>5</v>
      </c>
      <c r="I5" t="s">
        <v>6</v>
      </c>
      <c r="J5" s="137">
        <v>2500</v>
      </c>
      <c r="K5" s="138">
        <f t="shared" si="0"/>
        <v>0.23208317861121425</v>
      </c>
    </row>
    <row r="6" spans="1:12" x14ac:dyDescent="0.3">
      <c r="A6" s="110" t="s">
        <v>3</v>
      </c>
      <c r="B6" s="132"/>
      <c r="I6" t="s">
        <v>484</v>
      </c>
      <c r="J6" s="137">
        <v>500</v>
      </c>
      <c r="K6" s="138">
        <f t="shared" si="0"/>
        <v>4.6416635722242854E-2</v>
      </c>
    </row>
    <row r="7" spans="1:12" ht="15" thickBot="1" x14ac:dyDescent="0.35">
      <c r="A7" s="110" t="s">
        <v>4</v>
      </c>
      <c r="B7" s="132"/>
      <c r="E7" t="s">
        <v>485</v>
      </c>
      <c r="F7" s="137">
        <v>7951</v>
      </c>
      <c r="G7">
        <f>F7/F9</f>
        <v>0.48695492405683488</v>
      </c>
      <c r="I7" s="139" t="s">
        <v>486</v>
      </c>
      <c r="J7" s="140">
        <f>J9-J8</f>
        <v>2549</v>
      </c>
      <c r="K7" s="141">
        <f t="shared" si="0"/>
        <v>0.23663200891199407</v>
      </c>
    </row>
    <row r="8" spans="1:12" x14ac:dyDescent="0.3">
      <c r="A8" s="110" t="s">
        <v>5</v>
      </c>
      <c r="B8" s="132">
        <v>10297</v>
      </c>
      <c r="E8" t="s">
        <v>487</v>
      </c>
      <c r="F8" s="137">
        <f>7329+433+615</f>
        <v>8377</v>
      </c>
      <c r="G8">
        <f>F8/F9</f>
        <v>0.51304507594316506</v>
      </c>
      <c r="I8" t="s">
        <v>488</v>
      </c>
      <c r="J8" s="137">
        <f>SUM(J3:J6)+F4</f>
        <v>8223</v>
      </c>
    </row>
    <row r="9" spans="1:12" x14ac:dyDescent="0.3">
      <c r="A9" s="110" t="s">
        <v>6</v>
      </c>
      <c r="B9" s="132">
        <v>30</v>
      </c>
      <c r="F9" s="132">
        <f>SUM(F7:F8)</f>
        <v>16328</v>
      </c>
      <c r="I9" t="s">
        <v>8</v>
      </c>
      <c r="J9" s="137">
        <v>10772</v>
      </c>
    </row>
    <row r="10" spans="1:12" x14ac:dyDescent="0.3">
      <c r="A10" s="110" t="s">
        <v>7</v>
      </c>
      <c r="B10" s="132">
        <v>14</v>
      </c>
      <c r="F10" s="132">
        <f>F9*0.55</f>
        <v>8980.4000000000015</v>
      </c>
      <c r="G10" s="112"/>
    </row>
    <row r="11" spans="1:12" x14ac:dyDescent="0.3">
      <c r="A11" s="110" t="s">
        <v>8</v>
      </c>
      <c r="B11" s="132">
        <v>16685</v>
      </c>
      <c r="F11" s="132">
        <f>F9-F10</f>
        <v>7347.5999999999985</v>
      </c>
      <c r="G11" s="112"/>
    </row>
  </sheetData>
  <pageMargins left="0.7" right="0.7" top="0.75" bottom="0.75" header="0.3" footer="0.3"/>
  <drawing r:id="rId2"/>
  <legacy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2AFEC-BA54-41D4-BC08-570B4F4D8587}">
  <dimension ref="A3:G37"/>
  <sheetViews>
    <sheetView showGridLines="0" tabSelected="1" workbookViewId="0">
      <selection activeCell="K40" sqref="K40"/>
    </sheetView>
  </sheetViews>
  <sheetFormatPr defaultRowHeight="14.4" x14ac:dyDescent="0.3"/>
  <cols>
    <col min="1" max="1" width="29" bestFit="1" customWidth="1"/>
    <col min="2" max="2" width="18.109375" bestFit="1" customWidth="1"/>
    <col min="3" max="3" width="17.6640625" bestFit="1" customWidth="1"/>
    <col min="4" max="4" width="22.88671875" bestFit="1" customWidth="1"/>
    <col min="6" max="6" width="10.21875" bestFit="1" customWidth="1"/>
    <col min="7" max="7" width="13.77734375" bestFit="1" customWidth="1"/>
  </cols>
  <sheetData>
    <row r="3" spans="1:2" hidden="1" x14ac:dyDescent="0.3">
      <c r="A3" s="109" t="s">
        <v>0</v>
      </c>
      <c r="B3" t="s">
        <v>3808</v>
      </c>
    </row>
    <row r="4" spans="1:2" hidden="1" x14ac:dyDescent="0.3">
      <c r="A4" s="110" t="s">
        <v>115</v>
      </c>
      <c r="B4">
        <v>608565442.20359135</v>
      </c>
    </row>
    <row r="5" spans="1:2" hidden="1" x14ac:dyDescent="0.3">
      <c r="A5" s="110" t="s">
        <v>123</v>
      </c>
      <c r="B5">
        <v>15427051.451186441</v>
      </c>
    </row>
    <row r="6" spans="1:2" hidden="1" x14ac:dyDescent="0.3">
      <c r="A6" s="110" t="s">
        <v>116</v>
      </c>
      <c r="B6">
        <v>96670049.751898304</v>
      </c>
    </row>
    <row r="7" spans="1:2" hidden="1" x14ac:dyDescent="0.3">
      <c r="A7" s="110" t="s">
        <v>117</v>
      </c>
      <c r="B7">
        <v>456535979.57423729</v>
      </c>
    </row>
    <row r="8" spans="1:2" hidden="1" x14ac:dyDescent="0.3">
      <c r="A8" s="110" t="s">
        <v>134</v>
      </c>
      <c r="B8">
        <v>142568038.56423727</v>
      </c>
    </row>
    <row r="9" spans="1:2" hidden="1" x14ac:dyDescent="0.3">
      <c r="A9" s="110" t="s">
        <v>126</v>
      </c>
      <c r="B9">
        <v>32610051.360847451</v>
      </c>
    </row>
    <row r="10" spans="1:2" hidden="1" x14ac:dyDescent="0.3">
      <c r="A10" s="110" t="s">
        <v>438</v>
      </c>
      <c r="B10">
        <v>474575.71186440677</v>
      </c>
    </row>
    <row r="11" spans="1:2" hidden="1" x14ac:dyDescent="0.3">
      <c r="A11" s="110" t="s">
        <v>136</v>
      </c>
      <c r="B11">
        <v>434658</v>
      </c>
    </row>
    <row r="12" spans="1:2" hidden="1" x14ac:dyDescent="0.3">
      <c r="A12" s="110" t="s">
        <v>137</v>
      </c>
      <c r="B12">
        <v>13926990</v>
      </c>
    </row>
    <row r="13" spans="1:2" hidden="1" x14ac:dyDescent="0.3">
      <c r="A13" s="110" t="s">
        <v>118</v>
      </c>
      <c r="B13">
        <v>64447300.444067203</v>
      </c>
    </row>
    <row r="14" spans="1:2" hidden="1" x14ac:dyDescent="0.3">
      <c r="A14" s="110" t="s">
        <v>120</v>
      </c>
      <c r="B14">
        <v>18063274.726271182</v>
      </c>
    </row>
    <row r="15" spans="1:2" hidden="1" x14ac:dyDescent="0.3">
      <c r="A15" s="110" t="s">
        <v>131</v>
      </c>
      <c r="B15">
        <v>2510042.3728813557</v>
      </c>
    </row>
    <row r="16" spans="1:2" hidden="1" x14ac:dyDescent="0.3">
      <c r="A16" s="110" t="s">
        <v>121</v>
      </c>
      <c r="B16">
        <v>129815926.13559322</v>
      </c>
    </row>
    <row r="17" spans="1:6" hidden="1" x14ac:dyDescent="0.3">
      <c r="A17" s="110" t="s">
        <v>3801</v>
      </c>
      <c r="B17">
        <v>4436653</v>
      </c>
    </row>
    <row r="18" spans="1:6" hidden="1" x14ac:dyDescent="0.3">
      <c r="A18" s="110" t="s">
        <v>3828</v>
      </c>
      <c r="B18">
        <v>3555500</v>
      </c>
    </row>
    <row r="19" spans="1:6" hidden="1" x14ac:dyDescent="0.3">
      <c r="A19" s="110" t="s">
        <v>8</v>
      </c>
      <c r="B19">
        <v>1590041533.2966757</v>
      </c>
    </row>
    <row r="20" spans="1:6" ht="15" thickBot="1" x14ac:dyDescent="0.35"/>
    <row r="21" spans="1:6" ht="15.6" x14ac:dyDescent="0.3">
      <c r="A21" s="206" t="s">
        <v>3848</v>
      </c>
      <c r="B21" s="207" t="s">
        <v>3849</v>
      </c>
      <c r="C21" s="207" t="s">
        <v>3850</v>
      </c>
      <c r="D21" s="208" t="s">
        <v>3851</v>
      </c>
    </row>
    <row r="22" spans="1:6" ht="15.6" x14ac:dyDescent="0.3">
      <c r="A22" s="209" t="str">
        <f>A4</f>
        <v>4G LTE connectivity</v>
      </c>
      <c r="B22" s="210">
        <f>B4</f>
        <v>608565442.20359135</v>
      </c>
      <c r="C22" s="210">
        <f>'[1]2023 Sales AMs Projection'!$H$7</f>
        <v>521580589.810839</v>
      </c>
      <c r="D22" s="211">
        <f>B22/C22</f>
        <v>1.1667716439070308</v>
      </c>
    </row>
    <row r="23" spans="1:6" ht="15.6" x14ac:dyDescent="0.3">
      <c r="A23" s="209" t="str">
        <f t="shared" ref="A23:B37" si="0">A5</f>
        <v>Cloud Computing</v>
      </c>
      <c r="B23" s="210">
        <f t="shared" si="0"/>
        <v>15427051.451186441</v>
      </c>
      <c r="C23" s="210">
        <f>'[1]2023 Sales AMs Projection'!$H$14</f>
        <v>6821528</v>
      </c>
      <c r="D23" s="211">
        <f t="shared" ref="D23:D37" si="1">B23/C23</f>
        <v>2.2615243170132029</v>
      </c>
    </row>
    <row r="24" spans="1:6" ht="15.6" x14ac:dyDescent="0.3">
      <c r="A24" s="209" t="str">
        <f t="shared" si="0"/>
        <v>Dark Fiber Lease</v>
      </c>
      <c r="B24" s="210">
        <f t="shared" si="0"/>
        <v>96670049.751898304</v>
      </c>
      <c r="C24" s="210">
        <f>'[1]2023 Sales AMs Projection'!$H$13</f>
        <v>53461290.637161285</v>
      </c>
      <c r="D24" s="211">
        <f t="shared" si="1"/>
        <v>1.8082251400923406</v>
      </c>
    </row>
    <row r="25" spans="1:6" ht="15.6" x14ac:dyDescent="0.3">
      <c r="A25" s="209" t="str">
        <f t="shared" si="0"/>
        <v>Fiber Broadband Internet - GoR</v>
      </c>
      <c r="B25" s="210">
        <f t="shared" si="0"/>
        <v>456535979.57423729</v>
      </c>
      <c r="C25" s="210">
        <f>'[1]2023 Sales AMs Projection'!$H$5</f>
        <v>485964060.32958198</v>
      </c>
      <c r="D25" s="211">
        <f t="shared" si="1"/>
        <v>0.93944391538875016</v>
      </c>
    </row>
    <row r="26" spans="1:6" ht="15.6" x14ac:dyDescent="0.3">
      <c r="A26" s="209" t="str">
        <f t="shared" si="0"/>
        <v>Fiber Broadband Internet - Private</v>
      </c>
      <c r="B26" s="210">
        <f t="shared" si="0"/>
        <v>142568038.56423727</v>
      </c>
      <c r="C26" s="210">
        <f>'[1]2023 Sales AMs Projection'!$H$6</f>
        <v>242556512.77056995</v>
      </c>
      <c r="D26" s="211">
        <f t="shared" si="1"/>
        <v>0.58777246150092011</v>
      </c>
    </row>
    <row r="27" spans="1:6" ht="15.6" x14ac:dyDescent="0.3">
      <c r="A27" s="209" t="str">
        <f t="shared" si="0"/>
        <v>Fixed Wireless Internet</v>
      </c>
      <c r="B27" s="210">
        <f t="shared" si="0"/>
        <v>32610051.360847451</v>
      </c>
      <c r="C27" s="210">
        <f>'[1]2023 Sales AMs Projection'!$H$15</f>
        <v>2291666.6666666665</v>
      </c>
      <c r="D27" s="211">
        <f t="shared" si="1"/>
        <v>14.229840593824344</v>
      </c>
    </row>
    <row r="28" spans="1:6" ht="15.6" x14ac:dyDescent="0.3">
      <c r="A28" s="209" t="str">
        <f t="shared" si="0"/>
        <v>Flex Faiba</v>
      </c>
      <c r="B28" s="210">
        <f t="shared" si="0"/>
        <v>474575.71186440677</v>
      </c>
      <c r="C28" s="210">
        <f>'[1]2023 Sales AMs Projection'!$H$18</f>
        <v>2252366.461538461</v>
      </c>
      <c r="D28" s="211">
        <f t="shared" si="1"/>
        <v>0.21070093165046136</v>
      </c>
    </row>
    <row r="29" spans="1:6" ht="15.6" x14ac:dyDescent="0.3">
      <c r="A29" s="209" t="str">
        <f t="shared" si="0"/>
        <v>Local Content</v>
      </c>
      <c r="B29" s="210">
        <f t="shared" si="0"/>
        <v>434658</v>
      </c>
      <c r="C29" s="210">
        <f>'[1]2023 Sales AMs Projection'!$H$12</f>
        <v>4339000</v>
      </c>
      <c r="D29" s="211">
        <f t="shared" si="1"/>
        <v>0.10017469463009911</v>
      </c>
    </row>
    <row r="30" spans="1:6" ht="15.6" x14ac:dyDescent="0.3">
      <c r="A30" s="209" t="str">
        <f t="shared" si="0"/>
        <v>Local Transport</v>
      </c>
      <c r="B30" s="210">
        <f t="shared" si="0"/>
        <v>13926990</v>
      </c>
      <c r="C30" s="210">
        <f>'[1]2023 Sales AMs Projection'!$H$17</f>
        <v>13926989.999999998</v>
      </c>
      <c r="D30" s="211">
        <f t="shared" si="1"/>
        <v>1.0000000000000002</v>
      </c>
    </row>
    <row r="31" spans="1:6" ht="15.6" x14ac:dyDescent="0.3">
      <c r="A31" s="209" t="str">
        <f t="shared" si="0"/>
        <v>Managed Security Services</v>
      </c>
      <c r="B31" s="210">
        <f t="shared" si="0"/>
        <v>64447300.444067203</v>
      </c>
      <c r="C31" s="210">
        <f>'[1]2023 Sales AMs Projection'!$H$9</f>
        <v>56436756.969188936</v>
      </c>
      <c r="D31" s="211">
        <f t="shared" si="1"/>
        <v>1.1419384086731195</v>
      </c>
      <c r="F31" s="204"/>
    </row>
    <row r="32" spans="1:6" ht="15.6" x14ac:dyDescent="0.3">
      <c r="A32" s="209" t="str">
        <f t="shared" si="0"/>
        <v>Video Conferencing Services</v>
      </c>
      <c r="B32" s="210">
        <f t="shared" si="0"/>
        <v>18063274.726271182</v>
      </c>
      <c r="C32" s="210">
        <f>'[1]2023 Sales AMs Projection'!$H$11</f>
        <v>21293045.548300002</v>
      </c>
      <c r="D32" s="211">
        <f t="shared" si="1"/>
        <v>0.8483180428697914</v>
      </c>
      <c r="F32" s="205"/>
    </row>
    <row r="33" spans="1:7" ht="15.6" x14ac:dyDescent="0.3">
      <c r="A33" s="209" t="str">
        <f t="shared" si="0"/>
        <v>VOIP</v>
      </c>
      <c r="B33" s="210">
        <f t="shared" si="0"/>
        <v>2510042.3728813557</v>
      </c>
      <c r="C33" s="210">
        <f>'[1]2023 Sales AMs Projection'!$H$19</f>
        <v>3391225.9110070253</v>
      </c>
      <c r="D33" s="211">
        <f t="shared" si="1"/>
        <v>0.74015781866210084</v>
      </c>
    </row>
    <row r="34" spans="1:7" ht="15.6" x14ac:dyDescent="0.3">
      <c r="A34" s="209" t="str">
        <f t="shared" si="0"/>
        <v>VSAT</v>
      </c>
      <c r="B34" s="210">
        <f t="shared" si="0"/>
        <v>129815926.13559322</v>
      </c>
      <c r="C34" s="210">
        <f>'[1]2023 Sales AMs Projection'!$H$16</f>
        <v>115436254.5016077</v>
      </c>
      <c r="D34" s="211">
        <f t="shared" si="1"/>
        <v>1.1245680717558733</v>
      </c>
    </row>
    <row r="35" spans="1:7" ht="15.6" x14ac:dyDescent="0.3">
      <c r="A35" s="209" t="str">
        <f t="shared" si="0"/>
        <v>Projects</v>
      </c>
      <c r="B35" s="210">
        <f t="shared" si="0"/>
        <v>4436653</v>
      </c>
      <c r="C35" s="210">
        <f>'[1]2023 Sales AMs Projection'!$H$10</f>
        <v>128122958.06325717</v>
      </c>
      <c r="D35" s="211">
        <f t="shared" si="1"/>
        <v>3.4628087479915387E-2</v>
      </c>
    </row>
    <row r="36" spans="1:7" ht="15.6" x14ac:dyDescent="0.3">
      <c r="A36" s="209" t="str">
        <f t="shared" si="0"/>
        <v>4G LTE Devices</v>
      </c>
      <c r="B36" s="210">
        <f t="shared" si="0"/>
        <v>3555500</v>
      </c>
      <c r="C36" s="210">
        <f>'[1]2023 Sales AMs Projection'!$H$8</f>
        <v>13736556.042391576</v>
      </c>
      <c r="D36" s="211">
        <f t="shared" si="1"/>
        <v>0.25883489202297733</v>
      </c>
    </row>
    <row r="37" spans="1:7" ht="16.2" thickBot="1" x14ac:dyDescent="0.35">
      <c r="A37" s="212" t="str">
        <f t="shared" si="0"/>
        <v>Grand Total</v>
      </c>
      <c r="B37" s="213">
        <f t="shared" si="0"/>
        <v>1590041533.2966757</v>
      </c>
      <c r="C37" s="214">
        <f>SUM(C22:C36)</f>
        <v>1671610801.7121098</v>
      </c>
      <c r="D37" s="215">
        <f t="shared" si="1"/>
        <v>0.95120319375066931</v>
      </c>
      <c r="G37" s="204"/>
    </row>
  </sheetData>
  <conditionalFormatting sqref="D22:D37">
    <cfRule type="cellIs" dxfId="26" priority="1" operator="lessThan">
      <formula>0.75</formula>
    </cfRule>
    <cfRule type="cellIs" dxfId="25" priority="2" operator="greaterThan">
      <formula>0.75</formula>
    </cfRule>
  </conditionalFormatting>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2E599-8B54-461B-A08B-537EF65ECB8C}">
  <dimension ref="A3:M42"/>
  <sheetViews>
    <sheetView showGridLines="0" topLeftCell="A21" zoomScaleNormal="100" workbookViewId="0">
      <selection activeCell="L53" sqref="L53"/>
    </sheetView>
  </sheetViews>
  <sheetFormatPr defaultRowHeight="14.4" x14ac:dyDescent="0.3"/>
  <cols>
    <col min="1" max="1" width="43" bestFit="1" customWidth="1"/>
    <col min="2" max="2" width="17.109375" bestFit="1" customWidth="1"/>
    <col min="3" max="3" width="15.6640625" bestFit="1" customWidth="1"/>
    <col min="4" max="5" width="14.44140625" bestFit="1" customWidth="1"/>
    <col min="6" max="6" width="15.44140625" bestFit="1" customWidth="1"/>
    <col min="7" max="7" width="16.88671875" bestFit="1" customWidth="1"/>
    <col min="8" max="8" width="15.44140625" bestFit="1" customWidth="1"/>
    <col min="9" max="9" width="16.33203125" bestFit="1" customWidth="1"/>
    <col min="10" max="10" width="18" bestFit="1" customWidth="1"/>
    <col min="11" max="12" width="16.44140625" bestFit="1" customWidth="1"/>
    <col min="13" max="13" width="18.109375" bestFit="1" customWidth="1"/>
  </cols>
  <sheetData>
    <row r="3" spans="1:13" hidden="1" x14ac:dyDescent="0.3">
      <c r="A3" s="109" t="s">
        <v>3808</v>
      </c>
      <c r="B3" s="109" t="s">
        <v>11</v>
      </c>
    </row>
    <row r="4" spans="1:13" hidden="1" x14ac:dyDescent="0.3">
      <c r="A4" s="109" t="s">
        <v>0</v>
      </c>
      <c r="B4" t="s">
        <v>12</v>
      </c>
      <c r="C4" t="s">
        <v>13</v>
      </c>
      <c r="D4" t="s">
        <v>14</v>
      </c>
      <c r="E4" t="s">
        <v>15</v>
      </c>
      <c r="F4" t="s">
        <v>16</v>
      </c>
      <c r="G4" t="s">
        <v>17</v>
      </c>
      <c r="H4" t="s">
        <v>3798</v>
      </c>
      <c r="I4" t="s">
        <v>18</v>
      </c>
      <c r="J4" t="s">
        <v>19</v>
      </c>
      <c r="K4" t="s">
        <v>20</v>
      </c>
      <c r="L4" t="s">
        <v>21</v>
      </c>
      <c r="M4" t="s">
        <v>8</v>
      </c>
    </row>
    <row r="5" spans="1:13" hidden="1" x14ac:dyDescent="0.3">
      <c r="A5" s="110" t="s">
        <v>115</v>
      </c>
      <c r="B5">
        <v>12957814.38909388</v>
      </c>
      <c r="C5">
        <v>30131888.981269054</v>
      </c>
      <c r="D5">
        <v>18317807.377628371</v>
      </c>
      <c r="E5">
        <v>9942511</v>
      </c>
      <c r="F5">
        <v>24104613.279497232</v>
      </c>
      <c r="G5">
        <v>119622633.31867805</v>
      </c>
      <c r="H5">
        <v>25924350</v>
      </c>
      <c r="I5">
        <v>38026729.743050151</v>
      </c>
      <c r="J5">
        <v>52242709.65049994</v>
      </c>
      <c r="K5">
        <v>65704299.943022154</v>
      </c>
      <c r="L5">
        <v>211590084.52084833</v>
      </c>
      <c r="M5">
        <v>608565442.20358717</v>
      </c>
    </row>
    <row r="6" spans="1:13" hidden="1" x14ac:dyDescent="0.3">
      <c r="A6" s="110" t="s">
        <v>3828</v>
      </c>
      <c r="F6">
        <v>111500</v>
      </c>
      <c r="G6">
        <v>2675000</v>
      </c>
      <c r="L6">
        <v>769000</v>
      </c>
      <c r="M6">
        <v>3555500</v>
      </c>
    </row>
    <row r="7" spans="1:13" hidden="1" x14ac:dyDescent="0.3">
      <c r="A7" s="110" t="s">
        <v>123</v>
      </c>
      <c r="B7">
        <v>1996125.5762711866</v>
      </c>
      <c r="F7">
        <v>3150000</v>
      </c>
      <c r="I7">
        <v>6942214.6949152537</v>
      </c>
      <c r="J7">
        <v>198773</v>
      </c>
      <c r="K7">
        <v>3124487.18</v>
      </c>
      <c r="L7">
        <v>15451.000000000002</v>
      </c>
      <c r="M7">
        <v>15427051.451186441</v>
      </c>
    </row>
    <row r="8" spans="1:13" hidden="1" x14ac:dyDescent="0.3">
      <c r="A8" s="110" t="s">
        <v>116</v>
      </c>
      <c r="B8">
        <v>59412327.254237287</v>
      </c>
      <c r="G8">
        <v>6894779.7179999994</v>
      </c>
      <c r="I8">
        <v>22344593.084745765</v>
      </c>
      <c r="J8">
        <v>7678046.6949152546</v>
      </c>
      <c r="L8">
        <v>340303</v>
      </c>
      <c r="M8">
        <v>96670049.751898304</v>
      </c>
    </row>
    <row r="9" spans="1:13" hidden="1" x14ac:dyDescent="0.3">
      <c r="A9" s="110" t="s">
        <v>117</v>
      </c>
      <c r="B9">
        <v>53351152.741016947</v>
      </c>
      <c r="C9">
        <v>104364910.44067797</v>
      </c>
      <c r="F9">
        <v>15870000</v>
      </c>
      <c r="G9">
        <v>74049266.239999995</v>
      </c>
      <c r="I9">
        <v>27088100</v>
      </c>
      <c r="J9">
        <v>65490610.152542375</v>
      </c>
      <c r="K9">
        <v>51548100</v>
      </c>
      <c r="L9">
        <v>64773840</v>
      </c>
      <c r="M9">
        <v>456535979.57423729</v>
      </c>
    </row>
    <row r="10" spans="1:13" hidden="1" x14ac:dyDescent="0.3">
      <c r="A10" s="110" t="s">
        <v>134</v>
      </c>
      <c r="B10">
        <v>45982393.593220301</v>
      </c>
      <c r="C10">
        <v>9861675</v>
      </c>
      <c r="G10">
        <v>15590204.440677959</v>
      </c>
      <c r="I10">
        <v>54189324.530338988</v>
      </c>
      <c r="J10">
        <v>410000</v>
      </c>
      <c r="K10">
        <v>13324441</v>
      </c>
      <c r="L10">
        <v>3210000</v>
      </c>
      <c r="M10">
        <v>142568038.56423724</v>
      </c>
    </row>
    <row r="11" spans="1:13" hidden="1" x14ac:dyDescent="0.3">
      <c r="A11" s="110" t="s">
        <v>126</v>
      </c>
      <c r="B11">
        <v>212000</v>
      </c>
      <c r="C11">
        <v>750000</v>
      </c>
      <c r="G11">
        <v>245000</v>
      </c>
      <c r="I11">
        <v>861441.42864406784</v>
      </c>
      <c r="J11">
        <v>245000</v>
      </c>
      <c r="L11">
        <v>30296609.932203382</v>
      </c>
      <c r="M11">
        <v>32610051.360847451</v>
      </c>
    </row>
    <row r="12" spans="1:13" hidden="1" x14ac:dyDescent="0.3">
      <c r="A12" s="110" t="s">
        <v>438</v>
      </c>
      <c r="C12">
        <v>101694.91525423729</v>
      </c>
      <c r="E12">
        <v>228813</v>
      </c>
      <c r="L12">
        <v>144067.79661016949</v>
      </c>
      <c r="M12">
        <v>474575.71186440683</v>
      </c>
    </row>
    <row r="13" spans="1:13" hidden="1" x14ac:dyDescent="0.3">
      <c r="A13" s="110" t="s">
        <v>136</v>
      </c>
      <c r="B13">
        <v>434658</v>
      </c>
      <c r="M13">
        <v>434658</v>
      </c>
    </row>
    <row r="14" spans="1:13" hidden="1" x14ac:dyDescent="0.3">
      <c r="A14" s="110" t="s">
        <v>137</v>
      </c>
      <c r="B14">
        <v>13926990</v>
      </c>
      <c r="M14">
        <v>13926990</v>
      </c>
    </row>
    <row r="15" spans="1:13" hidden="1" x14ac:dyDescent="0.3">
      <c r="A15" s="110" t="s">
        <v>118</v>
      </c>
      <c r="B15">
        <v>12323290.847457629</v>
      </c>
      <c r="C15">
        <v>941916.8</v>
      </c>
      <c r="F15">
        <v>1478575</v>
      </c>
      <c r="G15">
        <v>4382289.8237288129</v>
      </c>
      <c r="I15">
        <v>4887358.8599999994</v>
      </c>
      <c r="J15">
        <v>9830767.1257618982</v>
      </c>
      <c r="K15">
        <v>15508934.783728998</v>
      </c>
      <c r="L15">
        <v>15094167.203389831</v>
      </c>
      <c r="M15">
        <v>64447300.444067173</v>
      </c>
    </row>
    <row r="16" spans="1:13" hidden="1" x14ac:dyDescent="0.3">
      <c r="A16" s="110" t="s">
        <v>3801</v>
      </c>
      <c r="B16">
        <v>1367570</v>
      </c>
      <c r="L16">
        <v>3069083</v>
      </c>
      <c r="M16">
        <v>4436653</v>
      </c>
    </row>
    <row r="17" spans="1:13" hidden="1" x14ac:dyDescent="0.3">
      <c r="A17" s="110" t="s">
        <v>120</v>
      </c>
      <c r="B17">
        <v>774134.83050847461</v>
      </c>
      <c r="C17">
        <v>258044.9152542373</v>
      </c>
      <c r="G17">
        <v>774134.84000000008</v>
      </c>
      <c r="I17">
        <v>3096540.0399999996</v>
      </c>
      <c r="J17">
        <v>7741475.6652542362</v>
      </c>
      <c r="K17">
        <v>2322404.52</v>
      </c>
      <c r="L17">
        <v>3096539.9152542371</v>
      </c>
      <c r="M17">
        <v>18063274.726271182</v>
      </c>
    </row>
    <row r="18" spans="1:13" hidden="1" x14ac:dyDescent="0.3">
      <c r="A18" s="110" t="s">
        <v>131</v>
      </c>
      <c r="B18">
        <v>755042.37288135593</v>
      </c>
      <c r="C18">
        <v>60000</v>
      </c>
      <c r="G18">
        <v>390000</v>
      </c>
      <c r="J18">
        <v>189000</v>
      </c>
      <c r="K18">
        <v>1056000</v>
      </c>
      <c r="L18">
        <v>60000</v>
      </c>
      <c r="M18">
        <v>2510042.3728813557</v>
      </c>
    </row>
    <row r="19" spans="1:13" hidden="1" x14ac:dyDescent="0.3">
      <c r="A19" s="110" t="s">
        <v>121</v>
      </c>
      <c r="B19">
        <v>115048203.13559322</v>
      </c>
      <c r="C19">
        <v>8841723</v>
      </c>
      <c r="K19">
        <v>5926000</v>
      </c>
      <c r="M19">
        <v>129815926.13559322</v>
      </c>
    </row>
    <row r="20" spans="1:13" hidden="1" x14ac:dyDescent="0.3">
      <c r="A20" s="110" t="s">
        <v>8</v>
      </c>
      <c r="B20">
        <v>318541702.74028027</v>
      </c>
      <c r="C20">
        <v>155311854.05245551</v>
      </c>
      <c r="D20">
        <v>18317807.377628371</v>
      </c>
      <c r="E20">
        <v>10171324</v>
      </c>
      <c r="F20">
        <v>44714688.279497236</v>
      </c>
      <c r="G20">
        <v>224623308.3810848</v>
      </c>
      <c r="H20">
        <v>25924350</v>
      </c>
      <c r="I20">
        <v>157436302.38169423</v>
      </c>
      <c r="J20">
        <v>144026382.28897372</v>
      </c>
      <c r="K20">
        <v>158514667.42675117</v>
      </c>
      <c r="L20">
        <v>332459146.36830592</v>
      </c>
      <c r="M20">
        <v>1590041533.2966714</v>
      </c>
    </row>
    <row r="23" spans="1:13" ht="15" thickBot="1" x14ac:dyDescent="0.35"/>
    <row r="24" spans="1:13" ht="15.6" x14ac:dyDescent="0.3">
      <c r="A24" s="216" t="s">
        <v>3848</v>
      </c>
      <c r="B24" s="217" t="str">
        <f t="shared" ref="B24:M24" si="0">B4</f>
        <v>BANZA</v>
      </c>
      <c r="C24" s="217" t="str">
        <f t="shared" si="0"/>
        <v>GAHIGI</v>
      </c>
      <c r="D24" s="217" t="str">
        <f t="shared" si="0"/>
        <v>GASANA</v>
      </c>
      <c r="E24" s="217" t="str">
        <f t="shared" si="0"/>
        <v>GASASIRA</v>
      </c>
      <c r="F24" s="217" t="str">
        <f t="shared" si="0"/>
        <v>KIZZA</v>
      </c>
      <c r="G24" s="217" t="str">
        <f t="shared" si="0"/>
        <v>MUGISHA</v>
      </c>
      <c r="H24" s="217" t="str">
        <f t="shared" si="0"/>
        <v>MUHIZI</v>
      </c>
      <c r="I24" s="217" t="str">
        <f t="shared" si="0"/>
        <v>MUKAMANA</v>
      </c>
      <c r="J24" s="217" t="str">
        <f t="shared" si="0"/>
        <v>MUKANOHERI</v>
      </c>
      <c r="K24" s="217" t="str">
        <f t="shared" si="0"/>
        <v>MUSONI</v>
      </c>
      <c r="L24" s="217" t="str">
        <f t="shared" si="0"/>
        <v>NIYITEGEKA</v>
      </c>
      <c r="M24" s="217" t="str">
        <f t="shared" si="0"/>
        <v>Grand Total</v>
      </c>
    </row>
    <row r="25" spans="1:13" ht="15.6" x14ac:dyDescent="0.3">
      <c r="A25" s="222" t="str">
        <f t="shared" ref="A25:M38" si="1">A5</f>
        <v>4G LTE connectivity</v>
      </c>
      <c r="B25" s="210">
        <f t="shared" si="1"/>
        <v>12957814.38909388</v>
      </c>
      <c r="C25" s="210">
        <f t="shared" si="1"/>
        <v>30131888.981269054</v>
      </c>
      <c r="D25" s="210">
        <f t="shared" si="1"/>
        <v>18317807.377628371</v>
      </c>
      <c r="E25" s="210">
        <f t="shared" si="1"/>
        <v>9942511</v>
      </c>
      <c r="F25" s="210">
        <f t="shared" si="1"/>
        <v>24104613.279497232</v>
      </c>
      <c r="G25" s="210">
        <f t="shared" si="1"/>
        <v>119622633.31867805</v>
      </c>
      <c r="H25" s="210">
        <f t="shared" si="1"/>
        <v>25924350</v>
      </c>
      <c r="I25" s="210">
        <f t="shared" si="1"/>
        <v>38026729.743050151</v>
      </c>
      <c r="J25" s="210">
        <f t="shared" si="1"/>
        <v>52242709.65049994</v>
      </c>
      <c r="K25" s="210">
        <f t="shared" si="1"/>
        <v>65704299.943022154</v>
      </c>
      <c r="L25" s="210">
        <f t="shared" si="1"/>
        <v>211590084.52084833</v>
      </c>
      <c r="M25" s="210">
        <f t="shared" si="1"/>
        <v>608565442.20358717</v>
      </c>
    </row>
    <row r="26" spans="1:13" ht="15.6" x14ac:dyDescent="0.3">
      <c r="A26" s="222" t="str">
        <f t="shared" si="1"/>
        <v>4G LTE Devices</v>
      </c>
      <c r="B26" s="210">
        <f t="shared" si="1"/>
        <v>0</v>
      </c>
      <c r="C26" s="210">
        <f t="shared" si="1"/>
        <v>0</v>
      </c>
      <c r="D26" s="210">
        <f t="shared" si="1"/>
        <v>0</v>
      </c>
      <c r="E26" s="210">
        <f t="shared" si="1"/>
        <v>0</v>
      </c>
      <c r="F26" s="210">
        <f t="shared" si="1"/>
        <v>111500</v>
      </c>
      <c r="G26" s="210">
        <f t="shared" si="1"/>
        <v>2675000</v>
      </c>
      <c r="H26" s="210">
        <f t="shared" si="1"/>
        <v>0</v>
      </c>
      <c r="I26" s="210">
        <f t="shared" si="1"/>
        <v>0</v>
      </c>
      <c r="J26" s="210">
        <f t="shared" si="1"/>
        <v>0</v>
      </c>
      <c r="K26" s="210">
        <f t="shared" si="1"/>
        <v>0</v>
      </c>
      <c r="L26" s="210">
        <f t="shared" si="1"/>
        <v>769000</v>
      </c>
      <c r="M26" s="210">
        <f t="shared" si="1"/>
        <v>3555500</v>
      </c>
    </row>
    <row r="27" spans="1:13" ht="15.6" x14ac:dyDescent="0.3">
      <c r="A27" s="222" t="str">
        <f t="shared" si="1"/>
        <v>Cloud Computing</v>
      </c>
      <c r="B27" s="210">
        <f t="shared" si="1"/>
        <v>1996125.5762711866</v>
      </c>
      <c r="C27" s="210">
        <f t="shared" si="1"/>
        <v>0</v>
      </c>
      <c r="D27" s="210">
        <f t="shared" si="1"/>
        <v>0</v>
      </c>
      <c r="E27" s="210">
        <f t="shared" si="1"/>
        <v>0</v>
      </c>
      <c r="F27" s="210">
        <f t="shared" si="1"/>
        <v>3150000</v>
      </c>
      <c r="G27" s="210">
        <f t="shared" si="1"/>
        <v>0</v>
      </c>
      <c r="H27" s="210">
        <f t="shared" si="1"/>
        <v>0</v>
      </c>
      <c r="I27" s="210">
        <f t="shared" si="1"/>
        <v>6942214.6949152537</v>
      </c>
      <c r="J27" s="210">
        <f t="shared" si="1"/>
        <v>198773</v>
      </c>
      <c r="K27" s="210">
        <f t="shared" si="1"/>
        <v>3124487.18</v>
      </c>
      <c r="L27" s="210">
        <f t="shared" si="1"/>
        <v>15451.000000000002</v>
      </c>
      <c r="M27" s="210">
        <f t="shared" si="1"/>
        <v>15427051.451186441</v>
      </c>
    </row>
    <row r="28" spans="1:13" ht="15.6" x14ac:dyDescent="0.3">
      <c r="A28" s="222" t="str">
        <f t="shared" si="1"/>
        <v>Dark Fiber Lease</v>
      </c>
      <c r="B28" s="210">
        <f t="shared" si="1"/>
        <v>59412327.254237287</v>
      </c>
      <c r="C28" s="210">
        <f t="shared" si="1"/>
        <v>0</v>
      </c>
      <c r="D28" s="210">
        <f t="shared" si="1"/>
        <v>0</v>
      </c>
      <c r="E28" s="210">
        <f t="shared" si="1"/>
        <v>0</v>
      </c>
      <c r="F28" s="210">
        <f t="shared" si="1"/>
        <v>0</v>
      </c>
      <c r="G28" s="210">
        <f t="shared" si="1"/>
        <v>6894779.7179999994</v>
      </c>
      <c r="H28" s="210">
        <f t="shared" si="1"/>
        <v>0</v>
      </c>
      <c r="I28" s="210">
        <f t="shared" si="1"/>
        <v>22344593.084745765</v>
      </c>
      <c r="J28" s="210">
        <f t="shared" si="1"/>
        <v>7678046.6949152546</v>
      </c>
      <c r="K28" s="210">
        <f t="shared" si="1"/>
        <v>0</v>
      </c>
      <c r="L28" s="210">
        <f t="shared" si="1"/>
        <v>340303</v>
      </c>
      <c r="M28" s="210">
        <f t="shared" si="1"/>
        <v>96670049.751898304</v>
      </c>
    </row>
    <row r="29" spans="1:13" ht="15.6" x14ac:dyDescent="0.3">
      <c r="A29" s="222" t="str">
        <f t="shared" si="1"/>
        <v>Fiber Broadband Internet - GoR</v>
      </c>
      <c r="B29" s="210">
        <f t="shared" si="1"/>
        <v>53351152.741016947</v>
      </c>
      <c r="C29" s="210">
        <f t="shared" si="1"/>
        <v>104364910.44067797</v>
      </c>
      <c r="D29" s="210">
        <f t="shared" si="1"/>
        <v>0</v>
      </c>
      <c r="E29" s="210">
        <f t="shared" si="1"/>
        <v>0</v>
      </c>
      <c r="F29" s="210">
        <f t="shared" si="1"/>
        <v>15870000</v>
      </c>
      <c r="G29" s="210">
        <f t="shared" si="1"/>
        <v>74049266.239999995</v>
      </c>
      <c r="H29" s="210">
        <f t="shared" si="1"/>
        <v>0</v>
      </c>
      <c r="I29" s="210">
        <f t="shared" si="1"/>
        <v>27088100</v>
      </c>
      <c r="J29" s="210">
        <f t="shared" si="1"/>
        <v>65490610.152542375</v>
      </c>
      <c r="K29" s="210">
        <f t="shared" si="1"/>
        <v>51548100</v>
      </c>
      <c r="L29" s="210">
        <f t="shared" si="1"/>
        <v>64773840</v>
      </c>
      <c r="M29" s="210">
        <f t="shared" si="1"/>
        <v>456535979.57423729</v>
      </c>
    </row>
    <row r="30" spans="1:13" ht="15.6" x14ac:dyDescent="0.3">
      <c r="A30" s="222" t="str">
        <f t="shared" si="1"/>
        <v>Fiber Broadband Internet - Private</v>
      </c>
      <c r="B30" s="210">
        <f t="shared" si="1"/>
        <v>45982393.593220301</v>
      </c>
      <c r="C30" s="210">
        <f t="shared" si="1"/>
        <v>9861675</v>
      </c>
      <c r="D30" s="210">
        <f t="shared" si="1"/>
        <v>0</v>
      </c>
      <c r="E30" s="210">
        <f t="shared" si="1"/>
        <v>0</v>
      </c>
      <c r="F30" s="210">
        <f t="shared" si="1"/>
        <v>0</v>
      </c>
      <c r="G30" s="210">
        <f t="shared" si="1"/>
        <v>15590204.440677959</v>
      </c>
      <c r="H30" s="210">
        <f t="shared" si="1"/>
        <v>0</v>
      </c>
      <c r="I30" s="210">
        <f t="shared" si="1"/>
        <v>54189324.530338988</v>
      </c>
      <c r="J30" s="210">
        <f t="shared" si="1"/>
        <v>410000</v>
      </c>
      <c r="K30" s="210">
        <f t="shared" si="1"/>
        <v>13324441</v>
      </c>
      <c r="L30" s="210">
        <f t="shared" si="1"/>
        <v>3210000</v>
      </c>
      <c r="M30" s="210">
        <f t="shared" si="1"/>
        <v>142568038.56423724</v>
      </c>
    </row>
    <row r="31" spans="1:13" ht="15.6" x14ac:dyDescent="0.3">
      <c r="A31" s="222" t="str">
        <f t="shared" si="1"/>
        <v>Fixed Wireless Internet</v>
      </c>
      <c r="B31" s="210">
        <f t="shared" si="1"/>
        <v>212000</v>
      </c>
      <c r="C31" s="210">
        <f t="shared" si="1"/>
        <v>750000</v>
      </c>
      <c r="D31" s="210">
        <f t="shared" si="1"/>
        <v>0</v>
      </c>
      <c r="E31" s="210">
        <f t="shared" si="1"/>
        <v>0</v>
      </c>
      <c r="F31" s="210">
        <f t="shared" si="1"/>
        <v>0</v>
      </c>
      <c r="G31" s="210">
        <f t="shared" si="1"/>
        <v>245000</v>
      </c>
      <c r="H31" s="210">
        <f t="shared" si="1"/>
        <v>0</v>
      </c>
      <c r="I31" s="210">
        <f t="shared" si="1"/>
        <v>861441.42864406784</v>
      </c>
      <c r="J31" s="210">
        <f t="shared" si="1"/>
        <v>245000</v>
      </c>
      <c r="K31" s="210">
        <f t="shared" si="1"/>
        <v>0</v>
      </c>
      <c r="L31" s="210">
        <f t="shared" si="1"/>
        <v>30296609.932203382</v>
      </c>
      <c r="M31" s="210">
        <f t="shared" si="1"/>
        <v>32610051.360847451</v>
      </c>
    </row>
    <row r="32" spans="1:13" ht="15.6" x14ac:dyDescent="0.3">
      <c r="A32" s="222" t="str">
        <f t="shared" si="1"/>
        <v>Flex Faiba</v>
      </c>
      <c r="B32" s="210">
        <f t="shared" si="1"/>
        <v>0</v>
      </c>
      <c r="C32" s="210">
        <f t="shared" si="1"/>
        <v>101694.91525423729</v>
      </c>
      <c r="D32" s="210">
        <f t="shared" si="1"/>
        <v>0</v>
      </c>
      <c r="E32" s="210">
        <f t="shared" si="1"/>
        <v>228813</v>
      </c>
      <c r="F32" s="210">
        <f t="shared" si="1"/>
        <v>0</v>
      </c>
      <c r="G32" s="210">
        <f t="shared" si="1"/>
        <v>0</v>
      </c>
      <c r="H32" s="210">
        <f t="shared" si="1"/>
        <v>0</v>
      </c>
      <c r="I32" s="210">
        <f t="shared" si="1"/>
        <v>0</v>
      </c>
      <c r="J32" s="210">
        <f t="shared" si="1"/>
        <v>0</v>
      </c>
      <c r="K32" s="210">
        <f t="shared" si="1"/>
        <v>0</v>
      </c>
      <c r="L32" s="210">
        <f t="shared" si="1"/>
        <v>144067.79661016949</v>
      </c>
      <c r="M32" s="210">
        <f t="shared" si="1"/>
        <v>474575.71186440683</v>
      </c>
    </row>
    <row r="33" spans="1:13" ht="15.6" x14ac:dyDescent="0.3">
      <c r="A33" s="222" t="str">
        <f t="shared" si="1"/>
        <v>Local Content</v>
      </c>
      <c r="B33" s="210">
        <f t="shared" si="1"/>
        <v>434658</v>
      </c>
      <c r="C33" s="210">
        <f t="shared" si="1"/>
        <v>0</v>
      </c>
      <c r="D33" s="210">
        <f t="shared" si="1"/>
        <v>0</v>
      </c>
      <c r="E33" s="210">
        <f t="shared" si="1"/>
        <v>0</v>
      </c>
      <c r="F33" s="210">
        <f t="shared" si="1"/>
        <v>0</v>
      </c>
      <c r="G33" s="210">
        <f t="shared" si="1"/>
        <v>0</v>
      </c>
      <c r="H33" s="210">
        <f t="shared" si="1"/>
        <v>0</v>
      </c>
      <c r="I33" s="210">
        <f t="shared" si="1"/>
        <v>0</v>
      </c>
      <c r="J33" s="210">
        <f t="shared" si="1"/>
        <v>0</v>
      </c>
      <c r="K33" s="210">
        <f t="shared" si="1"/>
        <v>0</v>
      </c>
      <c r="L33" s="210">
        <f t="shared" si="1"/>
        <v>0</v>
      </c>
      <c r="M33" s="210">
        <f t="shared" si="1"/>
        <v>434658</v>
      </c>
    </row>
    <row r="34" spans="1:13" ht="15.6" x14ac:dyDescent="0.3">
      <c r="A34" s="222" t="str">
        <f t="shared" si="1"/>
        <v>Local Transport</v>
      </c>
      <c r="B34" s="210">
        <f t="shared" si="1"/>
        <v>13926990</v>
      </c>
      <c r="C34" s="210">
        <f t="shared" si="1"/>
        <v>0</v>
      </c>
      <c r="D34" s="210">
        <f t="shared" si="1"/>
        <v>0</v>
      </c>
      <c r="E34" s="210">
        <f t="shared" si="1"/>
        <v>0</v>
      </c>
      <c r="F34" s="210">
        <f t="shared" si="1"/>
        <v>0</v>
      </c>
      <c r="G34" s="210">
        <f t="shared" si="1"/>
        <v>0</v>
      </c>
      <c r="H34" s="210">
        <f t="shared" si="1"/>
        <v>0</v>
      </c>
      <c r="I34" s="210">
        <f t="shared" si="1"/>
        <v>0</v>
      </c>
      <c r="J34" s="210">
        <f t="shared" si="1"/>
        <v>0</v>
      </c>
      <c r="K34" s="210">
        <f t="shared" si="1"/>
        <v>0</v>
      </c>
      <c r="L34" s="210">
        <f t="shared" si="1"/>
        <v>0</v>
      </c>
      <c r="M34" s="210">
        <f t="shared" si="1"/>
        <v>13926990</v>
      </c>
    </row>
    <row r="35" spans="1:13" ht="15.6" x14ac:dyDescent="0.3">
      <c r="A35" s="222" t="str">
        <f t="shared" si="1"/>
        <v>Managed Security Services</v>
      </c>
      <c r="B35" s="210">
        <f t="shared" si="1"/>
        <v>12323290.847457629</v>
      </c>
      <c r="C35" s="210">
        <f t="shared" si="1"/>
        <v>941916.8</v>
      </c>
      <c r="D35" s="210">
        <f t="shared" si="1"/>
        <v>0</v>
      </c>
      <c r="E35" s="210">
        <f t="shared" si="1"/>
        <v>0</v>
      </c>
      <c r="F35" s="210">
        <f t="shared" si="1"/>
        <v>1478575</v>
      </c>
      <c r="G35" s="210">
        <f t="shared" si="1"/>
        <v>4382289.8237288129</v>
      </c>
      <c r="H35" s="210">
        <f t="shared" si="1"/>
        <v>0</v>
      </c>
      <c r="I35" s="210">
        <f t="shared" si="1"/>
        <v>4887358.8599999994</v>
      </c>
      <c r="J35" s="210">
        <f t="shared" si="1"/>
        <v>9830767.1257618982</v>
      </c>
      <c r="K35" s="210">
        <f t="shared" si="1"/>
        <v>15508934.783728998</v>
      </c>
      <c r="L35" s="210">
        <f t="shared" si="1"/>
        <v>15094167.203389831</v>
      </c>
      <c r="M35" s="210">
        <f t="shared" si="1"/>
        <v>64447300.444067173</v>
      </c>
    </row>
    <row r="36" spans="1:13" ht="15.6" x14ac:dyDescent="0.3">
      <c r="A36" s="222" t="str">
        <f t="shared" si="1"/>
        <v>Projects</v>
      </c>
      <c r="B36" s="210">
        <f t="shared" si="1"/>
        <v>1367570</v>
      </c>
      <c r="C36" s="210">
        <f t="shared" si="1"/>
        <v>0</v>
      </c>
      <c r="D36" s="210">
        <f t="shared" si="1"/>
        <v>0</v>
      </c>
      <c r="E36" s="210">
        <f t="shared" si="1"/>
        <v>0</v>
      </c>
      <c r="F36" s="210">
        <f t="shared" si="1"/>
        <v>0</v>
      </c>
      <c r="G36" s="210">
        <f t="shared" si="1"/>
        <v>0</v>
      </c>
      <c r="H36" s="210">
        <f t="shared" si="1"/>
        <v>0</v>
      </c>
      <c r="I36" s="210">
        <f t="shared" si="1"/>
        <v>0</v>
      </c>
      <c r="J36" s="210">
        <f t="shared" si="1"/>
        <v>0</v>
      </c>
      <c r="K36" s="210">
        <f t="shared" si="1"/>
        <v>0</v>
      </c>
      <c r="L36" s="210">
        <f t="shared" si="1"/>
        <v>3069083</v>
      </c>
      <c r="M36" s="210">
        <f t="shared" si="1"/>
        <v>4436653</v>
      </c>
    </row>
    <row r="37" spans="1:13" ht="15.6" x14ac:dyDescent="0.3">
      <c r="A37" s="222" t="str">
        <f t="shared" si="1"/>
        <v>Video Conferencing Services</v>
      </c>
      <c r="B37" s="210">
        <f t="shared" si="1"/>
        <v>774134.83050847461</v>
      </c>
      <c r="C37" s="210">
        <f t="shared" si="1"/>
        <v>258044.9152542373</v>
      </c>
      <c r="D37" s="210">
        <f t="shared" si="1"/>
        <v>0</v>
      </c>
      <c r="E37" s="210">
        <f t="shared" si="1"/>
        <v>0</v>
      </c>
      <c r="F37" s="210">
        <f t="shared" si="1"/>
        <v>0</v>
      </c>
      <c r="G37" s="210">
        <f t="shared" si="1"/>
        <v>774134.84000000008</v>
      </c>
      <c r="H37" s="210">
        <f t="shared" si="1"/>
        <v>0</v>
      </c>
      <c r="I37" s="210">
        <f t="shared" si="1"/>
        <v>3096540.0399999996</v>
      </c>
      <c r="J37" s="210">
        <f t="shared" si="1"/>
        <v>7741475.6652542362</v>
      </c>
      <c r="K37" s="210">
        <f t="shared" si="1"/>
        <v>2322404.52</v>
      </c>
      <c r="L37" s="210">
        <f t="shared" si="1"/>
        <v>3096539.9152542371</v>
      </c>
      <c r="M37" s="210">
        <f t="shared" si="1"/>
        <v>18063274.726271182</v>
      </c>
    </row>
    <row r="38" spans="1:13" ht="15.6" x14ac:dyDescent="0.3">
      <c r="A38" s="222" t="str">
        <f t="shared" si="1"/>
        <v>VOIP</v>
      </c>
      <c r="B38" s="210">
        <f t="shared" si="1"/>
        <v>755042.37288135593</v>
      </c>
      <c r="C38" s="210">
        <f t="shared" si="1"/>
        <v>60000</v>
      </c>
      <c r="D38" s="210">
        <f t="shared" si="1"/>
        <v>0</v>
      </c>
      <c r="E38" s="210">
        <f t="shared" si="1"/>
        <v>0</v>
      </c>
      <c r="F38" s="210">
        <f t="shared" si="1"/>
        <v>0</v>
      </c>
      <c r="G38" s="210">
        <f t="shared" si="1"/>
        <v>390000</v>
      </c>
      <c r="H38" s="210">
        <f t="shared" si="1"/>
        <v>0</v>
      </c>
      <c r="I38" s="210">
        <f t="shared" si="1"/>
        <v>0</v>
      </c>
      <c r="J38" s="210">
        <f t="shared" si="1"/>
        <v>189000</v>
      </c>
      <c r="K38" s="210">
        <f t="shared" si="1"/>
        <v>1056000</v>
      </c>
      <c r="L38" s="210">
        <f t="shared" si="1"/>
        <v>60000</v>
      </c>
      <c r="M38" s="210">
        <f t="shared" si="1"/>
        <v>2510042.3728813557</v>
      </c>
    </row>
    <row r="39" spans="1:13" ht="15.6" x14ac:dyDescent="0.3">
      <c r="A39" s="223" t="str">
        <f>A19</f>
        <v>VSAT</v>
      </c>
      <c r="B39" s="210">
        <f t="shared" ref="B39:M39" si="2">B19</f>
        <v>115048203.13559322</v>
      </c>
      <c r="C39" s="210">
        <f t="shared" si="2"/>
        <v>8841723</v>
      </c>
      <c r="D39" s="210">
        <f t="shared" si="2"/>
        <v>0</v>
      </c>
      <c r="E39" s="210">
        <f t="shared" si="2"/>
        <v>0</v>
      </c>
      <c r="F39" s="210">
        <f t="shared" si="2"/>
        <v>0</v>
      </c>
      <c r="G39" s="210">
        <f t="shared" si="2"/>
        <v>0</v>
      </c>
      <c r="H39" s="210">
        <f t="shared" si="2"/>
        <v>0</v>
      </c>
      <c r="I39" s="210">
        <f t="shared" si="2"/>
        <v>0</v>
      </c>
      <c r="J39" s="210">
        <f t="shared" si="2"/>
        <v>0</v>
      </c>
      <c r="K39" s="210">
        <f t="shared" si="2"/>
        <v>5926000</v>
      </c>
      <c r="L39" s="210">
        <f t="shared" si="2"/>
        <v>0</v>
      </c>
      <c r="M39" s="210">
        <f t="shared" si="2"/>
        <v>129815926.13559322</v>
      </c>
    </row>
    <row r="40" spans="1:13" ht="15.6" x14ac:dyDescent="0.3">
      <c r="A40" s="218" t="s">
        <v>3849</v>
      </c>
      <c r="B40" s="219">
        <f t="shared" ref="B40:M40" si="3">B20</f>
        <v>318541702.74028027</v>
      </c>
      <c r="C40" s="219">
        <f t="shared" si="3"/>
        <v>155311854.05245551</v>
      </c>
      <c r="D40" s="219">
        <f t="shared" si="3"/>
        <v>18317807.377628371</v>
      </c>
      <c r="E40" s="219">
        <f t="shared" si="3"/>
        <v>10171324</v>
      </c>
      <c r="F40" s="219">
        <f t="shared" si="3"/>
        <v>44714688.279497236</v>
      </c>
      <c r="G40" s="219">
        <f t="shared" si="3"/>
        <v>224623308.3810848</v>
      </c>
      <c r="H40" s="219">
        <f t="shared" si="3"/>
        <v>25924350</v>
      </c>
      <c r="I40" s="219">
        <f t="shared" si="3"/>
        <v>157436302.38169423</v>
      </c>
      <c r="J40" s="219">
        <f t="shared" si="3"/>
        <v>144026382.28897372</v>
      </c>
      <c r="K40" s="219">
        <f t="shared" si="3"/>
        <v>158514667.42675117</v>
      </c>
      <c r="L40" s="219">
        <f t="shared" si="3"/>
        <v>332459146.36830592</v>
      </c>
      <c r="M40" s="219">
        <f t="shared" si="3"/>
        <v>1590041533.2966714</v>
      </c>
    </row>
    <row r="41" spans="1:13" ht="15.6" x14ac:dyDescent="0.3">
      <c r="A41" s="218" t="s">
        <v>3850</v>
      </c>
      <c r="B41" s="219">
        <f>[1]Omer!$G$61</f>
        <v>388557400.21310252</v>
      </c>
      <c r="C41" s="219">
        <f>[1]Moses!$G$61</f>
        <v>217971979.09209064</v>
      </c>
      <c r="D41" s="219">
        <f>[1]Nadia!$G$61</f>
        <v>21273377.235731944</v>
      </c>
      <c r="E41" s="219">
        <f>[1]Idrissa!$G$61</f>
        <v>21273377.235731944</v>
      </c>
      <c r="F41" s="219">
        <f>[1]Rogers!$G$61</f>
        <v>33782395.853837274</v>
      </c>
      <c r="G41" s="219">
        <f>[1]Patrick!$G$61</f>
        <v>299688367.3570801</v>
      </c>
      <c r="H41" s="219"/>
      <c r="I41" s="219">
        <f>[1]Alphonsine!$G$61</f>
        <v>178875872.9095301</v>
      </c>
      <c r="J41" s="219">
        <f>[1]Jovia!$G$61</f>
        <v>178533104.99813491</v>
      </c>
      <c r="K41" s="219">
        <f>[1]Germain!$G$61</f>
        <v>195929802.80033478</v>
      </c>
      <c r="L41" s="219">
        <f>[1]Thamar!$G$61</f>
        <v>139193503.93607304</v>
      </c>
      <c r="M41" s="229">
        <f>SUM(B41:L41)</f>
        <v>1675079181.6316471</v>
      </c>
    </row>
    <row r="42" spans="1:13" ht="16.2" thickBot="1" x14ac:dyDescent="0.35">
      <c r="A42" s="220" t="s">
        <v>3851</v>
      </c>
      <c r="B42" s="221">
        <f>B40/B41</f>
        <v>0.81980603783527872</v>
      </c>
      <c r="C42" s="221">
        <f t="shared" ref="C42:M42" si="4">C40/C41</f>
        <v>0.71253128360521079</v>
      </c>
      <c r="D42" s="221">
        <f t="shared" si="4"/>
        <v>0.86106720031555528</v>
      </c>
      <c r="E42" s="221">
        <f t="shared" si="4"/>
        <v>0.47812455386329916</v>
      </c>
      <c r="F42" s="221">
        <f t="shared" si="4"/>
        <v>1.3236091505457326</v>
      </c>
      <c r="G42" s="221">
        <f t="shared" si="4"/>
        <v>0.74952294732696467</v>
      </c>
      <c r="H42" s="221"/>
      <c r="I42" s="221">
        <f t="shared" si="4"/>
        <v>0.88014274826946981</v>
      </c>
      <c r="J42" s="221">
        <f t="shared" si="4"/>
        <v>0.8067208728066334</v>
      </c>
      <c r="K42" s="221">
        <f t="shared" si="4"/>
        <v>0.80903805935173589</v>
      </c>
      <c r="L42" s="221">
        <f t="shared" si="4"/>
        <v>2.3884673994627894</v>
      </c>
      <c r="M42" s="221">
        <f t="shared" si="4"/>
        <v>0.94923365458333564</v>
      </c>
    </row>
  </sheetData>
  <conditionalFormatting sqref="B42:M42">
    <cfRule type="cellIs" dxfId="24" priority="1" operator="lessThan">
      <formula>0.75</formula>
    </cfRule>
    <cfRule type="cellIs" dxfId="23" priority="2" operator="greaterThan">
      <formula>0.75</formula>
    </cfRule>
  </conditionalFormatting>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9C380-774B-48F8-AD5A-9249938E2CED}">
  <dimension ref="A1:AC2351"/>
  <sheetViews>
    <sheetView showGridLines="0" zoomScaleNormal="85" workbookViewId="0">
      <pane xSplit="2" ySplit="1" topLeftCell="K746" activePane="bottomRight" state="frozen"/>
      <selection pane="topRight" activeCell="C1" sqref="C1"/>
      <selection pane="bottomLeft" activeCell="A2" sqref="A2"/>
      <selection pane="bottomRight" activeCell="H2321" sqref="H2321"/>
    </sheetView>
  </sheetViews>
  <sheetFormatPr defaultColWidth="9.109375" defaultRowHeight="14.4" x14ac:dyDescent="0.3"/>
  <cols>
    <col min="1" max="1" width="9.109375" style="9" customWidth="1"/>
    <col min="2" max="3" width="38" style="9" customWidth="1"/>
    <col min="4" max="4" width="14.109375" style="9" bestFit="1" customWidth="1"/>
    <col min="5" max="5" width="12.109375" style="9" bestFit="1" customWidth="1"/>
    <col min="6" max="6" width="14.44140625" style="9" bestFit="1" customWidth="1"/>
    <col min="7" max="7" width="21.5546875" style="9" bestFit="1" customWidth="1"/>
    <col min="8" max="8" width="12.109375" style="9" bestFit="1" customWidth="1"/>
    <col min="9" max="9" width="31.88671875" style="9" bestFit="1" customWidth="1"/>
    <col min="10" max="10" width="7.5546875" style="9" bestFit="1" customWidth="1"/>
    <col min="11" max="11" width="29.33203125" style="9" customWidth="1"/>
    <col min="12" max="12" width="16.88671875" style="9" hidden="1" customWidth="1"/>
    <col min="13" max="13" width="14.5546875" style="9" bestFit="1" customWidth="1"/>
    <col min="14" max="14" width="11.88671875" style="9" bestFit="1" customWidth="1"/>
    <col min="15" max="15" width="12.88671875" style="9" bestFit="1" customWidth="1"/>
    <col min="16" max="16" width="12.88671875" style="9" customWidth="1"/>
    <col min="17" max="17" width="15.6640625" style="9" bestFit="1" customWidth="1"/>
    <col min="18" max="18" width="11" style="9" bestFit="1" customWidth="1"/>
    <col min="19" max="20" width="10.88671875" style="9" bestFit="1" customWidth="1"/>
    <col min="21" max="21" width="17.44140625" style="9" bestFit="1" customWidth="1"/>
    <col min="22" max="22" width="18.44140625" style="9" bestFit="1" customWidth="1"/>
    <col min="23" max="23" width="20.109375" style="9" bestFit="1" customWidth="1"/>
    <col min="24" max="24" width="40.88671875" style="9" bestFit="1" customWidth="1"/>
    <col min="25" max="25" width="81.109375" style="9" bestFit="1" customWidth="1"/>
    <col min="26" max="26" width="32.6640625" style="9" bestFit="1" customWidth="1"/>
    <col min="27" max="27" width="31.44140625" style="9" bestFit="1" customWidth="1"/>
    <col min="28" max="28" width="27.6640625" style="9" bestFit="1" customWidth="1"/>
    <col min="29" max="29" width="20.5546875" style="9" bestFit="1" customWidth="1"/>
    <col min="30" max="16384" width="9.109375" style="9"/>
  </cols>
  <sheetData>
    <row r="1" spans="1:29" x14ac:dyDescent="0.3">
      <c r="A1" s="29" t="s">
        <v>489</v>
      </c>
      <c r="B1" s="29" t="s">
        <v>490</v>
      </c>
      <c r="C1" s="29" t="s">
        <v>491</v>
      </c>
      <c r="D1" s="29" t="s">
        <v>492</v>
      </c>
      <c r="E1" s="29" t="s">
        <v>478</v>
      </c>
      <c r="F1" s="29" t="s">
        <v>493</v>
      </c>
      <c r="G1" s="29" t="s">
        <v>494</v>
      </c>
      <c r="H1" s="29" t="s">
        <v>495</v>
      </c>
      <c r="I1" s="29" t="s">
        <v>496</v>
      </c>
      <c r="J1" s="29" t="s">
        <v>482</v>
      </c>
      <c r="K1" s="29" t="s">
        <v>497</v>
      </c>
      <c r="L1" s="29" t="s">
        <v>498</v>
      </c>
      <c r="M1" s="105" t="s">
        <v>3809</v>
      </c>
      <c r="N1" s="106" t="s">
        <v>499</v>
      </c>
      <c r="O1" s="106" t="s">
        <v>500</v>
      </c>
      <c r="P1" s="106" t="s">
        <v>3856</v>
      </c>
      <c r="Q1" s="29" t="s">
        <v>501</v>
      </c>
      <c r="R1" s="104" t="s">
        <v>502</v>
      </c>
      <c r="S1" s="30" t="s">
        <v>503</v>
      </c>
      <c r="T1" s="30" t="s">
        <v>504</v>
      </c>
      <c r="U1" s="30" t="s">
        <v>505</v>
      </c>
      <c r="V1" s="29" t="s">
        <v>506</v>
      </c>
      <c r="W1" s="29" t="s">
        <v>507</v>
      </c>
      <c r="X1" s="29" t="s">
        <v>508</v>
      </c>
      <c r="Y1" s="29" t="s">
        <v>509</v>
      </c>
      <c r="Z1" s="29" t="s">
        <v>510</v>
      </c>
      <c r="AA1" s="31" t="s">
        <v>511</v>
      </c>
      <c r="AB1" s="126" t="s">
        <v>512</v>
      </c>
      <c r="AC1" s="126" t="s">
        <v>513</v>
      </c>
    </row>
    <row r="2" spans="1:29" hidden="1" x14ac:dyDescent="0.3">
      <c r="A2" s="18" t="s">
        <v>514</v>
      </c>
      <c r="B2" s="18" t="s">
        <v>161</v>
      </c>
      <c r="C2" s="18" t="s">
        <v>515</v>
      </c>
      <c r="D2" s="14" t="s">
        <v>516</v>
      </c>
      <c r="E2" s="18" t="s">
        <v>9</v>
      </c>
      <c r="F2" s="14" t="s">
        <v>517</v>
      </c>
      <c r="G2" s="14" t="s">
        <v>518</v>
      </c>
      <c r="H2" s="18" t="s">
        <v>5</v>
      </c>
      <c r="I2" s="14" t="s">
        <v>117</v>
      </c>
      <c r="J2" s="14">
        <v>5</v>
      </c>
      <c r="K2" s="18" t="s">
        <v>519</v>
      </c>
      <c r="L2" s="18"/>
      <c r="M2" s="14">
        <v>1</v>
      </c>
      <c r="N2" s="15">
        <v>270000</v>
      </c>
      <c r="O2" s="15">
        <f t="shared" ref="O2:O65" si="0">N2*M2</f>
        <v>270000</v>
      </c>
      <c r="P2" s="15"/>
      <c r="Q2" s="14" t="s">
        <v>520</v>
      </c>
      <c r="R2" s="25">
        <v>44196</v>
      </c>
      <c r="S2" s="34" t="str">
        <f>TEXT(Table1[[#This Row],[End Date]],"MMMM")</f>
        <v>December</v>
      </c>
      <c r="T2" s="34" t="str">
        <f>TEXT(Table1[[#This Row],[End Date]],"YYYY")</f>
        <v>2020</v>
      </c>
      <c r="U2" s="24">
        <f t="shared" ref="U2:U65" ca="1" si="1">TODAY()-R2</f>
        <v>937</v>
      </c>
      <c r="V2" s="14" t="str" cm="1">
        <f t="array" aca="1" ref="V2" ca="1">_xlfn.IFS(Table1[[#This Row],[Agreement Days]]&gt;=0,"Expired",Table1[[#This Row],[Agreement Days]]&gt;=-30,"Expires &lt; 30 Days",Table1[[#This Row],[Agreement Days]]&gt;=-60,"Expires &lt; 60 Days",Table1[[#This Row],[Agreement Days]]&lt;-60,"Valid Contract")</f>
        <v>Expired</v>
      </c>
      <c r="W2" s="18" t="s">
        <v>18</v>
      </c>
      <c r="X2" s="18" t="s">
        <v>521</v>
      </c>
      <c r="Y2" s="35" t="s">
        <v>522</v>
      </c>
      <c r="Z2" s="36" t="s">
        <v>523</v>
      </c>
      <c r="AA2" s="36"/>
      <c r="AB2" s="116"/>
      <c r="AC2" s="116"/>
    </row>
    <row r="3" spans="1:29" hidden="1" x14ac:dyDescent="0.3">
      <c r="A3" s="18" t="s">
        <v>524</v>
      </c>
      <c r="B3" s="18" t="s">
        <v>132</v>
      </c>
      <c r="C3" s="18" t="s">
        <v>525</v>
      </c>
      <c r="D3" s="14" t="s">
        <v>526</v>
      </c>
      <c r="E3" s="18" t="s">
        <v>10</v>
      </c>
      <c r="F3" s="14" t="s">
        <v>527</v>
      </c>
      <c r="G3" s="14" t="s">
        <v>518</v>
      </c>
      <c r="H3" s="18" t="s">
        <v>2</v>
      </c>
      <c r="I3" s="14" t="s">
        <v>123</v>
      </c>
      <c r="J3" s="18"/>
      <c r="K3" s="18" t="s">
        <v>528</v>
      </c>
      <c r="L3" s="14"/>
      <c r="M3" s="14">
        <v>1</v>
      </c>
      <c r="N3" s="15">
        <f>(600*1087)/1.18</f>
        <v>552711.86440677964</v>
      </c>
      <c r="O3" s="15">
        <f t="shared" si="0"/>
        <v>552711.86440677964</v>
      </c>
      <c r="P3" s="15"/>
      <c r="Q3" s="14" t="s">
        <v>520</v>
      </c>
      <c r="R3" s="25">
        <v>44742</v>
      </c>
      <c r="S3" s="34" t="str">
        <f>TEXT(Table1[[#This Row],[End Date]],"MMMM")</f>
        <v>June</v>
      </c>
      <c r="T3" s="34" t="str">
        <f>TEXT(Table1[[#This Row],[End Date]],"YYYY")</f>
        <v>2022</v>
      </c>
      <c r="U3" s="24">
        <f t="shared" ca="1" si="1"/>
        <v>391</v>
      </c>
      <c r="V3" s="14" t="str" cm="1">
        <f t="array" aca="1" ref="V3" ca="1">_xlfn.IFS(Table1[[#This Row],[Agreement Days]]&gt;=0,"Expired",Table1[[#This Row],[Agreement Days]]&gt;=-30,"Expires &lt; 30 Days",Table1[[#This Row],[Agreement Days]]&gt;=-60,"Expires &lt; 60 Days",Table1[[#This Row],[Agreement Days]]&lt;-60,"Valid Contract")</f>
        <v>Expired</v>
      </c>
      <c r="W3" s="18" t="s">
        <v>18</v>
      </c>
      <c r="X3" s="18" t="s">
        <v>529</v>
      </c>
      <c r="Y3" s="35" t="s">
        <v>530</v>
      </c>
      <c r="Z3" s="36" t="s">
        <v>531</v>
      </c>
      <c r="AA3" s="36"/>
      <c r="AB3" s="117"/>
      <c r="AC3" s="117"/>
    </row>
    <row r="4" spans="1:29" s="37" customFormat="1" hidden="1" x14ac:dyDescent="0.3">
      <c r="A4" s="18" t="s">
        <v>524</v>
      </c>
      <c r="B4" s="18" t="s">
        <v>132</v>
      </c>
      <c r="C4" s="18" t="s">
        <v>525</v>
      </c>
      <c r="D4" s="14" t="s">
        <v>532</v>
      </c>
      <c r="E4" s="18" t="s">
        <v>10</v>
      </c>
      <c r="F4" s="14" t="s">
        <v>527</v>
      </c>
      <c r="G4" s="14" t="s">
        <v>518</v>
      </c>
      <c r="H4" s="18" t="s">
        <v>2</v>
      </c>
      <c r="I4" s="14" t="s">
        <v>116</v>
      </c>
      <c r="J4" s="18"/>
      <c r="K4" s="18" t="s">
        <v>533</v>
      </c>
      <c r="L4" s="14">
        <v>94.6</v>
      </c>
      <c r="M4" s="14">
        <v>1</v>
      </c>
      <c r="N4" s="15">
        <f>(2566*1087)/1.18</f>
        <v>2363764.4067796613</v>
      </c>
      <c r="O4" s="15">
        <f t="shared" si="0"/>
        <v>2363764.4067796613</v>
      </c>
      <c r="P4" s="15"/>
      <c r="Q4" s="14" t="s">
        <v>520</v>
      </c>
      <c r="R4" s="25">
        <v>44742</v>
      </c>
      <c r="S4" s="34" t="str">
        <f>TEXT(Table1[[#This Row],[End Date]],"MMMM")</f>
        <v>June</v>
      </c>
      <c r="T4" s="34" t="str">
        <f>TEXT(Table1[[#This Row],[End Date]],"YYYY")</f>
        <v>2022</v>
      </c>
      <c r="U4" s="24">
        <f t="shared" ca="1" si="1"/>
        <v>391</v>
      </c>
      <c r="V4" s="14" t="str" cm="1">
        <f t="array" aca="1" ref="V4" ca="1">_xlfn.IFS(Table1[[#This Row],[Agreement Days]]&gt;=0,"Expired",Table1[[#This Row],[Agreement Days]]&gt;=-30,"Expires &lt; 30 Days",Table1[[#This Row],[Agreement Days]]&gt;=-60,"Expires &lt; 60 Days",Table1[[#This Row],[Agreement Days]]&lt;-60,"Valid Contract")</f>
        <v>Expired</v>
      </c>
      <c r="W4" s="18" t="s">
        <v>18</v>
      </c>
      <c r="X4" s="18" t="s">
        <v>529</v>
      </c>
      <c r="Y4" s="35" t="s">
        <v>530</v>
      </c>
      <c r="Z4" s="36" t="s">
        <v>531</v>
      </c>
      <c r="AA4" s="36"/>
      <c r="AB4" s="116"/>
      <c r="AC4" s="116"/>
    </row>
    <row r="5" spans="1:29" x14ac:dyDescent="0.3">
      <c r="A5" s="18" t="s">
        <v>534</v>
      </c>
      <c r="B5" s="18" t="s">
        <v>5</v>
      </c>
      <c r="C5" s="18" t="s">
        <v>535</v>
      </c>
      <c r="D5" s="14" t="s">
        <v>532</v>
      </c>
      <c r="E5" s="18" t="s">
        <v>10</v>
      </c>
      <c r="F5" s="14" t="s">
        <v>527</v>
      </c>
      <c r="G5" s="14" t="s">
        <v>518</v>
      </c>
      <c r="H5" s="18" t="s">
        <v>3</v>
      </c>
      <c r="I5" s="14" t="s">
        <v>116</v>
      </c>
      <c r="J5" s="14"/>
      <c r="K5" s="14" t="s">
        <v>533</v>
      </c>
      <c r="L5" s="14">
        <v>19.600000000000001</v>
      </c>
      <c r="M5" s="14">
        <v>1</v>
      </c>
      <c r="N5" s="15">
        <v>1220000</v>
      </c>
      <c r="O5" s="15">
        <f t="shared" si="0"/>
        <v>1220000</v>
      </c>
      <c r="P5" s="15"/>
      <c r="Q5" s="14" t="s">
        <v>520</v>
      </c>
      <c r="R5" s="32">
        <v>44756</v>
      </c>
      <c r="S5" s="22" t="str">
        <f>TEXT(Table1[[#This Row],[End Date]],"MMMM")</f>
        <v>July</v>
      </c>
      <c r="T5" s="22" t="str">
        <f>TEXT(Table1[[#This Row],[End Date]],"YYYY")</f>
        <v>2022</v>
      </c>
      <c r="U5" s="24">
        <f t="shared" ca="1" si="1"/>
        <v>377</v>
      </c>
      <c r="V5" s="14" t="str" cm="1">
        <f t="array" aca="1" ref="V5" ca="1">_xlfn.IFS(Table1[[#This Row],[Agreement Days]]&gt;=0,"Expired",Table1[[#This Row],[Agreement Days]]&gt;=-30,"Expires &lt; 30 Days",Table1[[#This Row],[Agreement Days]]&gt;=-60,"Expires &lt; 60 Days",Table1[[#This Row],[Agreement Days]]&lt;-60,"Valid Contract")</f>
        <v>Expired</v>
      </c>
      <c r="W5" s="14" t="s">
        <v>12</v>
      </c>
      <c r="X5" s="14" t="s">
        <v>536</v>
      </c>
      <c r="Y5" s="16" t="s">
        <v>537</v>
      </c>
      <c r="Z5" s="17" t="s">
        <v>538</v>
      </c>
      <c r="AA5" s="17"/>
      <c r="AB5" s="116"/>
      <c r="AC5" s="116"/>
    </row>
    <row r="6" spans="1:29" x14ac:dyDescent="0.3">
      <c r="A6" s="18" t="s">
        <v>534</v>
      </c>
      <c r="B6" s="18" t="s">
        <v>5</v>
      </c>
      <c r="C6" s="18" t="s">
        <v>539</v>
      </c>
      <c r="D6" s="14" t="s">
        <v>540</v>
      </c>
      <c r="E6" s="18" t="s">
        <v>10</v>
      </c>
      <c r="F6" s="14" t="s">
        <v>527</v>
      </c>
      <c r="G6" s="14" t="s">
        <v>518</v>
      </c>
      <c r="H6" s="18" t="s">
        <v>3</v>
      </c>
      <c r="I6" s="14" t="s">
        <v>116</v>
      </c>
      <c r="J6" s="14"/>
      <c r="K6" s="14" t="s">
        <v>533</v>
      </c>
      <c r="L6" s="14">
        <v>50</v>
      </c>
      <c r="M6" s="14">
        <v>1</v>
      </c>
      <c r="N6" s="15">
        <v>2428000</v>
      </c>
      <c r="O6" s="15">
        <f t="shared" si="0"/>
        <v>2428000</v>
      </c>
      <c r="P6" s="15"/>
      <c r="Q6" s="14" t="s">
        <v>520</v>
      </c>
      <c r="R6" s="32">
        <v>44756</v>
      </c>
      <c r="S6" s="22" t="str">
        <f>TEXT(Table1[[#This Row],[End Date]],"MMMM")</f>
        <v>July</v>
      </c>
      <c r="T6" s="22" t="str">
        <f>TEXT(Table1[[#This Row],[End Date]],"YYYY")</f>
        <v>2022</v>
      </c>
      <c r="U6" s="24">
        <f t="shared" ca="1" si="1"/>
        <v>377</v>
      </c>
      <c r="V6" s="14" t="str" cm="1">
        <f t="array" aca="1" ref="V6" ca="1">_xlfn.IFS(Table1[[#This Row],[Agreement Days]]&gt;=0,"Expired",Table1[[#This Row],[Agreement Days]]&gt;=-30,"Expires &lt; 30 Days",Table1[[#This Row],[Agreement Days]]&gt;=-60,"Expires &lt; 60 Days",Table1[[#This Row],[Agreement Days]]&lt;-60,"Valid Contract")</f>
        <v>Expired</v>
      </c>
      <c r="W6" s="14" t="s">
        <v>12</v>
      </c>
      <c r="X6" s="14" t="s">
        <v>536</v>
      </c>
      <c r="Y6" s="16" t="s">
        <v>537</v>
      </c>
      <c r="Z6" s="17" t="s">
        <v>538</v>
      </c>
      <c r="AA6" s="17"/>
      <c r="AB6" s="116"/>
      <c r="AC6" s="116"/>
    </row>
    <row r="7" spans="1:29" x14ac:dyDescent="0.3">
      <c r="A7" s="18" t="s">
        <v>534</v>
      </c>
      <c r="B7" s="18" t="s">
        <v>5</v>
      </c>
      <c r="C7" s="18" t="s">
        <v>541</v>
      </c>
      <c r="D7" s="14" t="s">
        <v>542</v>
      </c>
      <c r="E7" s="18" t="s">
        <v>10</v>
      </c>
      <c r="F7" s="14" t="s">
        <v>527</v>
      </c>
      <c r="G7" s="14" t="s">
        <v>518</v>
      </c>
      <c r="H7" s="18" t="s">
        <v>3</v>
      </c>
      <c r="I7" s="14" t="s">
        <v>116</v>
      </c>
      <c r="J7" s="14"/>
      <c r="K7" s="14" t="s">
        <v>533</v>
      </c>
      <c r="L7" s="14">
        <v>24.4</v>
      </c>
      <c r="M7" s="14">
        <v>1</v>
      </c>
      <c r="N7" s="15">
        <v>980000</v>
      </c>
      <c r="O7" s="15">
        <f t="shared" si="0"/>
        <v>980000</v>
      </c>
      <c r="P7" s="15"/>
      <c r="Q7" s="14" t="s">
        <v>520</v>
      </c>
      <c r="R7" s="32">
        <v>44756</v>
      </c>
      <c r="S7" s="22" t="str">
        <f>TEXT(Table1[[#This Row],[End Date]],"MMMM")</f>
        <v>July</v>
      </c>
      <c r="T7" s="22" t="str">
        <f>TEXT(Table1[[#This Row],[End Date]],"YYYY")</f>
        <v>2022</v>
      </c>
      <c r="U7" s="24">
        <f t="shared" ca="1" si="1"/>
        <v>377</v>
      </c>
      <c r="V7" s="14" t="str" cm="1">
        <f t="array" aca="1" ref="V7" ca="1">_xlfn.IFS(Table1[[#This Row],[Agreement Days]]&gt;=0,"Expired",Table1[[#This Row],[Agreement Days]]&gt;=-30,"Expires &lt; 30 Days",Table1[[#This Row],[Agreement Days]]&gt;=-60,"Expires &lt; 60 Days",Table1[[#This Row],[Agreement Days]]&lt;-60,"Valid Contract")</f>
        <v>Expired</v>
      </c>
      <c r="W7" s="14" t="s">
        <v>12</v>
      </c>
      <c r="X7" s="14" t="s">
        <v>536</v>
      </c>
      <c r="Y7" s="16" t="s">
        <v>537</v>
      </c>
      <c r="Z7" s="17" t="s">
        <v>538</v>
      </c>
      <c r="AA7" s="17"/>
      <c r="AB7" s="116"/>
      <c r="AC7" s="116"/>
    </row>
    <row r="8" spans="1:29" hidden="1" x14ac:dyDescent="0.3">
      <c r="A8" s="18" t="s">
        <v>543</v>
      </c>
      <c r="B8" s="18" t="s">
        <v>265</v>
      </c>
      <c r="C8" s="18" t="s">
        <v>544</v>
      </c>
      <c r="D8" s="14" t="s">
        <v>545</v>
      </c>
      <c r="E8" s="18" t="s">
        <v>9</v>
      </c>
      <c r="F8" s="14" t="s">
        <v>527</v>
      </c>
      <c r="G8" s="14" t="s">
        <v>546</v>
      </c>
      <c r="H8" s="18" t="s">
        <v>2</v>
      </c>
      <c r="I8" s="14" t="s">
        <v>117</v>
      </c>
      <c r="J8" s="14">
        <v>10</v>
      </c>
      <c r="K8" s="18" t="s">
        <v>547</v>
      </c>
      <c r="L8" s="18"/>
      <c r="M8" s="14">
        <v>1</v>
      </c>
      <c r="N8" s="15">
        <v>510000</v>
      </c>
      <c r="O8" s="15">
        <f t="shared" si="0"/>
        <v>510000</v>
      </c>
      <c r="P8" s="15"/>
      <c r="Q8" s="14" t="s">
        <v>520</v>
      </c>
      <c r="R8" s="25">
        <v>44804</v>
      </c>
      <c r="S8" s="34" t="str">
        <f>TEXT(Table1[[#This Row],[End Date]],"MMMM")</f>
        <v>August</v>
      </c>
      <c r="T8" s="34" t="str">
        <f>TEXT(Table1[[#This Row],[End Date]],"YYYY")</f>
        <v>2022</v>
      </c>
      <c r="U8" s="24">
        <f t="shared" ca="1" si="1"/>
        <v>329</v>
      </c>
      <c r="V8" s="14" t="str" cm="1">
        <f t="array" aca="1" ref="V8" ca="1">_xlfn.IFS(Table1[[#This Row],[Agreement Days]]&gt;=0,"Expired",Table1[[#This Row],[Agreement Days]]&gt;=-30,"Expires &lt; 30 Days",Table1[[#This Row],[Agreement Days]]&gt;=-60,"Expires &lt; 60 Days",Table1[[#This Row],[Agreement Days]]&lt;-60,"Valid Contract")</f>
        <v>Expired</v>
      </c>
      <c r="W8" s="18" t="s">
        <v>18</v>
      </c>
      <c r="X8" s="18" t="s">
        <v>548</v>
      </c>
      <c r="Y8" s="35" t="s">
        <v>549</v>
      </c>
      <c r="Z8" s="36" t="s">
        <v>550</v>
      </c>
      <c r="AA8" s="36"/>
      <c r="AB8" s="116"/>
      <c r="AC8" s="116"/>
    </row>
    <row r="9" spans="1:29" hidden="1" x14ac:dyDescent="0.3">
      <c r="A9" s="18" t="s">
        <v>543</v>
      </c>
      <c r="B9" s="18" t="s">
        <v>265</v>
      </c>
      <c r="C9" s="18" t="s">
        <v>544</v>
      </c>
      <c r="D9" s="14" t="s">
        <v>545</v>
      </c>
      <c r="E9" s="18" t="s">
        <v>9</v>
      </c>
      <c r="F9" s="14" t="s">
        <v>527</v>
      </c>
      <c r="G9" s="14" t="s">
        <v>546</v>
      </c>
      <c r="H9" s="18" t="s">
        <v>2</v>
      </c>
      <c r="I9" s="14" t="s">
        <v>123</v>
      </c>
      <c r="J9" s="18"/>
      <c r="K9" s="18" t="s">
        <v>551</v>
      </c>
      <c r="L9" s="18"/>
      <c r="M9" s="14">
        <v>1</v>
      </c>
      <c r="N9" s="15">
        <v>918000</v>
      </c>
      <c r="O9" s="15">
        <f t="shared" si="0"/>
        <v>918000</v>
      </c>
      <c r="P9" s="15"/>
      <c r="Q9" s="14" t="s">
        <v>520</v>
      </c>
      <c r="R9" s="25">
        <v>44804</v>
      </c>
      <c r="S9" s="34" t="str">
        <f>TEXT(Table1[[#This Row],[End Date]],"MMMM")</f>
        <v>August</v>
      </c>
      <c r="T9" s="34" t="str">
        <f>TEXT(Table1[[#This Row],[End Date]],"YYYY")</f>
        <v>2022</v>
      </c>
      <c r="U9" s="24">
        <f t="shared" ca="1" si="1"/>
        <v>329</v>
      </c>
      <c r="V9" s="14" t="str" cm="1">
        <f t="array" aca="1" ref="V9" ca="1">_xlfn.IFS(Table1[[#This Row],[Agreement Days]]&gt;=0,"Expired",Table1[[#This Row],[Agreement Days]]&gt;=-30,"Expires &lt; 30 Days",Table1[[#This Row],[Agreement Days]]&gt;=-60,"Expires &lt; 60 Days",Table1[[#This Row],[Agreement Days]]&lt;-60,"Valid Contract")</f>
        <v>Expired</v>
      </c>
      <c r="W9" s="18" t="s">
        <v>18</v>
      </c>
      <c r="X9" s="18" t="s">
        <v>548</v>
      </c>
      <c r="Y9" s="35" t="s">
        <v>549</v>
      </c>
      <c r="Z9" s="36" t="s">
        <v>550</v>
      </c>
      <c r="AA9" s="36"/>
      <c r="AB9" s="116"/>
      <c r="AC9" s="116"/>
    </row>
    <row r="10" spans="1:29" hidden="1" x14ac:dyDescent="0.3">
      <c r="A10" s="18" t="s">
        <v>552</v>
      </c>
      <c r="B10" s="18" t="s">
        <v>226</v>
      </c>
      <c r="C10" s="18" t="s">
        <v>553</v>
      </c>
      <c r="D10" s="14" t="s">
        <v>545</v>
      </c>
      <c r="E10" s="18" t="s">
        <v>9</v>
      </c>
      <c r="F10" s="14" t="s">
        <v>517</v>
      </c>
      <c r="G10" s="14" t="s">
        <v>518</v>
      </c>
      <c r="H10" s="18" t="s">
        <v>2</v>
      </c>
      <c r="I10" s="14" t="s">
        <v>131</v>
      </c>
      <c r="J10" s="14"/>
      <c r="K10" s="14" t="s">
        <v>554</v>
      </c>
      <c r="L10" s="14"/>
      <c r="M10" s="14">
        <v>1</v>
      </c>
      <c r="N10" s="15">
        <v>189000</v>
      </c>
      <c r="O10" s="15">
        <f t="shared" si="0"/>
        <v>189000</v>
      </c>
      <c r="P10" s="15"/>
      <c r="Q10" s="14" t="s">
        <v>520</v>
      </c>
      <c r="R10" s="32">
        <v>44834</v>
      </c>
      <c r="S10" s="22" t="str">
        <f>TEXT(Table1[[#This Row],[End Date]],"MMMM")</f>
        <v>September</v>
      </c>
      <c r="T10" s="22" t="str">
        <f>TEXT(Table1[[#This Row],[End Date]],"YYYY")</f>
        <v>2022</v>
      </c>
      <c r="U10" s="24">
        <f t="shared" ca="1" si="1"/>
        <v>299</v>
      </c>
      <c r="V10" s="14" t="str" cm="1">
        <f t="array" aca="1" ref="V10" ca="1">_xlfn.IFS(Table1[[#This Row],[Agreement Days]]&gt;=0,"Expired",Table1[[#This Row],[Agreement Days]]&gt;=-30,"Expires &lt; 30 Days",Table1[[#This Row],[Agreement Days]]&gt;=-60,"Expires &lt; 60 Days",Table1[[#This Row],[Agreement Days]]&lt;-60,"Valid Contract")</f>
        <v>Expired</v>
      </c>
      <c r="W10" s="14" t="s">
        <v>20</v>
      </c>
      <c r="X10" s="14" t="s">
        <v>555</v>
      </c>
      <c r="Y10" s="16" t="s">
        <v>556</v>
      </c>
      <c r="Z10" s="17" t="s">
        <v>557</v>
      </c>
      <c r="AA10" s="19"/>
      <c r="AB10" s="116"/>
      <c r="AC10" s="116"/>
    </row>
    <row r="11" spans="1:29" x14ac:dyDescent="0.3">
      <c r="A11" s="18" t="s">
        <v>558</v>
      </c>
      <c r="B11" s="18" t="s">
        <v>410</v>
      </c>
      <c r="C11" s="18" t="s">
        <v>559</v>
      </c>
      <c r="D11" s="14" t="s">
        <v>545</v>
      </c>
      <c r="E11" s="18" t="s">
        <v>10</v>
      </c>
      <c r="F11" s="14" t="s">
        <v>560</v>
      </c>
      <c r="G11" s="14" t="s">
        <v>518</v>
      </c>
      <c r="H11" s="18" t="s">
        <v>2</v>
      </c>
      <c r="I11" s="14" t="s">
        <v>126</v>
      </c>
      <c r="J11" s="14">
        <v>3</v>
      </c>
      <c r="K11" s="14" t="s">
        <v>561</v>
      </c>
      <c r="L11" s="14"/>
      <c r="M11" s="14">
        <v>1</v>
      </c>
      <c r="N11" s="15">
        <v>212000</v>
      </c>
      <c r="O11" s="15">
        <f t="shared" si="0"/>
        <v>212000</v>
      </c>
      <c r="P11" s="15"/>
      <c r="Q11" s="14" t="s">
        <v>520</v>
      </c>
      <c r="R11" s="32">
        <v>44909</v>
      </c>
      <c r="S11" s="22" t="str">
        <f>TEXT(Table1[[#This Row],[End Date]],"MMMM")</f>
        <v>December</v>
      </c>
      <c r="T11" s="22" t="str">
        <f>TEXT(Table1[[#This Row],[End Date]],"YYYY")</f>
        <v>2022</v>
      </c>
      <c r="U11" s="24">
        <f t="shared" ca="1" si="1"/>
        <v>224</v>
      </c>
      <c r="V11" s="14" t="str" cm="1">
        <f t="array" aca="1" ref="V11" ca="1">_xlfn.IFS(Table1[[#This Row],[Agreement Days]]&gt;=0,"Expired",Table1[[#This Row],[Agreement Days]]&gt;=-30,"Expires &lt; 30 Days",Table1[[#This Row],[Agreement Days]]&gt;=-60,"Expires &lt; 60 Days",Table1[[#This Row],[Agreement Days]]&lt;-60,"Valid Contract")</f>
        <v>Expired</v>
      </c>
      <c r="W11" s="14" t="s">
        <v>12</v>
      </c>
      <c r="X11" s="14" t="s">
        <v>562</v>
      </c>
      <c r="Y11" s="16" t="s">
        <v>563</v>
      </c>
      <c r="Z11" s="17" t="s">
        <v>564</v>
      </c>
      <c r="AA11" s="17" t="s">
        <v>565</v>
      </c>
      <c r="AB11" s="116"/>
      <c r="AC11" s="116"/>
    </row>
    <row r="12" spans="1:29" x14ac:dyDescent="0.3">
      <c r="A12" s="18" t="s">
        <v>566</v>
      </c>
      <c r="B12" s="18" t="s">
        <v>407</v>
      </c>
      <c r="C12" s="18" t="s">
        <v>567</v>
      </c>
      <c r="D12" s="14" t="s">
        <v>545</v>
      </c>
      <c r="E12" s="18" t="s">
        <v>10</v>
      </c>
      <c r="F12" s="14" t="s">
        <v>527</v>
      </c>
      <c r="G12" s="14" t="s">
        <v>518</v>
      </c>
      <c r="H12" s="18" t="s">
        <v>2</v>
      </c>
      <c r="I12" s="14" t="s">
        <v>134</v>
      </c>
      <c r="J12" s="14">
        <v>2</v>
      </c>
      <c r="K12" s="14" t="s">
        <v>568</v>
      </c>
      <c r="L12" s="14"/>
      <c r="M12" s="14">
        <v>1</v>
      </c>
      <c r="N12" s="15">
        <v>228813.55932199999</v>
      </c>
      <c r="O12" s="15">
        <f t="shared" si="0"/>
        <v>228813.55932199999</v>
      </c>
      <c r="P12" s="15"/>
      <c r="Q12" s="14" t="s">
        <v>520</v>
      </c>
      <c r="R12" s="32">
        <v>44926</v>
      </c>
      <c r="S12" s="22" t="str">
        <f>TEXT(Table1[[#This Row],[End Date]],"MMMM")</f>
        <v>December</v>
      </c>
      <c r="T12" s="22" t="str">
        <f>TEXT(Table1[[#This Row],[End Date]],"YYYY")</f>
        <v>2022</v>
      </c>
      <c r="U12" s="24">
        <f t="shared" ca="1" si="1"/>
        <v>207</v>
      </c>
      <c r="V12" s="14" t="str" cm="1">
        <f t="array" aca="1" ref="V12" ca="1">_xlfn.IFS(Table1[[#This Row],[Agreement Days]]&gt;=0,"Expired",Table1[[#This Row],[Agreement Days]]&gt;=-30,"Expires &lt; 30 Days",Table1[[#This Row],[Agreement Days]]&gt;=-60,"Expires &lt; 60 Days",Table1[[#This Row],[Agreement Days]]&lt;-60,"Valid Contract")</f>
        <v>Expired</v>
      </c>
      <c r="W12" s="14" t="s">
        <v>12</v>
      </c>
      <c r="X12" s="14" t="s">
        <v>569</v>
      </c>
      <c r="Y12" s="16" t="s">
        <v>570</v>
      </c>
      <c r="Z12" s="17" t="s">
        <v>571</v>
      </c>
      <c r="AA12" s="17" t="s">
        <v>565</v>
      </c>
      <c r="AB12" s="116"/>
      <c r="AC12" s="116"/>
    </row>
    <row r="13" spans="1:29" hidden="1" x14ac:dyDescent="0.3">
      <c r="A13" s="18" t="s">
        <v>572</v>
      </c>
      <c r="B13" s="18" t="s">
        <v>474</v>
      </c>
      <c r="C13" s="18" t="s">
        <v>544</v>
      </c>
      <c r="D13" s="20" t="s">
        <v>545</v>
      </c>
      <c r="E13" s="18" t="s">
        <v>10</v>
      </c>
      <c r="F13" s="20" t="s">
        <v>560</v>
      </c>
      <c r="G13" s="20" t="s">
        <v>518</v>
      </c>
      <c r="H13" s="18" t="s">
        <v>5</v>
      </c>
      <c r="I13" s="20" t="s">
        <v>115</v>
      </c>
      <c r="J13" s="18"/>
      <c r="K13" s="26" t="s">
        <v>573</v>
      </c>
      <c r="L13" s="18"/>
      <c r="M13" s="20">
        <v>1</v>
      </c>
      <c r="N13" s="15">
        <v>19491.53</v>
      </c>
      <c r="O13" s="15">
        <f t="shared" si="0"/>
        <v>19491.53</v>
      </c>
      <c r="P13" s="15"/>
      <c r="Q13" s="14" t="s">
        <v>520</v>
      </c>
      <c r="R13" s="25">
        <v>44926</v>
      </c>
      <c r="S13" s="34" t="str">
        <f>TEXT(Table1[[#This Row],[End Date]],"MMMM")</f>
        <v>December</v>
      </c>
      <c r="T13" s="34" t="str">
        <f>TEXT(Table1[[#This Row],[End Date]],"YYYY")</f>
        <v>2022</v>
      </c>
      <c r="U13" s="28">
        <f t="shared" ca="1" si="1"/>
        <v>207</v>
      </c>
      <c r="V13" s="14" t="str" cm="1">
        <f t="array" aca="1" ref="V13" ca="1">_xlfn.IFS(Table1[[#This Row],[Agreement Days]]&gt;=0,"Expired",Table1[[#This Row],[Agreement Days]]&gt;=-30,"Expires &lt; 30 Days",Table1[[#This Row],[Agreement Days]]&gt;=-60,"Expires &lt; 60 Days",Table1[[#This Row],[Agreement Days]]&lt;-60,"Valid Contract")</f>
        <v>Expired</v>
      </c>
      <c r="W13" s="18" t="s">
        <v>16</v>
      </c>
      <c r="X13" s="18" t="s">
        <v>574</v>
      </c>
      <c r="Y13" s="81" t="s">
        <v>575</v>
      </c>
      <c r="Z13" s="27" t="s">
        <v>576</v>
      </c>
      <c r="AA13" s="27"/>
      <c r="AB13" s="116"/>
      <c r="AC13" s="116"/>
    </row>
    <row r="14" spans="1:29" hidden="1" x14ac:dyDescent="0.3">
      <c r="A14" s="18" t="s">
        <v>577</v>
      </c>
      <c r="B14" s="18" t="s">
        <v>378</v>
      </c>
      <c r="C14" s="18" t="s">
        <v>578</v>
      </c>
      <c r="D14" s="14" t="s">
        <v>579</v>
      </c>
      <c r="E14" s="18" t="s">
        <v>10</v>
      </c>
      <c r="F14" s="14" t="s">
        <v>560</v>
      </c>
      <c r="G14" s="14" t="s">
        <v>518</v>
      </c>
      <c r="H14" s="18" t="s">
        <v>5</v>
      </c>
      <c r="I14" s="14" t="s">
        <v>134</v>
      </c>
      <c r="J14" s="14">
        <v>3</v>
      </c>
      <c r="K14" s="14" t="s">
        <v>580</v>
      </c>
      <c r="L14" s="18"/>
      <c r="M14" s="14">
        <v>1</v>
      </c>
      <c r="N14" s="15">
        <v>180000</v>
      </c>
      <c r="O14" s="15">
        <f t="shared" si="0"/>
        <v>180000</v>
      </c>
      <c r="P14" s="15"/>
      <c r="Q14" s="14" t="s">
        <v>520</v>
      </c>
      <c r="R14" s="25">
        <v>44926</v>
      </c>
      <c r="S14" s="34" t="str">
        <f>TEXT(Table1[[#This Row],[End Date]],"MMMM")</f>
        <v>December</v>
      </c>
      <c r="T14" s="34" t="str">
        <f>TEXT(Table1[[#This Row],[End Date]],"YYYY")</f>
        <v>2022</v>
      </c>
      <c r="U14" s="24">
        <f t="shared" ca="1" si="1"/>
        <v>207</v>
      </c>
      <c r="V14" s="14" t="str" cm="1">
        <f t="array" aca="1" ref="V14" ca="1">_xlfn.IFS(Table1[[#This Row],[Agreement Days]]&gt;=0,"Expired",Table1[[#This Row],[Agreement Days]]&gt;=-30,"Expires &lt; 30 Days",Table1[[#This Row],[Agreement Days]]&gt;=-60,"Expires &lt; 60 Days",Table1[[#This Row],[Agreement Days]]&lt;-60,"Valid Contract")</f>
        <v>Expired</v>
      </c>
      <c r="W14" s="18" t="s">
        <v>18</v>
      </c>
      <c r="X14" s="18" t="s">
        <v>581</v>
      </c>
      <c r="Y14" s="35" t="s">
        <v>582</v>
      </c>
      <c r="Z14" s="36" t="s">
        <v>583</v>
      </c>
      <c r="AA14" s="36"/>
      <c r="AB14" s="116"/>
      <c r="AC14" s="116"/>
    </row>
    <row r="15" spans="1:29" hidden="1" x14ac:dyDescent="0.3">
      <c r="A15" s="18" t="s">
        <v>577</v>
      </c>
      <c r="B15" s="18" t="s">
        <v>378</v>
      </c>
      <c r="C15" s="18" t="s">
        <v>584</v>
      </c>
      <c r="D15" s="14" t="s">
        <v>579</v>
      </c>
      <c r="E15" s="18" t="s">
        <v>10</v>
      </c>
      <c r="F15" s="14" t="s">
        <v>560</v>
      </c>
      <c r="G15" s="14" t="s">
        <v>518</v>
      </c>
      <c r="H15" s="18" t="s">
        <v>5</v>
      </c>
      <c r="I15" s="14" t="s">
        <v>134</v>
      </c>
      <c r="J15" s="14">
        <v>3</v>
      </c>
      <c r="K15" s="14" t="s">
        <v>580</v>
      </c>
      <c r="L15" s="18"/>
      <c r="M15" s="14">
        <v>1</v>
      </c>
      <c r="N15" s="15">
        <v>180000</v>
      </c>
      <c r="O15" s="15">
        <f t="shared" si="0"/>
        <v>180000</v>
      </c>
      <c r="P15" s="15"/>
      <c r="Q15" s="14" t="s">
        <v>520</v>
      </c>
      <c r="R15" s="25">
        <v>44926</v>
      </c>
      <c r="S15" s="34" t="str">
        <f>TEXT(Table1[[#This Row],[End Date]],"MMMM")</f>
        <v>December</v>
      </c>
      <c r="T15" s="34" t="str">
        <f>TEXT(Table1[[#This Row],[End Date]],"YYYY")</f>
        <v>2022</v>
      </c>
      <c r="U15" s="24">
        <f t="shared" ca="1" si="1"/>
        <v>207</v>
      </c>
      <c r="V15" s="14" t="str" cm="1">
        <f t="array" aca="1" ref="V15" ca="1">_xlfn.IFS(Table1[[#This Row],[Agreement Days]]&gt;=0,"Expired",Table1[[#This Row],[Agreement Days]]&gt;=-30,"Expires &lt; 30 Days",Table1[[#This Row],[Agreement Days]]&gt;=-60,"Expires &lt; 60 Days",Table1[[#This Row],[Agreement Days]]&lt;-60,"Valid Contract")</f>
        <v>Expired</v>
      </c>
      <c r="W15" s="18" t="s">
        <v>18</v>
      </c>
      <c r="X15" s="18" t="s">
        <v>581</v>
      </c>
      <c r="Y15" s="35" t="s">
        <v>582</v>
      </c>
      <c r="Z15" s="36" t="s">
        <v>583</v>
      </c>
      <c r="AA15" s="27"/>
      <c r="AB15" s="116"/>
      <c r="AC15" s="116"/>
    </row>
    <row r="16" spans="1:29" hidden="1" x14ac:dyDescent="0.3">
      <c r="A16" s="18" t="s">
        <v>585</v>
      </c>
      <c r="B16" s="18" t="s">
        <v>475</v>
      </c>
      <c r="C16" s="18" t="s">
        <v>544</v>
      </c>
      <c r="D16" s="14" t="s">
        <v>586</v>
      </c>
      <c r="E16" s="18" t="s">
        <v>9</v>
      </c>
      <c r="F16" s="14" t="s">
        <v>517</v>
      </c>
      <c r="G16" s="14" t="s">
        <v>546</v>
      </c>
      <c r="H16" s="18" t="s">
        <v>5</v>
      </c>
      <c r="I16" s="14" t="s">
        <v>115</v>
      </c>
      <c r="J16" s="18"/>
      <c r="K16" s="26" t="s">
        <v>573</v>
      </c>
      <c r="L16" s="18"/>
      <c r="M16" s="20">
        <v>1</v>
      </c>
      <c r="N16" s="15">
        <v>19491.53</v>
      </c>
      <c r="O16" s="15">
        <f t="shared" si="0"/>
        <v>19491.53</v>
      </c>
      <c r="P16" s="15"/>
      <c r="Q16" s="14" t="s">
        <v>520</v>
      </c>
      <c r="R16" s="25">
        <v>44926</v>
      </c>
      <c r="S16" s="34" t="str">
        <f>TEXT(Table1[[#This Row],[End Date]],"MMMM")</f>
        <v>December</v>
      </c>
      <c r="T16" s="34" t="str">
        <f>TEXT(Table1[[#This Row],[End Date]],"YYYY")</f>
        <v>2022</v>
      </c>
      <c r="U16" s="24">
        <f t="shared" ca="1" si="1"/>
        <v>207</v>
      </c>
      <c r="V16" s="14" t="str" cm="1">
        <f t="array" aca="1" ref="V16" ca="1">_xlfn.IFS(Table1[[#This Row],[Agreement Days]]&gt;=0,"Expired",Table1[[#This Row],[Agreement Days]]&gt;=-30,"Expires &lt; 30 Days",Table1[[#This Row],[Agreement Days]]&gt;=-60,"Expires &lt; 60 Days",Table1[[#This Row],[Agreement Days]]&lt;-60,"Valid Contract")</f>
        <v>Expired</v>
      </c>
      <c r="W16" s="18" t="s">
        <v>16</v>
      </c>
      <c r="X16" s="38"/>
      <c r="Y16" s="39" t="s">
        <v>587</v>
      </c>
      <c r="Z16" s="27" t="s">
        <v>588</v>
      </c>
      <c r="AA16" s="27"/>
      <c r="AB16" s="116"/>
      <c r="AC16" s="116"/>
    </row>
    <row r="17" spans="1:29" hidden="1" x14ac:dyDescent="0.3">
      <c r="A17" s="18" t="s">
        <v>589</v>
      </c>
      <c r="B17" s="18" t="s">
        <v>396</v>
      </c>
      <c r="C17" s="18" t="s">
        <v>544</v>
      </c>
      <c r="D17" s="14" t="s">
        <v>540</v>
      </c>
      <c r="E17" s="18" t="s">
        <v>10</v>
      </c>
      <c r="F17" s="14" t="s">
        <v>560</v>
      </c>
      <c r="G17" s="14" t="s">
        <v>518</v>
      </c>
      <c r="H17" s="18" t="s">
        <v>5</v>
      </c>
      <c r="I17" s="14" t="s">
        <v>134</v>
      </c>
      <c r="J17" s="14">
        <v>2</v>
      </c>
      <c r="K17" s="18" t="s">
        <v>568</v>
      </c>
      <c r="L17" s="18"/>
      <c r="M17" s="14">
        <v>1</v>
      </c>
      <c r="N17" s="15">
        <v>270000</v>
      </c>
      <c r="O17" s="15">
        <f t="shared" si="0"/>
        <v>270000</v>
      </c>
      <c r="P17" s="15"/>
      <c r="Q17" s="14" t="s">
        <v>520</v>
      </c>
      <c r="R17" s="25">
        <v>44926</v>
      </c>
      <c r="S17" s="34" t="str">
        <f>TEXT(Table1[[#This Row],[End Date]],"MMMM")</f>
        <v>December</v>
      </c>
      <c r="T17" s="34" t="str">
        <f>TEXT(Table1[[#This Row],[End Date]],"YYYY")</f>
        <v>2022</v>
      </c>
      <c r="U17" s="24">
        <f t="shared" ca="1" si="1"/>
        <v>207</v>
      </c>
      <c r="V17" s="14" t="str" cm="1">
        <f t="array" aca="1" ref="V17" ca="1">_xlfn.IFS(Table1[[#This Row],[Agreement Days]]&gt;=0,"Expired",Table1[[#This Row],[Agreement Days]]&gt;=-30,"Expires &lt; 30 Days",Table1[[#This Row],[Agreement Days]]&gt;=-60,"Expires &lt; 60 Days",Table1[[#This Row],[Agreement Days]]&lt;-60,"Valid Contract")</f>
        <v>Expired</v>
      </c>
      <c r="W17" s="18" t="s">
        <v>18</v>
      </c>
      <c r="X17" s="18" t="s">
        <v>590</v>
      </c>
      <c r="Y17" s="35" t="s">
        <v>591</v>
      </c>
      <c r="Z17" s="36" t="s">
        <v>592</v>
      </c>
      <c r="AA17" s="36"/>
      <c r="AB17" s="116"/>
      <c r="AC17" s="116"/>
    </row>
    <row r="18" spans="1:29" hidden="1" x14ac:dyDescent="0.3">
      <c r="A18" s="18" t="s">
        <v>593</v>
      </c>
      <c r="B18" s="18" t="s">
        <v>326</v>
      </c>
      <c r="C18" s="18" t="s">
        <v>326</v>
      </c>
      <c r="D18" s="14" t="s">
        <v>545</v>
      </c>
      <c r="E18" s="18" t="s">
        <v>9</v>
      </c>
      <c r="F18" s="14" t="s">
        <v>517</v>
      </c>
      <c r="G18" s="14" t="s">
        <v>518</v>
      </c>
      <c r="H18" s="18" t="s">
        <v>4</v>
      </c>
      <c r="I18" s="14" t="s">
        <v>118</v>
      </c>
      <c r="J18" s="14"/>
      <c r="K18" s="14" t="s">
        <v>594</v>
      </c>
      <c r="L18" s="14"/>
      <c r="M18" s="14">
        <v>1</v>
      </c>
      <c r="N18" s="15">
        <v>129194.92</v>
      </c>
      <c r="O18" s="15">
        <f t="shared" si="0"/>
        <v>129194.92</v>
      </c>
      <c r="P18" s="15"/>
      <c r="Q18" s="14" t="s">
        <v>520</v>
      </c>
      <c r="R18" s="25">
        <v>45990</v>
      </c>
      <c r="S18" s="22" t="str">
        <f>TEXT(Table1[[#This Row],[End Date]],"MMMM")</f>
        <v>November</v>
      </c>
      <c r="T18" s="23" t="str">
        <f>TEXT(Table1[[#This Row],[End Date]],"YYYY")</f>
        <v>2025</v>
      </c>
      <c r="U18" s="24">
        <f t="shared" ca="1" si="1"/>
        <v>-857</v>
      </c>
      <c r="V18" s="14" t="str" cm="1">
        <f t="array" aca="1" ref="V18" ca="1">_xlfn.IFS(Table1[[#This Row],[Agreement Days]]&gt;=0,"Expired",Table1[[#This Row],[Agreement Days]]&gt;=-30,"Expires &lt; 30 Days",Table1[[#This Row],[Agreement Days]]&gt;=-60,"Expires &lt; 60 Days",Table1[[#This Row],[Agreement Days]]&lt;-60,"Valid Contract")</f>
        <v>Valid Contract</v>
      </c>
      <c r="W18" s="14" t="s">
        <v>20</v>
      </c>
      <c r="X18" s="26" t="s">
        <v>595</v>
      </c>
      <c r="Y18" s="16" t="s">
        <v>596</v>
      </c>
      <c r="Z18" s="27" t="s">
        <v>597</v>
      </c>
      <c r="AA18" s="19"/>
      <c r="AB18" s="116"/>
      <c r="AC18" s="116"/>
    </row>
    <row r="19" spans="1:29" x14ac:dyDescent="0.3">
      <c r="A19" s="18" t="s">
        <v>598</v>
      </c>
      <c r="B19" s="18" t="s">
        <v>119</v>
      </c>
      <c r="C19" s="18" t="s">
        <v>599</v>
      </c>
      <c r="D19" s="14" t="s">
        <v>600</v>
      </c>
      <c r="E19" s="18" t="s">
        <v>9</v>
      </c>
      <c r="F19" s="20" t="s">
        <v>601</v>
      </c>
      <c r="G19" s="20" t="s">
        <v>546</v>
      </c>
      <c r="H19" s="18" t="s">
        <v>2</v>
      </c>
      <c r="I19" s="14" t="s">
        <v>121</v>
      </c>
      <c r="J19" s="20">
        <v>8</v>
      </c>
      <c r="K19" s="20" t="s">
        <v>602</v>
      </c>
      <c r="L19" s="14"/>
      <c r="M19" s="14">
        <v>1</v>
      </c>
      <c r="N19" s="15">
        <v>7228624</v>
      </c>
      <c r="O19" s="15">
        <f t="shared" si="0"/>
        <v>7228624</v>
      </c>
      <c r="P19" s="15"/>
      <c r="Q19" s="14" t="s">
        <v>520</v>
      </c>
      <c r="R19" s="21">
        <v>44957</v>
      </c>
      <c r="S19" s="22" t="str">
        <f>TEXT(Table1[[#This Row],[End Date]],"MMMM")</f>
        <v>January</v>
      </c>
      <c r="T19" s="22" t="str">
        <f>TEXT(Table1[[#This Row],[End Date]],"YYYY")</f>
        <v>2023</v>
      </c>
      <c r="U19" s="28">
        <f t="shared" ca="1" si="1"/>
        <v>176</v>
      </c>
      <c r="V19" s="14" t="str" cm="1">
        <f t="array" aca="1" ref="V19" ca="1">_xlfn.IFS(Table1[[#This Row],[Agreement Days]]&gt;=0,"Expired",Table1[[#This Row],[Agreement Days]]&gt;=-30,"Expires &lt; 30 Days",Table1[[#This Row],[Agreement Days]]&gt;=-60,"Expires &lt; 60 Days",Table1[[#This Row],[Agreement Days]]&lt;-60,"Valid Contract")</f>
        <v>Expired</v>
      </c>
      <c r="W19" s="14" t="s">
        <v>12</v>
      </c>
      <c r="X19" s="14" t="s">
        <v>603</v>
      </c>
      <c r="Y19" s="16" t="s">
        <v>604</v>
      </c>
      <c r="Z19" s="17" t="s">
        <v>605</v>
      </c>
      <c r="AA19" s="14"/>
      <c r="AB19" s="116"/>
      <c r="AC19" s="116"/>
    </row>
    <row r="20" spans="1:29" x14ac:dyDescent="0.3">
      <c r="A20" s="18" t="s">
        <v>598</v>
      </c>
      <c r="B20" s="18" t="s">
        <v>119</v>
      </c>
      <c r="C20" s="18" t="s">
        <v>606</v>
      </c>
      <c r="D20" s="14" t="s">
        <v>600</v>
      </c>
      <c r="E20" s="18" t="s">
        <v>9</v>
      </c>
      <c r="F20" s="20" t="s">
        <v>601</v>
      </c>
      <c r="G20" s="20" t="s">
        <v>546</v>
      </c>
      <c r="H20" s="18" t="s">
        <v>2</v>
      </c>
      <c r="I20" s="14" t="s">
        <v>121</v>
      </c>
      <c r="J20" s="20">
        <v>4</v>
      </c>
      <c r="K20" s="14" t="s">
        <v>607</v>
      </c>
      <c r="L20" s="14"/>
      <c r="M20" s="14">
        <v>1</v>
      </c>
      <c r="N20" s="15">
        <v>3784112</v>
      </c>
      <c r="O20" s="15">
        <f t="shared" si="0"/>
        <v>3784112</v>
      </c>
      <c r="P20" s="15"/>
      <c r="Q20" s="14" t="s">
        <v>520</v>
      </c>
      <c r="R20" s="21">
        <v>44957</v>
      </c>
      <c r="S20" s="22" t="str">
        <f>TEXT(Table1[[#This Row],[End Date]],"MMMM")</f>
        <v>January</v>
      </c>
      <c r="T20" s="22" t="str">
        <f>TEXT(Table1[[#This Row],[End Date]],"YYYY")</f>
        <v>2023</v>
      </c>
      <c r="U20" s="28">
        <f t="shared" ca="1" si="1"/>
        <v>176</v>
      </c>
      <c r="V20" s="14" t="str" cm="1">
        <f t="array" aca="1" ref="V20" ca="1">_xlfn.IFS(Table1[[#This Row],[Agreement Days]]&gt;=0,"Expired",Table1[[#This Row],[Agreement Days]]&gt;=-30,"Expires &lt; 30 Days",Table1[[#This Row],[Agreement Days]]&gt;=-60,"Expires &lt; 60 Days",Table1[[#This Row],[Agreement Days]]&lt;-60,"Valid Contract")</f>
        <v>Expired</v>
      </c>
      <c r="W20" s="14" t="s">
        <v>12</v>
      </c>
      <c r="X20" s="14" t="s">
        <v>603</v>
      </c>
      <c r="Y20" s="16" t="s">
        <v>604</v>
      </c>
      <c r="Z20" s="17" t="s">
        <v>605</v>
      </c>
      <c r="AA20" s="14"/>
      <c r="AB20" s="116"/>
      <c r="AC20" s="116"/>
    </row>
    <row r="21" spans="1:29" x14ac:dyDescent="0.3">
      <c r="A21" s="18" t="s">
        <v>598</v>
      </c>
      <c r="B21" s="18" t="s">
        <v>119</v>
      </c>
      <c r="C21" s="18" t="s">
        <v>608</v>
      </c>
      <c r="D21" s="14" t="s">
        <v>600</v>
      </c>
      <c r="E21" s="18" t="s">
        <v>9</v>
      </c>
      <c r="F21" s="20" t="s">
        <v>601</v>
      </c>
      <c r="G21" s="20" t="s">
        <v>546</v>
      </c>
      <c r="H21" s="18" t="s">
        <v>2</v>
      </c>
      <c r="I21" s="14" t="s">
        <v>121</v>
      </c>
      <c r="J21" s="20">
        <v>4</v>
      </c>
      <c r="K21" s="14" t="s">
        <v>607</v>
      </c>
      <c r="L21" s="14"/>
      <c r="M21" s="14">
        <v>1</v>
      </c>
      <c r="N21" s="15">
        <v>3784112</v>
      </c>
      <c r="O21" s="15">
        <f t="shared" si="0"/>
        <v>3784112</v>
      </c>
      <c r="P21" s="15"/>
      <c r="Q21" s="14" t="s">
        <v>520</v>
      </c>
      <c r="R21" s="21">
        <v>44957</v>
      </c>
      <c r="S21" s="22" t="str">
        <f>TEXT(Table1[[#This Row],[End Date]],"MMMM")</f>
        <v>January</v>
      </c>
      <c r="T21" s="22" t="str">
        <f>TEXT(Table1[[#This Row],[End Date]],"YYYY")</f>
        <v>2023</v>
      </c>
      <c r="U21" s="28">
        <f t="shared" ca="1" si="1"/>
        <v>176</v>
      </c>
      <c r="V21" s="14" t="str" cm="1">
        <f t="array" aca="1" ref="V21" ca="1">_xlfn.IFS(Table1[[#This Row],[Agreement Days]]&gt;=0,"Expired",Table1[[#This Row],[Agreement Days]]&gt;=-30,"Expires &lt; 30 Days",Table1[[#This Row],[Agreement Days]]&gt;=-60,"Expires &lt; 60 Days",Table1[[#This Row],[Agreement Days]]&lt;-60,"Valid Contract")</f>
        <v>Expired</v>
      </c>
      <c r="W21" s="14" t="s">
        <v>12</v>
      </c>
      <c r="X21" s="14" t="s">
        <v>603</v>
      </c>
      <c r="Y21" s="16" t="s">
        <v>604</v>
      </c>
      <c r="Z21" s="17" t="s">
        <v>605</v>
      </c>
      <c r="AA21" s="14"/>
      <c r="AB21" s="116"/>
      <c r="AC21" s="116"/>
    </row>
    <row r="22" spans="1:29" x14ac:dyDescent="0.3">
      <c r="A22" s="18" t="s">
        <v>609</v>
      </c>
      <c r="B22" s="18" t="s">
        <v>140</v>
      </c>
      <c r="C22" s="18" t="s">
        <v>610</v>
      </c>
      <c r="D22" s="14" t="s">
        <v>545</v>
      </c>
      <c r="E22" s="18" t="s">
        <v>10</v>
      </c>
      <c r="F22" s="14" t="s">
        <v>527</v>
      </c>
      <c r="G22" s="14" t="s">
        <v>518</v>
      </c>
      <c r="H22" s="18" t="s">
        <v>2</v>
      </c>
      <c r="I22" s="14" t="s">
        <v>136</v>
      </c>
      <c r="J22" s="14"/>
      <c r="K22" s="14" t="s">
        <v>611</v>
      </c>
      <c r="L22" s="14"/>
      <c r="M22" s="14">
        <v>1</v>
      </c>
      <c r="N22" s="15"/>
      <c r="O22" s="15">
        <f t="shared" si="0"/>
        <v>0</v>
      </c>
      <c r="P22" s="15"/>
      <c r="Q22" s="14" t="s">
        <v>520</v>
      </c>
      <c r="R22" s="32">
        <v>44978</v>
      </c>
      <c r="S22" s="22" t="str">
        <f>TEXT(Table1[[#This Row],[End Date]],"MMMM")</f>
        <v>February</v>
      </c>
      <c r="T22" s="22" t="str">
        <f>TEXT(Table1[[#This Row],[End Date]],"YYYY")</f>
        <v>2023</v>
      </c>
      <c r="U22" s="24">
        <f t="shared" ca="1" si="1"/>
        <v>155</v>
      </c>
      <c r="V22" s="14" t="str" cm="1">
        <f t="array" aca="1" ref="V22" ca="1">_xlfn.IFS(Table1[[#This Row],[Agreement Days]]&gt;=0,"Expired",Table1[[#This Row],[Agreement Days]]&gt;=-30,"Expires &lt; 30 Days",Table1[[#This Row],[Agreement Days]]&gt;=-60,"Expires &lt; 60 Days",Table1[[#This Row],[Agreement Days]]&lt;-60,"Valid Contract")</f>
        <v>Expired</v>
      </c>
      <c r="W22" s="14" t="s">
        <v>12</v>
      </c>
      <c r="X22" s="14" t="s">
        <v>612</v>
      </c>
      <c r="Y22" s="16" t="s">
        <v>613</v>
      </c>
      <c r="Z22" s="14" t="s">
        <v>614</v>
      </c>
      <c r="AA22" s="14"/>
      <c r="AB22" s="118"/>
      <c r="AC22" s="118"/>
    </row>
    <row r="23" spans="1:29" x14ac:dyDescent="0.3">
      <c r="A23" s="18" t="s">
        <v>609</v>
      </c>
      <c r="B23" s="18" t="s">
        <v>140</v>
      </c>
      <c r="C23" s="18" t="s">
        <v>535</v>
      </c>
      <c r="D23" s="14" t="s">
        <v>532</v>
      </c>
      <c r="E23" s="18" t="s">
        <v>10</v>
      </c>
      <c r="F23" s="14" t="s">
        <v>527</v>
      </c>
      <c r="G23" s="14" t="s">
        <v>518</v>
      </c>
      <c r="H23" s="18" t="s">
        <v>3</v>
      </c>
      <c r="I23" s="14" t="s">
        <v>116</v>
      </c>
      <c r="J23" s="14"/>
      <c r="K23" s="14" t="s">
        <v>533</v>
      </c>
      <c r="L23" s="14">
        <v>20.8</v>
      </c>
      <c r="M23" s="14">
        <v>1</v>
      </c>
      <c r="N23" s="15">
        <v>1003600</v>
      </c>
      <c r="O23" s="15">
        <f t="shared" si="0"/>
        <v>1003600</v>
      </c>
      <c r="P23" s="15"/>
      <c r="Q23" s="14" t="s">
        <v>520</v>
      </c>
      <c r="R23" s="32">
        <v>44978</v>
      </c>
      <c r="S23" s="22" t="str">
        <f>TEXT(Table1[[#This Row],[End Date]],"MMMM")</f>
        <v>February</v>
      </c>
      <c r="T23" s="22" t="str">
        <f>TEXT(Table1[[#This Row],[End Date]],"YYYY")</f>
        <v>2023</v>
      </c>
      <c r="U23" s="24">
        <f t="shared" ca="1" si="1"/>
        <v>155</v>
      </c>
      <c r="V23" s="14" t="str" cm="1">
        <f t="array" aca="1" ref="V23" ca="1">_xlfn.IFS(Table1[[#This Row],[Agreement Days]]&gt;=0,"Expired",Table1[[#This Row],[Agreement Days]]&gt;=-30,"Expires &lt; 30 Days",Table1[[#This Row],[Agreement Days]]&gt;=-60,"Expires &lt; 60 Days",Table1[[#This Row],[Agreement Days]]&lt;-60,"Valid Contract")</f>
        <v>Expired</v>
      </c>
      <c r="W23" s="14" t="s">
        <v>12</v>
      </c>
      <c r="X23" s="14" t="s">
        <v>612</v>
      </c>
      <c r="Y23" s="16" t="s">
        <v>613</v>
      </c>
      <c r="Z23" s="17" t="s">
        <v>614</v>
      </c>
      <c r="AA23" s="17"/>
      <c r="AB23" s="116"/>
      <c r="AC23" s="116"/>
    </row>
    <row r="24" spans="1:29" s="40" customFormat="1" x14ac:dyDescent="0.3">
      <c r="A24" s="18" t="s">
        <v>609</v>
      </c>
      <c r="B24" s="18" t="s">
        <v>140</v>
      </c>
      <c r="C24" s="18" t="s">
        <v>615</v>
      </c>
      <c r="D24" s="14" t="s">
        <v>616</v>
      </c>
      <c r="E24" s="18" t="s">
        <v>10</v>
      </c>
      <c r="F24" s="14" t="s">
        <v>527</v>
      </c>
      <c r="G24" s="14" t="s">
        <v>518</v>
      </c>
      <c r="H24" s="18" t="s">
        <v>3</v>
      </c>
      <c r="I24" s="14" t="s">
        <v>116</v>
      </c>
      <c r="J24" s="14"/>
      <c r="K24" s="14" t="s">
        <v>533</v>
      </c>
      <c r="L24" s="14">
        <v>104</v>
      </c>
      <c r="M24" s="14">
        <v>1</v>
      </c>
      <c r="N24" s="15">
        <v>5018000</v>
      </c>
      <c r="O24" s="15">
        <f t="shared" si="0"/>
        <v>5018000</v>
      </c>
      <c r="P24" s="15"/>
      <c r="Q24" s="14" t="s">
        <v>520</v>
      </c>
      <c r="R24" s="32">
        <v>44978</v>
      </c>
      <c r="S24" s="22" t="str">
        <f>TEXT(Table1[[#This Row],[End Date]],"MMMM")</f>
        <v>February</v>
      </c>
      <c r="T24" s="22" t="str">
        <f>TEXT(Table1[[#This Row],[End Date]],"YYYY")</f>
        <v>2023</v>
      </c>
      <c r="U24" s="24">
        <f t="shared" ca="1" si="1"/>
        <v>155</v>
      </c>
      <c r="V24" s="14" t="str" cm="1">
        <f t="array" aca="1" ref="V24" ca="1">_xlfn.IFS(Table1[[#This Row],[Agreement Days]]&gt;=0,"Expired",Table1[[#This Row],[Agreement Days]]&gt;=-30,"Expires &lt; 30 Days",Table1[[#This Row],[Agreement Days]]&gt;=-60,"Expires &lt; 60 Days",Table1[[#This Row],[Agreement Days]]&lt;-60,"Valid Contract")</f>
        <v>Expired</v>
      </c>
      <c r="W24" s="14" t="s">
        <v>12</v>
      </c>
      <c r="X24" s="14" t="s">
        <v>612</v>
      </c>
      <c r="Y24" s="16" t="s">
        <v>613</v>
      </c>
      <c r="Z24" s="17" t="s">
        <v>614</v>
      </c>
      <c r="AA24" s="17"/>
      <c r="AB24" s="116"/>
      <c r="AC24" s="116"/>
    </row>
    <row r="25" spans="1:29" s="40" customFormat="1" x14ac:dyDescent="0.3">
      <c r="A25" s="18" t="s">
        <v>609</v>
      </c>
      <c r="B25" s="18" t="s">
        <v>140</v>
      </c>
      <c r="C25" s="18" t="s">
        <v>617</v>
      </c>
      <c r="D25" s="14" t="s">
        <v>616</v>
      </c>
      <c r="E25" s="18" t="s">
        <v>10</v>
      </c>
      <c r="F25" s="14" t="s">
        <v>527</v>
      </c>
      <c r="G25" s="14" t="s">
        <v>518</v>
      </c>
      <c r="H25" s="18" t="s">
        <v>3</v>
      </c>
      <c r="I25" s="14" t="s">
        <v>116</v>
      </c>
      <c r="J25" s="14"/>
      <c r="K25" s="14" t="s">
        <v>533</v>
      </c>
      <c r="L25" s="14">
        <v>83</v>
      </c>
      <c r="M25" s="14">
        <v>1</v>
      </c>
      <c r="N25" s="15">
        <v>4004750</v>
      </c>
      <c r="O25" s="15">
        <f t="shared" si="0"/>
        <v>4004750</v>
      </c>
      <c r="P25" s="15"/>
      <c r="Q25" s="14" t="s">
        <v>520</v>
      </c>
      <c r="R25" s="32">
        <v>44978</v>
      </c>
      <c r="S25" s="22" t="str">
        <f>TEXT(Table1[[#This Row],[End Date]],"MMMM")</f>
        <v>February</v>
      </c>
      <c r="T25" s="22" t="str">
        <f>TEXT(Table1[[#This Row],[End Date]],"YYYY")</f>
        <v>2023</v>
      </c>
      <c r="U25" s="24">
        <f t="shared" ca="1" si="1"/>
        <v>155</v>
      </c>
      <c r="V25" s="14" t="str" cm="1">
        <f t="array" aca="1" ref="V25" ca="1">_xlfn.IFS(Table1[[#This Row],[Agreement Days]]&gt;=0,"Expired",Table1[[#This Row],[Agreement Days]]&gt;=-30,"Expires &lt; 30 Days",Table1[[#This Row],[Agreement Days]]&gt;=-60,"Expires &lt; 60 Days",Table1[[#This Row],[Agreement Days]]&lt;-60,"Valid Contract")</f>
        <v>Expired</v>
      </c>
      <c r="W25" s="14" t="s">
        <v>12</v>
      </c>
      <c r="X25" s="14" t="s">
        <v>612</v>
      </c>
      <c r="Y25" s="16" t="s">
        <v>613</v>
      </c>
      <c r="Z25" s="17" t="s">
        <v>614</v>
      </c>
      <c r="AA25" s="17"/>
      <c r="AB25" s="116"/>
      <c r="AC25" s="116"/>
    </row>
    <row r="26" spans="1:29" s="40" customFormat="1" x14ac:dyDescent="0.3">
      <c r="A26" s="18" t="s">
        <v>609</v>
      </c>
      <c r="B26" s="18" t="s">
        <v>140</v>
      </c>
      <c r="C26" s="18" t="s">
        <v>618</v>
      </c>
      <c r="D26" s="14" t="s">
        <v>619</v>
      </c>
      <c r="E26" s="18" t="s">
        <v>10</v>
      </c>
      <c r="F26" s="14" t="s">
        <v>527</v>
      </c>
      <c r="G26" s="14" t="s">
        <v>518</v>
      </c>
      <c r="H26" s="18" t="s">
        <v>3</v>
      </c>
      <c r="I26" s="14" t="s">
        <v>116</v>
      </c>
      <c r="J26" s="14"/>
      <c r="K26" s="14" t="s">
        <v>533</v>
      </c>
      <c r="L26" s="14">
        <v>50</v>
      </c>
      <c r="M26" s="14">
        <v>1</v>
      </c>
      <c r="N26" s="15">
        <v>2412500</v>
      </c>
      <c r="O26" s="15">
        <f t="shared" si="0"/>
        <v>2412500</v>
      </c>
      <c r="P26" s="15"/>
      <c r="Q26" s="14" t="s">
        <v>520</v>
      </c>
      <c r="R26" s="32">
        <v>44978</v>
      </c>
      <c r="S26" s="22" t="str">
        <f>TEXT(Table1[[#This Row],[End Date]],"MMMM")</f>
        <v>February</v>
      </c>
      <c r="T26" s="22" t="str">
        <f>TEXT(Table1[[#This Row],[End Date]],"YYYY")</f>
        <v>2023</v>
      </c>
      <c r="U26" s="24">
        <f t="shared" ca="1" si="1"/>
        <v>155</v>
      </c>
      <c r="V26" s="14" t="str" cm="1">
        <f t="array" aca="1" ref="V26" ca="1">_xlfn.IFS(Table1[[#This Row],[Agreement Days]]&gt;=0,"Expired",Table1[[#This Row],[Agreement Days]]&gt;=-30,"Expires &lt; 30 Days",Table1[[#This Row],[Agreement Days]]&gt;=-60,"Expires &lt; 60 Days",Table1[[#This Row],[Agreement Days]]&lt;-60,"Valid Contract")</f>
        <v>Expired</v>
      </c>
      <c r="W26" s="14" t="s">
        <v>12</v>
      </c>
      <c r="X26" s="14" t="s">
        <v>612</v>
      </c>
      <c r="Y26" s="16" t="s">
        <v>613</v>
      </c>
      <c r="Z26" s="17" t="s">
        <v>614</v>
      </c>
      <c r="AA26" s="17"/>
      <c r="AB26" s="116"/>
      <c r="AC26" s="116"/>
    </row>
    <row r="27" spans="1:29" hidden="1" x14ac:dyDescent="0.3">
      <c r="A27" s="18" t="s">
        <v>620</v>
      </c>
      <c r="B27" s="18" t="s">
        <v>274</v>
      </c>
      <c r="C27" s="18" t="s">
        <v>621</v>
      </c>
      <c r="D27" s="14" t="s">
        <v>540</v>
      </c>
      <c r="E27" s="18" t="s">
        <v>10</v>
      </c>
      <c r="F27" s="14" t="s">
        <v>560</v>
      </c>
      <c r="G27" s="14" t="s">
        <v>518</v>
      </c>
      <c r="H27" s="18" t="s">
        <v>2</v>
      </c>
      <c r="I27" s="14" t="s">
        <v>126</v>
      </c>
      <c r="J27" s="14">
        <v>5</v>
      </c>
      <c r="K27" s="18" t="s">
        <v>622</v>
      </c>
      <c r="L27" s="18"/>
      <c r="M27" s="14">
        <v>1</v>
      </c>
      <c r="N27" s="15">
        <v>207627.12</v>
      </c>
      <c r="O27" s="15">
        <f t="shared" si="0"/>
        <v>207627.12</v>
      </c>
      <c r="P27" s="15"/>
      <c r="Q27" s="14" t="s">
        <v>520</v>
      </c>
      <c r="R27" s="25">
        <v>45005</v>
      </c>
      <c r="S27" s="34" t="str">
        <f>TEXT(Table1[[#This Row],[End Date]],"MMMM")</f>
        <v>March</v>
      </c>
      <c r="T27" s="34" t="str">
        <f>TEXT(Table1[[#This Row],[End Date]],"YYYY")</f>
        <v>2023</v>
      </c>
      <c r="U27" s="24">
        <f t="shared" ca="1" si="1"/>
        <v>128</v>
      </c>
      <c r="V27" s="14" t="str" cm="1">
        <f t="array" aca="1" ref="V27" ca="1">_xlfn.IFS(Table1[[#This Row],[Agreement Days]]&gt;=0,"Expired",Table1[[#This Row],[Agreement Days]]&gt;=-30,"Expires &lt; 30 Days",Table1[[#This Row],[Agreement Days]]&gt;=-60,"Expires &lt; 60 Days",Table1[[#This Row],[Agreement Days]]&lt;-60,"Valid Contract")</f>
        <v>Expired</v>
      </c>
      <c r="W27" s="18" t="s">
        <v>18</v>
      </c>
      <c r="X27" s="18" t="s">
        <v>623</v>
      </c>
      <c r="Y27" s="35" t="s">
        <v>624</v>
      </c>
      <c r="Z27" s="36" t="s">
        <v>625</v>
      </c>
      <c r="AA27" s="27"/>
      <c r="AB27" s="116"/>
      <c r="AC27" s="116"/>
    </row>
    <row r="28" spans="1:29" hidden="1" x14ac:dyDescent="0.3">
      <c r="A28" s="18" t="s">
        <v>620</v>
      </c>
      <c r="B28" s="18" t="s">
        <v>274</v>
      </c>
      <c r="C28" s="18" t="s">
        <v>626</v>
      </c>
      <c r="D28" s="14" t="s">
        <v>540</v>
      </c>
      <c r="E28" s="18" t="s">
        <v>10</v>
      </c>
      <c r="F28" s="14" t="s">
        <v>560</v>
      </c>
      <c r="G28" s="14" t="s">
        <v>518</v>
      </c>
      <c r="H28" s="18" t="s">
        <v>2</v>
      </c>
      <c r="I28" s="14" t="s">
        <v>134</v>
      </c>
      <c r="J28" s="14">
        <v>15</v>
      </c>
      <c r="K28" s="18" t="s">
        <v>627</v>
      </c>
      <c r="L28" s="18"/>
      <c r="M28" s="14">
        <v>1</v>
      </c>
      <c r="N28" s="15">
        <f>1239000/1.18</f>
        <v>1050000</v>
      </c>
      <c r="O28" s="15">
        <f t="shared" si="0"/>
        <v>1050000</v>
      </c>
      <c r="P28" s="15"/>
      <c r="Q28" s="14" t="s">
        <v>520</v>
      </c>
      <c r="R28" s="25">
        <v>45005</v>
      </c>
      <c r="S28" s="34" t="str">
        <f>TEXT(Table1[[#This Row],[End Date]],"MMMM")</f>
        <v>March</v>
      </c>
      <c r="T28" s="34" t="str">
        <f>TEXT(Table1[[#This Row],[End Date]],"YYYY")</f>
        <v>2023</v>
      </c>
      <c r="U28" s="24">
        <f t="shared" ca="1" si="1"/>
        <v>128</v>
      </c>
      <c r="V28" s="14" t="str" cm="1">
        <f t="array" aca="1" ref="V28" ca="1">_xlfn.IFS(Table1[[#This Row],[Agreement Days]]&gt;=0,"Expired",Table1[[#This Row],[Agreement Days]]&gt;=-30,"Expires &lt; 30 Days",Table1[[#This Row],[Agreement Days]]&gt;=-60,"Expires &lt; 60 Days",Table1[[#This Row],[Agreement Days]]&lt;-60,"Valid Contract")</f>
        <v>Expired</v>
      </c>
      <c r="W28" s="18" t="s">
        <v>18</v>
      </c>
      <c r="X28" s="18" t="s">
        <v>623</v>
      </c>
      <c r="Y28" s="35" t="s">
        <v>624</v>
      </c>
      <c r="Z28" s="36" t="s">
        <v>625</v>
      </c>
      <c r="AA28" s="36"/>
      <c r="AB28" s="98"/>
      <c r="AC28" s="98"/>
    </row>
    <row r="29" spans="1:29" hidden="1" x14ac:dyDescent="0.3">
      <c r="A29" s="18" t="s">
        <v>628</v>
      </c>
      <c r="B29" s="18" t="s">
        <v>92</v>
      </c>
      <c r="C29" s="18" t="s">
        <v>629</v>
      </c>
      <c r="D29" s="14" t="s">
        <v>630</v>
      </c>
      <c r="E29" s="18" t="s">
        <v>9</v>
      </c>
      <c r="F29" s="14" t="s">
        <v>631</v>
      </c>
      <c r="G29" s="14" t="s">
        <v>518</v>
      </c>
      <c r="H29" s="18" t="s">
        <v>5</v>
      </c>
      <c r="I29" s="14" t="s">
        <v>117</v>
      </c>
      <c r="J29" s="14">
        <v>3</v>
      </c>
      <c r="K29" s="14" t="s">
        <v>632</v>
      </c>
      <c r="L29" s="14"/>
      <c r="M29" s="14">
        <v>1</v>
      </c>
      <c r="N29" s="15">
        <v>180000</v>
      </c>
      <c r="O29" s="15">
        <f t="shared" si="0"/>
        <v>180000</v>
      </c>
      <c r="P29" s="15"/>
      <c r="Q29" s="14" t="s">
        <v>520</v>
      </c>
      <c r="R29" s="21">
        <v>45015</v>
      </c>
      <c r="S29" s="22" t="str">
        <f>TEXT(Table1[[#This Row],[End Date]],"MMMM")</f>
        <v>March</v>
      </c>
      <c r="T29" s="23" t="str">
        <f>TEXT(Table1[[#This Row],[End Date]],"YYYY")</f>
        <v>2023</v>
      </c>
      <c r="U29" s="24">
        <f t="shared" ca="1" si="1"/>
        <v>118</v>
      </c>
      <c r="V29" s="14" t="str" cm="1">
        <f t="array" aca="1" ref="V29" ca="1">_xlfn.IFS(Table1[[#This Row],[Agreement Days]]&gt;=0,"Expired",Table1[[#This Row],[Agreement Days]]&gt;=-30,"Expires &lt; 30 Days",Table1[[#This Row],[Agreement Days]]&gt;=-60,"Expires &lt; 60 Days",Table1[[#This Row],[Agreement Days]]&lt;-60,"Valid Contract")</f>
        <v>Expired</v>
      </c>
      <c r="W29" s="14" t="s">
        <v>13</v>
      </c>
      <c r="X29" s="14" t="s">
        <v>633</v>
      </c>
      <c r="Y29" s="43" t="s">
        <v>634</v>
      </c>
      <c r="Z29" s="17">
        <v>785475550</v>
      </c>
      <c r="AA29" s="17" t="s">
        <v>635</v>
      </c>
      <c r="AB29" s="116"/>
      <c r="AC29" s="116" t="s">
        <v>636</v>
      </c>
    </row>
    <row r="30" spans="1:29" hidden="1" x14ac:dyDescent="0.3">
      <c r="A30" s="18" t="s">
        <v>637</v>
      </c>
      <c r="B30" s="18" t="s">
        <v>208</v>
      </c>
      <c r="C30" s="18" t="s">
        <v>544</v>
      </c>
      <c r="D30" s="14" t="s">
        <v>545</v>
      </c>
      <c r="E30" s="18" t="s">
        <v>9</v>
      </c>
      <c r="F30" s="14" t="s">
        <v>517</v>
      </c>
      <c r="G30" s="14" t="s">
        <v>518</v>
      </c>
      <c r="H30" s="18" t="s">
        <v>5</v>
      </c>
      <c r="I30" s="14" t="s">
        <v>115</v>
      </c>
      <c r="J30" s="18"/>
      <c r="K30" s="18" t="s">
        <v>638</v>
      </c>
      <c r="L30" s="18"/>
      <c r="M30" s="14">
        <v>1</v>
      </c>
      <c r="N30" s="15">
        <v>110593.22</v>
      </c>
      <c r="O30" s="15">
        <f t="shared" si="0"/>
        <v>110593.22</v>
      </c>
      <c r="P30" s="15"/>
      <c r="Q30" s="14" t="s">
        <v>520</v>
      </c>
      <c r="R30" s="25">
        <v>45016</v>
      </c>
      <c r="S30" s="34" t="str">
        <f>TEXT(Table1[[#This Row],[End Date]],"MMMM")</f>
        <v>March</v>
      </c>
      <c r="T30" s="34" t="str">
        <f>TEXT(Table1[[#This Row],[End Date]],"YYYY")</f>
        <v>2023</v>
      </c>
      <c r="U30" s="24">
        <f t="shared" ca="1" si="1"/>
        <v>117</v>
      </c>
      <c r="V30" s="14" t="str" cm="1">
        <f t="array" aca="1" ref="V30" ca="1">_xlfn.IFS(Table1[[#This Row],[Agreement Days]]&gt;=0,"Expired",Table1[[#This Row],[Agreement Days]]&gt;=-30,"Expires &lt; 30 Days",Table1[[#This Row],[Agreement Days]]&gt;=-60,"Expires &lt; 60 Days",Table1[[#This Row],[Agreement Days]]&lt;-60,"Valid Contract")</f>
        <v>Expired</v>
      </c>
      <c r="W30" s="18" t="s">
        <v>18</v>
      </c>
      <c r="X30" s="18" t="s">
        <v>639</v>
      </c>
      <c r="Y30" s="35" t="s">
        <v>640</v>
      </c>
      <c r="Z30" s="36" t="s">
        <v>641</v>
      </c>
      <c r="AA30" s="27"/>
      <c r="AB30" s="116"/>
      <c r="AC30" s="116"/>
    </row>
    <row r="31" spans="1:29" hidden="1" x14ac:dyDescent="0.3">
      <c r="A31" s="18" t="s">
        <v>637</v>
      </c>
      <c r="B31" s="18" t="s">
        <v>208</v>
      </c>
      <c r="C31" s="18" t="s">
        <v>544</v>
      </c>
      <c r="D31" s="14" t="s">
        <v>545</v>
      </c>
      <c r="E31" s="18" t="s">
        <v>9</v>
      </c>
      <c r="F31" s="14" t="s">
        <v>517</v>
      </c>
      <c r="G31" s="14" t="s">
        <v>518</v>
      </c>
      <c r="H31" s="18" t="s">
        <v>5</v>
      </c>
      <c r="I31" s="14" t="s">
        <v>115</v>
      </c>
      <c r="J31" s="18"/>
      <c r="K31" s="18" t="s">
        <v>642</v>
      </c>
      <c r="L31" s="18"/>
      <c r="M31" s="14">
        <v>2</v>
      </c>
      <c r="N31" s="15">
        <v>101694.92</v>
      </c>
      <c r="O31" s="15">
        <f t="shared" si="0"/>
        <v>203389.84</v>
      </c>
      <c r="P31" s="15"/>
      <c r="Q31" s="14" t="s">
        <v>520</v>
      </c>
      <c r="R31" s="25">
        <v>45016</v>
      </c>
      <c r="S31" s="34" t="str">
        <f>TEXT(Table1[[#This Row],[End Date]],"MMMM")</f>
        <v>March</v>
      </c>
      <c r="T31" s="34" t="str">
        <f>TEXT(Table1[[#This Row],[End Date]],"YYYY")</f>
        <v>2023</v>
      </c>
      <c r="U31" s="24">
        <f t="shared" ca="1" si="1"/>
        <v>117</v>
      </c>
      <c r="V31" s="14" t="str" cm="1">
        <f t="array" aca="1" ref="V31" ca="1">_xlfn.IFS(Table1[[#This Row],[Agreement Days]]&gt;=0,"Expired",Table1[[#This Row],[Agreement Days]]&gt;=-30,"Expires &lt; 30 Days",Table1[[#This Row],[Agreement Days]]&gt;=-60,"Expires &lt; 60 Days",Table1[[#This Row],[Agreement Days]]&lt;-60,"Valid Contract")</f>
        <v>Expired</v>
      </c>
      <c r="W31" s="18" t="s">
        <v>18</v>
      </c>
      <c r="X31" s="18" t="s">
        <v>639</v>
      </c>
      <c r="Y31" s="135" t="s">
        <v>640</v>
      </c>
      <c r="Z31" s="36" t="s">
        <v>641</v>
      </c>
      <c r="AA31" s="27"/>
      <c r="AB31" s="119"/>
      <c r="AC31" s="119"/>
    </row>
    <row r="32" spans="1:29" hidden="1" x14ac:dyDescent="0.3">
      <c r="A32" s="18" t="s">
        <v>637</v>
      </c>
      <c r="B32" s="18" t="s">
        <v>208</v>
      </c>
      <c r="C32" s="18" t="s">
        <v>544</v>
      </c>
      <c r="D32" s="14" t="s">
        <v>545</v>
      </c>
      <c r="E32" s="18" t="s">
        <v>9</v>
      </c>
      <c r="F32" s="14" t="s">
        <v>517</v>
      </c>
      <c r="G32" s="14" t="s">
        <v>518</v>
      </c>
      <c r="H32" s="18" t="s">
        <v>5</v>
      </c>
      <c r="I32" s="14" t="s">
        <v>115</v>
      </c>
      <c r="J32" s="18"/>
      <c r="K32" s="18" t="s">
        <v>573</v>
      </c>
      <c r="L32" s="18"/>
      <c r="M32" s="14">
        <v>5</v>
      </c>
      <c r="N32" s="15">
        <v>19491.53</v>
      </c>
      <c r="O32" s="15">
        <f t="shared" si="0"/>
        <v>97457.65</v>
      </c>
      <c r="P32" s="15"/>
      <c r="Q32" s="14" t="s">
        <v>520</v>
      </c>
      <c r="R32" s="25">
        <v>45016</v>
      </c>
      <c r="S32" s="34" t="str">
        <f>TEXT(Table1[[#This Row],[End Date]],"MMMM")</f>
        <v>March</v>
      </c>
      <c r="T32" s="34" t="str">
        <f>TEXT(Table1[[#This Row],[End Date]],"YYYY")</f>
        <v>2023</v>
      </c>
      <c r="U32" s="24">
        <f t="shared" ca="1" si="1"/>
        <v>117</v>
      </c>
      <c r="V32" s="14" t="str" cm="1">
        <f t="array" aca="1" ref="V32" ca="1">_xlfn.IFS(Table1[[#This Row],[Agreement Days]]&gt;=0,"Expired",Table1[[#This Row],[Agreement Days]]&gt;=-30,"Expires &lt; 30 Days",Table1[[#This Row],[Agreement Days]]&gt;=-60,"Expires &lt; 60 Days",Table1[[#This Row],[Agreement Days]]&lt;-60,"Valid Contract")</f>
        <v>Expired</v>
      </c>
      <c r="W32" s="18" t="s">
        <v>18</v>
      </c>
      <c r="X32" s="18" t="s">
        <v>639</v>
      </c>
      <c r="Y32" s="35" t="s">
        <v>640</v>
      </c>
      <c r="Z32" s="36" t="s">
        <v>641</v>
      </c>
      <c r="AA32" s="27"/>
      <c r="AB32" s="116"/>
      <c r="AC32" s="116"/>
    </row>
    <row r="33" spans="1:29" s="12" customFormat="1" hidden="1" x14ac:dyDescent="0.3">
      <c r="A33" s="18" t="s">
        <v>637</v>
      </c>
      <c r="B33" s="18" t="s">
        <v>208</v>
      </c>
      <c r="C33" s="18" t="s">
        <v>544</v>
      </c>
      <c r="D33" s="14" t="s">
        <v>545</v>
      </c>
      <c r="E33" s="18" t="s">
        <v>9</v>
      </c>
      <c r="F33" s="14" t="s">
        <v>517</v>
      </c>
      <c r="G33" s="14" t="s">
        <v>518</v>
      </c>
      <c r="H33" s="18" t="s">
        <v>5</v>
      </c>
      <c r="I33" s="14" t="s">
        <v>115</v>
      </c>
      <c r="J33" s="18"/>
      <c r="K33" s="18" t="s">
        <v>643</v>
      </c>
      <c r="L33" s="18"/>
      <c r="M33" s="14">
        <v>10</v>
      </c>
      <c r="N33" s="15">
        <v>28305.08</v>
      </c>
      <c r="O33" s="15">
        <f t="shared" si="0"/>
        <v>283050.80000000005</v>
      </c>
      <c r="P33" s="15"/>
      <c r="Q33" s="14" t="s">
        <v>520</v>
      </c>
      <c r="R33" s="25">
        <v>45016</v>
      </c>
      <c r="S33" s="34" t="str">
        <f>TEXT(Table1[[#This Row],[End Date]],"MMMM")</f>
        <v>March</v>
      </c>
      <c r="T33" s="34" t="str">
        <f>TEXT(Table1[[#This Row],[End Date]],"YYYY")</f>
        <v>2023</v>
      </c>
      <c r="U33" s="24">
        <f t="shared" ca="1" si="1"/>
        <v>117</v>
      </c>
      <c r="V33" s="14" t="str" cm="1">
        <f t="array" aca="1" ref="V33" ca="1">_xlfn.IFS(Table1[[#This Row],[Agreement Days]]&gt;=0,"Expired",Table1[[#This Row],[Agreement Days]]&gt;=-30,"Expires &lt; 30 Days",Table1[[#This Row],[Agreement Days]]&gt;=-60,"Expires &lt; 60 Days",Table1[[#This Row],[Agreement Days]]&lt;-60,"Valid Contract")</f>
        <v>Expired</v>
      </c>
      <c r="W33" s="18" t="s">
        <v>18</v>
      </c>
      <c r="X33" s="18" t="s">
        <v>639</v>
      </c>
      <c r="Y33" s="35" t="s">
        <v>640</v>
      </c>
      <c r="Z33" s="36" t="s">
        <v>641</v>
      </c>
      <c r="AA33" s="27"/>
      <c r="AB33" s="116"/>
      <c r="AC33" s="116"/>
    </row>
    <row r="34" spans="1:29" hidden="1" x14ac:dyDescent="0.3">
      <c r="A34" s="18" t="s">
        <v>644</v>
      </c>
      <c r="B34" s="18" t="s">
        <v>186</v>
      </c>
      <c r="C34" s="18" t="s">
        <v>515</v>
      </c>
      <c r="D34" s="14" t="s">
        <v>645</v>
      </c>
      <c r="E34" s="18" t="s">
        <v>9</v>
      </c>
      <c r="F34" s="14" t="s">
        <v>517</v>
      </c>
      <c r="G34" s="14" t="s">
        <v>518</v>
      </c>
      <c r="H34" s="18" t="s">
        <v>5</v>
      </c>
      <c r="I34" s="14" t="s">
        <v>117</v>
      </c>
      <c r="J34" s="14">
        <v>3</v>
      </c>
      <c r="K34" s="18" t="s">
        <v>646</v>
      </c>
      <c r="L34" s="18"/>
      <c r="M34" s="14">
        <v>1</v>
      </c>
      <c r="N34" s="15">
        <v>180000</v>
      </c>
      <c r="O34" s="15">
        <f t="shared" si="0"/>
        <v>180000</v>
      </c>
      <c r="P34" s="15"/>
      <c r="Q34" s="14" t="s">
        <v>520</v>
      </c>
      <c r="R34" s="25">
        <v>45016</v>
      </c>
      <c r="S34" s="34" t="str">
        <f>TEXT(Table1[[#This Row],[End Date]],"MMMM")</f>
        <v>March</v>
      </c>
      <c r="T34" s="34" t="str">
        <f>TEXT(Table1[[#This Row],[End Date]],"YYYY")</f>
        <v>2023</v>
      </c>
      <c r="U34" s="24">
        <f t="shared" ca="1" si="1"/>
        <v>117</v>
      </c>
      <c r="V34" s="14" t="str" cm="1">
        <f t="array" aca="1" ref="V34" ca="1">_xlfn.IFS(Table1[[#This Row],[Agreement Days]]&gt;=0,"Expired",Table1[[#This Row],[Agreement Days]]&gt;=-30,"Expires &lt; 30 Days",Table1[[#This Row],[Agreement Days]]&gt;=-60,"Expires &lt; 60 Days",Table1[[#This Row],[Agreement Days]]&lt;-60,"Valid Contract")</f>
        <v>Expired</v>
      </c>
      <c r="W34" s="18" t="s">
        <v>18</v>
      </c>
      <c r="X34" s="18" t="s">
        <v>521</v>
      </c>
      <c r="Y34" s="35" t="s">
        <v>647</v>
      </c>
      <c r="Z34" s="36" t="s">
        <v>648</v>
      </c>
      <c r="AA34" s="36"/>
      <c r="AB34" s="116"/>
      <c r="AC34" s="116"/>
    </row>
    <row r="35" spans="1:29" hidden="1" x14ac:dyDescent="0.3">
      <c r="A35" s="18" t="s">
        <v>644</v>
      </c>
      <c r="B35" s="18" t="s">
        <v>186</v>
      </c>
      <c r="C35" s="18" t="s">
        <v>544</v>
      </c>
      <c r="D35" s="14" t="s">
        <v>645</v>
      </c>
      <c r="E35" s="18" t="s">
        <v>9</v>
      </c>
      <c r="F35" s="14" t="s">
        <v>517</v>
      </c>
      <c r="G35" s="14" t="s">
        <v>518</v>
      </c>
      <c r="H35" s="18" t="s">
        <v>5</v>
      </c>
      <c r="I35" s="14" t="s">
        <v>117</v>
      </c>
      <c r="J35" s="14">
        <v>5</v>
      </c>
      <c r="K35" s="18" t="s">
        <v>519</v>
      </c>
      <c r="L35" s="18"/>
      <c r="M35" s="14">
        <v>1</v>
      </c>
      <c r="N35" s="15">
        <v>270000</v>
      </c>
      <c r="O35" s="15">
        <f t="shared" si="0"/>
        <v>270000</v>
      </c>
      <c r="P35" s="15"/>
      <c r="Q35" s="14" t="s">
        <v>520</v>
      </c>
      <c r="R35" s="25">
        <v>45016</v>
      </c>
      <c r="S35" s="34" t="str">
        <f>TEXT(Table1[[#This Row],[End Date]],"MMMM")</f>
        <v>March</v>
      </c>
      <c r="T35" s="34" t="str">
        <f>TEXT(Table1[[#This Row],[End Date]],"YYYY")</f>
        <v>2023</v>
      </c>
      <c r="U35" s="24">
        <f t="shared" ca="1" si="1"/>
        <v>117</v>
      </c>
      <c r="V35" s="14" t="str" cm="1">
        <f t="array" aca="1" ref="V35" ca="1">_xlfn.IFS(Table1[[#This Row],[Agreement Days]]&gt;=0,"Expired",Table1[[#This Row],[Agreement Days]]&gt;=-30,"Expires &lt; 30 Days",Table1[[#This Row],[Agreement Days]]&gt;=-60,"Expires &lt; 60 Days",Table1[[#This Row],[Agreement Days]]&lt;-60,"Valid Contract")</f>
        <v>Expired</v>
      </c>
      <c r="W35" s="18" t="s">
        <v>18</v>
      </c>
      <c r="X35" s="18" t="s">
        <v>521</v>
      </c>
      <c r="Y35" s="35" t="s">
        <v>647</v>
      </c>
      <c r="Z35" s="36" t="s">
        <v>648</v>
      </c>
      <c r="AA35" s="36"/>
      <c r="AB35" s="116"/>
      <c r="AC35" s="116"/>
    </row>
    <row r="36" spans="1:29" hidden="1" x14ac:dyDescent="0.3">
      <c r="A36" s="18" t="s">
        <v>644</v>
      </c>
      <c r="B36" s="18" t="s">
        <v>186</v>
      </c>
      <c r="C36" s="18" t="s">
        <v>544</v>
      </c>
      <c r="D36" s="14" t="s">
        <v>645</v>
      </c>
      <c r="E36" s="18" t="s">
        <v>9</v>
      </c>
      <c r="F36" s="14" t="s">
        <v>517</v>
      </c>
      <c r="G36" s="14" t="s">
        <v>518</v>
      </c>
      <c r="H36" s="18" t="s">
        <v>5</v>
      </c>
      <c r="I36" s="14" t="s">
        <v>120</v>
      </c>
      <c r="J36" s="18"/>
      <c r="K36" s="18" t="s">
        <v>649</v>
      </c>
      <c r="L36" s="18"/>
      <c r="M36" s="14">
        <v>1</v>
      </c>
      <c r="N36" s="15">
        <v>258045</v>
      </c>
      <c r="O36" s="15">
        <f t="shared" si="0"/>
        <v>258045</v>
      </c>
      <c r="P36" s="15"/>
      <c r="Q36" s="14" t="s">
        <v>520</v>
      </c>
      <c r="R36" s="25">
        <v>45016</v>
      </c>
      <c r="S36" s="34" t="str">
        <f>TEXT(Table1[[#This Row],[End Date]],"MMMM")</f>
        <v>March</v>
      </c>
      <c r="T36" s="34" t="str">
        <f>TEXT(Table1[[#This Row],[End Date]],"YYYY")</f>
        <v>2023</v>
      </c>
      <c r="U36" s="24">
        <f t="shared" ca="1" si="1"/>
        <v>117</v>
      </c>
      <c r="V36" s="14" t="str" cm="1">
        <f t="array" aca="1" ref="V36" ca="1">_xlfn.IFS(Table1[[#This Row],[Agreement Days]]&gt;=0,"Expired",Table1[[#This Row],[Agreement Days]]&gt;=-30,"Expires &lt; 30 Days",Table1[[#This Row],[Agreement Days]]&gt;=-60,"Expires &lt; 60 Days",Table1[[#This Row],[Agreement Days]]&lt;-60,"Valid Contract")</f>
        <v>Expired</v>
      </c>
      <c r="W36" s="18" t="s">
        <v>18</v>
      </c>
      <c r="X36" s="18" t="s">
        <v>521</v>
      </c>
      <c r="Y36" s="35" t="s">
        <v>647</v>
      </c>
      <c r="Z36" s="36" t="s">
        <v>648</v>
      </c>
      <c r="AA36" s="36"/>
      <c r="AB36" s="116"/>
      <c r="AC36" s="116"/>
    </row>
    <row r="37" spans="1:29" hidden="1" x14ac:dyDescent="0.3">
      <c r="A37" s="18" t="s">
        <v>644</v>
      </c>
      <c r="B37" s="18" t="s">
        <v>186</v>
      </c>
      <c r="C37" s="18" t="s">
        <v>544</v>
      </c>
      <c r="D37" s="14" t="s">
        <v>645</v>
      </c>
      <c r="E37" s="18" t="s">
        <v>9</v>
      </c>
      <c r="F37" s="14" t="s">
        <v>517</v>
      </c>
      <c r="G37" s="14" t="s">
        <v>518</v>
      </c>
      <c r="H37" s="18" t="s">
        <v>4</v>
      </c>
      <c r="I37" s="14" t="s">
        <v>118</v>
      </c>
      <c r="J37" s="18"/>
      <c r="K37" s="18" t="s">
        <v>650</v>
      </c>
      <c r="L37" s="18"/>
      <c r="M37" s="14">
        <v>1</v>
      </c>
      <c r="N37" s="15">
        <v>369325</v>
      </c>
      <c r="O37" s="15">
        <f t="shared" si="0"/>
        <v>369325</v>
      </c>
      <c r="P37" s="15"/>
      <c r="Q37" s="14" t="s">
        <v>520</v>
      </c>
      <c r="R37" s="25">
        <v>45016</v>
      </c>
      <c r="S37" s="34" t="str">
        <f>TEXT(Table1[[#This Row],[End Date]],"MMMM")</f>
        <v>March</v>
      </c>
      <c r="T37" s="34" t="str">
        <f>TEXT(Table1[[#This Row],[End Date]],"YYYY")</f>
        <v>2023</v>
      </c>
      <c r="U37" s="24">
        <f t="shared" ca="1" si="1"/>
        <v>117</v>
      </c>
      <c r="V37" s="14" t="str" cm="1">
        <f t="array" aca="1" ref="V37" ca="1">_xlfn.IFS(Table1[[#This Row],[Agreement Days]]&gt;=0,"Expired",Table1[[#This Row],[Agreement Days]]&gt;=-30,"Expires &lt; 30 Days",Table1[[#This Row],[Agreement Days]]&gt;=-60,"Expires &lt; 60 Days",Table1[[#This Row],[Agreement Days]]&lt;-60,"Valid Contract")</f>
        <v>Expired</v>
      </c>
      <c r="W37" s="18" t="s">
        <v>18</v>
      </c>
      <c r="X37" s="18" t="s">
        <v>521</v>
      </c>
      <c r="Y37" s="35" t="s">
        <v>647</v>
      </c>
      <c r="Z37" s="36" t="s">
        <v>648</v>
      </c>
      <c r="AA37" s="36"/>
      <c r="AB37" s="116"/>
      <c r="AC37" s="116"/>
    </row>
    <row r="38" spans="1:29" hidden="1" x14ac:dyDescent="0.3">
      <c r="A38" s="18" t="s">
        <v>644</v>
      </c>
      <c r="B38" s="18" t="s">
        <v>186</v>
      </c>
      <c r="C38" s="18" t="s">
        <v>544</v>
      </c>
      <c r="D38" s="14" t="s">
        <v>645</v>
      </c>
      <c r="E38" s="18" t="s">
        <v>9</v>
      </c>
      <c r="F38" s="14" t="s">
        <v>517</v>
      </c>
      <c r="G38" s="14" t="s">
        <v>518</v>
      </c>
      <c r="H38" s="18" t="s">
        <v>5</v>
      </c>
      <c r="I38" s="14" t="s">
        <v>115</v>
      </c>
      <c r="J38" s="18"/>
      <c r="K38" s="18" t="s">
        <v>643</v>
      </c>
      <c r="L38" s="18"/>
      <c r="M38" s="14">
        <v>4</v>
      </c>
      <c r="N38" s="15">
        <v>28305.08</v>
      </c>
      <c r="O38" s="15">
        <f t="shared" si="0"/>
        <v>113220.32</v>
      </c>
      <c r="P38" s="15"/>
      <c r="Q38" s="14" t="s">
        <v>520</v>
      </c>
      <c r="R38" s="25">
        <v>45016</v>
      </c>
      <c r="S38" s="34" t="str">
        <f>TEXT(Table1[[#This Row],[End Date]],"MMMM")</f>
        <v>March</v>
      </c>
      <c r="T38" s="34" t="str">
        <f>TEXT(Table1[[#This Row],[End Date]],"YYYY")</f>
        <v>2023</v>
      </c>
      <c r="U38" s="24">
        <f t="shared" ca="1" si="1"/>
        <v>117</v>
      </c>
      <c r="V38" s="14" t="str" cm="1">
        <f t="array" aca="1" ref="V38" ca="1">_xlfn.IFS(Table1[[#This Row],[Agreement Days]]&gt;=0,"Expired",Table1[[#This Row],[Agreement Days]]&gt;=-30,"Expires &lt; 30 Days",Table1[[#This Row],[Agreement Days]]&gt;=-60,"Expires &lt; 60 Days",Table1[[#This Row],[Agreement Days]]&lt;-60,"Valid Contract")</f>
        <v>Expired</v>
      </c>
      <c r="W38" s="18" t="s">
        <v>18</v>
      </c>
      <c r="X38" s="18" t="s">
        <v>521</v>
      </c>
      <c r="Y38" s="35" t="s">
        <v>647</v>
      </c>
      <c r="Z38" s="36" t="s">
        <v>648</v>
      </c>
      <c r="AA38" s="36"/>
      <c r="AB38" s="116"/>
      <c r="AC38" s="116"/>
    </row>
    <row r="39" spans="1:29" hidden="1" x14ac:dyDescent="0.3">
      <c r="A39" s="18" t="s">
        <v>644</v>
      </c>
      <c r="B39" s="18" t="s">
        <v>186</v>
      </c>
      <c r="C39" s="18" t="s">
        <v>544</v>
      </c>
      <c r="D39" s="14" t="s">
        <v>645</v>
      </c>
      <c r="E39" s="18" t="s">
        <v>9</v>
      </c>
      <c r="F39" s="14" t="s">
        <v>517</v>
      </c>
      <c r="G39" s="14" t="s">
        <v>518</v>
      </c>
      <c r="H39" s="18" t="s">
        <v>5</v>
      </c>
      <c r="I39" s="14" t="s">
        <v>115</v>
      </c>
      <c r="J39" s="18"/>
      <c r="K39" s="18" t="s">
        <v>651</v>
      </c>
      <c r="L39" s="18"/>
      <c r="M39" s="14">
        <v>21</v>
      </c>
      <c r="N39" s="15">
        <f>96000/1.18</f>
        <v>81355.932203389835</v>
      </c>
      <c r="O39" s="15">
        <f t="shared" si="0"/>
        <v>1708474.5762711866</v>
      </c>
      <c r="P39" s="15"/>
      <c r="Q39" s="14" t="s">
        <v>520</v>
      </c>
      <c r="R39" s="25">
        <v>45016</v>
      </c>
      <c r="S39" s="34" t="str">
        <f>TEXT(Table1[[#This Row],[End Date]],"MMMM")</f>
        <v>March</v>
      </c>
      <c r="T39" s="34" t="str">
        <f>TEXT(Table1[[#This Row],[End Date]],"YYYY")</f>
        <v>2023</v>
      </c>
      <c r="U39" s="24">
        <f t="shared" ca="1" si="1"/>
        <v>117</v>
      </c>
      <c r="V39" s="14" t="str" cm="1">
        <f t="array" aca="1" ref="V39" ca="1">_xlfn.IFS(Table1[[#This Row],[Agreement Days]]&gt;=0,"Expired",Table1[[#This Row],[Agreement Days]]&gt;=-30,"Expires &lt; 30 Days",Table1[[#This Row],[Agreement Days]]&gt;=-60,"Expires &lt; 60 Days",Table1[[#This Row],[Agreement Days]]&lt;-60,"Valid Contract")</f>
        <v>Expired</v>
      </c>
      <c r="W39" s="18" t="s">
        <v>18</v>
      </c>
      <c r="X39" s="18" t="s">
        <v>521</v>
      </c>
      <c r="Y39" s="35" t="s">
        <v>647</v>
      </c>
      <c r="Z39" s="36" t="s">
        <v>648</v>
      </c>
      <c r="AA39" s="36"/>
      <c r="AB39" s="116"/>
      <c r="AC39" s="116"/>
    </row>
    <row r="40" spans="1:29" hidden="1" x14ac:dyDescent="0.3">
      <c r="A40" s="18" t="s">
        <v>644</v>
      </c>
      <c r="B40" s="18" t="s">
        <v>186</v>
      </c>
      <c r="C40" s="18" t="s">
        <v>544</v>
      </c>
      <c r="D40" s="14" t="s">
        <v>645</v>
      </c>
      <c r="E40" s="18" t="s">
        <v>9</v>
      </c>
      <c r="F40" s="14" t="s">
        <v>517</v>
      </c>
      <c r="G40" s="14" t="s">
        <v>518</v>
      </c>
      <c r="H40" s="18" t="s">
        <v>5</v>
      </c>
      <c r="I40" s="14" t="s">
        <v>115</v>
      </c>
      <c r="J40" s="18"/>
      <c r="K40" s="18" t="s">
        <v>573</v>
      </c>
      <c r="L40" s="18"/>
      <c r="M40" s="14">
        <v>69</v>
      </c>
      <c r="N40" s="15">
        <v>19491.53</v>
      </c>
      <c r="O40" s="15">
        <f t="shared" si="0"/>
        <v>1344915.5699999998</v>
      </c>
      <c r="P40" s="15"/>
      <c r="Q40" s="14" t="s">
        <v>520</v>
      </c>
      <c r="R40" s="25">
        <v>45016</v>
      </c>
      <c r="S40" s="34" t="str">
        <f>TEXT(Table1[[#This Row],[End Date]],"MMMM")</f>
        <v>March</v>
      </c>
      <c r="T40" s="34" t="str">
        <f>TEXT(Table1[[#This Row],[End Date]],"YYYY")</f>
        <v>2023</v>
      </c>
      <c r="U40" s="24">
        <f t="shared" ca="1" si="1"/>
        <v>117</v>
      </c>
      <c r="V40" s="14" t="str" cm="1">
        <f t="array" aca="1" ref="V40" ca="1">_xlfn.IFS(Table1[[#This Row],[Agreement Days]]&gt;=0,"Expired",Table1[[#This Row],[Agreement Days]]&gt;=-30,"Expires &lt; 30 Days",Table1[[#This Row],[Agreement Days]]&gt;=-60,"Expires &lt; 60 Days",Table1[[#This Row],[Agreement Days]]&lt;-60,"Valid Contract")</f>
        <v>Expired</v>
      </c>
      <c r="W40" s="18" t="s">
        <v>18</v>
      </c>
      <c r="X40" s="18" t="s">
        <v>521</v>
      </c>
      <c r="Y40" s="35" t="s">
        <v>647</v>
      </c>
      <c r="Z40" s="36" t="s">
        <v>648</v>
      </c>
      <c r="AA40" s="36"/>
      <c r="AB40" s="116"/>
      <c r="AC40" s="116"/>
    </row>
    <row r="41" spans="1:29" hidden="1" x14ac:dyDescent="0.3">
      <c r="A41" s="18" t="s">
        <v>652</v>
      </c>
      <c r="B41" s="18" t="s">
        <v>227</v>
      </c>
      <c r="C41" s="18" t="s">
        <v>227</v>
      </c>
      <c r="D41" s="14" t="s">
        <v>653</v>
      </c>
      <c r="E41" s="18" t="s">
        <v>9</v>
      </c>
      <c r="F41" s="14" t="s">
        <v>517</v>
      </c>
      <c r="G41" s="14" t="s">
        <v>518</v>
      </c>
      <c r="H41" s="18" t="s">
        <v>5</v>
      </c>
      <c r="I41" s="14" t="s">
        <v>117</v>
      </c>
      <c r="J41" s="14">
        <v>20</v>
      </c>
      <c r="K41" s="14" t="s">
        <v>654</v>
      </c>
      <c r="L41" s="14"/>
      <c r="M41" s="14">
        <v>1</v>
      </c>
      <c r="N41" s="15">
        <v>900000</v>
      </c>
      <c r="O41" s="15">
        <f t="shared" si="0"/>
        <v>900000</v>
      </c>
      <c r="P41" s="15"/>
      <c r="Q41" s="14" t="s">
        <v>520</v>
      </c>
      <c r="R41" s="25">
        <v>45401</v>
      </c>
      <c r="S41" s="22" t="str">
        <f>TEXT(Table1[[#This Row],[End Date]],"MMMM")</f>
        <v>April</v>
      </c>
      <c r="T41" s="23" t="str">
        <f>TEXT(Table1[[#This Row],[End Date]],"YYYY")</f>
        <v>2024</v>
      </c>
      <c r="U41" s="24">
        <f ca="1">TODAY()-R41</f>
        <v>-268</v>
      </c>
      <c r="V41" s="14" t="str" cm="1">
        <f t="array" aca="1" ref="V41" ca="1">_xlfn.IFS(Table1[[#This Row],[Agreement Days]]&gt;=0,"Expired",Table1[[#This Row],[Agreement Days]]&gt;=-30,"Expires &lt; 30 Days",Table1[[#This Row],[Agreement Days]]&gt;=-60,"Expires &lt; 60 Days",Table1[[#This Row],[Agreement Days]]&lt;-60,"Valid Contract")</f>
        <v>Valid Contract</v>
      </c>
      <c r="W41" s="14" t="s">
        <v>19</v>
      </c>
      <c r="X41" s="14" t="s">
        <v>655</v>
      </c>
      <c r="Y41" s="14" t="s">
        <v>656</v>
      </c>
      <c r="Z41" s="17">
        <v>788313458</v>
      </c>
      <c r="AA41" s="17"/>
      <c r="AB41" s="116"/>
      <c r="AC41" s="116"/>
    </row>
    <row r="42" spans="1:29" hidden="1" x14ac:dyDescent="0.3">
      <c r="A42" s="18" t="s">
        <v>652</v>
      </c>
      <c r="B42" s="18" t="s">
        <v>227</v>
      </c>
      <c r="C42" s="18" t="s">
        <v>227</v>
      </c>
      <c r="D42" s="14" t="s">
        <v>653</v>
      </c>
      <c r="E42" s="18" t="s">
        <v>9</v>
      </c>
      <c r="F42" s="14" t="s">
        <v>517</v>
      </c>
      <c r="G42" s="14" t="s">
        <v>518</v>
      </c>
      <c r="H42" s="18" t="s">
        <v>5</v>
      </c>
      <c r="I42" s="14" t="s">
        <v>115</v>
      </c>
      <c r="J42" s="14"/>
      <c r="K42" s="18" t="s">
        <v>657</v>
      </c>
      <c r="L42" s="14"/>
      <c r="M42" s="14">
        <v>1</v>
      </c>
      <c r="N42" s="15">
        <v>45338.98</v>
      </c>
      <c r="O42" s="15">
        <f t="shared" si="0"/>
        <v>45338.98</v>
      </c>
      <c r="P42" s="15"/>
      <c r="Q42" s="14" t="s">
        <v>520</v>
      </c>
      <c r="R42" s="25">
        <v>45401</v>
      </c>
      <c r="S42" s="22" t="str">
        <f>TEXT(Table1[[#This Row],[End Date]],"MMMM")</f>
        <v>April</v>
      </c>
      <c r="T42" s="23" t="str">
        <f>TEXT(Table1[[#This Row],[End Date]],"YYYY")</f>
        <v>2024</v>
      </c>
      <c r="U42" s="24">
        <f t="shared" ca="1" si="1"/>
        <v>-268</v>
      </c>
      <c r="V42" s="14" t="str" cm="1">
        <f t="array" aca="1" ref="V42" ca="1">_xlfn.IFS(Table1[[#This Row],[Agreement Days]]&gt;=0,"Expired",Table1[[#This Row],[Agreement Days]]&gt;=-30,"Expires &lt; 30 Days",Table1[[#This Row],[Agreement Days]]&gt;=-60,"Expires &lt; 60 Days",Table1[[#This Row],[Agreement Days]]&lt;-60,"Valid Contract")</f>
        <v>Valid Contract</v>
      </c>
      <c r="W42" s="14" t="s">
        <v>19</v>
      </c>
      <c r="X42" s="14" t="s">
        <v>655</v>
      </c>
      <c r="Y42" s="14" t="s">
        <v>656</v>
      </c>
      <c r="Z42" s="17">
        <v>788313458</v>
      </c>
      <c r="AA42" s="17"/>
      <c r="AB42" s="120"/>
      <c r="AC42" s="120"/>
    </row>
    <row r="43" spans="1:29" hidden="1" x14ac:dyDescent="0.3">
      <c r="A43" s="18" t="s">
        <v>652</v>
      </c>
      <c r="B43" s="18" t="s">
        <v>227</v>
      </c>
      <c r="C43" s="18" t="s">
        <v>658</v>
      </c>
      <c r="D43" s="14" t="s">
        <v>653</v>
      </c>
      <c r="E43" s="18" t="s">
        <v>9</v>
      </c>
      <c r="F43" s="14" t="s">
        <v>517</v>
      </c>
      <c r="G43" s="14" t="s">
        <v>518</v>
      </c>
      <c r="H43" s="18" t="s">
        <v>5</v>
      </c>
      <c r="I43" s="14" t="s">
        <v>120</v>
      </c>
      <c r="J43" s="14"/>
      <c r="K43" s="14" t="s">
        <v>659</v>
      </c>
      <c r="L43" s="14"/>
      <c r="M43" s="14">
        <v>1</v>
      </c>
      <c r="N43" s="15">
        <v>258044.92</v>
      </c>
      <c r="O43" s="15">
        <f t="shared" si="0"/>
        <v>258044.92</v>
      </c>
      <c r="P43" s="15"/>
      <c r="Q43" s="14" t="s">
        <v>520</v>
      </c>
      <c r="R43" s="25">
        <v>45401</v>
      </c>
      <c r="S43" s="22" t="str">
        <f>TEXT(Table1[[#This Row],[End Date]],"MMMM")</f>
        <v>April</v>
      </c>
      <c r="T43" s="23" t="str">
        <f>TEXT(Table1[[#This Row],[End Date]],"YYYY")</f>
        <v>2024</v>
      </c>
      <c r="U43" s="24">
        <f t="shared" ca="1" si="1"/>
        <v>-268</v>
      </c>
      <c r="V43" s="14" t="str" cm="1">
        <f t="array" aca="1" ref="V43" ca="1">_xlfn.IFS(Table1[[#This Row],[Agreement Days]]&gt;=0,"Expired",Table1[[#This Row],[Agreement Days]]&gt;=-30,"Expires &lt; 30 Days",Table1[[#This Row],[Agreement Days]]&gt;=-60,"Expires &lt; 60 Days",Table1[[#This Row],[Agreement Days]]&lt;-60,"Valid Contract")</f>
        <v>Valid Contract</v>
      </c>
      <c r="W43" s="14" t="s">
        <v>19</v>
      </c>
      <c r="X43" s="14" t="s">
        <v>655</v>
      </c>
      <c r="Y43" s="14" t="s">
        <v>656</v>
      </c>
      <c r="Z43" s="17">
        <v>788313458</v>
      </c>
      <c r="AA43" s="17"/>
      <c r="AB43" s="120"/>
      <c r="AC43" s="120"/>
    </row>
    <row r="44" spans="1:29" hidden="1" x14ac:dyDescent="0.3">
      <c r="A44" s="18" t="s">
        <v>660</v>
      </c>
      <c r="B44" s="18" t="s">
        <v>234</v>
      </c>
      <c r="C44" s="18" t="s">
        <v>661</v>
      </c>
      <c r="D44" s="14" t="s">
        <v>662</v>
      </c>
      <c r="E44" s="18" t="s">
        <v>10</v>
      </c>
      <c r="F44" s="14" t="s">
        <v>663</v>
      </c>
      <c r="G44" s="14" t="s">
        <v>518</v>
      </c>
      <c r="H44" s="18" t="s">
        <v>5</v>
      </c>
      <c r="I44" s="14" t="s">
        <v>134</v>
      </c>
      <c r="J44" s="14">
        <v>40</v>
      </c>
      <c r="K44" s="20" t="s">
        <v>664</v>
      </c>
      <c r="L44" s="14"/>
      <c r="M44" s="14">
        <v>1</v>
      </c>
      <c r="N44" s="15">
        <v>2288136</v>
      </c>
      <c r="O44" s="15">
        <f t="shared" si="0"/>
        <v>2288136</v>
      </c>
      <c r="P44" s="15"/>
      <c r="Q44" s="14" t="s">
        <v>520</v>
      </c>
      <c r="R44" s="21">
        <v>45404</v>
      </c>
      <c r="S44" s="22" t="str">
        <f>TEXT(Table1[[#This Row],[End Date]],"MMMM")</f>
        <v>April</v>
      </c>
      <c r="T44" s="23" t="str">
        <f>TEXT(Table1[[#This Row],[End Date]],"YYYY")</f>
        <v>2024</v>
      </c>
      <c r="U44" s="24">
        <f t="shared" ca="1" si="1"/>
        <v>-271</v>
      </c>
      <c r="V44" s="14" t="str" cm="1">
        <f t="array" aca="1" ref="V44" ca="1">_xlfn.IFS(Table1[[#This Row],[Agreement Days]]&gt;=0,"Expired",Table1[[#This Row],[Agreement Days]]&gt;=-30,"Expires &lt; 30 Days",Table1[[#This Row],[Agreement Days]]&gt;=-60,"Expires &lt; 60 Days",Table1[[#This Row],[Agreement Days]]&lt;-60,"Valid Contract")</f>
        <v>Valid Contract</v>
      </c>
      <c r="W44" s="14" t="s">
        <v>20</v>
      </c>
      <c r="X44" s="26" t="s">
        <v>665</v>
      </c>
      <c r="Y44" s="45" t="s">
        <v>666</v>
      </c>
      <c r="Z44" s="17" t="s">
        <v>667</v>
      </c>
      <c r="AA44" s="19"/>
      <c r="AB44" s="120"/>
      <c r="AC44" s="120"/>
    </row>
    <row r="45" spans="1:29" hidden="1" x14ac:dyDescent="0.3">
      <c r="A45" s="18" t="s">
        <v>668</v>
      </c>
      <c r="B45" s="18" t="s">
        <v>179</v>
      </c>
      <c r="C45" s="18" t="s">
        <v>669</v>
      </c>
      <c r="D45" s="14" t="s">
        <v>653</v>
      </c>
      <c r="E45" s="18" t="s">
        <v>9</v>
      </c>
      <c r="F45" s="14" t="s">
        <v>517</v>
      </c>
      <c r="G45" s="14" t="s">
        <v>546</v>
      </c>
      <c r="H45" s="18" t="s">
        <v>5</v>
      </c>
      <c r="I45" s="14" t="s">
        <v>117</v>
      </c>
      <c r="J45" s="14">
        <v>5</v>
      </c>
      <c r="K45" s="18" t="s">
        <v>519</v>
      </c>
      <c r="L45" s="18"/>
      <c r="M45" s="14">
        <v>1</v>
      </c>
      <c r="N45" s="15">
        <v>270000</v>
      </c>
      <c r="O45" s="15">
        <f t="shared" si="0"/>
        <v>270000</v>
      </c>
      <c r="P45" s="15"/>
      <c r="Q45" s="14" t="s">
        <v>520</v>
      </c>
      <c r="R45" s="25">
        <v>45046</v>
      </c>
      <c r="S45" s="34" t="str">
        <f>TEXT(Table1[[#This Row],[End Date]],"MMMM")</f>
        <v>April</v>
      </c>
      <c r="T45" s="34" t="str">
        <f>TEXT(Table1[[#This Row],[End Date]],"YYYY")</f>
        <v>2023</v>
      </c>
      <c r="U45" s="24">
        <f t="shared" ca="1" si="1"/>
        <v>87</v>
      </c>
      <c r="V45" s="14" t="str" cm="1">
        <f t="array" aca="1" ref="V45" ca="1">_xlfn.IFS(Table1[[#This Row],[Agreement Days]]&gt;=0,"Expired",Table1[[#This Row],[Agreement Days]]&gt;=-30,"Expires &lt; 30 Days",Table1[[#This Row],[Agreement Days]]&gt;=-60,"Expires &lt; 60 Days",Table1[[#This Row],[Agreement Days]]&lt;-60,"Valid Contract")</f>
        <v>Expired</v>
      </c>
      <c r="W45" s="18" t="s">
        <v>18</v>
      </c>
      <c r="X45" s="18" t="s">
        <v>670</v>
      </c>
      <c r="Y45" s="35" t="s">
        <v>671</v>
      </c>
      <c r="Z45" s="36" t="s">
        <v>672</v>
      </c>
      <c r="AA45" s="27"/>
      <c r="AB45" s="116"/>
      <c r="AC45" s="116"/>
    </row>
    <row r="46" spans="1:29" hidden="1" x14ac:dyDescent="0.3">
      <c r="A46" s="18" t="s">
        <v>668</v>
      </c>
      <c r="B46" s="18" t="s">
        <v>179</v>
      </c>
      <c r="C46" s="18" t="s">
        <v>544</v>
      </c>
      <c r="D46" s="14" t="s">
        <v>653</v>
      </c>
      <c r="E46" s="18" t="s">
        <v>9</v>
      </c>
      <c r="F46" s="14" t="s">
        <v>517</v>
      </c>
      <c r="G46" s="14" t="s">
        <v>546</v>
      </c>
      <c r="H46" s="18" t="s">
        <v>5</v>
      </c>
      <c r="I46" s="14" t="s">
        <v>117</v>
      </c>
      <c r="J46" s="14">
        <v>50</v>
      </c>
      <c r="K46" s="18" t="s">
        <v>673</v>
      </c>
      <c r="L46" s="18"/>
      <c r="M46" s="14">
        <v>1</v>
      </c>
      <c r="N46" s="15">
        <v>1800000</v>
      </c>
      <c r="O46" s="15">
        <f t="shared" si="0"/>
        <v>1800000</v>
      </c>
      <c r="P46" s="15"/>
      <c r="Q46" s="14" t="s">
        <v>520</v>
      </c>
      <c r="R46" s="25">
        <v>45046</v>
      </c>
      <c r="S46" s="34" t="str">
        <f>TEXT(Table1[[#This Row],[End Date]],"MMMM")</f>
        <v>April</v>
      </c>
      <c r="T46" s="34" t="str">
        <f>TEXT(Table1[[#This Row],[End Date]],"YYYY")</f>
        <v>2023</v>
      </c>
      <c r="U46" s="24">
        <f t="shared" ca="1" si="1"/>
        <v>87</v>
      </c>
      <c r="V46" s="14" t="str" cm="1">
        <f t="array" aca="1" ref="V46" ca="1">_xlfn.IFS(Table1[[#This Row],[Agreement Days]]&gt;=0,"Expired",Table1[[#This Row],[Agreement Days]]&gt;=-30,"Expires &lt; 30 Days",Table1[[#This Row],[Agreement Days]]&gt;=-60,"Expires &lt; 60 Days",Table1[[#This Row],[Agreement Days]]&lt;-60,"Valid Contract")</f>
        <v>Expired</v>
      </c>
      <c r="W46" s="18" t="s">
        <v>18</v>
      </c>
      <c r="X46" s="18" t="s">
        <v>670</v>
      </c>
      <c r="Y46" s="35" t="s">
        <v>671</v>
      </c>
      <c r="Z46" s="36" t="s">
        <v>672</v>
      </c>
      <c r="AA46" s="36"/>
      <c r="AB46" s="116"/>
      <c r="AC46" s="116"/>
    </row>
    <row r="47" spans="1:29" s="13" customFormat="1" hidden="1" x14ac:dyDescent="0.3">
      <c r="A47" s="18" t="s">
        <v>668</v>
      </c>
      <c r="B47" s="18" t="s">
        <v>179</v>
      </c>
      <c r="C47" s="18" t="s">
        <v>544</v>
      </c>
      <c r="D47" s="14" t="s">
        <v>653</v>
      </c>
      <c r="E47" s="18" t="s">
        <v>9</v>
      </c>
      <c r="F47" s="14" t="s">
        <v>517</v>
      </c>
      <c r="G47" s="14" t="s">
        <v>546</v>
      </c>
      <c r="H47" s="18" t="s">
        <v>4</v>
      </c>
      <c r="I47" s="14" t="s">
        <v>118</v>
      </c>
      <c r="J47" s="18"/>
      <c r="K47" s="18" t="s">
        <v>650</v>
      </c>
      <c r="L47" s="18"/>
      <c r="M47" s="14">
        <v>1</v>
      </c>
      <c r="N47" s="15">
        <v>369325</v>
      </c>
      <c r="O47" s="15">
        <f t="shared" si="0"/>
        <v>369325</v>
      </c>
      <c r="P47" s="15"/>
      <c r="Q47" s="14" t="s">
        <v>520</v>
      </c>
      <c r="R47" s="25">
        <v>45046</v>
      </c>
      <c r="S47" s="34" t="str">
        <f>TEXT(Table1[[#This Row],[End Date]],"MMMM")</f>
        <v>April</v>
      </c>
      <c r="T47" s="34" t="str">
        <f>TEXT(Table1[[#This Row],[End Date]],"YYYY")</f>
        <v>2023</v>
      </c>
      <c r="U47" s="24">
        <f t="shared" ca="1" si="1"/>
        <v>87</v>
      </c>
      <c r="V47" s="14" t="str" cm="1">
        <f t="array" aca="1" ref="V47" ca="1">_xlfn.IFS(Table1[[#This Row],[Agreement Days]]&gt;=0,"Expired",Table1[[#This Row],[Agreement Days]]&gt;=-30,"Expires &lt; 30 Days",Table1[[#This Row],[Agreement Days]]&gt;=-60,"Expires &lt; 60 Days",Table1[[#This Row],[Agreement Days]]&lt;-60,"Valid Contract")</f>
        <v>Expired</v>
      </c>
      <c r="W47" s="18" t="s">
        <v>18</v>
      </c>
      <c r="X47" s="18" t="s">
        <v>670</v>
      </c>
      <c r="Y47" s="35" t="s">
        <v>671</v>
      </c>
      <c r="Z47" s="36" t="s">
        <v>672</v>
      </c>
      <c r="AA47" s="27"/>
      <c r="AB47" s="116"/>
      <c r="AC47" s="116"/>
    </row>
    <row r="48" spans="1:29" s="13" customFormat="1" hidden="1" x14ac:dyDescent="0.3">
      <c r="A48" s="18" t="s">
        <v>668</v>
      </c>
      <c r="B48" s="18" t="s">
        <v>179</v>
      </c>
      <c r="C48" s="18" t="s">
        <v>544</v>
      </c>
      <c r="D48" s="14" t="s">
        <v>653</v>
      </c>
      <c r="E48" s="18" t="s">
        <v>9</v>
      </c>
      <c r="F48" s="14" t="s">
        <v>517</v>
      </c>
      <c r="G48" s="14" t="s">
        <v>546</v>
      </c>
      <c r="H48" s="18" t="s">
        <v>2</v>
      </c>
      <c r="I48" s="14" t="s">
        <v>120</v>
      </c>
      <c r="J48" s="18"/>
      <c r="K48" s="18" t="s">
        <v>649</v>
      </c>
      <c r="L48" s="18"/>
      <c r="M48" s="14">
        <v>1</v>
      </c>
      <c r="N48" s="15">
        <v>258045</v>
      </c>
      <c r="O48" s="15">
        <f t="shared" si="0"/>
        <v>258045</v>
      </c>
      <c r="P48" s="15"/>
      <c r="Q48" s="14" t="s">
        <v>520</v>
      </c>
      <c r="R48" s="25">
        <v>45046</v>
      </c>
      <c r="S48" s="34" t="str">
        <f>TEXT(Table1[[#This Row],[End Date]],"MMMM")</f>
        <v>April</v>
      </c>
      <c r="T48" s="34" t="str">
        <f>TEXT(Table1[[#This Row],[End Date]],"YYYY")</f>
        <v>2023</v>
      </c>
      <c r="U48" s="24">
        <f t="shared" ca="1" si="1"/>
        <v>87</v>
      </c>
      <c r="V48" s="14" t="str" cm="1">
        <f t="array" aca="1" ref="V48" ca="1">_xlfn.IFS(Table1[[#This Row],[Agreement Days]]&gt;=0,"Expired",Table1[[#This Row],[Agreement Days]]&gt;=-30,"Expires &lt; 30 Days",Table1[[#This Row],[Agreement Days]]&gt;=-60,"Expires &lt; 60 Days",Table1[[#This Row],[Agreement Days]]&lt;-60,"Valid Contract")</f>
        <v>Expired</v>
      </c>
      <c r="W48" s="18" t="s">
        <v>18</v>
      </c>
      <c r="X48" s="18" t="s">
        <v>670</v>
      </c>
      <c r="Y48" s="35" t="s">
        <v>671</v>
      </c>
      <c r="Z48" s="36" t="s">
        <v>672</v>
      </c>
      <c r="AA48" s="27"/>
      <c r="AB48" s="116"/>
      <c r="AC48" s="116"/>
    </row>
    <row r="49" spans="1:29" s="13" customFormat="1" hidden="1" x14ac:dyDescent="0.3">
      <c r="A49" s="18" t="s">
        <v>668</v>
      </c>
      <c r="B49" s="18" t="s">
        <v>179</v>
      </c>
      <c r="C49" s="18" t="s">
        <v>544</v>
      </c>
      <c r="D49" s="14" t="s">
        <v>653</v>
      </c>
      <c r="E49" s="18" t="s">
        <v>9</v>
      </c>
      <c r="F49" s="14" t="s">
        <v>517</v>
      </c>
      <c r="G49" s="14" t="s">
        <v>546</v>
      </c>
      <c r="H49" s="18" t="s">
        <v>5</v>
      </c>
      <c r="I49" s="14" t="s">
        <v>115</v>
      </c>
      <c r="J49" s="18"/>
      <c r="K49" s="18" t="s">
        <v>674</v>
      </c>
      <c r="L49" s="18"/>
      <c r="M49" s="14">
        <v>1</v>
      </c>
      <c r="N49" s="15">
        <v>13983.05</v>
      </c>
      <c r="O49" s="15">
        <f t="shared" si="0"/>
        <v>13983.05</v>
      </c>
      <c r="P49" s="15"/>
      <c r="Q49" s="14" t="s">
        <v>520</v>
      </c>
      <c r="R49" s="25">
        <v>45046</v>
      </c>
      <c r="S49" s="34" t="str">
        <f>TEXT(Table1[[#This Row],[End Date]],"MMMM")</f>
        <v>April</v>
      </c>
      <c r="T49" s="34" t="str">
        <f>TEXT(Table1[[#This Row],[End Date]],"YYYY")</f>
        <v>2023</v>
      </c>
      <c r="U49" s="24">
        <f t="shared" ca="1" si="1"/>
        <v>87</v>
      </c>
      <c r="V49" s="14" t="str" cm="1">
        <f t="array" aca="1" ref="V49" ca="1">_xlfn.IFS(Table1[[#This Row],[Agreement Days]]&gt;=0,"Expired",Table1[[#This Row],[Agreement Days]]&gt;=-30,"Expires &lt; 30 Days",Table1[[#This Row],[Agreement Days]]&gt;=-60,"Expires &lt; 60 Days",Table1[[#This Row],[Agreement Days]]&lt;-60,"Valid Contract")</f>
        <v>Expired</v>
      </c>
      <c r="W49" s="18" t="s">
        <v>18</v>
      </c>
      <c r="X49" s="18" t="s">
        <v>670</v>
      </c>
      <c r="Y49" s="35" t="s">
        <v>671</v>
      </c>
      <c r="Z49" s="36" t="s">
        <v>672</v>
      </c>
      <c r="AA49" s="27"/>
      <c r="AB49" s="116"/>
      <c r="AC49" s="116"/>
    </row>
    <row r="50" spans="1:29" hidden="1" x14ac:dyDescent="0.3">
      <c r="A50" s="18" t="s">
        <v>668</v>
      </c>
      <c r="B50" s="18" t="s">
        <v>179</v>
      </c>
      <c r="C50" s="18" t="s">
        <v>544</v>
      </c>
      <c r="D50" s="14" t="s">
        <v>653</v>
      </c>
      <c r="E50" s="18" t="s">
        <v>9</v>
      </c>
      <c r="F50" s="14" t="s">
        <v>517</v>
      </c>
      <c r="G50" s="14" t="s">
        <v>546</v>
      </c>
      <c r="H50" s="18" t="s">
        <v>5</v>
      </c>
      <c r="I50" s="14" t="s">
        <v>115</v>
      </c>
      <c r="J50" s="18"/>
      <c r="K50" s="18" t="s">
        <v>643</v>
      </c>
      <c r="L50" s="18"/>
      <c r="M50" s="14">
        <v>2</v>
      </c>
      <c r="N50" s="15">
        <v>28305.08</v>
      </c>
      <c r="O50" s="15">
        <f t="shared" si="0"/>
        <v>56610.16</v>
      </c>
      <c r="P50" s="15"/>
      <c r="Q50" s="14" t="s">
        <v>520</v>
      </c>
      <c r="R50" s="25">
        <v>45046</v>
      </c>
      <c r="S50" s="34" t="str">
        <f>TEXT(Table1[[#This Row],[End Date]],"MMMM")</f>
        <v>April</v>
      </c>
      <c r="T50" s="34" t="str">
        <f>TEXT(Table1[[#This Row],[End Date]],"YYYY")</f>
        <v>2023</v>
      </c>
      <c r="U50" s="24">
        <f t="shared" ca="1" si="1"/>
        <v>87</v>
      </c>
      <c r="V50" s="14" t="str" cm="1">
        <f t="array" aca="1" ref="V50" ca="1">_xlfn.IFS(Table1[[#This Row],[Agreement Days]]&gt;=0,"Expired",Table1[[#This Row],[Agreement Days]]&gt;=-30,"Expires &lt; 30 Days",Table1[[#This Row],[Agreement Days]]&gt;=-60,"Expires &lt; 60 Days",Table1[[#This Row],[Agreement Days]]&lt;-60,"Valid Contract")</f>
        <v>Expired</v>
      </c>
      <c r="W50" s="18" t="s">
        <v>18</v>
      </c>
      <c r="X50" s="18" t="s">
        <v>670</v>
      </c>
      <c r="Y50" s="35" t="s">
        <v>671</v>
      </c>
      <c r="Z50" s="36" t="s">
        <v>672</v>
      </c>
      <c r="AA50" s="27"/>
      <c r="AB50" s="116"/>
      <c r="AC50" s="116"/>
    </row>
    <row r="51" spans="1:29" hidden="1" x14ac:dyDescent="0.3">
      <c r="A51" s="18" t="s">
        <v>668</v>
      </c>
      <c r="B51" s="18" t="s">
        <v>179</v>
      </c>
      <c r="C51" s="18" t="s">
        <v>544</v>
      </c>
      <c r="D51" s="14" t="s">
        <v>653</v>
      </c>
      <c r="E51" s="18" t="s">
        <v>9</v>
      </c>
      <c r="F51" s="14" t="s">
        <v>517</v>
      </c>
      <c r="G51" s="14" t="s">
        <v>546</v>
      </c>
      <c r="H51" s="18" t="s">
        <v>5</v>
      </c>
      <c r="I51" s="14" t="s">
        <v>115</v>
      </c>
      <c r="J51" s="18"/>
      <c r="K51" s="18" t="s">
        <v>573</v>
      </c>
      <c r="L51" s="18"/>
      <c r="M51" s="14">
        <v>5</v>
      </c>
      <c r="N51" s="15">
        <v>19491.53</v>
      </c>
      <c r="O51" s="15">
        <f t="shared" si="0"/>
        <v>97457.65</v>
      </c>
      <c r="P51" s="15"/>
      <c r="Q51" s="14" t="s">
        <v>520</v>
      </c>
      <c r="R51" s="25">
        <v>45046</v>
      </c>
      <c r="S51" s="34" t="str">
        <f>TEXT(Table1[[#This Row],[End Date]],"MMMM")</f>
        <v>April</v>
      </c>
      <c r="T51" s="34" t="str">
        <f>TEXT(Table1[[#This Row],[End Date]],"YYYY")</f>
        <v>2023</v>
      </c>
      <c r="U51" s="24">
        <f t="shared" ca="1" si="1"/>
        <v>87</v>
      </c>
      <c r="V51" s="14" t="str" cm="1">
        <f t="array" aca="1" ref="V51" ca="1">_xlfn.IFS(Table1[[#This Row],[Agreement Days]]&gt;=0,"Expired",Table1[[#This Row],[Agreement Days]]&gt;=-30,"Expires &lt; 30 Days",Table1[[#This Row],[Agreement Days]]&gt;=-60,"Expires &lt; 60 Days",Table1[[#This Row],[Agreement Days]]&lt;-60,"Valid Contract")</f>
        <v>Expired</v>
      </c>
      <c r="W51" s="18" t="s">
        <v>18</v>
      </c>
      <c r="X51" s="18" t="s">
        <v>670</v>
      </c>
      <c r="Y51" s="35" t="s">
        <v>671</v>
      </c>
      <c r="Z51" s="36" t="s">
        <v>672</v>
      </c>
      <c r="AA51" s="27"/>
      <c r="AB51" s="98"/>
      <c r="AC51" s="98"/>
    </row>
    <row r="52" spans="1:29" hidden="1" x14ac:dyDescent="0.3">
      <c r="A52" s="18" t="s">
        <v>668</v>
      </c>
      <c r="B52" s="18" t="s">
        <v>179</v>
      </c>
      <c r="C52" s="18" t="s">
        <v>544</v>
      </c>
      <c r="D52" s="14" t="s">
        <v>653</v>
      </c>
      <c r="E52" s="18" t="s">
        <v>9</v>
      </c>
      <c r="F52" s="14" t="s">
        <v>517</v>
      </c>
      <c r="G52" s="14" t="s">
        <v>546</v>
      </c>
      <c r="H52" s="18" t="s">
        <v>5</v>
      </c>
      <c r="I52" s="14" t="s">
        <v>115</v>
      </c>
      <c r="J52" s="18"/>
      <c r="K52" s="18" t="s">
        <v>642</v>
      </c>
      <c r="L52" s="18"/>
      <c r="M52" s="14">
        <v>5</v>
      </c>
      <c r="N52" s="15">
        <v>101694.92</v>
      </c>
      <c r="O52" s="15">
        <f t="shared" si="0"/>
        <v>508474.6</v>
      </c>
      <c r="P52" s="15"/>
      <c r="Q52" s="14" t="s">
        <v>520</v>
      </c>
      <c r="R52" s="25">
        <v>45046</v>
      </c>
      <c r="S52" s="34" t="str">
        <f>TEXT(Table1[[#This Row],[End Date]],"MMMM")</f>
        <v>April</v>
      </c>
      <c r="T52" s="34" t="str">
        <f>TEXT(Table1[[#This Row],[End Date]],"YYYY")</f>
        <v>2023</v>
      </c>
      <c r="U52" s="24">
        <f t="shared" ca="1" si="1"/>
        <v>87</v>
      </c>
      <c r="V52" s="14" t="str" cm="1">
        <f t="array" aca="1" ref="V52" ca="1">_xlfn.IFS(Table1[[#This Row],[Agreement Days]]&gt;=0,"Expired",Table1[[#This Row],[Agreement Days]]&gt;=-30,"Expires &lt; 30 Days",Table1[[#This Row],[Agreement Days]]&gt;=-60,"Expires &lt; 60 Days",Table1[[#This Row],[Agreement Days]]&lt;-60,"Valid Contract")</f>
        <v>Expired</v>
      </c>
      <c r="W52" s="18" t="s">
        <v>18</v>
      </c>
      <c r="X52" s="18" t="s">
        <v>670</v>
      </c>
      <c r="Y52" s="35" t="s">
        <v>671</v>
      </c>
      <c r="Z52" s="36" t="s">
        <v>672</v>
      </c>
      <c r="AA52" s="27"/>
      <c r="AB52" s="98"/>
      <c r="AC52" s="98"/>
    </row>
    <row r="53" spans="1:29" hidden="1" x14ac:dyDescent="0.3">
      <c r="A53" s="18" t="s">
        <v>668</v>
      </c>
      <c r="B53" s="18" t="s">
        <v>179</v>
      </c>
      <c r="C53" s="18" t="s">
        <v>544</v>
      </c>
      <c r="D53" s="14" t="s">
        <v>653</v>
      </c>
      <c r="E53" s="18" t="s">
        <v>9</v>
      </c>
      <c r="F53" s="14" t="s">
        <v>517</v>
      </c>
      <c r="G53" s="14" t="s">
        <v>546</v>
      </c>
      <c r="H53" s="18" t="s">
        <v>5</v>
      </c>
      <c r="I53" s="14" t="s">
        <v>115</v>
      </c>
      <c r="J53" s="18"/>
      <c r="K53" s="18" t="s">
        <v>675</v>
      </c>
      <c r="L53" s="18"/>
      <c r="M53" s="14">
        <v>9</v>
      </c>
      <c r="N53" s="15">
        <v>81356</v>
      </c>
      <c r="O53" s="15">
        <f t="shared" si="0"/>
        <v>732204</v>
      </c>
      <c r="P53" s="15"/>
      <c r="Q53" s="14" t="s">
        <v>520</v>
      </c>
      <c r="R53" s="25">
        <v>45046</v>
      </c>
      <c r="S53" s="34" t="str">
        <f>TEXT(Table1[[#This Row],[End Date]],"MMMM")</f>
        <v>April</v>
      </c>
      <c r="T53" s="34" t="str">
        <f>TEXT(Table1[[#This Row],[End Date]],"YYYY")</f>
        <v>2023</v>
      </c>
      <c r="U53" s="24">
        <f t="shared" ca="1" si="1"/>
        <v>87</v>
      </c>
      <c r="V53" s="14" t="str" cm="1">
        <f t="array" aca="1" ref="V53" ca="1">_xlfn.IFS(Table1[[#This Row],[Agreement Days]]&gt;=0,"Expired",Table1[[#This Row],[Agreement Days]]&gt;=-30,"Expires &lt; 30 Days",Table1[[#This Row],[Agreement Days]]&gt;=-60,"Expires &lt; 60 Days",Table1[[#This Row],[Agreement Days]]&lt;-60,"Valid Contract")</f>
        <v>Expired</v>
      </c>
      <c r="W53" s="18" t="s">
        <v>18</v>
      </c>
      <c r="X53" s="18" t="s">
        <v>670</v>
      </c>
      <c r="Y53" s="35" t="s">
        <v>671</v>
      </c>
      <c r="Z53" s="36" t="s">
        <v>672</v>
      </c>
      <c r="AA53" s="27"/>
      <c r="AB53" s="98"/>
      <c r="AC53" s="98"/>
    </row>
    <row r="54" spans="1:29" hidden="1" x14ac:dyDescent="0.3">
      <c r="A54" s="18" t="s">
        <v>668</v>
      </c>
      <c r="B54" s="18" t="s">
        <v>179</v>
      </c>
      <c r="C54" s="18" t="s">
        <v>544</v>
      </c>
      <c r="D54" s="14" t="s">
        <v>653</v>
      </c>
      <c r="E54" s="18" t="s">
        <v>9</v>
      </c>
      <c r="F54" s="14" t="s">
        <v>517</v>
      </c>
      <c r="G54" s="14" t="s">
        <v>546</v>
      </c>
      <c r="H54" s="18" t="s">
        <v>5</v>
      </c>
      <c r="I54" s="14" t="s">
        <v>115</v>
      </c>
      <c r="J54" s="18"/>
      <c r="K54" s="18" t="s">
        <v>657</v>
      </c>
      <c r="L54" s="18"/>
      <c r="M54" s="14">
        <v>10</v>
      </c>
      <c r="N54" s="15">
        <v>45338.98</v>
      </c>
      <c r="O54" s="15">
        <f t="shared" si="0"/>
        <v>453389.80000000005</v>
      </c>
      <c r="P54" s="15"/>
      <c r="Q54" s="14" t="s">
        <v>520</v>
      </c>
      <c r="R54" s="25">
        <v>45046</v>
      </c>
      <c r="S54" s="34" t="str">
        <f>TEXT(Table1[[#This Row],[End Date]],"MMMM")</f>
        <v>April</v>
      </c>
      <c r="T54" s="34" t="str">
        <f>TEXT(Table1[[#This Row],[End Date]],"YYYY")</f>
        <v>2023</v>
      </c>
      <c r="U54" s="24">
        <f t="shared" ca="1" si="1"/>
        <v>87</v>
      </c>
      <c r="V54" s="14" t="str" cm="1">
        <f t="array" aca="1" ref="V54" ca="1">_xlfn.IFS(Table1[[#This Row],[Agreement Days]]&gt;=0,"Expired",Table1[[#This Row],[Agreement Days]]&gt;=-30,"Expires &lt; 30 Days",Table1[[#This Row],[Agreement Days]]&gt;=-60,"Expires &lt; 60 Days",Table1[[#This Row],[Agreement Days]]&lt;-60,"Valid Contract")</f>
        <v>Expired</v>
      </c>
      <c r="W54" s="18" t="s">
        <v>18</v>
      </c>
      <c r="X54" s="18" t="s">
        <v>670</v>
      </c>
      <c r="Y54" s="35" t="s">
        <v>671</v>
      </c>
      <c r="Z54" s="36" t="s">
        <v>672</v>
      </c>
      <c r="AA54" s="27"/>
      <c r="AB54" s="98"/>
      <c r="AC54" s="98"/>
    </row>
    <row r="55" spans="1:29" hidden="1" x14ac:dyDescent="0.3">
      <c r="A55" s="18" t="s">
        <v>676</v>
      </c>
      <c r="B55" s="18" t="s">
        <v>102</v>
      </c>
      <c r="C55" s="18" t="s">
        <v>102</v>
      </c>
      <c r="D55" s="14" t="s">
        <v>616</v>
      </c>
      <c r="E55" s="18" t="s">
        <v>9</v>
      </c>
      <c r="F55" s="14" t="s">
        <v>631</v>
      </c>
      <c r="G55" s="14" t="s">
        <v>518</v>
      </c>
      <c r="H55" s="18" t="s">
        <v>5</v>
      </c>
      <c r="I55" s="14" t="s">
        <v>117</v>
      </c>
      <c r="J55" s="14">
        <v>1</v>
      </c>
      <c r="K55" s="14" t="s">
        <v>677</v>
      </c>
      <c r="L55" s="14"/>
      <c r="M55" s="14">
        <v>1</v>
      </c>
      <c r="N55" s="15">
        <v>90000</v>
      </c>
      <c r="O55" s="15">
        <f t="shared" si="0"/>
        <v>90000</v>
      </c>
      <c r="P55" s="15"/>
      <c r="Q55" s="14" t="s">
        <v>520</v>
      </c>
      <c r="R55" s="21">
        <v>45046</v>
      </c>
      <c r="S55" s="22" t="str">
        <f>TEXT(Table1[[#This Row],[End Date]],"MMMM")</f>
        <v>April</v>
      </c>
      <c r="T55" s="23" t="str">
        <f>TEXT(Table1[[#This Row],[End Date]],"YYYY")</f>
        <v>2023</v>
      </c>
      <c r="U55" s="24">
        <f t="shared" ca="1" si="1"/>
        <v>87</v>
      </c>
      <c r="V55" s="14" t="str" cm="1">
        <f t="array" aca="1" ref="V55" ca="1">_xlfn.IFS(Table1[[#This Row],[Agreement Days]]&gt;=0,"Expired",Table1[[#This Row],[Agreement Days]]&gt;=-30,"Expires &lt; 30 Days",Table1[[#This Row],[Agreement Days]]&gt;=-60,"Expires &lt; 60 Days",Table1[[#This Row],[Agreement Days]]&lt;-60,"Valid Contract")</f>
        <v>Expired</v>
      </c>
      <c r="W55" s="14" t="s">
        <v>13</v>
      </c>
      <c r="X55" s="14" t="s">
        <v>678</v>
      </c>
      <c r="Y55" s="43" t="s">
        <v>679</v>
      </c>
      <c r="Z55" s="17">
        <v>788413175</v>
      </c>
      <c r="AA55" s="17" t="s">
        <v>680</v>
      </c>
      <c r="AB55" s="116"/>
      <c r="AC55" s="116"/>
    </row>
    <row r="56" spans="1:29" hidden="1" x14ac:dyDescent="0.3">
      <c r="A56" s="18" t="s">
        <v>681</v>
      </c>
      <c r="B56" s="18" t="s">
        <v>82</v>
      </c>
      <c r="C56" s="18" t="s">
        <v>82</v>
      </c>
      <c r="D56" s="14" t="s">
        <v>630</v>
      </c>
      <c r="E56" s="18" t="s">
        <v>9</v>
      </c>
      <c r="F56" s="14" t="s">
        <v>631</v>
      </c>
      <c r="G56" s="14" t="s">
        <v>518</v>
      </c>
      <c r="H56" s="18" t="s">
        <v>5</v>
      </c>
      <c r="I56" s="14" t="s">
        <v>117</v>
      </c>
      <c r="J56" s="14">
        <v>3</v>
      </c>
      <c r="K56" s="14" t="s">
        <v>632</v>
      </c>
      <c r="L56" s="14"/>
      <c r="M56" s="14">
        <v>1</v>
      </c>
      <c r="N56" s="15">
        <v>180000</v>
      </c>
      <c r="O56" s="15">
        <f t="shared" si="0"/>
        <v>180000</v>
      </c>
      <c r="P56" s="15"/>
      <c r="Q56" s="14" t="s">
        <v>520</v>
      </c>
      <c r="R56" s="21">
        <v>45046</v>
      </c>
      <c r="S56" s="22" t="str">
        <f>TEXT(Table1[[#This Row],[End Date]],"MMMM")</f>
        <v>April</v>
      </c>
      <c r="T56" s="23" t="str">
        <f>TEXT(Table1[[#This Row],[End Date]],"YYYY")</f>
        <v>2023</v>
      </c>
      <c r="U56" s="24">
        <f t="shared" ca="1" si="1"/>
        <v>87</v>
      </c>
      <c r="V56" s="14" t="str" cm="1">
        <f t="array" aca="1" ref="V56" ca="1">_xlfn.IFS(Table1[[#This Row],[Agreement Days]]&gt;=0,"Expired",Table1[[#This Row],[Agreement Days]]&gt;=-30,"Expires &lt; 30 Days",Table1[[#This Row],[Agreement Days]]&gt;=-60,"Expires &lt; 60 Days",Table1[[#This Row],[Agreement Days]]&lt;-60,"Valid Contract")</f>
        <v>Expired</v>
      </c>
      <c r="W56" s="14" t="s">
        <v>13</v>
      </c>
      <c r="X56" s="14" t="s">
        <v>682</v>
      </c>
      <c r="Y56" s="43" t="s">
        <v>683</v>
      </c>
      <c r="Z56" s="17">
        <v>786991044</v>
      </c>
      <c r="AA56" s="17" t="s">
        <v>684</v>
      </c>
      <c r="AB56" s="116" t="s">
        <v>685</v>
      </c>
      <c r="AC56" s="116"/>
    </row>
    <row r="57" spans="1:29" hidden="1" x14ac:dyDescent="0.3">
      <c r="A57" s="18" t="s">
        <v>686</v>
      </c>
      <c r="B57" s="18" t="s">
        <v>294</v>
      </c>
      <c r="C57" s="18" t="s">
        <v>687</v>
      </c>
      <c r="D57" s="14" t="s">
        <v>540</v>
      </c>
      <c r="E57" s="18" t="s">
        <v>9</v>
      </c>
      <c r="F57" s="14" t="s">
        <v>688</v>
      </c>
      <c r="G57" s="14" t="s">
        <v>518</v>
      </c>
      <c r="H57" s="18" t="s">
        <v>2</v>
      </c>
      <c r="I57" s="14" t="s">
        <v>117</v>
      </c>
      <c r="J57" s="14">
        <v>20</v>
      </c>
      <c r="K57" s="18" t="s">
        <v>689</v>
      </c>
      <c r="L57" s="18"/>
      <c r="M57" s="14">
        <v>1</v>
      </c>
      <c r="N57" s="15">
        <v>900000</v>
      </c>
      <c r="O57" s="15">
        <f t="shared" si="0"/>
        <v>900000</v>
      </c>
      <c r="P57" s="15"/>
      <c r="Q57" s="14" t="s">
        <v>520</v>
      </c>
      <c r="R57" s="25">
        <v>45412</v>
      </c>
      <c r="S57" s="34" t="str">
        <f>TEXT(Table1[[#This Row],[End Date]],"MMMM")</f>
        <v>April</v>
      </c>
      <c r="T57" s="34" t="str">
        <f>TEXT(Table1[[#This Row],[End Date]],"YYYY")</f>
        <v>2024</v>
      </c>
      <c r="U57" s="24">
        <f t="shared" ca="1" si="1"/>
        <v>-279</v>
      </c>
      <c r="V57" s="14" t="str" cm="1">
        <f t="array" aca="1" ref="V57" ca="1">_xlfn.IFS(Table1[[#This Row],[Agreement Days]]&gt;=0,"Expired",Table1[[#This Row],[Agreement Days]]&gt;=-30,"Expires &lt; 30 Days",Table1[[#This Row],[Agreement Days]]&gt;=-60,"Expires &lt; 60 Days",Table1[[#This Row],[Agreement Days]]&lt;-60,"Valid Contract")</f>
        <v>Valid Contract</v>
      </c>
      <c r="W57" s="18" t="s">
        <v>21</v>
      </c>
      <c r="X57" s="18" t="s">
        <v>690</v>
      </c>
      <c r="Y57" s="42" t="s">
        <v>691</v>
      </c>
      <c r="Z57" s="27">
        <v>788267576</v>
      </c>
      <c r="AA57" s="27"/>
      <c r="AB57" s="116"/>
      <c r="AC57" s="116"/>
    </row>
    <row r="58" spans="1:29" hidden="1" x14ac:dyDescent="0.3">
      <c r="A58" s="18" t="s">
        <v>686</v>
      </c>
      <c r="B58" s="18" t="s">
        <v>294</v>
      </c>
      <c r="C58" s="18" t="s">
        <v>687</v>
      </c>
      <c r="D58" s="14" t="s">
        <v>540</v>
      </c>
      <c r="E58" s="18" t="s">
        <v>9</v>
      </c>
      <c r="F58" s="14" t="s">
        <v>688</v>
      </c>
      <c r="G58" s="14" t="s">
        <v>518</v>
      </c>
      <c r="H58" s="18" t="s">
        <v>4</v>
      </c>
      <c r="I58" s="14" t="s">
        <v>118</v>
      </c>
      <c r="J58" s="18"/>
      <c r="K58" s="18" t="s">
        <v>650</v>
      </c>
      <c r="L58" s="18"/>
      <c r="M58" s="14">
        <v>1</v>
      </c>
      <c r="N58" s="15">
        <v>369325</v>
      </c>
      <c r="O58" s="15">
        <f t="shared" si="0"/>
        <v>369325</v>
      </c>
      <c r="P58" s="15"/>
      <c r="Q58" s="14" t="s">
        <v>520</v>
      </c>
      <c r="R58" s="25">
        <v>45412</v>
      </c>
      <c r="S58" s="34" t="str">
        <f>TEXT(Table1[[#This Row],[End Date]],"MMMM")</f>
        <v>April</v>
      </c>
      <c r="T58" s="34" t="str">
        <f>TEXT(Table1[[#This Row],[End Date]],"YYYY")</f>
        <v>2024</v>
      </c>
      <c r="U58" s="24">
        <f t="shared" ca="1" si="1"/>
        <v>-279</v>
      </c>
      <c r="V58" s="14" t="str" cm="1">
        <f t="array" aca="1" ref="V58" ca="1">_xlfn.IFS(Table1[[#This Row],[Agreement Days]]&gt;=0,"Expired",Table1[[#This Row],[Agreement Days]]&gt;=-30,"Expires &lt; 30 Days",Table1[[#This Row],[Agreement Days]]&gt;=-60,"Expires &lt; 60 Days",Table1[[#This Row],[Agreement Days]]&lt;-60,"Valid Contract")</f>
        <v>Valid Contract</v>
      </c>
      <c r="W58" s="18" t="s">
        <v>21</v>
      </c>
      <c r="X58" s="18" t="s">
        <v>690</v>
      </c>
      <c r="Y58" s="42" t="s">
        <v>691</v>
      </c>
      <c r="Z58" s="27">
        <v>788267576</v>
      </c>
      <c r="AA58" s="27"/>
      <c r="AB58" s="116"/>
      <c r="AC58" s="116"/>
    </row>
    <row r="59" spans="1:29" hidden="1" x14ac:dyDescent="0.3">
      <c r="A59" s="18" t="s">
        <v>692</v>
      </c>
      <c r="B59" s="18" t="s">
        <v>273</v>
      </c>
      <c r="C59" s="18" t="s">
        <v>544</v>
      </c>
      <c r="D59" s="14" t="s">
        <v>545</v>
      </c>
      <c r="E59" s="18" t="s">
        <v>9</v>
      </c>
      <c r="F59" s="14" t="s">
        <v>693</v>
      </c>
      <c r="G59" s="14" t="s">
        <v>518</v>
      </c>
      <c r="H59" s="18" t="s">
        <v>2</v>
      </c>
      <c r="I59" s="14" t="s">
        <v>117</v>
      </c>
      <c r="J59" s="14">
        <v>30</v>
      </c>
      <c r="K59" s="18" t="s">
        <v>694</v>
      </c>
      <c r="L59" s="18"/>
      <c r="M59" s="14">
        <v>1</v>
      </c>
      <c r="N59" s="15">
        <v>1260000</v>
      </c>
      <c r="O59" s="15">
        <f t="shared" si="0"/>
        <v>1260000</v>
      </c>
      <c r="P59" s="15"/>
      <c r="Q59" s="14" t="s">
        <v>520</v>
      </c>
      <c r="R59" s="25">
        <v>45046</v>
      </c>
      <c r="S59" s="34" t="str">
        <f>TEXT(Table1[[#This Row],[End Date]],"MMMM")</f>
        <v>April</v>
      </c>
      <c r="T59" s="34" t="str">
        <f>TEXT(Table1[[#This Row],[End Date]],"YYYY")</f>
        <v>2023</v>
      </c>
      <c r="U59" s="24">
        <f t="shared" ca="1" si="1"/>
        <v>87</v>
      </c>
      <c r="V59" s="14" t="str" cm="1">
        <f t="array" aca="1" ref="V59" ca="1">_xlfn.IFS(Table1[[#This Row],[Agreement Days]]&gt;=0,"Expired",Table1[[#This Row],[Agreement Days]]&gt;=-30,"Expires &lt; 30 Days",Table1[[#This Row],[Agreement Days]]&gt;=-60,"Expires &lt; 60 Days",Table1[[#This Row],[Agreement Days]]&lt;-60,"Valid Contract")</f>
        <v>Expired</v>
      </c>
      <c r="W59" s="18" t="s">
        <v>18</v>
      </c>
      <c r="X59" s="18" t="s">
        <v>695</v>
      </c>
      <c r="Y59" s="35" t="s">
        <v>696</v>
      </c>
      <c r="Z59" s="36" t="s">
        <v>697</v>
      </c>
      <c r="AA59" s="36"/>
      <c r="AB59" s="116"/>
      <c r="AC59" s="116"/>
    </row>
    <row r="60" spans="1:29" hidden="1" x14ac:dyDescent="0.3">
      <c r="A60" s="18" t="s">
        <v>698</v>
      </c>
      <c r="B60" s="18" t="s">
        <v>122</v>
      </c>
      <c r="C60" s="18" t="s">
        <v>699</v>
      </c>
      <c r="D60" s="14" t="s">
        <v>653</v>
      </c>
      <c r="E60" s="18" t="s">
        <v>9</v>
      </c>
      <c r="F60" s="14" t="s">
        <v>517</v>
      </c>
      <c r="G60" s="14" t="s">
        <v>546</v>
      </c>
      <c r="H60" s="18" t="s">
        <v>2</v>
      </c>
      <c r="I60" s="14" t="s">
        <v>123</v>
      </c>
      <c r="J60" s="14"/>
      <c r="K60" s="50" t="s">
        <v>700</v>
      </c>
      <c r="L60" s="14"/>
      <c r="M60" s="20">
        <v>2</v>
      </c>
      <c r="N60" s="15">
        <v>1575000</v>
      </c>
      <c r="O60" s="15">
        <f t="shared" si="0"/>
        <v>3150000</v>
      </c>
      <c r="P60" s="15"/>
      <c r="Q60" s="14" t="s">
        <v>520</v>
      </c>
      <c r="R60" s="21">
        <v>45046</v>
      </c>
      <c r="S60" s="22" t="str">
        <f>TEXT(Table1[[#This Row],[End Date]],"MMMM")</f>
        <v>April</v>
      </c>
      <c r="T60" s="23" t="str">
        <f>TEXT(Table1[[#This Row],[End Date]],"YYYY")</f>
        <v>2023</v>
      </c>
      <c r="U60" s="24">
        <f t="shared" ca="1" si="1"/>
        <v>87</v>
      </c>
      <c r="V60" s="14" t="str" cm="1">
        <f t="array" aca="1" ref="V60" ca="1">_xlfn.IFS(Table1[[#This Row],[Agreement Days]]&gt;=0,"Expired",Table1[[#This Row],[Agreement Days]]&gt;=-30,"Expires &lt; 30 Days",Table1[[#This Row],[Agreement Days]]&gt;=-60,"Expires &lt; 60 Days",Table1[[#This Row],[Agreement Days]]&lt;-60,"Valid Contract")</f>
        <v>Expired</v>
      </c>
      <c r="W60" s="14" t="s">
        <v>16</v>
      </c>
      <c r="X60" s="20" t="s">
        <v>701</v>
      </c>
      <c r="Y60" s="16" t="s">
        <v>702</v>
      </c>
      <c r="Z60" s="17" t="s">
        <v>703</v>
      </c>
      <c r="AA60" s="17"/>
      <c r="AB60" s="116"/>
      <c r="AC60" s="116"/>
    </row>
    <row r="61" spans="1:29" hidden="1" x14ac:dyDescent="0.3">
      <c r="A61" s="18" t="s">
        <v>704</v>
      </c>
      <c r="B61" s="18" t="s">
        <v>177</v>
      </c>
      <c r="C61" s="18" t="s">
        <v>544</v>
      </c>
      <c r="D61" s="14" t="s">
        <v>545</v>
      </c>
      <c r="E61" s="18" t="s">
        <v>9</v>
      </c>
      <c r="F61" s="14" t="s">
        <v>693</v>
      </c>
      <c r="G61" s="14" t="s">
        <v>546</v>
      </c>
      <c r="H61" s="18" t="s">
        <v>2</v>
      </c>
      <c r="I61" s="14" t="s">
        <v>123</v>
      </c>
      <c r="J61" s="14"/>
      <c r="K61" s="18" t="s">
        <v>705</v>
      </c>
      <c r="L61" s="18"/>
      <c r="M61" s="14">
        <v>1</v>
      </c>
      <c r="N61" s="15">
        <v>855691</v>
      </c>
      <c r="O61" s="15">
        <f t="shared" si="0"/>
        <v>855691</v>
      </c>
      <c r="P61" s="15"/>
      <c r="Q61" s="14" t="s">
        <v>520</v>
      </c>
      <c r="R61" s="25">
        <v>45046</v>
      </c>
      <c r="S61" s="34" t="str">
        <f>TEXT(Table1[[#This Row],[End Date]],"MMMM")</f>
        <v>April</v>
      </c>
      <c r="T61" s="34" t="str">
        <f>TEXT(Table1[[#This Row],[End Date]],"YYYY")</f>
        <v>2023</v>
      </c>
      <c r="U61" s="24">
        <f t="shared" ca="1" si="1"/>
        <v>87</v>
      </c>
      <c r="V61" s="14" t="str" cm="1">
        <f t="array" aca="1" ref="V61" ca="1">_xlfn.IFS(Table1[[#This Row],[Agreement Days]]&gt;=0,"Expired",Table1[[#This Row],[Agreement Days]]&gt;=-30,"Expires &lt; 30 Days",Table1[[#This Row],[Agreement Days]]&gt;=-60,"Expires &lt; 60 Days",Table1[[#This Row],[Agreement Days]]&lt;-60,"Valid Contract")</f>
        <v>Expired</v>
      </c>
      <c r="W61" s="18" t="s">
        <v>18</v>
      </c>
      <c r="X61" s="18" t="s">
        <v>706</v>
      </c>
      <c r="Y61" s="35" t="s">
        <v>707</v>
      </c>
      <c r="Z61" s="36" t="s">
        <v>708</v>
      </c>
      <c r="AA61" s="36"/>
      <c r="AB61" s="116"/>
      <c r="AC61" s="116"/>
    </row>
    <row r="62" spans="1:29" hidden="1" x14ac:dyDescent="0.3">
      <c r="A62" s="18" t="s">
        <v>704</v>
      </c>
      <c r="B62" s="18" t="s">
        <v>177</v>
      </c>
      <c r="C62" s="18" t="s">
        <v>544</v>
      </c>
      <c r="D62" s="14" t="s">
        <v>545</v>
      </c>
      <c r="E62" s="18" t="s">
        <v>9</v>
      </c>
      <c r="F62" s="14" t="s">
        <v>693</v>
      </c>
      <c r="G62" s="14" t="s">
        <v>546</v>
      </c>
      <c r="H62" s="18" t="s">
        <v>2</v>
      </c>
      <c r="I62" s="14" t="s">
        <v>123</v>
      </c>
      <c r="J62" s="14"/>
      <c r="K62" s="18" t="s">
        <v>709</v>
      </c>
      <c r="L62" s="18"/>
      <c r="M62" s="14">
        <v>2</v>
      </c>
      <c r="N62" s="15">
        <v>362581</v>
      </c>
      <c r="O62" s="15">
        <f t="shared" si="0"/>
        <v>725162</v>
      </c>
      <c r="P62" s="15"/>
      <c r="Q62" s="14" t="s">
        <v>520</v>
      </c>
      <c r="R62" s="25">
        <v>45046</v>
      </c>
      <c r="S62" s="34" t="str">
        <f>TEXT(Table1[[#This Row],[End Date]],"MMMM")</f>
        <v>April</v>
      </c>
      <c r="T62" s="34" t="str">
        <f>TEXT(Table1[[#This Row],[End Date]],"YYYY")</f>
        <v>2023</v>
      </c>
      <c r="U62" s="24">
        <f t="shared" ca="1" si="1"/>
        <v>87</v>
      </c>
      <c r="V62" s="14" t="str" cm="1">
        <f t="array" aca="1" ref="V62" ca="1">_xlfn.IFS(Table1[[#This Row],[Agreement Days]]&gt;=0,"Expired",Table1[[#This Row],[Agreement Days]]&gt;=-30,"Expires &lt; 30 Days",Table1[[#This Row],[Agreement Days]]&gt;=-60,"Expires &lt; 60 Days",Table1[[#This Row],[Agreement Days]]&lt;-60,"Valid Contract")</f>
        <v>Expired</v>
      </c>
      <c r="W62" s="18" t="s">
        <v>18</v>
      </c>
      <c r="X62" s="18" t="s">
        <v>706</v>
      </c>
      <c r="Y62" s="35" t="s">
        <v>707</v>
      </c>
      <c r="Z62" s="36" t="s">
        <v>708</v>
      </c>
      <c r="AA62" s="36"/>
      <c r="AB62" s="116"/>
      <c r="AC62" s="116"/>
    </row>
    <row r="63" spans="1:29" hidden="1" x14ac:dyDescent="0.3">
      <c r="A63" s="18" t="s">
        <v>704</v>
      </c>
      <c r="B63" s="18" t="s">
        <v>177</v>
      </c>
      <c r="C63" s="18" t="s">
        <v>544</v>
      </c>
      <c r="D63" s="14" t="s">
        <v>545</v>
      </c>
      <c r="E63" s="18" t="s">
        <v>9</v>
      </c>
      <c r="F63" s="14" t="s">
        <v>693</v>
      </c>
      <c r="G63" s="14" t="s">
        <v>546</v>
      </c>
      <c r="H63" s="18" t="s">
        <v>2</v>
      </c>
      <c r="I63" s="14" t="s">
        <v>123</v>
      </c>
      <c r="J63" s="14"/>
      <c r="K63" s="18" t="s">
        <v>710</v>
      </c>
      <c r="L63" s="18"/>
      <c r="M63" s="14">
        <v>3</v>
      </c>
      <c r="N63" s="15">
        <v>287920</v>
      </c>
      <c r="O63" s="15">
        <f t="shared" si="0"/>
        <v>863760</v>
      </c>
      <c r="P63" s="15"/>
      <c r="Q63" s="14" t="s">
        <v>520</v>
      </c>
      <c r="R63" s="25">
        <v>45046</v>
      </c>
      <c r="S63" s="34" t="str">
        <f>TEXT(Table1[[#This Row],[End Date]],"MMMM")</f>
        <v>April</v>
      </c>
      <c r="T63" s="34" t="str">
        <f>TEXT(Table1[[#This Row],[End Date]],"YYYY")</f>
        <v>2023</v>
      </c>
      <c r="U63" s="24">
        <f t="shared" ca="1" si="1"/>
        <v>87</v>
      </c>
      <c r="V63" s="14" t="str" cm="1">
        <f t="array" aca="1" ref="V63" ca="1">_xlfn.IFS(Table1[[#This Row],[Agreement Days]]&gt;=0,"Expired",Table1[[#This Row],[Agreement Days]]&gt;=-30,"Expires &lt; 30 Days",Table1[[#This Row],[Agreement Days]]&gt;=-60,"Expires &lt; 60 Days",Table1[[#This Row],[Agreement Days]]&lt;-60,"Valid Contract")</f>
        <v>Expired</v>
      </c>
      <c r="W63" s="18" t="s">
        <v>18</v>
      </c>
      <c r="X63" s="18" t="s">
        <v>706</v>
      </c>
      <c r="Y63" s="35" t="s">
        <v>707</v>
      </c>
      <c r="Z63" s="36" t="s">
        <v>708</v>
      </c>
      <c r="AA63" s="36"/>
      <c r="AB63" s="116"/>
      <c r="AC63" s="116"/>
    </row>
    <row r="64" spans="1:29" hidden="1" x14ac:dyDescent="0.3">
      <c r="A64" s="18" t="s">
        <v>711</v>
      </c>
      <c r="B64" s="18" t="s">
        <v>269</v>
      </c>
      <c r="C64" s="18" t="s">
        <v>544</v>
      </c>
      <c r="D64" s="14" t="s">
        <v>653</v>
      </c>
      <c r="E64" s="18" t="s">
        <v>10</v>
      </c>
      <c r="F64" s="14" t="s">
        <v>527</v>
      </c>
      <c r="G64" s="14" t="s">
        <v>546</v>
      </c>
      <c r="H64" s="18" t="s">
        <v>5</v>
      </c>
      <c r="I64" s="14" t="s">
        <v>134</v>
      </c>
      <c r="J64" s="14">
        <v>20</v>
      </c>
      <c r="K64" s="18" t="s">
        <v>712</v>
      </c>
      <c r="L64" s="18"/>
      <c r="M64" s="14">
        <v>1</v>
      </c>
      <c r="N64" s="15">
        <v>1350000</v>
      </c>
      <c r="O64" s="15">
        <f t="shared" si="0"/>
        <v>1350000</v>
      </c>
      <c r="P64" s="15"/>
      <c r="Q64" s="14" t="s">
        <v>520</v>
      </c>
      <c r="R64" s="25">
        <v>45054</v>
      </c>
      <c r="S64" s="34" t="str">
        <f>TEXT(Table1[[#This Row],[End Date]],"MMMM")</f>
        <v>May</v>
      </c>
      <c r="T64" s="34" t="str">
        <f>TEXT(Table1[[#This Row],[End Date]],"YYYY")</f>
        <v>2023</v>
      </c>
      <c r="U64" s="24">
        <f t="shared" ca="1" si="1"/>
        <v>79</v>
      </c>
      <c r="V64" s="14" t="str" cm="1">
        <f t="array" aca="1" ref="V64" ca="1">_xlfn.IFS(Table1[[#This Row],[Agreement Days]]&gt;=0,"Expired",Table1[[#This Row],[Agreement Days]]&gt;=-30,"Expires &lt; 30 Days",Table1[[#This Row],[Agreement Days]]&gt;=-60,"Expires &lt; 60 Days",Table1[[#This Row],[Agreement Days]]&lt;-60,"Valid Contract")</f>
        <v>Expired</v>
      </c>
      <c r="W64" s="18" t="s">
        <v>18</v>
      </c>
      <c r="X64" s="18" t="s">
        <v>713</v>
      </c>
      <c r="Y64" s="35" t="s">
        <v>714</v>
      </c>
      <c r="Z64" s="36" t="s">
        <v>715</v>
      </c>
      <c r="AA64" s="36"/>
      <c r="AB64" s="98"/>
      <c r="AC64" s="98"/>
    </row>
    <row r="65" spans="1:29" hidden="1" x14ac:dyDescent="0.3">
      <c r="A65" s="18" t="s">
        <v>716</v>
      </c>
      <c r="B65" s="18" t="s">
        <v>290</v>
      </c>
      <c r="C65" s="18" t="s">
        <v>544</v>
      </c>
      <c r="D65" s="14" t="s">
        <v>653</v>
      </c>
      <c r="E65" s="18" t="s">
        <v>9</v>
      </c>
      <c r="F65" s="14" t="s">
        <v>517</v>
      </c>
      <c r="G65" s="14" t="s">
        <v>518</v>
      </c>
      <c r="H65" s="18" t="s">
        <v>5</v>
      </c>
      <c r="I65" s="20" t="s">
        <v>117</v>
      </c>
      <c r="J65" s="20">
        <v>10</v>
      </c>
      <c r="K65" s="20" t="s">
        <v>717</v>
      </c>
      <c r="L65" s="20"/>
      <c r="M65" s="20">
        <v>1</v>
      </c>
      <c r="N65" s="15">
        <v>510000</v>
      </c>
      <c r="O65" s="15">
        <f t="shared" si="0"/>
        <v>510000</v>
      </c>
      <c r="P65" s="15"/>
      <c r="Q65" s="14" t="s">
        <v>520</v>
      </c>
      <c r="R65" s="25">
        <v>45462</v>
      </c>
      <c r="S65" s="34" t="str">
        <f>TEXT(Table1[[#This Row],[End Date]],"MMMM")</f>
        <v>June</v>
      </c>
      <c r="T65" s="34" t="str">
        <f>TEXT(Table1[[#This Row],[End Date]],"YYYY")</f>
        <v>2024</v>
      </c>
      <c r="U65" s="24">
        <f t="shared" ca="1" si="1"/>
        <v>-329</v>
      </c>
      <c r="V65" s="14" t="str" cm="1">
        <f t="array" aca="1" ref="V65" ca="1">_xlfn.IFS(Table1[[#This Row],[Agreement Days]]&gt;=0,"Expired",Table1[[#This Row],[Agreement Days]]&gt;=-30,"Expires &lt; 30 Days",Table1[[#This Row],[Agreement Days]]&gt;=-60,"Expires &lt; 60 Days",Table1[[#This Row],[Agreement Days]]&lt;-60,"Valid Contract")</f>
        <v>Valid Contract</v>
      </c>
      <c r="W65" s="26" t="s">
        <v>17</v>
      </c>
      <c r="X65" s="20" t="s">
        <v>718</v>
      </c>
      <c r="Y65" s="51" t="s">
        <v>719</v>
      </c>
      <c r="Z65" s="27">
        <v>785695913</v>
      </c>
      <c r="AA65" s="27"/>
      <c r="AB65" s="98"/>
      <c r="AC65" s="98"/>
    </row>
    <row r="66" spans="1:29" hidden="1" x14ac:dyDescent="0.3">
      <c r="A66" s="18" t="s">
        <v>716</v>
      </c>
      <c r="B66" s="18" t="s">
        <v>290</v>
      </c>
      <c r="C66" s="18" t="s">
        <v>544</v>
      </c>
      <c r="D66" s="14" t="s">
        <v>653</v>
      </c>
      <c r="E66" s="18" t="s">
        <v>9</v>
      </c>
      <c r="F66" s="14" t="s">
        <v>517</v>
      </c>
      <c r="G66" s="14" t="s">
        <v>518</v>
      </c>
      <c r="H66" s="18" t="s">
        <v>2</v>
      </c>
      <c r="I66" s="20" t="s">
        <v>131</v>
      </c>
      <c r="J66" s="20"/>
      <c r="K66" s="26" t="s">
        <v>720</v>
      </c>
      <c r="L66" s="20"/>
      <c r="M66" s="20">
        <v>1</v>
      </c>
      <c r="N66" s="15">
        <v>60000</v>
      </c>
      <c r="O66" s="15">
        <f t="shared" ref="O66:O132" si="2">N66*M66</f>
        <v>60000</v>
      </c>
      <c r="P66" s="15"/>
      <c r="Q66" s="14" t="s">
        <v>520</v>
      </c>
      <c r="R66" s="25">
        <v>45462</v>
      </c>
      <c r="S66" s="34" t="str">
        <f>TEXT(Table1[[#This Row],[End Date]],"MMMM")</f>
        <v>June</v>
      </c>
      <c r="T66" s="34" t="str">
        <f>TEXT(Table1[[#This Row],[End Date]],"YYYY")</f>
        <v>2024</v>
      </c>
      <c r="U66" s="24">
        <f t="shared" ref="U66:U132" ca="1" si="3">TODAY()-R66</f>
        <v>-329</v>
      </c>
      <c r="V66" s="14" t="str" cm="1">
        <f t="array" aca="1" ref="V66" ca="1">_xlfn.IFS(Table1[[#This Row],[Agreement Days]]&gt;=0,"Expired",Table1[[#This Row],[Agreement Days]]&gt;=-30,"Expires &lt; 30 Days",Table1[[#This Row],[Agreement Days]]&gt;=-60,"Expires &lt; 60 Days",Table1[[#This Row],[Agreement Days]]&lt;-60,"Valid Contract")</f>
        <v>Valid Contract</v>
      </c>
      <c r="W66" s="26" t="s">
        <v>17</v>
      </c>
      <c r="X66" s="20" t="s">
        <v>718</v>
      </c>
      <c r="Y66" s="51" t="s">
        <v>719</v>
      </c>
      <c r="Z66" s="27">
        <v>785695913</v>
      </c>
      <c r="AA66" s="27"/>
      <c r="AB66" s="98"/>
      <c r="AC66" s="98"/>
    </row>
    <row r="67" spans="1:29" hidden="1" x14ac:dyDescent="0.3">
      <c r="A67" s="18" t="s">
        <v>716</v>
      </c>
      <c r="B67" s="18" t="s">
        <v>290</v>
      </c>
      <c r="C67" s="18" t="s">
        <v>544</v>
      </c>
      <c r="D67" s="14" t="s">
        <v>653</v>
      </c>
      <c r="E67" s="18" t="s">
        <v>9</v>
      </c>
      <c r="F67" s="14" t="s">
        <v>517</v>
      </c>
      <c r="G67" s="14" t="s">
        <v>518</v>
      </c>
      <c r="H67" s="18" t="s">
        <v>5</v>
      </c>
      <c r="I67" s="14" t="s">
        <v>115</v>
      </c>
      <c r="J67" s="20"/>
      <c r="K67" s="18" t="s">
        <v>642</v>
      </c>
      <c r="L67" s="20"/>
      <c r="M67" s="20">
        <v>1</v>
      </c>
      <c r="N67" s="15">
        <v>101694.92</v>
      </c>
      <c r="O67" s="15">
        <f t="shared" si="2"/>
        <v>101694.92</v>
      </c>
      <c r="P67" s="15"/>
      <c r="Q67" s="14" t="s">
        <v>520</v>
      </c>
      <c r="R67" s="25">
        <v>45462</v>
      </c>
      <c r="S67" s="34" t="str">
        <f>TEXT(Table1[[#This Row],[End Date]],"MMMM")</f>
        <v>June</v>
      </c>
      <c r="T67" s="34" t="str">
        <f>TEXT(Table1[[#This Row],[End Date]],"YYYY")</f>
        <v>2024</v>
      </c>
      <c r="U67" s="24">
        <f t="shared" ca="1" si="3"/>
        <v>-329</v>
      </c>
      <c r="V67" s="14" t="str" cm="1">
        <f t="array" aca="1" ref="V67" ca="1">_xlfn.IFS(Table1[[#This Row],[Agreement Days]]&gt;=0,"Expired",Table1[[#This Row],[Agreement Days]]&gt;=-30,"Expires &lt; 30 Days",Table1[[#This Row],[Agreement Days]]&gt;=-60,"Expires &lt; 60 Days",Table1[[#This Row],[Agreement Days]]&lt;-60,"Valid Contract")</f>
        <v>Valid Contract</v>
      </c>
      <c r="W67" s="26" t="s">
        <v>17</v>
      </c>
      <c r="X67" s="20" t="s">
        <v>718</v>
      </c>
      <c r="Y67" s="51" t="s">
        <v>719</v>
      </c>
      <c r="Z67" s="27">
        <v>785695913</v>
      </c>
      <c r="AA67" s="27"/>
      <c r="AB67" s="98"/>
      <c r="AC67" s="98"/>
    </row>
    <row r="68" spans="1:29" hidden="1" x14ac:dyDescent="0.3">
      <c r="A68" s="18" t="s">
        <v>716</v>
      </c>
      <c r="B68" s="18" t="s">
        <v>290</v>
      </c>
      <c r="C68" s="18" t="s">
        <v>544</v>
      </c>
      <c r="D68" s="14" t="s">
        <v>653</v>
      </c>
      <c r="E68" s="18" t="s">
        <v>9</v>
      </c>
      <c r="F68" s="14" t="s">
        <v>517</v>
      </c>
      <c r="G68" s="14" t="s">
        <v>518</v>
      </c>
      <c r="H68" s="18" t="s">
        <v>2</v>
      </c>
      <c r="I68" s="20" t="s">
        <v>118</v>
      </c>
      <c r="J68" s="20"/>
      <c r="K68" s="20" t="s">
        <v>721</v>
      </c>
      <c r="L68" s="20"/>
      <c r="M68" s="20">
        <v>1</v>
      </c>
      <c r="N68" s="15">
        <v>369325</v>
      </c>
      <c r="O68" s="15">
        <f t="shared" si="2"/>
        <v>369325</v>
      </c>
      <c r="P68" s="15"/>
      <c r="Q68" s="14" t="s">
        <v>520</v>
      </c>
      <c r="R68" s="25">
        <v>45462</v>
      </c>
      <c r="S68" s="34" t="str">
        <f>TEXT(Table1[[#This Row],[End Date]],"MMMM")</f>
        <v>June</v>
      </c>
      <c r="T68" s="34" t="str">
        <f>TEXT(Table1[[#This Row],[End Date]],"YYYY")</f>
        <v>2024</v>
      </c>
      <c r="U68" s="24">
        <f t="shared" ca="1" si="3"/>
        <v>-329</v>
      </c>
      <c r="V68" s="14" t="str" cm="1">
        <f t="array" aca="1" ref="V68" ca="1">_xlfn.IFS(Table1[[#This Row],[Agreement Days]]&gt;=0,"Expired",Table1[[#This Row],[Agreement Days]]&gt;=-30,"Expires &lt; 30 Days",Table1[[#This Row],[Agreement Days]]&gt;=-60,"Expires &lt; 60 Days",Table1[[#This Row],[Agreement Days]]&lt;-60,"Valid Contract")</f>
        <v>Valid Contract</v>
      </c>
      <c r="W68" s="26" t="s">
        <v>17</v>
      </c>
      <c r="X68" s="20" t="s">
        <v>718</v>
      </c>
      <c r="Y68" s="51" t="s">
        <v>719</v>
      </c>
      <c r="Z68" s="27">
        <v>785695913</v>
      </c>
      <c r="AA68" s="27"/>
      <c r="AB68" s="116"/>
      <c r="AC68" s="116"/>
    </row>
    <row r="69" spans="1:29" s="12" customFormat="1" hidden="1" x14ac:dyDescent="0.3">
      <c r="A69" s="18" t="s">
        <v>716</v>
      </c>
      <c r="B69" s="18" t="s">
        <v>290</v>
      </c>
      <c r="C69" s="18" t="s">
        <v>544</v>
      </c>
      <c r="D69" s="14" t="s">
        <v>653</v>
      </c>
      <c r="E69" s="18" t="s">
        <v>9</v>
      </c>
      <c r="F69" s="14" t="s">
        <v>517</v>
      </c>
      <c r="G69" s="14" t="s">
        <v>518</v>
      </c>
      <c r="H69" s="18" t="s">
        <v>5</v>
      </c>
      <c r="I69" s="14" t="s">
        <v>115</v>
      </c>
      <c r="J69" s="20"/>
      <c r="K69" s="14" t="s">
        <v>722</v>
      </c>
      <c r="L69" s="20"/>
      <c r="M69" s="20">
        <v>1</v>
      </c>
      <c r="N69" s="15">
        <v>77711.86</v>
      </c>
      <c r="O69" s="15">
        <f t="shared" si="2"/>
        <v>77711.86</v>
      </c>
      <c r="P69" s="15"/>
      <c r="Q69" s="14" t="s">
        <v>520</v>
      </c>
      <c r="R69" s="25">
        <v>45462</v>
      </c>
      <c r="S69" s="34" t="str">
        <f>TEXT(Table1[[#This Row],[End Date]],"MMMM")</f>
        <v>June</v>
      </c>
      <c r="T69" s="34" t="str">
        <f>TEXT(Table1[[#This Row],[End Date]],"YYYY")</f>
        <v>2024</v>
      </c>
      <c r="U69" s="24">
        <f t="shared" ca="1" si="3"/>
        <v>-329</v>
      </c>
      <c r="V69" s="14" t="str" cm="1">
        <f t="array" aca="1" ref="V69" ca="1">_xlfn.IFS(Table1[[#This Row],[Agreement Days]]&gt;=0,"Expired",Table1[[#This Row],[Agreement Days]]&gt;=-30,"Expires &lt; 30 Days",Table1[[#This Row],[Agreement Days]]&gt;=-60,"Expires &lt; 60 Days",Table1[[#This Row],[Agreement Days]]&lt;-60,"Valid Contract")</f>
        <v>Valid Contract</v>
      </c>
      <c r="W69" s="26" t="s">
        <v>17</v>
      </c>
      <c r="X69" s="20" t="s">
        <v>718</v>
      </c>
      <c r="Y69" s="51" t="s">
        <v>719</v>
      </c>
      <c r="Z69" s="27">
        <v>785695913</v>
      </c>
      <c r="AA69" s="27"/>
      <c r="AB69" s="116"/>
      <c r="AC69" s="116"/>
    </row>
    <row r="70" spans="1:29" s="44" customFormat="1" hidden="1" x14ac:dyDescent="0.3">
      <c r="A70" s="18" t="s">
        <v>723</v>
      </c>
      <c r="B70" s="18" t="s">
        <v>36</v>
      </c>
      <c r="C70" s="18" t="s">
        <v>724</v>
      </c>
      <c r="D70" s="14" t="s">
        <v>542</v>
      </c>
      <c r="E70" s="18" t="s">
        <v>9</v>
      </c>
      <c r="F70" s="14" t="s">
        <v>631</v>
      </c>
      <c r="G70" s="14" t="s">
        <v>518</v>
      </c>
      <c r="H70" s="18" t="s">
        <v>5</v>
      </c>
      <c r="I70" s="14" t="s">
        <v>117</v>
      </c>
      <c r="J70" s="14">
        <v>50</v>
      </c>
      <c r="K70" s="14" t="s">
        <v>725</v>
      </c>
      <c r="L70" s="14"/>
      <c r="M70" s="14">
        <v>1</v>
      </c>
      <c r="N70" s="15">
        <f>2124000/1.18</f>
        <v>1800000</v>
      </c>
      <c r="O70" s="15">
        <f t="shared" si="2"/>
        <v>1800000</v>
      </c>
      <c r="P70" s="15"/>
      <c r="Q70" s="14" t="s">
        <v>520</v>
      </c>
      <c r="R70" s="21">
        <v>46528</v>
      </c>
      <c r="S70" s="22" t="str">
        <f>TEXT(Table1[[#This Row],[End Date]],"MMMM")</f>
        <v>May</v>
      </c>
      <c r="T70" s="23" t="str">
        <f>TEXT(Table1[[#This Row],[End Date]],"YYYY")</f>
        <v>2027</v>
      </c>
      <c r="U70" s="24">
        <f t="shared" ca="1" si="3"/>
        <v>-1395</v>
      </c>
      <c r="V70" s="14" t="str" cm="1">
        <f t="array" aca="1" ref="V70" ca="1">_xlfn.IFS(Table1[[#This Row],[Agreement Days]]&gt;=0,"Expired",Table1[[#This Row],[Agreement Days]]&gt;=-30,"Expires &lt; 30 Days",Table1[[#This Row],[Agreement Days]]&gt;=-60,"Expires &lt; 60 Days",Table1[[#This Row],[Agreement Days]]&lt;-60,"Valid Contract")</f>
        <v>Valid Contract</v>
      </c>
      <c r="W70" s="14" t="s">
        <v>13</v>
      </c>
      <c r="X70" s="14" t="s">
        <v>726</v>
      </c>
      <c r="Y70" s="43" t="s">
        <v>727</v>
      </c>
      <c r="Z70" s="17">
        <v>783849527</v>
      </c>
      <c r="AA70" s="17"/>
      <c r="AB70" s="116"/>
      <c r="AC70" s="116"/>
    </row>
    <row r="71" spans="1:29" s="44" customFormat="1" hidden="1" x14ac:dyDescent="0.3">
      <c r="A71" s="18" t="s">
        <v>698</v>
      </c>
      <c r="B71" s="18" t="s">
        <v>122</v>
      </c>
      <c r="C71" s="18" t="s">
        <v>122</v>
      </c>
      <c r="D71" s="14" t="s">
        <v>545</v>
      </c>
      <c r="E71" s="18" t="s">
        <v>9</v>
      </c>
      <c r="F71" s="14" t="s">
        <v>517</v>
      </c>
      <c r="G71" s="14" t="s">
        <v>546</v>
      </c>
      <c r="H71" s="18" t="s">
        <v>5</v>
      </c>
      <c r="I71" s="14" t="s">
        <v>115</v>
      </c>
      <c r="J71" s="14"/>
      <c r="K71" s="26" t="s">
        <v>651</v>
      </c>
      <c r="L71" s="14"/>
      <c r="M71" s="20">
        <v>1</v>
      </c>
      <c r="N71" s="15">
        <f>96000/1.18</f>
        <v>81355.932203389835</v>
      </c>
      <c r="O71" s="15">
        <f t="shared" si="2"/>
        <v>81355.932203389835</v>
      </c>
      <c r="P71" s="15"/>
      <c r="Q71" s="14" t="s">
        <v>520</v>
      </c>
      <c r="R71" s="21">
        <v>45073</v>
      </c>
      <c r="S71" s="22" t="str">
        <f>TEXT(Table1[[#This Row],[End Date]],"MMMM")</f>
        <v>May</v>
      </c>
      <c r="T71" s="23" t="str">
        <f>TEXT(Table1[[#This Row],[End Date]],"YYYY")</f>
        <v>2023</v>
      </c>
      <c r="U71" s="24">
        <f t="shared" ca="1" si="3"/>
        <v>60</v>
      </c>
      <c r="V71" s="14" t="str" cm="1">
        <f t="array" aca="1" ref="V71" ca="1">_xlfn.IFS(Table1[[#This Row],[Agreement Days]]&gt;=0,"Expired",Table1[[#This Row],[Agreement Days]]&gt;=-30,"Expires &lt; 30 Days",Table1[[#This Row],[Agreement Days]]&gt;=-60,"Expires &lt; 60 Days",Table1[[#This Row],[Agreement Days]]&lt;-60,"Valid Contract")</f>
        <v>Expired</v>
      </c>
      <c r="W71" s="14" t="s">
        <v>16</v>
      </c>
      <c r="X71" s="20" t="s">
        <v>701</v>
      </c>
      <c r="Y71" s="16" t="s">
        <v>702</v>
      </c>
      <c r="Z71" s="17" t="s">
        <v>703</v>
      </c>
      <c r="AA71" s="17"/>
      <c r="AB71" s="116"/>
      <c r="AC71" s="116"/>
    </row>
    <row r="72" spans="1:29" s="44" customFormat="1" hidden="1" x14ac:dyDescent="0.3">
      <c r="A72" s="18" t="s">
        <v>728</v>
      </c>
      <c r="B72" s="18" t="s">
        <v>348</v>
      </c>
      <c r="C72" s="18" t="s">
        <v>544</v>
      </c>
      <c r="D72" s="14" t="s">
        <v>540</v>
      </c>
      <c r="E72" s="18" t="s">
        <v>10</v>
      </c>
      <c r="F72" s="14" t="s">
        <v>729</v>
      </c>
      <c r="G72" s="14" t="s">
        <v>518</v>
      </c>
      <c r="H72" s="18" t="s">
        <v>2</v>
      </c>
      <c r="I72" s="14" t="s">
        <v>134</v>
      </c>
      <c r="J72" s="19">
        <v>5</v>
      </c>
      <c r="K72" s="14" t="s">
        <v>730</v>
      </c>
      <c r="L72" s="26"/>
      <c r="M72" s="17">
        <v>1</v>
      </c>
      <c r="N72" s="15">
        <v>270000</v>
      </c>
      <c r="O72" s="15">
        <f t="shared" si="2"/>
        <v>270000</v>
      </c>
      <c r="P72" s="15"/>
      <c r="Q72" s="14" t="s">
        <v>520</v>
      </c>
      <c r="R72" s="25">
        <v>45074</v>
      </c>
      <c r="S72" s="34" t="str">
        <f>TEXT(Table1[[#This Row],[End Date]],"MMMM")</f>
        <v>May</v>
      </c>
      <c r="T72" s="34" t="str">
        <f>TEXT(Table1[[#This Row],[End Date]],"YYYY")</f>
        <v>2023</v>
      </c>
      <c r="U72" s="24">
        <f t="shared" ca="1" si="3"/>
        <v>59</v>
      </c>
      <c r="V72" s="14" t="str" cm="1">
        <f t="array" aca="1" ref="V72" ca="1">_xlfn.IFS(Table1[[#This Row],[Agreement Days]]&gt;=0,"Expired",Table1[[#This Row],[Agreement Days]]&gt;=-30,"Expires &lt; 30 Days",Table1[[#This Row],[Agreement Days]]&gt;=-60,"Expires &lt; 60 Days",Table1[[#This Row],[Agreement Days]]&lt;-60,"Valid Contract")</f>
        <v>Expired</v>
      </c>
      <c r="W72" s="26" t="s">
        <v>17</v>
      </c>
      <c r="X72" s="26" t="s">
        <v>731</v>
      </c>
      <c r="Y72" s="18" t="s">
        <v>732</v>
      </c>
      <c r="Z72" s="27">
        <v>788639444</v>
      </c>
      <c r="AA72" s="27"/>
      <c r="AB72" s="116"/>
      <c r="AC72" s="116"/>
    </row>
    <row r="73" spans="1:29" s="44" customFormat="1" hidden="1" x14ac:dyDescent="0.3">
      <c r="A73" s="18" t="s">
        <v>728</v>
      </c>
      <c r="B73" s="18" t="s">
        <v>348</v>
      </c>
      <c r="C73" s="18" t="s">
        <v>544</v>
      </c>
      <c r="D73" s="14" t="s">
        <v>540</v>
      </c>
      <c r="E73" s="18" t="s">
        <v>10</v>
      </c>
      <c r="F73" s="14" t="s">
        <v>729</v>
      </c>
      <c r="G73" s="14" t="s">
        <v>518</v>
      </c>
      <c r="H73" s="18" t="s">
        <v>5</v>
      </c>
      <c r="I73" s="14" t="s">
        <v>115</v>
      </c>
      <c r="J73" s="26"/>
      <c r="K73" s="14" t="s">
        <v>733</v>
      </c>
      <c r="L73" s="26"/>
      <c r="M73" s="17">
        <v>3</v>
      </c>
      <c r="N73" s="15">
        <v>81355.929999999993</v>
      </c>
      <c r="O73" s="15">
        <f t="shared" si="2"/>
        <v>244067.78999999998</v>
      </c>
      <c r="P73" s="15"/>
      <c r="Q73" s="14" t="s">
        <v>520</v>
      </c>
      <c r="R73" s="25">
        <v>45074</v>
      </c>
      <c r="S73" s="34" t="str">
        <f>TEXT(Table1[[#This Row],[End Date]],"MMMM")</f>
        <v>May</v>
      </c>
      <c r="T73" s="34" t="str">
        <f>TEXT(Table1[[#This Row],[End Date]],"YYYY")</f>
        <v>2023</v>
      </c>
      <c r="U73" s="24">
        <f t="shared" ca="1" si="3"/>
        <v>59</v>
      </c>
      <c r="V73" s="14" t="str" cm="1">
        <f t="array" aca="1" ref="V73" ca="1">_xlfn.IFS(Table1[[#This Row],[Agreement Days]]&gt;=0,"Expired",Table1[[#This Row],[Agreement Days]]&gt;=-30,"Expires &lt; 30 Days",Table1[[#This Row],[Agreement Days]]&gt;=-60,"Expires &lt; 60 Days",Table1[[#This Row],[Agreement Days]]&lt;-60,"Valid Contract")</f>
        <v>Expired</v>
      </c>
      <c r="W73" s="26" t="s">
        <v>17</v>
      </c>
      <c r="X73" s="26" t="s">
        <v>731</v>
      </c>
      <c r="Y73" s="18" t="s">
        <v>732</v>
      </c>
      <c r="Z73" s="27">
        <v>788639444</v>
      </c>
      <c r="AA73" s="27"/>
      <c r="AB73" s="116"/>
      <c r="AC73" s="116"/>
    </row>
    <row r="74" spans="1:29" s="44" customFormat="1" hidden="1" x14ac:dyDescent="0.3">
      <c r="A74" s="18" t="s">
        <v>734</v>
      </c>
      <c r="B74" s="18" t="s">
        <v>381</v>
      </c>
      <c r="C74" s="18" t="s">
        <v>544</v>
      </c>
      <c r="D74" s="14" t="s">
        <v>735</v>
      </c>
      <c r="E74" s="18" t="s">
        <v>9</v>
      </c>
      <c r="F74" s="14" t="s">
        <v>729</v>
      </c>
      <c r="G74" s="14" t="s">
        <v>518</v>
      </c>
      <c r="H74" s="18" t="s">
        <v>5</v>
      </c>
      <c r="I74" s="14" t="s">
        <v>134</v>
      </c>
      <c r="J74" s="19">
        <v>5</v>
      </c>
      <c r="K74" s="26" t="s">
        <v>736</v>
      </c>
      <c r="L74" s="26"/>
      <c r="M74" s="17">
        <v>1</v>
      </c>
      <c r="N74" s="15">
        <v>270000</v>
      </c>
      <c r="O74" s="15">
        <f t="shared" si="2"/>
        <v>270000</v>
      </c>
      <c r="P74" s="15"/>
      <c r="Q74" s="14" t="s">
        <v>520</v>
      </c>
      <c r="R74" s="25">
        <v>45074</v>
      </c>
      <c r="S74" s="34" t="str">
        <f>TEXT(Table1[[#This Row],[End Date]],"MMMM")</f>
        <v>May</v>
      </c>
      <c r="T74" s="34" t="str">
        <f>TEXT(Table1[[#This Row],[End Date]],"YYYY")</f>
        <v>2023</v>
      </c>
      <c r="U74" s="24">
        <f t="shared" ca="1" si="3"/>
        <v>59</v>
      </c>
      <c r="V74" s="14" t="str" cm="1">
        <f t="array" aca="1" ref="V74" ca="1">_xlfn.IFS(Table1[[#This Row],[Agreement Days]]&gt;=0,"Expired",Table1[[#This Row],[Agreement Days]]&gt;=-30,"Expires &lt; 30 Days",Table1[[#This Row],[Agreement Days]]&gt;=-60,"Expires &lt; 60 Days",Table1[[#This Row],[Agreement Days]]&lt;-60,"Valid Contract")</f>
        <v>Expired</v>
      </c>
      <c r="W74" s="26" t="s">
        <v>17</v>
      </c>
      <c r="X74" s="26" t="s">
        <v>731</v>
      </c>
      <c r="Y74" s="18" t="s">
        <v>732</v>
      </c>
      <c r="Z74" s="27">
        <v>788639444</v>
      </c>
      <c r="AA74" s="27"/>
      <c r="AB74" s="116"/>
      <c r="AC74" s="116"/>
    </row>
    <row r="75" spans="1:29" s="44" customFormat="1" hidden="1" x14ac:dyDescent="0.3">
      <c r="A75" s="18" t="s">
        <v>734</v>
      </c>
      <c r="B75" s="18" t="s">
        <v>381</v>
      </c>
      <c r="C75" s="18" t="s">
        <v>544</v>
      </c>
      <c r="D75" s="14" t="s">
        <v>735</v>
      </c>
      <c r="E75" s="18" t="s">
        <v>10</v>
      </c>
      <c r="F75" s="14" t="s">
        <v>729</v>
      </c>
      <c r="G75" s="14" t="s">
        <v>518</v>
      </c>
      <c r="H75" s="18" t="s">
        <v>5</v>
      </c>
      <c r="I75" s="14" t="s">
        <v>115</v>
      </c>
      <c r="J75" s="26"/>
      <c r="K75" s="14" t="s">
        <v>733</v>
      </c>
      <c r="L75" s="26"/>
      <c r="M75" s="17">
        <v>1</v>
      </c>
      <c r="N75" s="15">
        <v>81355.929999999993</v>
      </c>
      <c r="O75" s="15">
        <f t="shared" si="2"/>
        <v>81355.929999999993</v>
      </c>
      <c r="P75" s="15"/>
      <c r="Q75" s="14" t="s">
        <v>520</v>
      </c>
      <c r="R75" s="25">
        <v>45074</v>
      </c>
      <c r="S75" s="34" t="str">
        <f>TEXT(Table1[[#This Row],[End Date]],"MMMM")</f>
        <v>May</v>
      </c>
      <c r="T75" s="34" t="str">
        <f>TEXT(Table1[[#This Row],[End Date]],"YYYY")</f>
        <v>2023</v>
      </c>
      <c r="U75" s="24">
        <f t="shared" ca="1" si="3"/>
        <v>59</v>
      </c>
      <c r="V75" s="14" t="str" cm="1">
        <f t="array" aca="1" ref="V75" ca="1">_xlfn.IFS(Table1[[#This Row],[Agreement Days]]&gt;=0,"Expired",Table1[[#This Row],[Agreement Days]]&gt;=-30,"Expires &lt; 30 Days",Table1[[#This Row],[Agreement Days]]&gt;=-60,"Expires &lt; 60 Days",Table1[[#This Row],[Agreement Days]]&lt;-60,"Valid Contract")</f>
        <v>Expired</v>
      </c>
      <c r="W75" s="26" t="s">
        <v>17</v>
      </c>
      <c r="X75" s="26" t="s">
        <v>731</v>
      </c>
      <c r="Y75" s="18" t="s">
        <v>732</v>
      </c>
      <c r="Z75" s="27">
        <v>788639444</v>
      </c>
      <c r="AA75" s="27"/>
      <c r="AB75" s="116"/>
      <c r="AC75" s="116"/>
    </row>
    <row r="76" spans="1:29" s="12" customFormat="1" hidden="1" x14ac:dyDescent="0.3">
      <c r="A76" s="18" t="s">
        <v>698</v>
      </c>
      <c r="B76" s="18" t="s">
        <v>122</v>
      </c>
      <c r="C76" s="18" t="s">
        <v>737</v>
      </c>
      <c r="D76" s="14" t="s">
        <v>545</v>
      </c>
      <c r="E76" s="18" t="s">
        <v>9</v>
      </c>
      <c r="F76" s="14" t="s">
        <v>517</v>
      </c>
      <c r="G76" s="14" t="s">
        <v>546</v>
      </c>
      <c r="H76" s="18" t="s">
        <v>5</v>
      </c>
      <c r="I76" s="14" t="s">
        <v>117</v>
      </c>
      <c r="J76" s="14">
        <v>10</v>
      </c>
      <c r="K76" s="19" t="s">
        <v>547</v>
      </c>
      <c r="L76" s="14"/>
      <c r="M76" s="20">
        <v>1</v>
      </c>
      <c r="N76" s="15">
        <v>510000</v>
      </c>
      <c r="O76" s="15">
        <f t="shared" si="2"/>
        <v>510000</v>
      </c>
      <c r="P76" s="15"/>
      <c r="Q76" s="14" t="s">
        <v>520</v>
      </c>
      <c r="R76" s="21">
        <v>45076</v>
      </c>
      <c r="S76" s="22" t="str">
        <f>TEXT(Table1[[#This Row],[End Date]],"MMMM")</f>
        <v>May</v>
      </c>
      <c r="T76" s="23" t="str">
        <f>TEXT(Table1[[#This Row],[End Date]],"YYYY")</f>
        <v>2023</v>
      </c>
      <c r="U76" s="24">
        <f t="shared" ca="1" si="3"/>
        <v>57</v>
      </c>
      <c r="V76" s="14" t="str" cm="1">
        <f t="array" aca="1" ref="V76" ca="1">_xlfn.IFS(Table1[[#This Row],[Agreement Days]]&gt;=0,"Expired",Table1[[#This Row],[Agreement Days]]&gt;=-30,"Expires &lt; 30 Days",Table1[[#This Row],[Agreement Days]]&gt;=-60,"Expires &lt; 60 Days",Table1[[#This Row],[Agreement Days]]&lt;-60,"Valid Contract")</f>
        <v>Expired</v>
      </c>
      <c r="W76" s="14" t="s">
        <v>16</v>
      </c>
      <c r="X76" s="20" t="s">
        <v>701</v>
      </c>
      <c r="Y76" s="16" t="s">
        <v>702</v>
      </c>
      <c r="Z76" s="17" t="s">
        <v>703</v>
      </c>
      <c r="AA76" s="17"/>
      <c r="AB76" s="116"/>
      <c r="AC76" s="116"/>
    </row>
    <row r="77" spans="1:29" s="12" customFormat="1" hidden="1" x14ac:dyDescent="0.3">
      <c r="A77" s="18" t="s">
        <v>698</v>
      </c>
      <c r="B77" s="18" t="s">
        <v>122</v>
      </c>
      <c r="C77" s="18" t="s">
        <v>738</v>
      </c>
      <c r="D77" s="14" t="s">
        <v>739</v>
      </c>
      <c r="E77" s="18" t="s">
        <v>9</v>
      </c>
      <c r="F77" s="14" t="s">
        <v>517</v>
      </c>
      <c r="G77" s="14" t="s">
        <v>546</v>
      </c>
      <c r="H77" s="18" t="s">
        <v>5</v>
      </c>
      <c r="I77" s="14" t="s">
        <v>117</v>
      </c>
      <c r="J77" s="14">
        <v>20</v>
      </c>
      <c r="K77" s="19" t="s">
        <v>689</v>
      </c>
      <c r="L77" s="14"/>
      <c r="M77" s="20">
        <v>4</v>
      </c>
      <c r="N77" s="15">
        <v>900000</v>
      </c>
      <c r="O77" s="15">
        <f t="shared" si="2"/>
        <v>3600000</v>
      </c>
      <c r="P77" s="15"/>
      <c r="Q77" s="14" t="s">
        <v>520</v>
      </c>
      <c r="R77" s="21">
        <v>45076</v>
      </c>
      <c r="S77" s="22" t="str">
        <f>TEXT(Table1[[#This Row],[End Date]],"MMMM")</f>
        <v>May</v>
      </c>
      <c r="T77" s="23" t="str">
        <f>TEXT(Table1[[#This Row],[End Date]],"YYYY")</f>
        <v>2023</v>
      </c>
      <c r="U77" s="24">
        <f t="shared" ca="1" si="3"/>
        <v>57</v>
      </c>
      <c r="V77" s="14" t="str" cm="1">
        <f t="array" aca="1" ref="V77" ca="1">_xlfn.IFS(Table1[[#This Row],[Agreement Days]]&gt;=0,"Expired",Table1[[#This Row],[Agreement Days]]&gt;=-30,"Expires &lt; 30 Days",Table1[[#This Row],[Agreement Days]]&gt;=-60,"Expires &lt; 60 Days",Table1[[#This Row],[Agreement Days]]&lt;-60,"Valid Contract")</f>
        <v>Expired</v>
      </c>
      <c r="W77" s="14" t="s">
        <v>16</v>
      </c>
      <c r="X77" s="20" t="s">
        <v>701</v>
      </c>
      <c r="Y77" s="16" t="s">
        <v>702</v>
      </c>
      <c r="Z77" s="17" t="s">
        <v>703</v>
      </c>
      <c r="AA77" s="17"/>
      <c r="AB77" s="116"/>
      <c r="AC77" s="116"/>
    </row>
    <row r="78" spans="1:29" s="12" customFormat="1" hidden="1" x14ac:dyDescent="0.3">
      <c r="A78" s="18" t="s">
        <v>740</v>
      </c>
      <c r="B78" s="18" t="s">
        <v>352</v>
      </c>
      <c r="C78" s="18" t="s">
        <v>741</v>
      </c>
      <c r="D78" s="14" t="s">
        <v>630</v>
      </c>
      <c r="E78" s="18" t="s">
        <v>9</v>
      </c>
      <c r="F78" s="14" t="s">
        <v>517</v>
      </c>
      <c r="G78" s="14" t="s">
        <v>546</v>
      </c>
      <c r="H78" s="18" t="s">
        <v>5</v>
      </c>
      <c r="I78" s="14" t="s">
        <v>117</v>
      </c>
      <c r="J78" s="14">
        <v>3</v>
      </c>
      <c r="K78" s="14" t="s">
        <v>646</v>
      </c>
      <c r="L78" s="14"/>
      <c r="M78" s="14">
        <v>1</v>
      </c>
      <c r="N78" s="15">
        <v>180000</v>
      </c>
      <c r="O78" s="15">
        <f t="shared" si="2"/>
        <v>180000</v>
      </c>
      <c r="P78" s="15"/>
      <c r="Q78" s="14" t="s">
        <v>520</v>
      </c>
      <c r="R78" s="21">
        <v>45076</v>
      </c>
      <c r="S78" s="22" t="str">
        <f>TEXT(Table1[[#This Row],[End Date]],"MMMM")</f>
        <v>May</v>
      </c>
      <c r="T78" s="23" t="str">
        <f>TEXT(Table1[[#This Row],[End Date]],"YYYY")</f>
        <v>2023</v>
      </c>
      <c r="U78" s="24">
        <f t="shared" ca="1" si="3"/>
        <v>57</v>
      </c>
      <c r="V78" s="14" t="str" cm="1">
        <f t="array" aca="1" ref="V78" ca="1">_xlfn.IFS(Table1[[#This Row],[Agreement Days]]&gt;=0,"Expired",Table1[[#This Row],[Agreement Days]]&gt;=-30,"Expires &lt; 30 Days",Table1[[#This Row],[Agreement Days]]&gt;=-60,"Expires &lt; 60 Days",Table1[[#This Row],[Agreement Days]]&lt;-60,"Valid Contract")</f>
        <v>Expired</v>
      </c>
      <c r="W78" s="14" t="s">
        <v>19</v>
      </c>
      <c r="X78" s="14" t="s">
        <v>742</v>
      </c>
      <c r="Y78" s="43" t="s">
        <v>743</v>
      </c>
      <c r="Z78" s="17">
        <v>783137224</v>
      </c>
      <c r="AA78" s="17"/>
      <c r="AB78" s="116"/>
      <c r="AC78" s="116"/>
    </row>
    <row r="79" spans="1:29" s="12" customFormat="1" hidden="1" x14ac:dyDescent="0.3">
      <c r="A79" s="18" t="s">
        <v>740</v>
      </c>
      <c r="B79" s="18" t="s">
        <v>352</v>
      </c>
      <c r="C79" s="18" t="s">
        <v>741</v>
      </c>
      <c r="D79" s="14" t="s">
        <v>630</v>
      </c>
      <c r="E79" s="18" t="s">
        <v>9</v>
      </c>
      <c r="F79" s="14" t="s">
        <v>517</v>
      </c>
      <c r="G79" s="14" t="s">
        <v>546</v>
      </c>
      <c r="H79" s="18" t="s">
        <v>4</v>
      </c>
      <c r="I79" s="14" t="s">
        <v>118</v>
      </c>
      <c r="J79" s="14"/>
      <c r="K79" s="14" t="s">
        <v>594</v>
      </c>
      <c r="L79" s="14"/>
      <c r="M79" s="14">
        <v>1</v>
      </c>
      <c r="N79" s="15">
        <v>86129.600000000006</v>
      </c>
      <c r="O79" s="15">
        <f t="shared" si="2"/>
        <v>86129.600000000006</v>
      </c>
      <c r="P79" s="15"/>
      <c r="Q79" s="14" t="s">
        <v>520</v>
      </c>
      <c r="R79" s="21">
        <v>45076</v>
      </c>
      <c r="S79" s="22" t="str">
        <f>TEXT(Table1[[#This Row],[End Date]],"MMMM")</f>
        <v>May</v>
      </c>
      <c r="T79" s="23" t="str">
        <f>TEXT(Table1[[#This Row],[End Date]],"YYYY")</f>
        <v>2023</v>
      </c>
      <c r="U79" s="24">
        <f t="shared" ca="1" si="3"/>
        <v>57</v>
      </c>
      <c r="V79" s="14" t="str" cm="1">
        <f t="array" aca="1" ref="V79" ca="1">_xlfn.IFS(Table1[[#This Row],[Agreement Days]]&gt;=0,"Expired",Table1[[#This Row],[Agreement Days]]&gt;=-30,"Expires &lt; 30 Days",Table1[[#This Row],[Agreement Days]]&gt;=-60,"Expires &lt; 60 Days",Table1[[#This Row],[Agreement Days]]&lt;-60,"Valid Contract")</f>
        <v>Expired</v>
      </c>
      <c r="W79" s="14" t="s">
        <v>19</v>
      </c>
      <c r="X79" s="14" t="s">
        <v>742</v>
      </c>
      <c r="Y79" s="43" t="s">
        <v>743</v>
      </c>
      <c r="Z79" s="17">
        <v>783137224</v>
      </c>
      <c r="AA79" s="17"/>
      <c r="AB79" s="116"/>
      <c r="AC79" s="116"/>
    </row>
    <row r="80" spans="1:29" hidden="1" x14ac:dyDescent="0.3">
      <c r="A80" s="18" t="s">
        <v>740</v>
      </c>
      <c r="B80" s="18" t="s">
        <v>352</v>
      </c>
      <c r="C80" s="18" t="s">
        <v>741</v>
      </c>
      <c r="D80" s="14" t="s">
        <v>630</v>
      </c>
      <c r="E80" s="18" t="s">
        <v>9</v>
      </c>
      <c r="F80" s="14" t="s">
        <v>517</v>
      </c>
      <c r="G80" s="14" t="s">
        <v>546</v>
      </c>
      <c r="H80" s="18" t="s">
        <v>2</v>
      </c>
      <c r="I80" s="14" t="s">
        <v>120</v>
      </c>
      <c r="J80" s="14"/>
      <c r="K80" s="14" t="s">
        <v>649</v>
      </c>
      <c r="L80" s="14"/>
      <c r="M80" s="14">
        <v>1</v>
      </c>
      <c r="N80" s="15">
        <v>258044.92</v>
      </c>
      <c r="O80" s="15">
        <f t="shared" si="2"/>
        <v>258044.92</v>
      </c>
      <c r="P80" s="15"/>
      <c r="Q80" s="14" t="s">
        <v>520</v>
      </c>
      <c r="R80" s="21">
        <v>45076</v>
      </c>
      <c r="S80" s="22" t="str">
        <f>TEXT(Table1[[#This Row],[End Date]],"MMMM")</f>
        <v>May</v>
      </c>
      <c r="T80" s="23" t="str">
        <f>TEXT(Table1[[#This Row],[End Date]],"YYYY")</f>
        <v>2023</v>
      </c>
      <c r="U80" s="24">
        <f t="shared" ca="1" si="3"/>
        <v>57</v>
      </c>
      <c r="V80" s="14" t="str" cm="1">
        <f t="array" aca="1" ref="V80" ca="1">_xlfn.IFS(Table1[[#This Row],[Agreement Days]]&gt;=0,"Expired",Table1[[#This Row],[Agreement Days]]&gt;=-30,"Expires &lt; 30 Days",Table1[[#This Row],[Agreement Days]]&gt;=-60,"Expires &lt; 60 Days",Table1[[#This Row],[Agreement Days]]&lt;-60,"Valid Contract")</f>
        <v>Expired</v>
      </c>
      <c r="W80" s="14" t="s">
        <v>19</v>
      </c>
      <c r="X80" s="14" t="s">
        <v>742</v>
      </c>
      <c r="Y80" s="43" t="s">
        <v>743</v>
      </c>
      <c r="Z80" s="17">
        <v>783137224</v>
      </c>
      <c r="AA80" s="17"/>
      <c r="AB80" s="116"/>
      <c r="AC80" s="116"/>
    </row>
    <row r="81" spans="1:29" x14ac:dyDescent="0.3">
      <c r="A81" s="18" t="s">
        <v>744</v>
      </c>
      <c r="B81" s="18" t="s">
        <v>135</v>
      </c>
      <c r="C81" s="18" t="s">
        <v>745</v>
      </c>
      <c r="D81" s="14" t="s">
        <v>545</v>
      </c>
      <c r="E81" s="18" t="s">
        <v>10</v>
      </c>
      <c r="F81" s="14" t="s">
        <v>527</v>
      </c>
      <c r="G81" s="14" t="s">
        <v>518</v>
      </c>
      <c r="H81" s="18" t="s">
        <v>3</v>
      </c>
      <c r="I81" s="14" t="s">
        <v>137</v>
      </c>
      <c r="J81" s="14"/>
      <c r="K81" s="14" t="s">
        <v>746</v>
      </c>
      <c r="L81" s="14"/>
      <c r="M81" s="14">
        <v>1</v>
      </c>
      <c r="N81" s="15">
        <v>13577073.333333334</v>
      </c>
      <c r="O81" s="15">
        <f t="shared" si="2"/>
        <v>13577073.333333334</v>
      </c>
      <c r="P81" s="15"/>
      <c r="Q81" s="14" t="s">
        <v>520</v>
      </c>
      <c r="R81" s="21">
        <v>45077</v>
      </c>
      <c r="S81" s="22" t="str">
        <f>TEXT(Table1[[#This Row],[End Date]],"MMMM")</f>
        <v>May</v>
      </c>
      <c r="T81" s="23" t="str">
        <f>TEXT(Table1[[#This Row],[End Date]],"YYYY")</f>
        <v>2023</v>
      </c>
      <c r="U81" s="24">
        <f t="shared" ca="1" si="3"/>
        <v>56</v>
      </c>
      <c r="V81" s="14" t="str" cm="1">
        <f t="array" aca="1" ref="V81" ca="1">_xlfn.IFS(Table1[[#This Row],[Agreement Days]]&gt;=0,"Expired",Table1[[#This Row],[Agreement Days]]&gt;=-30,"Expires &lt; 30 Days",Table1[[#This Row],[Agreement Days]]&gt;=-60,"Expires &lt; 60 Days",Table1[[#This Row],[Agreement Days]]&lt;-60,"Valid Contract")</f>
        <v>Expired</v>
      </c>
      <c r="W81" s="14" t="s">
        <v>12</v>
      </c>
      <c r="X81" s="14" t="s">
        <v>747</v>
      </c>
      <c r="Y81" s="16" t="s">
        <v>748</v>
      </c>
      <c r="Z81" s="17" t="s">
        <v>749</v>
      </c>
      <c r="AA81" s="17"/>
      <c r="AB81" s="98"/>
      <c r="AC81" s="98"/>
    </row>
    <row r="82" spans="1:29" x14ac:dyDescent="0.3">
      <c r="A82" s="18" t="s">
        <v>744</v>
      </c>
      <c r="B82" s="18" t="s">
        <v>135</v>
      </c>
      <c r="C82" s="18" t="s">
        <v>750</v>
      </c>
      <c r="D82" s="14" t="s">
        <v>545</v>
      </c>
      <c r="E82" s="18" t="s">
        <v>10</v>
      </c>
      <c r="F82" s="14" t="s">
        <v>527</v>
      </c>
      <c r="G82" s="14" t="s">
        <v>518</v>
      </c>
      <c r="H82" s="18" t="s">
        <v>2</v>
      </c>
      <c r="I82" s="14" t="s">
        <v>136</v>
      </c>
      <c r="J82" s="14"/>
      <c r="K82" s="14" t="s">
        <v>751</v>
      </c>
      <c r="L82" s="14"/>
      <c r="M82" s="14">
        <v>1</v>
      </c>
      <c r="N82" s="2">
        <f>259659/1.18</f>
        <v>220050</v>
      </c>
      <c r="O82" s="15">
        <f t="shared" si="2"/>
        <v>220050</v>
      </c>
      <c r="P82" s="15"/>
      <c r="Q82" s="14" t="s">
        <v>520</v>
      </c>
      <c r="R82" s="21">
        <v>45077</v>
      </c>
      <c r="S82" s="22" t="str">
        <f>TEXT(Table1[[#This Row],[End Date]],"MMMM")</f>
        <v>May</v>
      </c>
      <c r="T82" s="23" t="str">
        <f>TEXT(Table1[[#This Row],[End Date]],"YYYY")</f>
        <v>2023</v>
      </c>
      <c r="U82" s="24">
        <f t="shared" ca="1" si="3"/>
        <v>56</v>
      </c>
      <c r="V82" s="14" t="str" cm="1">
        <f t="array" aca="1" ref="V82" ca="1">_xlfn.IFS(Table1[[#This Row],[Agreement Days]]&gt;=0,"Expired",Table1[[#This Row],[Agreement Days]]&gt;=-30,"Expires &lt; 30 Days",Table1[[#This Row],[Agreement Days]]&gt;=-60,"Expires &lt; 60 Days",Table1[[#This Row],[Agreement Days]]&lt;-60,"Valid Contract")</f>
        <v>Expired</v>
      </c>
      <c r="W82" s="14" t="s">
        <v>12</v>
      </c>
      <c r="X82" s="14" t="s">
        <v>747</v>
      </c>
      <c r="Y82" s="16" t="s">
        <v>748</v>
      </c>
      <c r="Z82" s="14" t="s">
        <v>749</v>
      </c>
      <c r="AA82" s="14"/>
      <c r="AB82" s="98"/>
      <c r="AC82" s="98"/>
    </row>
    <row r="83" spans="1:29" x14ac:dyDescent="0.3">
      <c r="A83" s="18" t="s">
        <v>744</v>
      </c>
      <c r="B83" s="18" t="s">
        <v>135</v>
      </c>
      <c r="C83" s="18" t="s">
        <v>752</v>
      </c>
      <c r="D83" s="14" t="s">
        <v>545</v>
      </c>
      <c r="E83" s="18" t="s">
        <v>10</v>
      </c>
      <c r="F83" s="14" t="s">
        <v>527</v>
      </c>
      <c r="G83" s="14" t="s">
        <v>518</v>
      </c>
      <c r="H83" s="18" t="s">
        <v>2</v>
      </c>
      <c r="I83" s="14" t="s">
        <v>123</v>
      </c>
      <c r="J83" s="14"/>
      <c r="K83" s="14" t="s">
        <v>753</v>
      </c>
      <c r="L83" s="14"/>
      <c r="M83" s="14">
        <v>1</v>
      </c>
      <c r="N83" s="15">
        <v>150000</v>
      </c>
      <c r="O83" s="15">
        <f t="shared" si="2"/>
        <v>150000</v>
      </c>
      <c r="P83" s="15"/>
      <c r="Q83" s="14" t="s">
        <v>520</v>
      </c>
      <c r="R83" s="21">
        <v>45077</v>
      </c>
      <c r="S83" s="22" t="str">
        <f>TEXT(Table1[[#This Row],[End Date]],"MMMM")</f>
        <v>May</v>
      </c>
      <c r="T83" s="23" t="str">
        <f>TEXT(Table1[[#This Row],[End Date]],"YYYY")</f>
        <v>2023</v>
      </c>
      <c r="U83" s="24">
        <f t="shared" ca="1" si="3"/>
        <v>56</v>
      </c>
      <c r="V83" s="14" t="str" cm="1">
        <f t="array" aca="1" ref="V83" ca="1">_xlfn.IFS(Table1[[#This Row],[Agreement Days]]&gt;=0,"Expired",Table1[[#This Row],[Agreement Days]]&gt;=-30,"Expires &lt; 30 Days",Table1[[#This Row],[Agreement Days]]&gt;=-60,"Expires &lt; 60 Days",Table1[[#This Row],[Agreement Days]]&lt;-60,"Valid Contract")</f>
        <v>Expired</v>
      </c>
      <c r="W83" s="14" t="s">
        <v>12</v>
      </c>
      <c r="X83" s="14" t="s">
        <v>747</v>
      </c>
      <c r="Y83" s="16" t="s">
        <v>748</v>
      </c>
      <c r="Z83" s="17" t="s">
        <v>749</v>
      </c>
      <c r="AA83" s="17"/>
      <c r="AB83" s="98"/>
      <c r="AC83" s="98"/>
    </row>
    <row r="84" spans="1:29" x14ac:dyDescent="0.3">
      <c r="A84" s="18" t="s">
        <v>744</v>
      </c>
      <c r="B84" s="18" t="s">
        <v>135</v>
      </c>
      <c r="C84" s="18" t="s">
        <v>754</v>
      </c>
      <c r="D84" s="14" t="s">
        <v>545</v>
      </c>
      <c r="E84" s="18" t="s">
        <v>10</v>
      </c>
      <c r="F84" s="14" t="s">
        <v>527</v>
      </c>
      <c r="G84" s="14" t="s">
        <v>518</v>
      </c>
      <c r="H84" s="18" t="s">
        <v>2</v>
      </c>
      <c r="I84" s="14" t="s">
        <v>123</v>
      </c>
      <c r="J84" s="14"/>
      <c r="K84" s="14" t="s">
        <v>755</v>
      </c>
      <c r="L84" s="14"/>
      <c r="M84" s="14">
        <v>1</v>
      </c>
      <c r="N84" s="15">
        <v>75000</v>
      </c>
      <c r="O84" s="15">
        <f t="shared" si="2"/>
        <v>75000</v>
      </c>
      <c r="P84" s="15"/>
      <c r="Q84" s="14" t="s">
        <v>520</v>
      </c>
      <c r="R84" s="21">
        <v>45077</v>
      </c>
      <c r="S84" s="22" t="str">
        <f>TEXT(Table1[[#This Row],[End Date]],"MMMM")</f>
        <v>May</v>
      </c>
      <c r="T84" s="23" t="str">
        <f>TEXT(Table1[[#This Row],[End Date]],"YYYY")</f>
        <v>2023</v>
      </c>
      <c r="U84" s="24">
        <f t="shared" ca="1" si="3"/>
        <v>56</v>
      </c>
      <c r="V84" s="14" t="str" cm="1">
        <f t="array" aca="1" ref="V84" ca="1">_xlfn.IFS(Table1[[#This Row],[Agreement Days]]&gt;=0,"Expired",Table1[[#This Row],[Agreement Days]]&gt;=-30,"Expires &lt; 30 Days",Table1[[#This Row],[Agreement Days]]&gt;=-60,"Expires &lt; 60 Days",Table1[[#This Row],[Agreement Days]]&lt;-60,"Valid Contract")</f>
        <v>Expired</v>
      </c>
      <c r="W84" s="14" t="s">
        <v>12</v>
      </c>
      <c r="X84" s="14" t="s">
        <v>747</v>
      </c>
      <c r="Y84" s="16" t="s">
        <v>748</v>
      </c>
      <c r="Z84" s="17" t="s">
        <v>749</v>
      </c>
      <c r="AA84" s="17"/>
      <c r="AB84" s="98"/>
      <c r="AC84" s="98"/>
    </row>
    <row r="85" spans="1:29" x14ac:dyDescent="0.3">
      <c r="A85" s="18" t="s">
        <v>744</v>
      </c>
      <c r="B85" s="18" t="s">
        <v>135</v>
      </c>
      <c r="C85" s="18" t="s">
        <v>756</v>
      </c>
      <c r="D85" s="14" t="s">
        <v>545</v>
      </c>
      <c r="E85" s="18" t="s">
        <v>10</v>
      </c>
      <c r="F85" s="14" t="s">
        <v>527</v>
      </c>
      <c r="G85" s="14" t="s">
        <v>518</v>
      </c>
      <c r="H85" s="18" t="s">
        <v>3</v>
      </c>
      <c r="I85" s="14" t="s">
        <v>116</v>
      </c>
      <c r="J85" s="14"/>
      <c r="K85" s="14" t="s">
        <v>533</v>
      </c>
      <c r="L85" s="14">
        <v>16</v>
      </c>
      <c r="M85" s="14">
        <v>1</v>
      </c>
      <c r="N85" s="15">
        <v>400000</v>
      </c>
      <c r="O85" s="15">
        <f t="shared" si="2"/>
        <v>400000</v>
      </c>
      <c r="P85" s="15"/>
      <c r="Q85" s="14" t="s">
        <v>520</v>
      </c>
      <c r="R85" s="21">
        <v>45077</v>
      </c>
      <c r="S85" s="22" t="str">
        <f>TEXT(Table1[[#This Row],[End Date]],"MMMM")</f>
        <v>May</v>
      </c>
      <c r="T85" s="23" t="str">
        <f>TEXT(Table1[[#This Row],[End Date]],"YYYY")</f>
        <v>2023</v>
      </c>
      <c r="U85" s="24">
        <f t="shared" ca="1" si="3"/>
        <v>56</v>
      </c>
      <c r="V85" s="14" t="str" cm="1">
        <f t="array" aca="1" ref="V85" ca="1">_xlfn.IFS(Table1[[#This Row],[Agreement Days]]&gt;=0,"Expired",Table1[[#This Row],[Agreement Days]]&gt;=-30,"Expires &lt; 30 Days",Table1[[#This Row],[Agreement Days]]&gt;=-60,"Expires &lt; 60 Days",Table1[[#This Row],[Agreement Days]]&lt;-60,"Valid Contract")</f>
        <v>Expired</v>
      </c>
      <c r="W85" s="14" t="s">
        <v>12</v>
      </c>
      <c r="X85" s="14" t="s">
        <v>747</v>
      </c>
      <c r="Y85" s="16" t="s">
        <v>748</v>
      </c>
      <c r="Z85" s="17" t="s">
        <v>749</v>
      </c>
      <c r="AA85" s="17"/>
      <c r="AB85" s="98"/>
      <c r="AC85" s="98"/>
    </row>
    <row r="86" spans="1:29" x14ac:dyDescent="0.3">
      <c r="A86" s="18" t="s">
        <v>744</v>
      </c>
      <c r="B86" s="18" t="s">
        <v>135</v>
      </c>
      <c r="C86" s="18" t="s">
        <v>757</v>
      </c>
      <c r="D86" s="14" t="s">
        <v>545</v>
      </c>
      <c r="E86" s="18" t="s">
        <v>10</v>
      </c>
      <c r="F86" s="14" t="s">
        <v>527</v>
      </c>
      <c r="G86" s="14" t="s">
        <v>518</v>
      </c>
      <c r="H86" s="18" t="s">
        <v>3</v>
      </c>
      <c r="I86" s="14" t="s">
        <v>116</v>
      </c>
      <c r="J86" s="14"/>
      <c r="K86" s="14" t="s">
        <v>533</v>
      </c>
      <c r="L86" s="14">
        <v>5</v>
      </c>
      <c r="M86" s="14">
        <v>1</v>
      </c>
      <c r="N86" s="15">
        <v>250000</v>
      </c>
      <c r="O86" s="15">
        <f t="shared" si="2"/>
        <v>250000</v>
      </c>
      <c r="P86" s="15"/>
      <c r="Q86" s="14" t="s">
        <v>520</v>
      </c>
      <c r="R86" s="21">
        <v>45077</v>
      </c>
      <c r="S86" s="22" t="str">
        <f>TEXT(Table1[[#This Row],[End Date]],"MMMM")</f>
        <v>May</v>
      </c>
      <c r="T86" s="23" t="str">
        <f>TEXT(Table1[[#This Row],[End Date]],"YYYY")</f>
        <v>2023</v>
      </c>
      <c r="U86" s="24">
        <f t="shared" ca="1" si="3"/>
        <v>56</v>
      </c>
      <c r="V86" s="14" t="str" cm="1">
        <f t="array" aca="1" ref="V86" ca="1">_xlfn.IFS(Table1[[#This Row],[Agreement Days]]&gt;=0,"Expired",Table1[[#This Row],[Agreement Days]]&gt;=-30,"Expires &lt; 30 Days",Table1[[#This Row],[Agreement Days]]&gt;=-60,"Expires &lt; 60 Days",Table1[[#This Row],[Agreement Days]]&lt;-60,"Valid Contract")</f>
        <v>Expired</v>
      </c>
      <c r="W86" s="14" t="s">
        <v>12</v>
      </c>
      <c r="X86" s="14" t="s">
        <v>747</v>
      </c>
      <c r="Y86" s="16" t="s">
        <v>748</v>
      </c>
      <c r="Z86" s="17" t="s">
        <v>749</v>
      </c>
      <c r="AA86" s="17"/>
      <c r="AB86" s="98"/>
      <c r="AC86" s="98"/>
    </row>
    <row r="87" spans="1:29" s="41" customFormat="1" x14ac:dyDescent="0.3">
      <c r="A87" s="18" t="s">
        <v>744</v>
      </c>
      <c r="B87" s="18" t="s">
        <v>135</v>
      </c>
      <c r="C87" s="18" t="s">
        <v>758</v>
      </c>
      <c r="D87" s="14" t="s">
        <v>759</v>
      </c>
      <c r="E87" s="18" t="s">
        <v>10</v>
      </c>
      <c r="F87" s="14" t="s">
        <v>527</v>
      </c>
      <c r="G87" s="14" t="s">
        <v>518</v>
      </c>
      <c r="H87" s="18" t="s">
        <v>2</v>
      </c>
      <c r="I87" s="14" t="s">
        <v>123</v>
      </c>
      <c r="J87" s="14"/>
      <c r="K87" s="14" t="s">
        <v>753</v>
      </c>
      <c r="L87" s="14"/>
      <c r="M87" s="14">
        <v>1</v>
      </c>
      <c r="N87" s="2">
        <f>194744/1.18</f>
        <v>165037.28813559323</v>
      </c>
      <c r="O87" s="15">
        <f t="shared" si="2"/>
        <v>165037.28813559323</v>
      </c>
      <c r="P87" s="15"/>
      <c r="Q87" s="14" t="s">
        <v>520</v>
      </c>
      <c r="R87" s="21">
        <v>45077</v>
      </c>
      <c r="S87" s="22" t="str">
        <f>TEXT(Table1[[#This Row],[End Date]],"MMMM")</f>
        <v>May</v>
      </c>
      <c r="T87" s="23" t="str">
        <f>TEXT(Table1[[#This Row],[End Date]],"YYYY")</f>
        <v>2023</v>
      </c>
      <c r="U87" s="24">
        <f t="shared" ca="1" si="3"/>
        <v>56</v>
      </c>
      <c r="V87" s="14" t="str" cm="1">
        <f t="array" aca="1" ref="V87" ca="1">_xlfn.IFS(Table1[[#This Row],[Agreement Days]]&gt;=0,"Expired",Table1[[#This Row],[Agreement Days]]&gt;=-30,"Expires &lt; 30 Days",Table1[[#This Row],[Agreement Days]]&gt;=-60,"Expires &lt; 60 Days",Table1[[#This Row],[Agreement Days]]&lt;-60,"Valid Contract")</f>
        <v>Expired</v>
      </c>
      <c r="W87" s="14" t="s">
        <v>12</v>
      </c>
      <c r="X87" s="14" t="s">
        <v>747</v>
      </c>
      <c r="Y87" s="16" t="s">
        <v>748</v>
      </c>
      <c r="Z87" s="17" t="s">
        <v>749</v>
      </c>
      <c r="AA87" s="17"/>
      <c r="AB87" s="98"/>
      <c r="AC87" s="98"/>
    </row>
    <row r="88" spans="1:29" x14ac:dyDescent="0.3">
      <c r="A88" s="18" t="s">
        <v>744</v>
      </c>
      <c r="B88" s="18" t="s">
        <v>135</v>
      </c>
      <c r="C88" s="18" t="s">
        <v>760</v>
      </c>
      <c r="D88" s="14" t="s">
        <v>761</v>
      </c>
      <c r="E88" s="18" t="s">
        <v>10</v>
      </c>
      <c r="F88" s="14" t="s">
        <v>527</v>
      </c>
      <c r="G88" s="14" t="s">
        <v>518</v>
      </c>
      <c r="H88" s="18" t="s">
        <v>3</v>
      </c>
      <c r="I88" s="14" t="s">
        <v>116</v>
      </c>
      <c r="J88" s="14"/>
      <c r="K88" s="14" t="s">
        <v>533</v>
      </c>
      <c r="L88" s="14">
        <v>5</v>
      </c>
      <c r="M88" s="14">
        <v>1</v>
      </c>
      <c r="N88" s="15">
        <v>125000</v>
      </c>
      <c r="O88" s="15">
        <f t="shared" si="2"/>
        <v>125000</v>
      </c>
      <c r="P88" s="15"/>
      <c r="Q88" s="14" t="s">
        <v>520</v>
      </c>
      <c r="R88" s="21">
        <v>45077</v>
      </c>
      <c r="S88" s="22" t="str">
        <f>TEXT(Table1[[#This Row],[End Date]],"MMMM")</f>
        <v>May</v>
      </c>
      <c r="T88" s="23" t="str">
        <f>TEXT(Table1[[#This Row],[End Date]],"YYYY")</f>
        <v>2023</v>
      </c>
      <c r="U88" s="24">
        <f t="shared" ca="1" si="3"/>
        <v>56</v>
      </c>
      <c r="V88" s="14" t="str" cm="1">
        <f t="array" aca="1" ref="V88" ca="1">_xlfn.IFS(Table1[[#This Row],[Agreement Days]]&gt;=0,"Expired",Table1[[#This Row],[Agreement Days]]&gt;=-30,"Expires &lt; 30 Days",Table1[[#This Row],[Agreement Days]]&gt;=-60,"Expires &lt; 60 Days",Table1[[#This Row],[Agreement Days]]&lt;-60,"Valid Contract")</f>
        <v>Expired</v>
      </c>
      <c r="W88" s="14" t="s">
        <v>12</v>
      </c>
      <c r="X88" s="14" t="s">
        <v>747</v>
      </c>
      <c r="Y88" s="16" t="s">
        <v>748</v>
      </c>
      <c r="Z88" s="17" t="s">
        <v>749</v>
      </c>
      <c r="AA88" s="17"/>
      <c r="AB88" s="98"/>
      <c r="AC88" s="98"/>
    </row>
    <row r="89" spans="1:29" x14ac:dyDescent="0.3">
      <c r="A89" s="18" t="s">
        <v>744</v>
      </c>
      <c r="B89" s="18" t="s">
        <v>135</v>
      </c>
      <c r="C89" s="18" t="s">
        <v>762</v>
      </c>
      <c r="D89" s="14" t="s">
        <v>735</v>
      </c>
      <c r="E89" s="18" t="s">
        <v>10</v>
      </c>
      <c r="F89" s="14" t="s">
        <v>527</v>
      </c>
      <c r="G89" s="14" t="s">
        <v>518</v>
      </c>
      <c r="H89" s="18" t="s">
        <v>2</v>
      </c>
      <c r="I89" s="14" t="s">
        <v>123</v>
      </c>
      <c r="J89" s="14"/>
      <c r="K89" s="14" t="s">
        <v>755</v>
      </c>
      <c r="L89" s="14"/>
      <c r="M89" s="14">
        <v>1</v>
      </c>
      <c r="N89" s="2">
        <f>97372/1.18</f>
        <v>82518.644067796617</v>
      </c>
      <c r="O89" s="15">
        <f t="shared" si="2"/>
        <v>82518.644067796617</v>
      </c>
      <c r="P89" s="15"/>
      <c r="Q89" s="14" t="s">
        <v>520</v>
      </c>
      <c r="R89" s="21">
        <v>45077</v>
      </c>
      <c r="S89" s="22" t="str">
        <f>TEXT(Table1[[#This Row],[End Date]],"MMMM")</f>
        <v>May</v>
      </c>
      <c r="T89" s="23" t="str">
        <f>TEXT(Table1[[#This Row],[End Date]],"YYYY")</f>
        <v>2023</v>
      </c>
      <c r="U89" s="24">
        <f t="shared" ca="1" si="3"/>
        <v>56</v>
      </c>
      <c r="V89" s="14" t="str" cm="1">
        <f t="array" aca="1" ref="V89" ca="1">_xlfn.IFS(Table1[[#This Row],[Agreement Days]]&gt;=0,"Expired",Table1[[#This Row],[Agreement Days]]&gt;=-30,"Expires &lt; 30 Days",Table1[[#This Row],[Agreement Days]]&gt;=-60,"Expires &lt; 60 Days",Table1[[#This Row],[Agreement Days]]&lt;-60,"Valid Contract")</f>
        <v>Expired</v>
      </c>
      <c r="W89" s="14" t="s">
        <v>12</v>
      </c>
      <c r="X89" s="14" t="s">
        <v>747</v>
      </c>
      <c r="Y89" s="16" t="s">
        <v>748</v>
      </c>
      <c r="Z89" s="17" t="s">
        <v>749</v>
      </c>
      <c r="AA89" s="17"/>
      <c r="AB89" s="98"/>
      <c r="AC89" s="98"/>
    </row>
    <row r="90" spans="1:29" hidden="1" x14ac:dyDescent="0.3">
      <c r="A90" s="18" t="s">
        <v>723</v>
      </c>
      <c r="B90" s="18" t="s">
        <v>36</v>
      </c>
      <c r="C90" s="18" t="s">
        <v>724</v>
      </c>
      <c r="D90" s="14" t="s">
        <v>542</v>
      </c>
      <c r="E90" s="18" t="s">
        <v>9</v>
      </c>
      <c r="F90" s="14" t="s">
        <v>631</v>
      </c>
      <c r="G90" s="14" t="s">
        <v>518</v>
      </c>
      <c r="H90" s="18" t="s">
        <v>5</v>
      </c>
      <c r="I90" s="14" t="s">
        <v>117</v>
      </c>
      <c r="J90" s="142">
        <v>5</v>
      </c>
      <c r="K90" s="14" t="s">
        <v>763</v>
      </c>
      <c r="L90" s="142"/>
      <c r="M90" s="142">
        <v>1</v>
      </c>
      <c r="N90" s="142">
        <v>270000</v>
      </c>
      <c r="O90" s="144">
        <f>N90*M90</f>
        <v>270000</v>
      </c>
      <c r="P90" s="144"/>
      <c r="Q90" s="14" t="s">
        <v>520</v>
      </c>
      <c r="R90" s="21">
        <v>46528</v>
      </c>
      <c r="S90" s="146" t="str">
        <f>TEXT(Table1[[#This Row],[End Date]],"MMMM")</f>
        <v>May</v>
      </c>
      <c r="T90" s="146" t="str">
        <f>TEXT(Table1[[#This Row],[End Date]],"YYYY")</f>
        <v>2027</v>
      </c>
      <c r="U90" s="147">
        <f ca="1">TODAY()-R90</f>
        <v>-1395</v>
      </c>
      <c r="V90" s="142" t="str" cm="1">
        <f t="array" aca="1" ref="V90" ca="1">_xlfn.IFS(Table1[[#This Row],[Agreement Days]]&gt;=0,"Expired",Table1[[#This Row],[Agreement Days]]&gt;=-30,"Expires &lt; 30 Days",Table1[[#This Row],[Agreement Days]]&gt;=-60,"Expires &lt; 60 Days",Table1[[#This Row],[Agreement Days]]&lt;-60,"Valid Contract")</f>
        <v>Valid Contract</v>
      </c>
      <c r="W90" s="14" t="s">
        <v>13</v>
      </c>
      <c r="X90" s="14" t="s">
        <v>726</v>
      </c>
      <c r="Y90" s="43" t="s">
        <v>727</v>
      </c>
      <c r="Z90" s="17">
        <v>783849527</v>
      </c>
      <c r="AA90" s="180"/>
      <c r="AB90" s="189"/>
      <c r="AC90" s="189"/>
    </row>
    <row r="91" spans="1:29" hidden="1" x14ac:dyDescent="0.3">
      <c r="A91" s="18" t="s">
        <v>764</v>
      </c>
      <c r="B91" s="18" t="s">
        <v>40</v>
      </c>
      <c r="C91" s="18" t="s">
        <v>40</v>
      </c>
      <c r="D91" s="14" t="s">
        <v>545</v>
      </c>
      <c r="E91" s="18" t="s">
        <v>9</v>
      </c>
      <c r="F91" s="14" t="s">
        <v>631</v>
      </c>
      <c r="G91" s="14" t="s">
        <v>518</v>
      </c>
      <c r="H91" s="18" t="s">
        <v>2</v>
      </c>
      <c r="I91" s="14" t="s">
        <v>117</v>
      </c>
      <c r="J91" s="14">
        <v>30</v>
      </c>
      <c r="K91" s="14" t="s">
        <v>765</v>
      </c>
      <c r="L91" s="14"/>
      <c r="M91" s="14">
        <v>1</v>
      </c>
      <c r="N91" s="15">
        <v>1260000</v>
      </c>
      <c r="O91" s="15">
        <f t="shared" si="2"/>
        <v>1260000</v>
      </c>
      <c r="P91" s="15"/>
      <c r="Q91" s="14" t="s">
        <v>520</v>
      </c>
      <c r="R91" s="21">
        <v>45199</v>
      </c>
      <c r="S91" s="22" t="str">
        <f>TEXT(Table1[[#This Row],[End Date]],"MMMM")</f>
        <v>September</v>
      </c>
      <c r="T91" s="23" t="str">
        <f>TEXT(Table1[[#This Row],[End Date]],"YYYY")</f>
        <v>2023</v>
      </c>
      <c r="U91" s="24">
        <f t="shared" ca="1" si="3"/>
        <v>-66</v>
      </c>
      <c r="V91" s="14" t="str" cm="1">
        <f t="array" aca="1" ref="V91" ca="1">_xlfn.IFS(Table1[[#This Row],[Agreement Days]]&gt;=0,"Expired",Table1[[#This Row],[Agreement Days]]&gt;=-30,"Expires &lt; 30 Days",Table1[[#This Row],[Agreement Days]]&gt;=-60,"Expires &lt; 60 Days",Table1[[#This Row],[Agreement Days]]&lt;-60,"Valid Contract")</f>
        <v>Valid Contract</v>
      </c>
      <c r="W91" s="14" t="s">
        <v>13</v>
      </c>
      <c r="X91" s="14" t="s">
        <v>766</v>
      </c>
      <c r="Y91" s="49" t="s">
        <v>767</v>
      </c>
      <c r="Z91" s="17">
        <v>788811221</v>
      </c>
      <c r="AA91" s="17"/>
      <c r="AB91" s="116"/>
      <c r="AC91" s="116"/>
    </row>
    <row r="92" spans="1:29" x14ac:dyDescent="0.3">
      <c r="A92" s="18" t="s">
        <v>744</v>
      </c>
      <c r="B92" s="18" t="s">
        <v>135</v>
      </c>
      <c r="C92" s="18" t="s">
        <v>768</v>
      </c>
      <c r="D92" s="14" t="s">
        <v>769</v>
      </c>
      <c r="E92" s="18" t="s">
        <v>10</v>
      </c>
      <c r="F92" s="14" t="s">
        <v>527</v>
      </c>
      <c r="G92" s="14" t="s">
        <v>518</v>
      </c>
      <c r="H92" s="18" t="s">
        <v>3</v>
      </c>
      <c r="I92" s="14" t="s">
        <v>116</v>
      </c>
      <c r="J92" s="14"/>
      <c r="K92" s="14" t="s">
        <v>533</v>
      </c>
      <c r="L92" s="14">
        <v>3.7</v>
      </c>
      <c r="M92" s="14">
        <v>1</v>
      </c>
      <c r="N92" s="15">
        <v>185000</v>
      </c>
      <c r="O92" s="15">
        <f t="shared" si="2"/>
        <v>185000</v>
      </c>
      <c r="P92" s="15"/>
      <c r="Q92" s="14" t="s">
        <v>520</v>
      </c>
      <c r="R92" s="21">
        <v>45077</v>
      </c>
      <c r="S92" s="22" t="str">
        <f>TEXT(Table1[[#This Row],[End Date]],"MMMM")</f>
        <v>May</v>
      </c>
      <c r="T92" s="23" t="str">
        <f>TEXT(Table1[[#This Row],[End Date]],"YYYY")</f>
        <v>2023</v>
      </c>
      <c r="U92" s="24">
        <f t="shared" ca="1" si="3"/>
        <v>56</v>
      </c>
      <c r="V92" s="14" t="str" cm="1">
        <f t="array" aca="1" ref="V92" ca="1">_xlfn.IFS(Table1[[#This Row],[Agreement Days]]&gt;=0,"Expired",Table1[[#This Row],[Agreement Days]]&gt;=-30,"Expires &lt; 30 Days",Table1[[#This Row],[Agreement Days]]&gt;=-60,"Expires &lt; 60 Days",Table1[[#This Row],[Agreement Days]]&lt;-60,"Valid Contract")</f>
        <v>Expired</v>
      </c>
      <c r="W92" s="14" t="s">
        <v>12</v>
      </c>
      <c r="X92" s="14" t="s">
        <v>747</v>
      </c>
      <c r="Y92" s="16" t="s">
        <v>748</v>
      </c>
      <c r="Z92" s="17" t="s">
        <v>749</v>
      </c>
      <c r="AA92" s="17"/>
      <c r="AB92" s="98"/>
      <c r="AC92" s="98"/>
    </row>
    <row r="93" spans="1:29" x14ac:dyDescent="0.3">
      <c r="A93" s="18" t="s">
        <v>744</v>
      </c>
      <c r="B93" s="18" t="s">
        <v>135</v>
      </c>
      <c r="C93" s="18" t="s">
        <v>770</v>
      </c>
      <c r="D93" s="14" t="s">
        <v>771</v>
      </c>
      <c r="E93" s="18" t="s">
        <v>10</v>
      </c>
      <c r="F93" s="14" t="s">
        <v>527</v>
      </c>
      <c r="G93" s="14" t="s">
        <v>518</v>
      </c>
      <c r="H93" s="18" t="s">
        <v>2</v>
      </c>
      <c r="I93" s="14" t="s">
        <v>123</v>
      </c>
      <c r="J93" s="14"/>
      <c r="K93" s="14" t="s">
        <v>755</v>
      </c>
      <c r="L93" s="14"/>
      <c r="M93" s="14">
        <v>1</v>
      </c>
      <c r="N93" s="2">
        <f>97372/1.18</f>
        <v>82518.644067796617</v>
      </c>
      <c r="O93" s="2">
        <f t="shared" si="2"/>
        <v>82518.644067796617</v>
      </c>
      <c r="P93" s="2"/>
      <c r="Q93" s="14" t="s">
        <v>520</v>
      </c>
      <c r="R93" s="21">
        <v>45077</v>
      </c>
      <c r="S93" s="57" t="str">
        <f>TEXT(Table1[[#This Row],[End Date]],"MMMM")</f>
        <v>May</v>
      </c>
      <c r="T93" s="57" t="str">
        <f>TEXT(Table1[[#This Row],[End Date]],"YYYY")</f>
        <v>2023</v>
      </c>
      <c r="U93" s="58">
        <f t="shared" ca="1" si="3"/>
        <v>56</v>
      </c>
      <c r="V93" s="14" t="str" cm="1">
        <f t="array" aca="1" ref="V93" ca="1">_xlfn.IFS(Table1[[#This Row],[Agreement Days]]&gt;=0,"Expired",Table1[[#This Row],[Agreement Days]]&gt;=-30,"Expires &lt; 30 Days",Table1[[#This Row],[Agreement Days]]&gt;=-60,"Expires &lt; 60 Days",Table1[[#This Row],[Agreement Days]]&lt;-60,"Valid Contract")</f>
        <v>Expired</v>
      </c>
      <c r="W93" s="14" t="s">
        <v>12</v>
      </c>
      <c r="X93" s="14" t="s">
        <v>747</v>
      </c>
      <c r="Y93" s="16" t="s">
        <v>748</v>
      </c>
      <c r="Z93" s="17" t="s">
        <v>749</v>
      </c>
      <c r="AA93" s="17"/>
      <c r="AB93" s="98"/>
      <c r="AC93" s="98"/>
    </row>
    <row r="94" spans="1:29" x14ac:dyDescent="0.3">
      <c r="A94" s="18" t="s">
        <v>744</v>
      </c>
      <c r="B94" s="18" t="s">
        <v>135</v>
      </c>
      <c r="C94" s="18" t="s">
        <v>772</v>
      </c>
      <c r="D94" s="14" t="s">
        <v>771</v>
      </c>
      <c r="E94" s="18" t="s">
        <v>10</v>
      </c>
      <c r="F94" s="14" t="s">
        <v>527</v>
      </c>
      <c r="G94" s="14" t="s">
        <v>518</v>
      </c>
      <c r="H94" s="18" t="s">
        <v>2</v>
      </c>
      <c r="I94" s="14" t="s">
        <v>123</v>
      </c>
      <c r="J94" s="14"/>
      <c r="K94" s="14" t="s">
        <v>755</v>
      </c>
      <c r="L94" s="14"/>
      <c r="M94" s="14">
        <v>1</v>
      </c>
      <c r="N94" s="15">
        <v>75000</v>
      </c>
      <c r="O94" s="15">
        <f t="shared" si="2"/>
        <v>75000</v>
      </c>
      <c r="P94" s="15"/>
      <c r="Q94" s="14" t="s">
        <v>520</v>
      </c>
      <c r="R94" s="21">
        <v>45077</v>
      </c>
      <c r="S94" s="22" t="str">
        <f>TEXT(Table1[[#This Row],[End Date]],"MMMM")</f>
        <v>May</v>
      </c>
      <c r="T94" s="23" t="str">
        <f>TEXT(Table1[[#This Row],[End Date]],"YYYY")</f>
        <v>2023</v>
      </c>
      <c r="U94" s="24">
        <f t="shared" ca="1" si="3"/>
        <v>56</v>
      </c>
      <c r="V94" s="14" t="str" cm="1">
        <f t="array" aca="1" ref="V94" ca="1">_xlfn.IFS(Table1[[#This Row],[Agreement Days]]&gt;=0,"Expired",Table1[[#This Row],[Agreement Days]]&gt;=-30,"Expires &lt; 30 Days",Table1[[#This Row],[Agreement Days]]&gt;=-60,"Expires &lt; 60 Days",Table1[[#This Row],[Agreement Days]]&lt;-60,"Valid Contract")</f>
        <v>Expired</v>
      </c>
      <c r="W94" s="14" t="s">
        <v>12</v>
      </c>
      <c r="X94" s="14" t="s">
        <v>747</v>
      </c>
      <c r="Y94" s="16" t="s">
        <v>748</v>
      </c>
      <c r="Z94" s="17" t="s">
        <v>749</v>
      </c>
      <c r="AA94" s="17"/>
      <c r="AB94" s="98"/>
      <c r="AC94" s="98"/>
    </row>
    <row r="95" spans="1:29" x14ac:dyDescent="0.3">
      <c r="A95" s="18" t="s">
        <v>744</v>
      </c>
      <c r="B95" s="18" t="s">
        <v>135</v>
      </c>
      <c r="C95" s="18" t="s">
        <v>773</v>
      </c>
      <c r="D95" s="14" t="s">
        <v>516</v>
      </c>
      <c r="E95" s="18" t="s">
        <v>10</v>
      </c>
      <c r="F95" s="14" t="s">
        <v>527</v>
      </c>
      <c r="G95" s="14" t="s">
        <v>518</v>
      </c>
      <c r="H95" s="18" t="s">
        <v>2</v>
      </c>
      <c r="I95" s="14" t="s">
        <v>123</v>
      </c>
      <c r="J95" s="14"/>
      <c r="K95" s="14" t="s">
        <v>753</v>
      </c>
      <c r="L95" s="14"/>
      <c r="M95" s="14">
        <v>1</v>
      </c>
      <c r="N95" s="15">
        <v>150000</v>
      </c>
      <c r="O95" s="15">
        <f t="shared" si="2"/>
        <v>150000</v>
      </c>
      <c r="P95" s="15"/>
      <c r="Q95" s="14" t="s">
        <v>520</v>
      </c>
      <c r="R95" s="21">
        <v>45077</v>
      </c>
      <c r="S95" s="22" t="str">
        <f>TEXT(Table1[[#This Row],[End Date]],"MMMM")</f>
        <v>May</v>
      </c>
      <c r="T95" s="23" t="str">
        <f>TEXT(Table1[[#This Row],[End Date]],"YYYY")</f>
        <v>2023</v>
      </c>
      <c r="U95" s="24">
        <f t="shared" ca="1" si="3"/>
        <v>56</v>
      </c>
      <c r="V95" s="14" t="str" cm="1">
        <f t="array" aca="1" ref="V95" ca="1">_xlfn.IFS(Table1[[#This Row],[Agreement Days]]&gt;=0,"Expired",Table1[[#This Row],[Agreement Days]]&gt;=-30,"Expires &lt; 30 Days",Table1[[#This Row],[Agreement Days]]&gt;=-60,"Expires &lt; 60 Days",Table1[[#This Row],[Agreement Days]]&lt;-60,"Valid Contract")</f>
        <v>Expired</v>
      </c>
      <c r="W95" s="14" t="s">
        <v>12</v>
      </c>
      <c r="X95" s="14" t="s">
        <v>747</v>
      </c>
      <c r="Y95" s="16" t="s">
        <v>748</v>
      </c>
      <c r="Z95" s="17" t="s">
        <v>749</v>
      </c>
      <c r="AA95" s="17"/>
      <c r="AB95" s="98"/>
      <c r="AC95" s="98"/>
    </row>
    <row r="96" spans="1:29" hidden="1" x14ac:dyDescent="0.3">
      <c r="A96" s="18" t="s">
        <v>774</v>
      </c>
      <c r="B96" s="18" t="s">
        <v>428</v>
      </c>
      <c r="C96" s="18" t="s">
        <v>544</v>
      </c>
      <c r="D96" s="14" t="s">
        <v>545</v>
      </c>
      <c r="E96" s="18" t="s">
        <v>10</v>
      </c>
      <c r="F96" s="14" t="s">
        <v>560</v>
      </c>
      <c r="G96" s="14" t="s">
        <v>518</v>
      </c>
      <c r="H96" s="18" t="s">
        <v>2</v>
      </c>
      <c r="I96" s="14" t="s">
        <v>134</v>
      </c>
      <c r="J96" s="14">
        <v>2</v>
      </c>
      <c r="K96" s="18" t="s">
        <v>568</v>
      </c>
      <c r="L96" s="18"/>
      <c r="M96" s="14">
        <v>1</v>
      </c>
      <c r="N96" s="15">
        <v>162500</v>
      </c>
      <c r="O96" s="15">
        <f t="shared" si="2"/>
        <v>162500</v>
      </c>
      <c r="P96" s="15"/>
      <c r="Q96" s="14" t="s">
        <v>520</v>
      </c>
      <c r="R96" s="25">
        <v>45077</v>
      </c>
      <c r="S96" s="34" t="str">
        <f>TEXT(Table1[[#This Row],[End Date]],"MMMM")</f>
        <v>May</v>
      </c>
      <c r="T96" s="34" t="str">
        <f>TEXT(Table1[[#This Row],[End Date]],"YYYY")</f>
        <v>2023</v>
      </c>
      <c r="U96" s="24">
        <f t="shared" ca="1" si="3"/>
        <v>56</v>
      </c>
      <c r="V96" s="14" t="str" cm="1">
        <f t="array" aca="1" ref="V96" ca="1">_xlfn.IFS(Table1[[#This Row],[Agreement Days]]&gt;=0,"Expired",Table1[[#This Row],[Agreement Days]]&gt;=-30,"Expires &lt; 30 Days",Table1[[#This Row],[Agreement Days]]&gt;=-60,"Expires &lt; 60 Days",Table1[[#This Row],[Agreement Days]]&lt;-60,"Valid Contract")</f>
        <v>Expired</v>
      </c>
      <c r="W96" s="18" t="s">
        <v>18</v>
      </c>
      <c r="X96" s="18" t="s">
        <v>775</v>
      </c>
      <c r="Y96" s="35" t="s">
        <v>776</v>
      </c>
      <c r="Z96" s="36" t="s">
        <v>777</v>
      </c>
      <c r="AA96" s="36"/>
      <c r="AB96" s="98"/>
      <c r="AC96" s="98"/>
    </row>
    <row r="97" spans="1:29" hidden="1" x14ac:dyDescent="0.3">
      <c r="A97" s="18" t="s">
        <v>778</v>
      </c>
      <c r="B97" s="18" t="s">
        <v>164</v>
      </c>
      <c r="C97" s="18" t="s">
        <v>164</v>
      </c>
      <c r="D97" s="14" t="s">
        <v>545</v>
      </c>
      <c r="E97" s="18" t="s">
        <v>9</v>
      </c>
      <c r="F97" s="14" t="s">
        <v>517</v>
      </c>
      <c r="G97" s="14" t="s">
        <v>518</v>
      </c>
      <c r="H97" s="18" t="s">
        <v>5</v>
      </c>
      <c r="I97" s="14" t="s">
        <v>117</v>
      </c>
      <c r="J97" s="14">
        <v>65</v>
      </c>
      <c r="K97" s="20" t="s">
        <v>779</v>
      </c>
      <c r="L97" s="14"/>
      <c r="M97" s="14">
        <v>1</v>
      </c>
      <c r="N97" s="15">
        <v>2520000</v>
      </c>
      <c r="O97" s="15">
        <f t="shared" si="2"/>
        <v>2520000</v>
      </c>
      <c r="P97" s="15"/>
      <c r="Q97" s="14" t="s">
        <v>520</v>
      </c>
      <c r="R97" s="21">
        <v>45077</v>
      </c>
      <c r="S97" s="22" t="str">
        <f>TEXT(Table1[[#This Row],[End Date]],"MMMM")</f>
        <v>May</v>
      </c>
      <c r="T97" s="23" t="str">
        <f>TEXT(Table1[[#This Row],[End Date]],"YYYY")</f>
        <v>2023</v>
      </c>
      <c r="U97" s="24">
        <f t="shared" ca="1" si="3"/>
        <v>56</v>
      </c>
      <c r="V97" s="14" t="str" cm="1">
        <f t="array" aca="1" ref="V97" ca="1">_xlfn.IFS(Table1[[#This Row],[Agreement Days]]&gt;=0,"Expired",Table1[[#This Row],[Agreement Days]]&gt;=-30,"Expires &lt; 30 Days",Table1[[#This Row],[Agreement Days]]&gt;=-60,"Expires &lt; 60 Days",Table1[[#This Row],[Agreement Days]]&lt;-60,"Valid Contract")</f>
        <v>Expired</v>
      </c>
      <c r="W97" s="14" t="s">
        <v>20</v>
      </c>
      <c r="X97" s="26" t="s">
        <v>780</v>
      </c>
      <c r="Y97" s="45" t="s">
        <v>781</v>
      </c>
      <c r="Z97" s="17" t="s">
        <v>782</v>
      </c>
      <c r="AA97" s="19"/>
      <c r="AB97" s="116"/>
      <c r="AC97" s="116"/>
    </row>
    <row r="98" spans="1:29" hidden="1" x14ac:dyDescent="0.3">
      <c r="A98" s="18" t="s">
        <v>778</v>
      </c>
      <c r="B98" s="18" t="s">
        <v>164</v>
      </c>
      <c r="C98" s="18" t="s">
        <v>164</v>
      </c>
      <c r="D98" s="14" t="s">
        <v>545</v>
      </c>
      <c r="E98" s="18" t="s">
        <v>9</v>
      </c>
      <c r="F98" s="14" t="s">
        <v>517</v>
      </c>
      <c r="G98" s="14" t="s">
        <v>518</v>
      </c>
      <c r="H98" s="18" t="s">
        <v>4</v>
      </c>
      <c r="I98" s="14" t="s">
        <v>118</v>
      </c>
      <c r="J98" s="14"/>
      <c r="K98" s="20" t="s">
        <v>650</v>
      </c>
      <c r="L98" s="14"/>
      <c r="M98" s="14">
        <v>1</v>
      </c>
      <c r="N98" s="15">
        <v>369325</v>
      </c>
      <c r="O98" s="15">
        <f t="shared" si="2"/>
        <v>369325</v>
      </c>
      <c r="P98" s="15"/>
      <c r="Q98" s="14" t="s">
        <v>520</v>
      </c>
      <c r="R98" s="21">
        <v>45077</v>
      </c>
      <c r="S98" s="22" t="str">
        <f>TEXT(Table1[[#This Row],[End Date]],"MMMM")</f>
        <v>May</v>
      </c>
      <c r="T98" s="23" t="str">
        <f>TEXT(Table1[[#This Row],[End Date]],"YYYY")</f>
        <v>2023</v>
      </c>
      <c r="U98" s="24">
        <f t="shared" ca="1" si="3"/>
        <v>56</v>
      </c>
      <c r="V98" s="14" t="str" cm="1">
        <f t="array" aca="1" ref="V98" ca="1">_xlfn.IFS(Table1[[#This Row],[Agreement Days]]&gt;=0,"Expired",Table1[[#This Row],[Agreement Days]]&gt;=-30,"Expires &lt; 30 Days",Table1[[#This Row],[Agreement Days]]&gt;=-60,"Expires &lt; 60 Days",Table1[[#This Row],[Agreement Days]]&lt;-60,"Valid Contract")</f>
        <v>Expired</v>
      </c>
      <c r="W98" s="14" t="s">
        <v>20</v>
      </c>
      <c r="X98" s="26" t="s">
        <v>780</v>
      </c>
      <c r="Y98" s="16" t="s">
        <v>781</v>
      </c>
      <c r="Z98" s="17" t="s">
        <v>782</v>
      </c>
      <c r="AA98" s="19"/>
      <c r="AB98" s="116"/>
      <c r="AC98" s="116"/>
    </row>
    <row r="99" spans="1:29" hidden="1" x14ac:dyDescent="0.3">
      <c r="A99" s="18" t="s">
        <v>778</v>
      </c>
      <c r="B99" s="18" t="s">
        <v>164</v>
      </c>
      <c r="C99" s="18" t="s">
        <v>783</v>
      </c>
      <c r="D99" s="14" t="s">
        <v>545</v>
      </c>
      <c r="E99" s="18" t="s">
        <v>9</v>
      </c>
      <c r="F99" s="14" t="s">
        <v>517</v>
      </c>
      <c r="G99" s="14" t="s">
        <v>518</v>
      </c>
      <c r="H99" s="18" t="s">
        <v>5</v>
      </c>
      <c r="I99" s="14" t="s">
        <v>115</v>
      </c>
      <c r="J99" s="14"/>
      <c r="K99" s="18" t="s">
        <v>657</v>
      </c>
      <c r="L99" s="14"/>
      <c r="M99" s="14">
        <v>2</v>
      </c>
      <c r="N99" s="15">
        <v>45338.98</v>
      </c>
      <c r="O99" s="15">
        <f t="shared" si="2"/>
        <v>90677.96</v>
      </c>
      <c r="P99" s="15"/>
      <c r="Q99" s="14" t="s">
        <v>520</v>
      </c>
      <c r="R99" s="21">
        <v>45077</v>
      </c>
      <c r="S99" s="22" t="str">
        <f>TEXT(Table1[[#This Row],[End Date]],"MMMM")</f>
        <v>May</v>
      </c>
      <c r="T99" s="23" t="str">
        <f>TEXT(Table1[[#This Row],[End Date]],"YYYY")</f>
        <v>2023</v>
      </c>
      <c r="U99" s="24">
        <f t="shared" ca="1" si="3"/>
        <v>56</v>
      </c>
      <c r="V99" s="14" t="str" cm="1">
        <f t="array" aca="1" ref="V99" ca="1">_xlfn.IFS(Table1[[#This Row],[Agreement Days]]&gt;=0,"Expired",Table1[[#This Row],[Agreement Days]]&gt;=-30,"Expires &lt; 30 Days",Table1[[#This Row],[Agreement Days]]&gt;=-60,"Expires &lt; 60 Days",Table1[[#This Row],[Agreement Days]]&lt;-60,"Valid Contract")</f>
        <v>Expired</v>
      </c>
      <c r="W99" s="14" t="s">
        <v>20</v>
      </c>
      <c r="X99" s="26" t="s">
        <v>780</v>
      </c>
      <c r="Y99" s="16" t="s">
        <v>781</v>
      </c>
      <c r="Z99" s="17" t="s">
        <v>782</v>
      </c>
      <c r="AA99" s="19"/>
      <c r="AB99" s="98"/>
      <c r="AC99" s="98"/>
    </row>
    <row r="100" spans="1:29" hidden="1" x14ac:dyDescent="0.3">
      <c r="A100" s="18" t="s">
        <v>778</v>
      </c>
      <c r="B100" s="18" t="s">
        <v>164</v>
      </c>
      <c r="C100" s="18" t="s">
        <v>783</v>
      </c>
      <c r="D100" s="14" t="s">
        <v>545</v>
      </c>
      <c r="E100" s="18" t="s">
        <v>9</v>
      </c>
      <c r="F100" s="14" t="s">
        <v>517</v>
      </c>
      <c r="G100" s="14" t="s">
        <v>518</v>
      </c>
      <c r="H100" s="18" t="s">
        <v>5</v>
      </c>
      <c r="I100" s="14" t="s">
        <v>115</v>
      </c>
      <c r="J100" s="14"/>
      <c r="K100" s="18" t="s">
        <v>784</v>
      </c>
      <c r="L100" s="14"/>
      <c r="M100" s="14">
        <v>12</v>
      </c>
      <c r="N100" s="15">
        <f>33400/1.18</f>
        <v>28305.084745762713</v>
      </c>
      <c r="O100" s="15">
        <f t="shared" si="2"/>
        <v>339661.01694915257</v>
      </c>
      <c r="P100" s="15"/>
      <c r="Q100" s="14" t="s">
        <v>520</v>
      </c>
      <c r="R100" s="21">
        <v>45077</v>
      </c>
      <c r="S100" s="22" t="str">
        <f>TEXT(Table1[[#This Row],[End Date]],"MMMM")</f>
        <v>May</v>
      </c>
      <c r="T100" s="22" t="str">
        <f>TEXT(Table1[[#This Row],[End Date]],"YYYY")</f>
        <v>2023</v>
      </c>
      <c r="U100" s="28">
        <f t="shared" ca="1" si="3"/>
        <v>56</v>
      </c>
      <c r="V100" s="14" t="str" cm="1">
        <f t="array" aca="1" ref="V100" ca="1">_xlfn.IFS(Table1[[#This Row],[Agreement Days]]&gt;=0,"Expired",Table1[[#This Row],[Agreement Days]]&gt;=-30,"Expires &lt; 30 Days",Table1[[#This Row],[Agreement Days]]&gt;=-60,"Expires &lt; 60 Days",Table1[[#This Row],[Agreement Days]]&lt;-60,"Valid Contract")</f>
        <v>Expired</v>
      </c>
      <c r="W100" s="14" t="s">
        <v>20</v>
      </c>
      <c r="X100" s="14" t="s">
        <v>780</v>
      </c>
      <c r="Y100" s="33" t="s">
        <v>781</v>
      </c>
      <c r="Z100" s="17" t="s">
        <v>782</v>
      </c>
      <c r="AA100" s="17"/>
      <c r="AB100" s="98"/>
      <c r="AC100" s="98"/>
    </row>
    <row r="101" spans="1:29" hidden="1" x14ac:dyDescent="0.3">
      <c r="A101" s="18" t="s">
        <v>778</v>
      </c>
      <c r="B101" s="18" t="s">
        <v>164</v>
      </c>
      <c r="C101" s="18" t="s">
        <v>785</v>
      </c>
      <c r="D101" s="14" t="s">
        <v>545</v>
      </c>
      <c r="E101" s="18" t="s">
        <v>9</v>
      </c>
      <c r="F101" s="14" t="s">
        <v>517</v>
      </c>
      <c r="G101" s="14" t="s">
        <v>518</v>
      </c>
      <c r="H101" s="18" t="s">
        <v>5</v>
      </c>
      <c r="I101" s="14" t="s">
        <v>115</v>
      </c>
      <c r="J101" s="14"/>
      <c r="K101" s="18" t="s">
        <v>643</v>
      </c>
      <c r="L101" s="14"/>
      <c r="M101" s="14">
        <v>89</v>
      </c>
      <c r="N101" s="15">
        <v>28305.08</v>
      </c>
      <c r="O101" s="15">
        <f t="shared" si="2"/>
        <v>2519152.12</v>
      </c>
      <c r="P101" s="15"/>
      <c r="Q101" s="14" t="s">
        <v>520</v>
      </c>
      <c r="R101" s="21">
        <v>45077</v>
      </c>
      <c r="S101" s="22" t="str">
        <f>TEXT(Table1[[#This Row],[End Date]],"MMMM")</f>
        <v>May</v>
      </c>
      <c r="T101" s="23" t="str">
        <f>TEXT(Table1[[#This Row],[End Date]],"YYYY")</f>
        <v>2023</v>
      </c>
      <c r="U101" s="24">
        <f t="shared" ca="1" si="3"/>
        <v>56</v>
      </c>
      <c r="V101" s="14" t="str" cm="1">
        <f t="array" aca="1" ref="V101" ca="1">_xlfn.IFS(Table1[[#This Row],[Agreement Days]]&gt;=0,"Expired",Table1[[#This Row],[Agreement Days]]&gt;=-30,"Expires &lt; 30 Days",Table1[[#This Row],[Agreement Days]]&gt;=-60,"Expires &lt; 60 Days",Table1[[#This Row],[Agreement Days]]&lt;-60,"Valid Contract")</f>
        <v>Expired</v>
      </c>
      <c r="W101" s="14" t="s">
        <v>20</v>
      </c>
      <c r="X101" s="26" t="s">
        <v>780</v>
      </c>
      <c r="Y101" s="16" t="s">
        <v>781</v>
      </c>
      <c r="Z101" s="17" t="s">
        <v>782</v>
      </c>
      <c r="AA101" s="19"/>
      <c r="AB101" s="98"/>
      <c r="AC101" s="98"/>
    </row>
    <row r="102" spans="1:29" x14ac:dyDescent="0.3">
      <c r="A102" s="18" t="s">
        <v>786</v>
      </c>
      <c r="B102" s="18" t="s">
        <v>162</v>
      </c>
      <c r="C102" s="18" t="s">
        <v>787</v>
      </c>
      <c r="D102" s="14" t="s">
        <v>540</v>
      </c>
      <c r="E102" s="18" t="s">
        <v>9</v>
      </c>
      <c r="F102" s="14" t="s">
        <v>517</v>
      </c>
      <c r="G102" s="14" t="s">
        <v>518</v>
      </c>
      <c r="H102" s="18" t="s">
        <v>5</v>
      </c>
      <c r="I102" s="14" t="s">
        <v>117</v>
      </c>
      <c r="J102" s="14">
        <v>3</v>
      </c>
      <c r="K102" s="14" t="s">
        <v>580</v>
      </c>
      <c r="L102" s="14"/>
      <c r="M102" s="14">
        <v>1</v>
      </c>
      <c r="N102" s="15">
        <v>180000</v>
      </c>
      <c r="O102" s="15">
        <f t="shared" si="2"/>
        <v>180000</v>
      </c>
      <c r="P102" s="15"/>
      <c r="Q102" s="14" t="s">
        <v>520</v>
      </c>
      <c r="R102" s="21">
        <v>45077</v>
      </c>
      <c r="S102" s="22" t="str">
        <f>TEXT(Table1[[#This Row],[End Date]],"MMMM")</f>
        <v>May</v>
      </c>
      <c r="T102" s="23" t="str">
        <f>TEXT(Table1[[#This Row],[End Date]],"YYYY")</f>
        <v>2023</v>
      </c>
      <c r="U102" s="24">
        <f t="shared" ca="1" si="3"/>
        <v>56</v>
      </c>
      <c r="V102" s="14" t="str" cm="1">
        <f t="array" aca="1" ref="V102" ca="1">_xlfn.IFS(Table1[[#This Row],[Agreement Days]]&gt;=0,"Expired",Table1[[#This Row],[Agreement Days]]&gt;=-30,"Expires &lt; 30 Days",Table1[[#This Row],[Agreement Days]]&gt;=-60,"Expires &lt; 60 Days",Table1[[#This Row],[Agreement Days]]&lt;-60,"Valid Contract")</f>
        <v>Expired</v>
      </c>
      <c r="W102" s="14" t="s">
        <v>12</v>
      </c>
      <c r="X102" s="14" t="s">
        <v>788</v>
      </c>
      <c r="Y102" s="16" t="s">
        <v>789</v>
      </c>
      <c r="Z102" s="17" t="s">
        <v>790</v>
      </c>
      <c r="AA102" s="17"/>
      <c r="AB102" s="98"/>
      <c r="AC102" s="98"/>
    </row>
    <row r="103" spans="1:29" s="12" customFormat="1" x14ac:dyDescent="0.3">
      <c r="A103" s="18" t="s">
        <v>786</v>
      </c>
      <c r="B103" s="18" t="s">
        <v>162</v>
      </c>
      <c r="C103" s="18" t="s">
        <v>791</v>
      </c>
      <c r="D103" s="14" t="s">
        <v>540</v>
      </c>
      <c r="E103" s="18" t="s">
        <v>9</v>
      </c>
      <c r="F103" s="14" t="s">
        <v>517</v>
      </c>
      <c r="G103" s="14" t="s">
        <v>518</v>
      </c>
      <c r="H103" s="18" t="s">
        <v>5</v>
      </c>
      <c r="I103" s="14" t="s">
        <v>117</v>
      </c>
      <c r="J103" s="14">
        <v>3</v>
      </c>
      <c r="K103" s="14" t="s">
        <v>580</v>
      </c>
      <c r="L103" s="14"/>
      <c r="M103" s="14">
        <v>1</v>
      </c>
      <c r="N103" s="15">
        <v>180000</v>
      </c>
      <c r="O103" s="15">
        <f t="shared" si="2"/>
        <v>180000</v>
      </c>
      <c r="P103" s="15"/>
      <c r="Q103" s="14" t="s">
        <v>520</v>
      </c>
      <c r="R103" s="21">
        <v>45077</v>
      </c>
      <c r="S103" s="22" t="str">
        <f>TEXT(Table1[[#This Row],[End Date]],"MMMM")</f>
        <v>May</v>
      </c>
      <c r="T103" s="23" t="str">
        <f>TEXT(Table1[[#This Row],[End Date]],"YYYY")</f>
        <v>2023</v>
      </c>
      <c r="U103" s="24">
        <f t="shared" ca="1" si="3"/>
        <v>56</v>
      </c>
      <c r="V103" s="14" t="str" cm="1">
        <f t="array" aca="1" ref="V103" ca="1">_xlfn.IFS(Table1[[#This Row],[Agreement Days]]&gt;=0,"Expired",Table1[[#This Row],[Agreement Days]]&gt;=-30,"Expires &lt; 30 Days",Table1[[#This Row],[Agreement Days]]&gt;=-60,"Expires &lt; 60 Days",Table1[[#This Row],[Agreement Days]]&lt;-60,"Valid Contract")</f>
        <v>Expired</v>
      </c>
      <c r="W103" s="14" t="s">
        <v>12</v>
      </c>
      <c r="X103" s="14" t="s">
        <v>788</v>
      </c>
      <c r="Y103" s="16" t="s">
        <v>789</v>
      </c>
      <c r="Z103" s="17" t="s">
        <v>790</v>
      </c>
      <c r="AA103" s="17"/>
      <c r="AB103" s="98"/>
      <c r="AC103" s="98"/>
    </row>
    <row r="104" spans="1:29" s="12" customFormat="1" x14ac:dyDescent="0.3">
      <c r="A104" s="18" t="s">
        <v>786</v>
      </c>
      <c r="B104" s="18" t="s">
        <v>162</v>
      </c>
      <c r="C104" s="18" t="s">
        <v>792</v>
      </c>
      <c r="D104" s="14" t="s">
        <v>769</v>
      </c>
      <c r="E104" s="18" t="s">
        <v>9</v>
      </c>
      <c r="F104" s="14" t="s">
        <v>517</v>
      </c>
      <c r="G104" s="14" t="s">
        <v>518</v>
      </c>
      <c r="H104" s="18" t="s">
        <v>5</v>
      </c>
      <c r="I104" s="14" t="s">
        <v>117</v>
      </c>
      <c r="J104" s="14">
        <v>3</v>
      </c>
      <c r="K104" s="14" t="s">
        <v>580</v>
      </c>
      <c r="L104" s="14"/>
      <c r="M104" s="14">
        <v>1</v>
      </c>
      <c r="N104" s="15">
        <v>180000</v>
      </c>
      <c r="O104" s="15">
        <f t="shared" si="2"/>
        <v>180000</v>
      </c>
      <c r="P104" s="15"/>
      <c r="Q104" s="14" t="s">
        <v>520</v>
      </c>
      <c r="R104" s="21">
        <v>45077</v>
      </c>
      <c r="S104" s="22" t="str">
        <f>TEXT(Table1[[#This Row],[End Date]],"MMMM")</f>
        <v>May</v>
      </c>
      <c r="T104" s="23" t="str">
        <f>TEXT(Table1[[#This Row],[End Date]],"YYYY")</f>
        <v>2023</v>
      </c>
      <c r="U104" s="24">
        <f t="shared" ca="1" si="3"/>
        <v>56</v>
      </c>
      <c r="V104" s="14" t="str" cm="1">
        <f t="array" aca="1" ref="V104" ca="1">_xlfn.IFS(Table1[[#This Row],[Agreement Days]]&gt;=0,"Expired",Table1[[#This Row],[Agreement Days]]&gt;=-30,"Expires &lt; 30 Days",Table1[[#This Row],[Agreement Days]]&gt;=-60,"Expires &lt; 60 Days",Table1[[#This Row],[Agreement Days]]&lt;-60,"Valid Contract")</f>
        <v>Expired</v>
      </c>
      <c r="W104" s="14" t="s">
        <v>12</v>
      </c>
      <c r="X104" s="14" t="s">
        <v>788</v>
      </c>
      <c r="Y104" s="16" t="s">
        <v>789</v>
      </c>
      <c r="Z104" s="17" t="s">
        <v>790</v>
      </c>
      <c r="AA104" s="17"/>
      <c r="AB104" s="98"/>
      <c r="AC104" s="98"/>
    </row>
    <row r="105" spans="1:29" s="12" customFormat="1" x14ac:dyDescent="0.3">
      <c r="A105" s="18" t="s">
        <v>786</v>
      </c>
      <c r="B105" s="18" t="s">
        <v>162</v>
      </c>
      <c r="C105" s="18" t="s">
        <v>793</v>
      </c>
      <c r="D105" s="14" t="s">
        <v>540</v>
      </c>
      <c r="E105" s="18" t="s">
        <v>9</v>
      </c>
      <c r="F105" s="14" t="s">
        <v>517</v>
      </c>
      <c r="G105" s="14" t="s">
        <v>518</v>
      </c>
      <c r="H105" s="18" t="s">
        <v>5</v>
      </c>
      <c r="I105" s="14" t="s">
        <v>117</v>
      </c>
      <c r="J105" s="14">
        <v>20</v>
      </c>
      <c r="K105" s="14" t="s">
        <v>794</v>
      </c>
      <c r="L105" s="14"/>
      <c r="M105" s="14">
        <v>1</v>
      </c>
      <c r="N105" s="15">
        <v>900000</v>
      </c>
      <c r="O105" s="15">
        <f t="shared" si="2"/>
        <v>900000</v>
      </c>
      <c r="P105" s="15"/>
      <c r="Q105" s="14" t="s">
        <v>520</v>
      </c>
      <c r="R105" s="21">
        <v>45077</v>
      </c>
      <c r="S105" s="22" t="str">
        <f>TEXT(Table1[[#This Row],[End Date]],"MMMM")</f>
        <v>May</v>
      </c>
      <c r="T105" s="23" t="str">
        <f>TEXT(Table1[[#This Row],[End Date]],"YYYY")</f>
        <v>2023</v>
      </c>
      <c r="U105" s="24">
        <f t="shared" ca="1" si="3"/>
        <v>56</v>
      </c>
      <c r="V105" s="14" t="str" cm="1">
        <f t="array" aca="1" ref="V105" ca="1">_xlfn.IFS(Table1[[#This Row],[Agreement Days]]&gt;=0,"Expired",Table1[[#This Row],[Agreement Days]]&gt;=-30,"Expires &lt; 30 Days",Table1[[#This Row],[Agreement Days]]&gt;=-60,"Expires &lt; 60 Days",Table1[[#This Row],[Agreement Days]]&lt;-60,"Valid Contract")</f>
        <v>Expired</v>
      </c>
      <c r="W105" s="14" t="s">
        <v>12</v>
      </c>
      <c r="X105" s="14" t="s">
        <v>788</v>
      </c>
      <c r="Y105" s="16" t="s">
        <v>789</v>
      </c>
      <c r="Z105" s="17" t="s">
        <v>790</v>
      </c>
      <c r="AA105" s="17"/>
      <c r="AB105" s="98"/>
      <c r="AC105" s="98"/>
    </row>
    <row r="106" spans="1:29" s="12" customFormat="1" x14ac:dyDescent="0.3">
      <c r="A106" s="18" t="s">
        <v>786</v>
      </c>
      <c r="B106" s="18" t="s">
        <v>162</v>
      </c>
      <c r="C106" s="18" t="s">
        <v>795</v>
      </c>
      <c r="D106" s="14" t="s">
        <v>540</v>
      </c>
      <c r="E106" s="18" t="s">
        <v>9</v>
      </c>
      <c r="F106" s="14" t="s">
        <v>517</v>
      </c>
      <c r="G106" s="14" t="s">
        <v>518</v>
      </c>
      <c r="H106" s="18" t="s">
        <v>5</v>
      </c>
      <c r="I106" s="14" t="s">
        <v>117</v>
      </c>
      <c r="J106" s="14">
        <v>30</v>
      </c>
      <c r="K106" s="14" t="s">
        <v>796</v>
      </c>
      <c r="L106" s="14"/>
      <c r="M106" s="14">
        <v>1</v>
      </c>
      <c r="N106" s="15">
        <v>1260000</v>
      </c>
      <c r="O106" s="15">
        <f t="shared" si="2"/>
        <v>1260000</v>
      </c>
      <c r="P106" s="15"/>
      <c r="Q106" s="14" t="s">
        <v>520</v>
      </c>
      <c r="R106" s="21">
        <v>45077</v>
      </c>
      <c r="S106" s="22" t="str">
        <f>TEXT(Table1[[#This Row],[End Date]],"MMMM")</f>
        <v>May</v>
      </c>
      <c r="T106" s="23" t="str">
        <f>TEXT(Table1[[#This Row],[End Date]],"YYYY")</f>
        <v>2023</v>
      </c>
      <c r="U106" s="24">
        <f t="shared" ca="1" si="3"/>
        <v>56</v>
      </c>
      <c r="V106" s="14" t="str" cm="1">
        <f t="array" aca="1" ref="V106" ca="1">_xlfn.IFS(Table1[[#This Row],[Agreement Days]]&gt;=0,"Expired",Table1[[#This Row],[Agreement Days]]&gt;=-30,"Expires &lt; 30 Days",Table1[[#This Row],[Agreement Days]]&gt;=-60,"Expires &lt; 60 Days",Table1[[#This Row],[Agreement Days]]&lt;-60,"Valid Contract")</f>
        <v>Expired</v>
      </c>
      <c r="W106" s="14" t="s">
        <v>12</v>
      </c>
      <c r="X106" s="14" t="s">
        <v>788</v>
      </c>
      <c r="Y106" s="16" t="s">
        <v>789</v>
      </c>
      <c r="Z106" s="17" t="s">
        <v>790</v>
      </c>
      <c r="AA106" s="17"/>
      <c r="AB106" s="98"/>
      <c r="AC106" s="98"/>
    </row>
    <row r="107" spans="1:29" s="12" customFormat="1" x14ac:dyDescent="0.3">
      <c r="A107" s="18" t="s">
        <v>786</v>
      </c>
      <c r="B107" s="18" t="s">
        <v>162</v>
      </c>
      <c r="C107" s="18" t="s">
        <v>797</v>
      </c>
      <c r="D107" s="14" t="s">
        <v>579</v>
      </c>
      <c r="E107" s="18" t="s">
        <v>9</v>
      </c>
      <c r="F107" s="14" t="s">
        <v>517</v>
      </c>
      <c r="G107" s="14" t="s">
        <v>518</v>
      </c>
      <c r="H107" s="18" t="s">
        <v>5</v>
      </c>
      <c r="I107" s="14" t="s">
        <v>117</v>
      </c>
      <c r="J107" s="14">
        <v>30</v>
      </c>
      <c r="K107" s="14" t="s">
        <v>796</v>
      </c>
      <c r="L107" s="14"/>
      <c r="M107" s="14">
        <v>1</v>
      </c>
      <c r="N107" s="15">
        <v>1260000</v>
      </c>
      <c r="O107" s="15">
        <f t="shared" si="2"/>
        <v>1260000</v>
      </c>
      <c r="P107" s="15"/>
      <c r="Q107" s="14" t="s">
        <v>520</v>
      </c>
      <c r="R107" s="21">
        <v>45077</v>
      </c>
      <c r="S107" s="22" t="str">
        <f>TEXT(Table1[[#This Row],[End Date]],"MMMM")</f>
        <v>May</v>
      </c>
      <c r="T107" s="23" t="str">
        <f>TEXT(Table1[[#This Row],[End Date]],"YYYY")</f>
        <v>2023</v>
      </c>
      <c r="U107" s="24">
        <f t="shared" ca="1" si="3"/>
        <v>56</v>
      </c>
      <c r="V107" s="14" t="str" cm="1">
        <f t="array" aca="1" ref="V107" ca="1">_xlfn.IFS(Table1[[#This Row],[Agreement Days]]&gt;=0,"Expired",Table1[[#This Row],[Agreement Days]]&gt;=-30,"Expires &lt; 30 Days",Table1[[#This Row],[Agreement Days]]&gt;=-60,"Expires &lt; 60 Days",Table1[[#This Row],[Agreement Days]]&lt;-60,"Valid Contract")</f>
        <v>Expired</v>
      </c>
      <c r="W107" s="14" t="s">
        <v>12</v>
      </c>
      <c r="X107" s="14" t="s">
        <v>788</v>
      </c>
      <c r="Y107" s="16" t="s">
        <v>789</v>
      </c>
      <c r="Z107" s="17" t="s">
        <v>790</v>
      </c>
      <c r="AA107" s="17"/>
      <c r="AB107" s="98"/>
      <c r="AC107" s="98"/>
    </row>
    <row r="108" spans="1:29" s="12" customFormat="1" x14ac:dyDescent="0.3">
      <c r="A108" s="18" t="s">
        <v>786</v>
      </c>
      <c r="B108" s="18" t="s">
        <v>162</v>
      </c>
      <c r="C108" s="18" t="s">
        <v>798</v>
      </c>
      <c r="D108" s="14" t="s">
        <v>540</v>
      </c>
      <c r="E108" s="18" t="s">
        <v>9</v>
      </c>
      <c r="F108" s="14" t="s">
        <v>517</v>
      </c>
      <c r="G108" s="14" t="s">
        <v>518</v>
      </c>
      <c r="H108" s="18" t="s">
        <v>5</v>
      </c>
      <c r="I108" s="14" t="s">
        <v>117</v>
      </c>
      <c r="J108" s="14">
        <v>60</v>
      </c>
      <c r="K108" s="14" t="s">
        <v>799</v>
      </c>
      <c r="L108" s="14"/>
      <c r="M108" s="14">
        <v>1</v>
      </c>
      <c r="N108" s="15">
        <v>2160000</v>
      </c>
      <c r="O108" s="15">
        <f t="shared" si="2"/>
        <v>2160000</v>
      </c>
      <c r="P108" s="15"/>
      <c r="Q108" s="14" t="s">
        <v>520</v>
      </c>
      <c r="R108" s="21">
        <v>45077</v>
      </c>
      <c r="S108" s="22" t="str">
        <f>TEXT(Table1[[#This Row],[End Date]],"MMMM")</f>
        <v>May</v>
      </c>
      <c r="T108" s="23" t="str">
        <f>TEXT(Table1[[#This Row],[End Date]],"YYYY")</f>
        <v>2023</v>
      </c>
      <c r="U108" s="24">
        <f t="shared" ca="1" si="3"/>
        <v>56</v>
      </c>
      <c r="V108" s="14" t="str" cm="1">
        <f t="array" aca="1" ref="V108" ca="1">_xlfn.IFS(Table1[[#This Row],[Agreement Days]]&gt;=0,"Expired",Table1[[#This Row],[Agreement Days]]&gt;=-30,"Expires &lt; 30 Days",Table1[[#This Row],[Agreement Days]]&gt;=-60,"Expires &lt; 60 Days",Table1[[#This Row],[Agreement Days]]&lt;-60,"Valid Contract")</f>
        <v>Expired</v>
      </c>
      <c r="W108" s="14" t="s">
        <v>12</v>
      </c>
      <c r="X108" s="14" t="s">
        <v>788</v>
      </c>
      <c r="Y108" s="16" t="s">
        <v>789</v>
      </c>
      <c r="Z108" s="17" t="s">
        <v>790</v>
      </c>
      <c r="AA108" s="17"/>
      <c r="AB108" s="98"/>
      <c r="AC108" s="98"/>
    </row>
    <row r="109" spans="1:29" hidden="1" x14ac:dyDescent="0.3">
      <c r="A109" s="18" t="s">
        <v>800</v>
      </c>
      <c r="B109" s="18" t="s">
        <v>113</v>
      </c>
      <c r="C109" s="18" t="s">
        <v>113</v>
      </c>
      <c r="D109" s="14" t="s">
        <v>545</v>
      </c>
      <c r="E109" s="18" t="s">
        <v>9</v>
      </c>
      <c r="F109" s="14" t="s">
        <v>631</v>
      </c>
      <c r="G109" s="14" t="s">
        <v>518</v>
      </c>
      <c r="H109" s="18" t="s">
        <v>5</v>
      </c>
      <c r="I109" s="14" t="s">
        <v>115</v>
      </c>
      <c r="J109" s="14"/>
      <c r="K109" s="18" t="s">
        <v>642</v>
      </c>
      <c r="L109" s="18"/>
      <c r="M109" s="14">
        <v>2</v>
      </c>
      <c r="N109" s="15">
        <v>101694.92</v>
      </c>
      <c r="O109" s="15">
        <f t="shared" si="2"/>
        <v>203389.84</v>
      </c>
      <c r="P109" s="15"/>
      <c r="Q109" s="14" t="s">
        <v>520</v>
      </c>
      <c r="R109" s="25">
        <v>45077</v>
      </c>
      <c r="S109" s="34" t="str">
        <f>TEXT(Table1[[#This Row],[End Date]],"MMMM")</f>
        <v>May</v>
      </c>
      <c r="T109" s="34" t="str">
        <f>TEXT(Table1[[#This Row],[End Date]],"YYYY")</f>
        <v>2023</v>
      </c>
      <c r="U109" s="24">
        <f t="shared" ca="1" si="3"/>
        <v>56</v>
      </c>
      <c r="V109" s="14" t="str" cm="1">
        <f t="array" aca="1" ref="V109" ca="1">_xlfn.IFS(Table1[[#This Row],[Agreement Days]]&gt;=0,"Expired",Table1[[#This Row],[Agreement Days]]&gt;=-30,"Expires &lt; 30 Days",Table1[[#This Row],[Agreement Days]]&gt;=-60,"Expires &lt; 60 Days",Table1[[#This Row],[Agreement Days]]&lt;-60,"Valid Contract")</f>
        <v>Expired</v>
      </c>
      <c r="W109" s="18" t="s">
        <v>21</v>
      </c>
      <c r="X109" s="52" t="s">
        <v>801</v>
      </c>
      <c r="Y109" s="39" t="s">
        <v>802</v>
      </c>
      <c r="Z109" s="36" t="s">
        <v>803</v>
      </c>
      <c r="AA109" s="27"/>
      <c r="AB109" s="98"/>
      <c r="AC109" s="98"/>
    </row>
    <row r="110" spans="1:29" hidden="1" x14ac:dyDescent="0.3">
      <c r="A110" s="18" t="s">
        <v>800</v>
      </c>
      <c r="B110" s="18" t="s">
        <v>113</v>
      </c>
      <c r="C110" s="18" t="s">
        <v>113</v>
      </c>
      <c r="D110" s="14" t="s">
        <v>545</v>
      </c>
      <c r="E110" s="18" t="s">
        <v>9</v>
      </c>
      <c r="F110" s="14" t="s">
        <v>631</v>
      </c>
      <c r="G110" s="14" t="s">
        <v>518</v>
      </c>
      <c r="H110" s="18" t="s">
        <v>5</v>
      </c>
      <c r="I110" s="14" t="s">
        <v>115</v>
      </c>
      <c r="J110" s="14"/>
      <c r="K110" s="18" t="s">
        <v>643</v>
      </c>
      <c r="L110" s="18"/>
      <c r="M110" s="14">
        <v>3</v>
      </c>
      <c r="N110" s="15">
        <v>28305.08</v>
      </c>
      <c r="O110" s="15">
        <f t="shared" si="2"/>
        <v>84915.24</v>
      </c>
      <c r="P110" s="15"/>
      <c r="Q110" s="14" t="s">
        <v>520</v>
      </c>
      <c r="R110" s="25">
        <v>45077</v>
      </c>
      <c r="S110" s="34" t="str">
        <f>TEXT(Table1[[#This Row],[End Date]],"MMMM")</f>
        <v>May</v>
      </c>
      <c r="T110" s="34" t="str">
        <f>TEXT(Table1[[#This Row],[End Date]],"YYYY")</f>
        <v>2023</v>
      </c>
      <c r="U110" s="24">
        <f t="shared" ca="1" si="3"/>
        <v>56</v>
      </c>
      <c r="V110" s="14" t="str" cm="1">
        <f t="array" aca="1" ref="V110" ca="1">_xlfn.IFS(Table1[[#This Row],[Agreement Days]]&gt;=0,"Expired",Table1[[#This Row],[Agreement Days]]&gt;=-30,"Expires &lt; 30 Days",Table1[[#This Row],[Agreement Days]]&gt;=-60,"Expires &lt; 60 Days",Table1[[#This Row],[Agreement Days]]&lt;-60,"Valid Contract")</f>
        <v>Expired</v>
      </c>
      <c r="W110" s="18" t="s">
        <v>21</v>
      </c>
      <c r="X110" s="52" t="s">
        <v>801</v>
      </c>
      <c r="Y110" s="39" t="s">
        <v>802</v>
      </c>
      <c r="Z110" s="36" t="s">
        <v>803</v>
      </c>
      <c r="AA110" s="27"/>
      <c r="AB110" s="98"/>
      <c r="AC110" s="98"/>
    </row>
    <row r="111" spans="1:29" hidden="1" x14ac:dyDescent="0.3">
      <c r="A111" s="18" t="s">
        <v>804</v>
      </c>
      <c r="B111" s="18" t="s">
        <v>210</v>
      </c>
      <c r="C111" s="18" t="s">
        <v>586</v>
      </c>
      <c r="D111" s="14" t="s">
        <v>586</v>
      </c>
      <c r="E111" s="18" t="s">
        <v>9</v>
      </c>
      <c r="F111" s="14" t="s">
        <v>517</v>
      </c>
      <c r="G111" s="14" t="s">
        <v>518</v>
      </c>
      <c r="H111" s="18" t="s">
        <v>5</v>
      </c>
      <c r="I111" s="14" t="s">
        <v>117</v>
      </c>
      <c r="J111" s="19">
        <v>10</v>
      </c>
      <c r="K111" s="26" t="s">
        <v>805</v>
      </c>
      <c r="L111" s="26"/>
      <c r="M111" s="19">
        <v>1</v>
      </c>
      <c r="N111" s="15">
        <v>510000</v>
      </c>
      <c r="O111" s="15">
        <f t="shared" si="2"/>
        <v>510000</v>
      </c>
      <c r="P111" s="15"/>
      <c r="Q111" s="14" t="s">
        <v>520</v>
      </c>
      <c r="R111" s="25">
        <v>45443</v>
      </c>
      <c r="S111" s="34" t="str">
        <f>TEXT(Table1[[#This Row],[End Date]],"MMMM")</f>
        <v>May</v>
      </c>
      <c r="T111" s="34" t="str">
        <f>TEXT(Table1[[#This Row],[End Date]],"YYYY")</f>
        <v>2024</v>
      </c>
      <c r="U111" s="24">
        <f t="shared" ca="1" si="3"/>
        <v>-310</v>
      </c>
      <c r="V111" s="14" t="str" cm="1">
        <f t="array" aca="1" ref="V111" ca="1">_xlfn.IFS(Table1[[#This Row],[Agreement Days]]&gt;=0,"Expired",Table1[[#This Row],[Agreement Days]]&gt;=-30,"Expires &lt; 30 Days",Table1[[#This Row],[Agreement Days]]&gt;=-60,"Expires &lt; 60 Days",Table1[[#This Row],[Agreement Days]]&lt;-60,"Valid Contract")</f>
        <v>Valid Contract</v>
      </c>
      <c r="W111" s="26" t="s">
        <v>17</v>
      </c>
      <c r="X111" s="26" t="s">
        <v>806</v>
      </c>
      <c r="Y111" s="53" t="s">
        <v>807</v>
      </c>
      <c r="Z111" s="27">
        <v>788865814</v>
      </c>
      <c r="AA111" s="27"/>
      <c r="AB111" s="116"/>
      <c r="AC111" s="116"/>
    </row>
    <row r="112" spans="1:29" s="41" customFormat="1" hidden="1" x14ac:dyDescent="0.3">
      <c r="A112" s="18" t="s">
        <v>804</v>
      </c>
      <c r="B112" s="18" t="s">
        <v>210</v>
      </c>
      <c r="C112" s="18" t="s">
        <v>808</v>
      </c>
      <c r="D112" s="14" t="s">
        <v>808</v>
      </c>
      <c r="E112" s="18" t="s">
        <v>9</v>
      </c>
      <c r="F112" s="14" t="s">
        <v>517</v>
      </c>
      <c r="G112" s="14" t="s">
        <v>518</v>
      </c>
      <c r="H112" s="18" t="s">
        <v>5</v>
      </c>
      <c r="I112" s="14" t="s">
        <v>117</v>
      </c>
      <c r="J112" s="19">
        <v>10</v>
      </c>
      <c r="K112" s="26" t="s">
        <v>805</v>
      </c>
      <c r="L112" s="26"/>
      <c r="M112" s="19">
        <v>1</v>
      </c>
      <c r="N112" s="15">
        <v>510000</v>
      </c>
      <c r="O112" s="15">
        <f t="shared" si="2"/>
        <v>510000</v>
      </c>
      <c r="P112" s="15"/>
      <c r="Q112" s="14" t="s">
        <v>520</v>
      </c>
      <c r="R112" s="25">
        <v>45443</v>
      </c>
      <c r="S112" s="34" t="str">
        <f>TEXT(Table1[[#This Row],[End Date]],"MMMM")</f>
        <v>May</v>
      </c>
      <c r="T112" s="34" t="str">
        <f>TEXT(Table1[[#This Row],[End Date]],"YYYY")</f>
        <v>2024</v>
      </c>
      <c r="U112" s="24">
        <f t="shared" ca="1" si="3"/>
        <v>-310</v>
      </c>
      <c r="V112" s="14" t="str" cm="1">
        <f t="array" aca="1" ref="V112" ca="1">_xlfn.IFS(Table1[[#This Row],[Agreement Days]]&gt;=0,"Expired",Table1[[#This Row],[Agreement Days]]&gt;=-30,"Expires &lt; 30 Days",Table1[[#This Row],[Agreement Days]]&gt;=-60,"Expires &lt; 60 Days",Table1[[#This Row],[Agreement Days]]&lt;-60,"Valid Contract")</f>
        <v>Valid Contract</v>
      </c>
      <c r="W112" s="26" t="s">
        <v>17</v>
      </c>
      <c r="X112" s="26" t="s">
        <v>806</v>
      </c>
      <c r="Y112" s="53" t="s">
        <v>807</v>
      </c>
      <c r="Z112" s="27">
        <v>788865814</v>
      </c>
      <c r="AA112" s="27"/>
      <c r="AB112" s="116"/>
      <c r="AC112" s="116"/>
    </row>
    <row r="113" spans="1:29" hidden="1" x14ac:dyDescent="0.3">
      <c r="A113" s="18" t="s">
        <v>804</v>
      </c>
      <c r="B113" s="18" t="s">
        <v>210</v>
      </c>
      <c r="C113" s="18" t="s">
        <v>809</v>
      </c>
      <c r="D113" s="14" t="s">
        <v>810</v>
      </c>
      <c r="E113" s="18" t="s">
        <v>9</v>
      </c>
      <c r="F113" s="14" t="s">
        <v>517</v>
      </c>
      <c r="G113" s="14" t="s">
        <v>518</v>
      </c>
      <c r="H113" s="18" t="s">
        <v>5</v>
      </c>
      <c r="I113" s="14" t="s">
        <v>117</v>
      </c>
      <c r="J113" s="19">
        <v>30</v>
      </c>
      <c r="K113" s="26" t="s">
        <v>694</v>
      </c>
      <c r="L113" s="26"/>
      <c r="M113" s="19">
        <v>1</v>
      </c>
      <c r="N113" s="15">
        <v>1260000</v>
      </c>
      <c r="O113" s="15">
        <f t="shared" si="2"/>
        <v>1260000</v>
      </c>
      <c r="P113" s="15"/>
      <c r="Q113" s="14" t="s">
        <v>520</v>
      </c>
      <c r="R113" s="25">
        <v>45443</v>
      </c>
      <c r="S113" s="25">
        <v>45443</v>
      </c>
      <c r="T113" s="34" t="str">
        <f>TEXT(Table1[[#This Row],[End Date]],"YYYY")</f>
        <v>2024</v>
      </c>
      <c r="U113" s="24">
        <f t="shared" ca="1" si="3"/>
        <v>-310</v>
      </c>
      <c r="V113" s="14" t="str" cm="1">
        <f t="array" aca="1" ref="V113" ca="1">_xlfn.IFS(Table1[[#This Row],[Agreement Days]]&gt;=0,"Expired",Table1[[#This Row],[Agreement Days]]&gt;=-30,"Expires &lt; 30 Days",Table1[[#This Row],[Agreement Days]]&gt;=-60,"Expires &lt; 60 Days",Table1[[#This Row],[Agreement Days]]&lt;-60,"Valid Contract")</f>
        <v>Valid Contract</v>
      </c>
      <c r="W113" s="26" t="s">
        <v>17</v>
      </c>
      <c r="X113" s="26" t="s">
        <v>806</v>
      </c>
      <c r="Y113" s="35" t="s">
        <v>807</v>
      </c>
      <c r="Z113" s="27">
        <v>788865814</v>
      </c>
      <c r="AA113" s="27"/>
      <c r="AB113" s="116"/>
      <c r="AC113" s="116"/>
    </row>
    <row r="114" spans="1:29" hidden="1" x14ac:dyDescent="0.3">
      <c r="A114" s="18" t="s">
        <v>804</v>
      </c>
      <c r="B114" s="18" t="s">
        <v>210</v>
      </c>
      <c r="C114" s="18" t="s">
        <v>809</v>
      </c>
      <c r="D114" s="14" t="s">
        <v>810</v>
      </c>
      <c r="E114" s="18" t="s">
        <v>9</v>
      </c>
      <c r="F114" s="14" t="s">
        <v>517</v>
      </c>
      <c r="G114" s="14" t="s">
        <v>518</v>
      </c>
      <c r="H114" s="18" t="s">
        <v>4</v>
      </c>
      <c r="I114" s="14" t="s">
        <v>118</v>
      </c>
      <c r="J114" s="26"/>
      <c r="K114" s="26" t="s">
        <v>650</v>
      </c>
      <c r="L114" s="26"/>
      <c r="M114" s="19">
        <v>1</v>
      </c>
      <c r="N114" s="15">
        <v>369325</v>
      </c>
      <c r="O114" s="15">
        <f t="shared" ref="O114:O115" si="4">N114*M114</f>
        <v>369325</v>
      </c>
      <c r="P114" s="15"/>
      <c r="Q114" s="14" t="s">
        <v>520</v>
      </c>
      <c r="R114" s="25">
        <v>45443</v>
      </c>
      <c r="S114" s="25">
        <v>45443</v>
      </c>
      <c r="T114" s="34" t="str">
        <f>TEXT(Table1[[#This Row],[End Date]],"YYYY")</f>
        <v>2024</v>
      </c>
      <c r="U114" s="24">
        <f t="shared" ref="U114:U115" ca="1" si="5">TODAY()-R114</f>
        <v>-310</v>
      </c>
      <c r="V114" s="14" t="str" cm="1">
        <f t="array" aca="1" ref="V114" ca="1">_xlfn.IFS(Table1[[#This Row],[Agreement Days]]&gt;=0,"Expired",Table1[[#This Row],[Agreement Days]]&gt;=-30,"Expires &lt; 30 Days",Table1[[#This Row],[Agreement Days]]&gt;=-60,"Expires &lt; 60 Days",Table1[[#This Row],[Agreement Days]]&lt;-60,"Valid Contract")</f>
        <v>Valid Contract</v>
      </c>
      <c r="W114" s="26" t="s">
        <v>17</v>
      </c>
      <c r="X114" s="26" t="s">
        <v>806</v>
      </c>
      <c r="Y114" s="53" t="s">
        <v>807</v>
      </c>
      <c r="Z114" s="27">
        <v>788865814</v>
      </c>
      <c r="AA114" s="27"/>
      <c r="AB114" s="98"/>
      <c r="AC114" s="98"/>
    </row>
    <row r="115" spans="1:29" hidden="1" x14ac:dyDescent="0.3">
      <c r="A115" s="18" t="s">
        <v>804</v>
      </c>
      <c r="B115" s="18" t="s">
        <v>210</v>
      </c>
      <c r="C115" s="18" t="s">
        <v>809</v>
      </c>
      <c r="D115" s="14" t="s">
        <v>810</v>
      </c>
      <c r="E115" s="18" t="s">
        <v>9</v>
      </c>
      <c r="F115" s="14" t="s">
        <v>517</v>
      </c>
      <c r="G115" s="14" t="s">
        <v>518</v>
      </c>
      <c r="H115" s="18" t="s">
        <v>4</v>
      </c>
      <c r="I115" s="14" t="s">
        <v>118</v>
      </c>
      <c r="J115" s="26"/>
      <c r="K115" s="26" t="s">
        <v>811</v>
      </c>
      <c r="L115" s="26"/>
      <c r="M115" s="19">
        <v>1</v>
      </c>
      <c r="N115" s="15">
        <v>86130</v>
      </c>
      <c r="O115" s="15">
        <f t="shared" si="4"/>
        <v>86130</v>
      </c>
      <c r="P115" s="15"/>
      <c r="Q115" s="14" t="s">
        <v>520</v>
      </c>
      <c r="R115" s="25">
        <v>45443</v>
      </c>
      <c r="S115" s="34" t="str">
        <f>TEXT(Table1[[#This Row],[End Date]],"MMMM")</f>
        <v>May</v>
      </c>
      <c r="T115" s="34" t="str">
        <f>TEXT(Table1[[#This Row],[End Date]],"YYYY")</f>
        <v>2024</v>
      </c>
      <c r="U115" s="24">
        <f t="shared" ca="1" si="5"/>
        <v>-310</v>
      </c>
      <c r="V115" s="14" t="str" cm="1">
        <f t="array" aca="1" ref="V115" ca="1">_xlfn.IFS(Table1[[#This Row],[Agreement Days]]&gt;=0,"Expired",Table1[[#This Row],[Agreement Days]]&gt;=-30,"Expires &lt; 30 Days",Table1[[#This Row],[Agreement Days]]&gt;=-60,"Expires &lt; 60 Days",Table1[[#This Row],[Agreement Days]]&lt;-60,"Valid Contract")</f>
        <v>Valid Contract</v>
      </c>
      <c r="W115" s="26" t="s">
        <v>17</v>
      </c>
      <c r="X115" s="26" t="s">
        <v>806</v>
      </c>
      <c r="Y115" s="53" t="s">
        <v>807</v>
      </c>
      <c r="Z115" s="27">
        <v>788865814</v>
      </c>
      <c r="AA115" s="27"/>
      <c r="AB115" s="98"/>
      <c r="AC115" s="98"/>
    </row>
    <row r="116" spans="1:29" hidden="1" x14ac:dyDescent="0.3">
      <c r="A116" s="18" t="s">
        <v>804</v>
      </c>
      <c r="B116" s="18" t="s">
        <v>210</v>
      </c>
      <c r="C116" s="18" t="s">
        <v>809</v>
      </c>
      <c r="D116" s="14" t="s">
        <v>810</v>
      </c>
      <c r="E116" s="18" t="s">
        <v>9</v>
      </c>
      <c r="F116" s="14" t="s">
        <v>517</v>
      </c>
      <c r="G116" s="14" t="s">
        <v>518</v>
      </c>
      <c r="H116" s="18" t="s">
        <v>4</v>
      </c>
      <c r="I116" s="14" t="s">
        <v>118</v>
      </c>
      <c r="J116" s="26"/>
      <c r="K116" s="26" t="s">
        <v>812</v>
      </c>
      <c r="L116" s="26"/>
      <c r="M116" s="19">
        <v>1</v>
      </c>
      <c r="N116" s="15">
        <v>86130</v>
      </c>
      <c r="O116" s="15">
        <f t="shared" si="2"/>
        <v>86130</v>
      </c>
      <c r="P116" s="15"/>
      <c r="Q116" s="14" t="s">
        <v>520</v>
      </c>
      <c r="R116" s="25">
        <v>45443</v>
      </c>
      <c r="S116" s="34" t="str">
        <f>TEXT(Table1[[#This Row],[End Date]],"MMMM")</f>
        <v>May</v>
      </c>
      <c r="T116" s="34" t="str">
        <f>TEXT(Table1[[#This Row],[End Date]],"YYYY")</f>
        <v>2024</v>
      </c>
      <c r="U116" s="24">
        <f t="shared" ca="1" si="3"/>
        <v>-310</v>
      </c>
      <c r="V116" s="14" t="str" cm="1">
        <f t="array" aca="1" ref="V116" ca="1">_xlfn.IFS(Table1[[#This Row],[Agreement Days]]&gt;=0,"Expired",Table1[[#This Row],[Agreement Days]]&gt;=-30,"Expires &lt; 30 Days",Table1[[#This Row],[Agreement Days]]&gt;=-60,"Expires &lt; 60 Days",Table1[[#This Row],[Agreement Days]]&lt;-60,"Valid Contract")</f>
        <v>Valid Contract</v>
      </c>
      <c r="W116" s="26" t="s">
        <v>17</v>
      </c>
      <c r="X116" s="26" t="s">
        <v>806</v>
      </c>
      <c r="Y116" s="53" t="s">
        <v>807</v>
      </c>
      <c r="Z116" s="27">
        <v>788865814</v>
      </c>
      <c r="AA116" s="27"/>
      <c r="AB116" s="98"/>
      <c r="AC116" s="98"/>
    </row>
    <row r="117" spans="1:29" hidden="1" x14ac:dyDescent="0.3">
      <c r="A117" s="18" t="s">
        <v>804</v>
      </c>
      <c r="B117" s="18" t="s">
        <v>210</v>
      </c>
      <c r="C117" s="18" t="s">
        <v>809</v>
      </c>
      <c r="D117" s="14" t="s">
        <v>810</v>
      </c>
      <c r="E117" s="18" t="s">
        <v>9</v>
      </c>
      <c r="F117" s="14" t="s">
        <v>517</v>
      </c>
      <c r="G117" s="14" t="s">
        <v>518</v>
      </c>
      <c r="H117" s="18" t="s">
        <v>5</v>
      </c>
      <c r="I117" s="14" t="s">
        <v>115</v>
      </c>
      <c r="J117" s="26"/>
      <c r="K117" s="18" t="s">
        <v>813</v>
      </c>
      <c r="L117" s="26"/>
      <c r="M117" s="19">
        <v>9</v>
      </c>
      <c r="N117" s="15">
        <v>19491.53</v>
      </c>
      <c r="O117" s="15">
        <f t="shared" si="2"/>
        <v>175423.77</v>
      </c>
      <c r="P117" s="15"/>
      <c r="Q117" s="14" t="s">
        <v>520</v>
      </c>
      <c r="R117" s="25">
        <v>45443</v>
      </c>
      <c r="S117" s="34" t="str">
        <f>TEXT(Table1[[#This Row],[End Date]],"MMMM")</f>
        <v>May</v>
      </c>
      <c r="T117" s="34" t="str">
        <f>TEXT(Table1[[#This Row],[End Date]],"YYYY")</f>
        <v>2024</v>
      </c>
      <c r="U117" s="24">
        <f t="shared" ca="1" si="3"/>
        <v>-310</v>
      </c>
      <c r="V117" s="14" t="str" cm="1">
        <f t="array" aca="1" ref="V117" ca="1">_xlfn.IFS(Table1[[#This Row],[Agreement Days]]&gt;=0,"Expired",Table1[[#This Row],[Agreement Days]]&gt;=-30,"Expires &lt; 30 Days",Table1[[#This Row],[Agreement Days]]&gt;=-60,"Expires &lt; 60 Days",Table1[[#This Row],[Agreement Days]]&lt;-60,"Valid Contract")</f>
        <v>Valid Contract</v>
      </c>
      <c r="W117" s="26" t="s">
        <v>17</v>
      </c>
      <c r="X117" s="26" t="s">
        <v>806</v>
      </c>
      <c r="Y117" s="53" t="s">
        <v>807</v>
      </c>
      <c r="Z117" s="27">
        <v>788865814</v>
      </c>
      <c r="AA117" s="27"/>
      <c r="AB117" s="98"/>
      <c r="AC117" s="98"/>
    </row>
    <row r="118" spans="1:29" hidden="1" x14ac:dyDescent="0.3">
      <c r="A118" s="18" t="s">
        <v>814</v>
      </c>
      <c r="B118" s="18" t="s">
        <v>214</v>
      </c>
      <c r="C118" s="18" t="s">
        <v>815</v>
      </c>
      <c r="D118" s="14" t="s">
        <v>545</v>
      </c>
      <c r="E118" s="18" t="s">
        <v>9</v>
      </c>
      <c r="F118" s="14" t="s">
        <v>601</v>
      </c>
      <c r="G118" s="14" t="s">
        <v>518</v>
      </c>
      <c r="H118" s="18" t="s">
        <v>5</v>
      </c>
      <c r="I118" s="14" t="s">
        <v>117</v>
      </c>
      <c r="J118" s="14">
        <v>1</v>
      </c>
      <c r="K118" s="14" t="s">
        <v>816</v>
      </c>
      <c r="L118" s="14"/>
      <c r="M118" s="14">
        <v>1</v>
      </c>
      <c r="N118" s="15">
        <v>90000</v>
      </c>
      <c r="O118" s="15">
        <f t="shared" si="2"/>
        <v>90000</v>
      </c>
      <c r="P118" s="15"/>
      <c r="Q118" s="14" t="s">
        <v>520</v>
      </c>
      <c r="R118" s="21">
        <v>46173</v>
      </c>
      <c r="S118" s="22" t="str">
        <f>TEXT(Table1[[#This Row],[End Date]],"MMMM")</f>
        <v>May</v>
      </c>
      <c r="T118" s="23" t="str">
        <f>TEXT(Table1[[#This Row],[End Date]],"YYYY")</f>
        <v>2026</v>
      </c>
      <c r="U118" s="24">
        <f t="shared" ca="1" si="3"/>
        <v>-1040</v>
      </c>
      <c r="V118" s="14" t="str" cm="1">
        <f t="array" aca="1" ref="V118" ca="1">_xlfn.IFS(Table1[[#This Row],[Agreement Days]]&gt;=0,"Expired",Table1[[#This Row],[Agreement Days]]&gt;=-30,"Expires &lt; 30 Days",Table1[[#This Row],[Agreement Days]]&gt;=-60,"Expires &lt; 60 Days",Table1[[#This Row],[Agreement Days]]&lt;-60,"Valid Contract")</f>
        <v>Valid Contract</v>
      </c>
      <c r="W118" s="14" t="s">
        <v>20</v>
      </c>
      <c r="X118" s="26" t="s">
        <v>817</v>
      </c>
      <c r="Y118" s="45" t="s">
        <v>818</v>
      </c>
      <c r="Z118" s="17" t="s">
        <v>819</v>
      </c>
      <c r="AA118" s="19"/>
      <c r="AB118" s="98"/>
      <c r="AC118" s="98"/>
    </row>
    <row r="119" spans="1:29" hidden="1" x14ac:dyDescent="0.3">
      <c r="A119" s="18" t="s">
        <v>820</v>
      </c>
      <c r="B119" s="18" t="s">
        <v>133</v>
      </c>
      <c r="C119" s="18" t="s">
        <v>821</v>
      </c>
      <c r="D119" s="14" t="s">
        <v>761</v>
      </c>
      <c r="E119" s="18" t="s">
        <v>10</v>
      </c>
      <c r="F119" s="14" t="s">
        <v>822</v>
      </c>
      <c r="G119" s="14" t="s">
        <v>518</v>
      </c>
      <c r="H119" s="18" t="s">
        <v>5</v>
      </c>
      <c r="I119" s="14" t="s">
        <v>134</v>
      </c>
      <c r="J119" s="14">
        <v>1</v>
      </c>
      <c r="K119" s="18" t="s">
        <v>823</v>
      </c>
      <c r="L119" s="14"/>
      <c r="M119" s="14">
        <v>1</v>
      </c>
      <c r="N119" s="15">
        <f>129800/1.18</f>
        <v>110000</v>
      </c>
      <c r="O119" s="15">
        <f t="shared" si="2"/>
        <v>110000</v>
      </c>
      <c r="P119" s="15"/>
      <c r="Q119" s="14" t="s">
        <v>520</v>
      </c>
      <c r="R119" s="25">
        <v>45078</v>
      </c>
      <c r="S119" s="34" t="str">
        <f>TEXT(Table1[[#This Row],[End Date]],"MMMM")</f>
        <v>June</v>
      </c>
      <c r="T119" s="34" t="str">
        <f>TEXT(Table1[[#This Row],[End Date]],"YYYY")</f>
        <v>2023</v>
      </c>
      <c r="U119" s="24">
        <f t="shared" ca="1" si="3"/>
        <v>55</v>
      </c>
      <c r="V119" s="14" t="str" cm="1">
        <f t="array" aca="1" ref="V119" ca="1">_xlfn.IFS(Table1[[#This Row],[Agreement Days]]&gt;=0,"Expired",Table1[[#This Row],[Agreement Days]]&gt;=-30,"Expires &lt; 30 Days",Table1[[#This Row],[Agreement Days]]&gt;=-60,"Expires &lt; 60 Days",Table1[[#This Row],[Agreement Days]]&lt;-60,"Valid Contract")</f>
        <v>Expired</v>
      </c>
      <c r="W119" s="18" t="s">
        <v>18</v>
      </c>
      <c r="X119" s="18" t="s">
        <v>824</v>
      </c>
      <c r="Y119" s="35" t="s">
        <v>825</v>
      </c>
      <c r="Z119" s="36" t="s">
        <v>826</v>
      </c>
      <c r="AA119" s="36"/>
      <c r="AB119" s="98"/>
      <c r="AC119" s="98"/>
    </row>
    <row r="120" spans="1:29" hidden="1" x14ac:dyDescent="0.3">
      <c r="A120" s="18" t="s">
        <v>820</v>
      </c>
      <c r="B120" s="18" t="s">
        <v>133</v>
      </c>
      <c r="C120" s="18" t="s">
        <v>827</v>
      </c>
      <c r="D120" s="14" t="s">
        <v>653</v>
      </c>
      <c r="E120" s="18" t="s">
        <v>10</v>
      </c>
      <c r="F120" s="14" t="s">
        <v>822</v>
      </c>
      <c r="G120" s="14" t="s">
        <v>518</v>
      </c>
      <c r="H120" s="18" t="s">
        <v>5</v>
      </c>
      <c r="I120" s="14" t="s">
        <v>134</v>
      </c>
      <c r="J120" s="14">
        <v>1</v>
      </c>
      <c r="K120" s="18" t="s">
        <v>823</v>
      </c>
      <c r="L120" s="18"/>
      <c r="M120" s="14">
        <v>1</v>
      </c>
      <c r="N120" s="15">
        <v>151200</v>
      </c>
      <c r="O120" s="15">
        <f t="shared" si="2"/>
        <v>151200</v>
      </c>
      <c r="P120" s="15"/>
      <c r="Q120" s="14" t="s">
        <v>520</v>
      </c>
      <c r="R120" s="25">
        <v>45078</v>
      </c>
      <c r="S120" s="34" t="str">
        <f>TEXT(Table1[[#This Row],[End Date]],"MMMM")</f>
        <v>June</v>
      </c>
      <c r="T120" s="34" t="str">
        <f>TEXT(Table1[[#This Row],[End Date]],"YYYY")</f>
        <v>2023</v>
      </c>
      <c r="U120" s="24">
        <f t="shared" ca="1" si="3"/>
        <v>55</v>
      </c>
      <c r="V120" s="14" t="str" cm="1">
        <f t="array" aca="1" ref="V120" ca="1">_xlfn.IFS(Table1[[#This Row],[Agreement Days]]&gt;=0,"Expired",Table1[[#This Row],[Agreement Days]]&gt;=-30,"Expires &lt; 30 Days",Table1[[#This Row],[Agreement Days]]&gt;=-60,"Expires &lt; 60 Days",Table1[[#This Row],[Agreement Days]]&lt;-60,"Valid Contract")</f>
        <v>Expired</v>
      </c>
      <c r="W120" s="18" t="s">
        <v>18</v>
      </c>
      <c r="X120" s="18" t="s">
        <v>824</v>
      </c>
      <c r="Y120" s="35" t="s">
        <v>828</v>
      </c>
      <c r="Z120" s="36" t="s">
        <v>826</v>
      </c>
      <c r="AA120" s="27"/>
      <c r="AB120" s="98"/>
      <c r="AC120" s="98"/>
    </row>
    <row r="121" spans="1:29" hidden="1" x14ac:dyDescent="0.3">
      <c r="A121" s="18" t="s">
        <v>820</v>
      </c>
      <c r="B121" s="18" t="s">
        <v>133</v>
      </c>
      <c r="C121" s="18" t="s">
        <v>829</v>
      </c>
      <c r="D121" s="14" t="s">
        <v>653</v>
      </c>
      <c r="E121" s="18" t="s">
        <v>10</v>
      </c>
      <c r="F121" s="14" t="s">
        <v>822</v>
      </c>
      <c r="G121" s="14" t="s">
        <v>518</v>
      </c>
      <c r="H121" s="18" t="s">
        <v>5</v>
      </c>
      <c r="I121" s="14" t="s">
        <v>134</v>
      </c>
      <c r="J121" s="14">
        <v>1</v>
      </c>
      <c r="K121" s="18" t="s">
        <v>823</v>
      </c>
      <c r="L121" s="18"/>
      <c r="M121" s="14">
        <v>1</v>
      </c>
      <c r="N121" s="15">
        <v>151200</v>
      </c>
      <c r="O121" s="15">
        <f t="shared" si="2"/>
        <v>151200</v>
      </c>
      <c r="P121" s="15"/>
      <c r="Q121" s="14" t="s">
        <v>520</v>
      </c>
      <c r="R121" s="25">
        <v>45078</v>
      </c>
      <c r="S121" s="34" t="str">
        <f>TEXT(Table1[[#This Row],[End Date]],"MMMM")</f>
        <v>June</v>
      </c>
      <c r="T121" s="34" t="str">
        <f>TEXT(Table1[[#This Row],[End Date]],"YYYY")</f>
        <v>2023</v>
      </c>
      <c r="U121" s="24">
        <f t="shared" ca="1" si="3"/>
        <v>55</v>
      </c>
      <c r="V121" s="14" t="str" cm="1">
        <f t="array" aca="1" ref="V121" ca="1">_xlfn.IFS(Table1[[#This Row],[Agreement Days]]&gt;=0,"Expired",Table1[[#This Row],[Agreement Days]]&gt;=-30,"Expires &lt; 30 Days",Table1[[#This Row],[Agreement Days]]&gt;=-60,"Expires &lt; 60 Days",Table1[[#This Row],[Agreement Days]]&lt;-60,"Valid Contract")</f>
        <v>Expired</v>
      </c>
      <c r="W121" s="18" t="s">
        <v>18</v>
      </c>
      <c r="X121" s="18" t="s">
        <v>824</v>
      </c>
      <c r="Y121" s="35" t="s">
        <v>828</v>
      </c>
      <c r="Z121" s="36" t="s">
        <v>826</v>
      </c>
      <c r="AA121" s="27"/>
      <c r="AB121" s="98"/>
      <c r="AC121" s="98"/>
    </row>
    <row r="122" spans="1:29" hidden="1" x14ac:dyDescent="0.3">
      <c r="A122" s="18" t="s">
        <v>820</v>
      </c>
      <c r="B122" s="18" t="s">
        <v>133</v>
      </c>
      <c r="C122" s="18" t="s">
        <v>830</v>
      </c>
      <c r="D122" s="14" t="s">
        <v>771</v>
      </c>
      <c r="E122" s="18" t="s">
        <v>10</v>
      </c>
      <c r="F122" s="14" t="s">
        <v>822</v>
      </c>
      <c r="G122" s="14" t="s">
        <v>518</v>
      </c>
      <c r="H122" s="18" t="s">
        <v>5</v>
      </c>
      <c r="I122" s="14" t="s">
        <v>134</v>
      </c>
      <c r="J122" s="14">
        <v>1</v>
      </c>
      <c r="K122" s="18" t="s">
        <v>823</v>
      </c>
      <c r="L122" s="18"/>
      <c r="M122" s="14">
        <v>1</v>
      </c>
      <c r="N122" s="15">
        <v>151200</v>
      </c>
      <c r="O122" s="15">
        <f t="shared" si="2"/>
        <v>151200</v>
      </c>
      <c r="P122" s="15"/>
      <c r="Q122" s="14" t="s">
        <v>520</v>
      </c>
      <c r="R122" s="25">
        <v>45078</v>
      </c>
      <c r="S122" s="34" t="str">
        <f>TEXT(Table1[[#This Row],[End Date]],"MMMM")</f>
        <v>June</v>
      </c>
      <c r="T122" s="34" t="str">
        <f>TEXT(Table1[[#This Row],[End Date]],"YYYY")</f>
        <v>2023</v>
      </c>
      <c r="U122" s="24">
        <f t="shared" ca="1" si="3"/>
        <v>55</v>
      </c>
      <c r="V122" s="14" t="str" cm="1">
        <f t="array" aca="1" ref="V122" ca="1">_xlfn.IFS(Table1[[#This Row],[Agreement Days]]&gt;=0,"Expired",Table1[[#This Row],[Agreement Days]]&gt;=-30,"Expires &lt; 30 Days",Table1[[#This Row],[Agreement Days]]&gt;=-60,"Expires &lt; 60 Days",Table1[[#This Row],[Agreement Days]]&lt;-60,"Valid Contract")</f>
        <v>Expired</v>
      </c>
      <c r="W122" s="18" t="s">
        <v>18</v>
      </c>
      <c r="X122" s="18" t="s">
        <v>824</v>
      </c>
      <c r="Y122" s="35" t="s">
        <v>828</v>
      </c>
      <c r="Z122" s="36" t="s">
        <v>826</v>
      </c>
      <c r="AA122" s="27"/>
      <c r="AB122" s="98"/>
      <c r="AC122" s="98"/>
    </row>
    <row r="123" spans="1:29" hidden="1" x14ac:dyDescent="0.3">
      <c r="A123" s="18" t="s">
        <v>820</v>
      </c>
      <c r="B123" s="18" t="s">
        <v>133</v>
      </c>
      <c r="C123" s="18" t="s">
        <v>831</v>
      </c>
      <c r="D123" s="14" t="s">
        <v>759</v>
      </c>
      <c r="E123" s="18" t="s">
        <v>10</v>
      </c>
      <c r="F123" s="14" t="s">
        <v>822</v>
      </c>
      <c r="G123" s="14" t="s">
        <v>518</v>
      </c>
      <c r="H123" s="18" t="s">
        <v>5</v>
      </c>
      <c r="I123" s="14" t="s">
        <v>134</v>
      </c>
      <c r="J123" s="14">
        <v>2</v>
      </c>
      <c r="K123" s="18" t="s">
        <v>832</v>
      </c>
      <c r="L123" s="18"/>
      <c r="M123" s="14">
        <v>1</v>
      </c>
      <c r="N123" s="15">
        <v>186440.68</v>
      </c>
      <c r="O123" s="15">
        <f t="shared" si="2"/>
        <v>186440.68</v>
      </c>
      <c r="P123" s="15"/>
      <c r="Q123" s="14" t="s">
        <v>520</v>
      </c>
      <c r="R123" s="25">
        <v>45078</v>
      </c>
      <c r="S123" s="34" t="str">
        <f>TEXT(Table1[[#This Row],[End Date]],"MMMM")</f>
        <v>June</v>
      </c>
      <c r="T123" s="34" t="str">
        <f>TEXT(Table1[[#This Row],[End Date]],"YYYY")</f>
        <v>2023</v>
      </c>
      <c r="U123" s="24">
        <f t="shared" ca="1" si="3"/>
        <v>55</v>
      </c>
      <c r="V123" s="14" t="str" cm="1">
        <f t="array" aca="1" ref="V123" ca="1">_xlfn.IFS(Table1[[#This Row],[Agreement Days]]&gt;=0,"Expired",Table1[[#This Row],[Agreement Days]]&gt;=-30,"Expires &lt; 30 Days",Table1[[#This Row],[Agreement Days]]&gt;=-60,"Expires &lt; 60 Days",Table1[[#This Row],[Agreement Days]]&lt;-60,"Valid Contract")</f>
        <v>Expired</v>
      </c>
      <c r="W123" s="18" t="s">
        <v>18</v>
      </c>
      <c r="X123" s="18" t="s">
        <v>824</v>
      </c>
      <c r="Y123" s="35" t="s">
        <v>828</v>
      </c>
      <c r="Z123" s="36" t="s">
        <v>826</v>
      </c>
      <c r="AA123" s="27"/>
      <c r="AB123" s="98"/>
      <c r="AC123" s="98"/>
    </row>
    <row r="124" spans="1:29" hidden="1" x14ac:dyDescent="0.3">
      <c r="A124" s="18" t="s">
        <v>820</v>
      </c>
      <c r="B124" s="18" t="s">
        <v>133</v>
      </c>
      <c r="C124" s="18" t="s">
        <v>833</v>
      </c>
      <c r="D124" s="14" t="s">
        <v>653</v>
      </c>
      <c r="E124" s="18" t="s">
        <v>10</v>
      </c>
      <c r="F124" s="14" t="s">
        <v>822</v>
      </c>
      <c r="G124" s="14" t="s">
        <v>518</v>
      </c>
      <c r="H124" s="18" t="s">
        <v>5</v>
      </c>
      <c r="I124" s="14" t="s">
        <v>126</v>
      </c>
      <c r="J124" s="14">
        <v>3</v>
      </c>
      <c r="K124" s="18" t="s">
        <v>834</v>
      </c>
      <c r="L124" s="18"/>
      <c r="M124" s="14">
        <v>1</v>
      </c>
      <c r="N124" s="15">
        <v>251271.19</v>
      </c>
      <c r="O124" s="15">
        <f t="shared" si="2"/>
        <v>251271.19</v>
      </c>
      <c r="P124" s="15"/>
      <c r="Q124" s="14" t="s">
        <v>520</v>
      </c>
      <c r="R124" s="25">
        <v>45078</v>
      </c>
      <c r="S124" s="34" t="str">
        <f>TEXT(Table1[[#This Row],[End Date]],"MMMM")</f>
        <v>June</v>
      </c>
      <c r="T124" s="34" t="str">
        <f>TEXT(Table1[[#This Row],[End Date]],"YYYY")</f>
        <v>2023</v>
      </c>
      <c r="U124" s="24">
        <f t="shared" ca="1" si="3"/>
        <v>55</v>
      </c>
      <c r="V124" s="14" t="str" cm="1">
        <f t="array" aca="1" ref="V124" ca="1">_xlfn.IFS(Table1[[#This Row],[Agreement Days]]&gt;=0,"Expired",Table1[[#This Row],[Agreement Days]]&gt;=-30,"Expires &lt; 30 Days",Table1[[#This Row],[Agreement Days]]&gt;=-60,"Expires &lt; 60 Days",Table1[[#This Row],[Agreement Days]]&lt;-60,"Valid Contract")</f>
        <v>Expired</v>
      </c>
      <c r="W124" s="18" t="s">
        <v>18</v>
      </c>
      <c r="X124" s="18" t="s">
        <v>824</v>
      </c>
      <c r="Y124" s="35" t="s">
        <v>828</v>
      </c>
      <c r="Z124" s="36" t="s">
        <v>826</v>
      </c>
      <c r="AA124" s="27"/>
      <c r="AB124" s="98"/>
      <c r="AC124" s="98"/>
    </row>
    <row r="125" spans="1:29" hidden="1" x14ac:dyDescent="0.3">
      <c r="A125" s="18" t="s">
        <v>820</v>
      </c>
      <c r="B125" s="18" t="s">
        <v>133</v>
      </c>
      <c r="C125" s="18" t="s">
        <v>835</v>
      </c>
      <c r="D125" s="14" t="s">
        <v>653</v>
      </c>
      <c r="E125" s="18" t="s">
        <v>10</v>
      </c>
      <c r="F125" s="14" t="s">
        <v>822</v>
      </c>
      <c r="G125" s="14" t="s">
        <v>518</v>
      </c>
      <c r="H125" s="18" t="s">
        <v>5</v>
      </c>
      <c r="I125" s="14" t="s">
        <v>134</v>
      </c>
      <c r="J125" s="14">
        <v>5</v>
      </c>
      <c r="K125" s="18" t="s">
        <v>836</v>
      </c>
      <c r="L125" s="18"/>
      <c r="M125" s="14">
        <v>1</v>
      </c>
      <c r="N125" s="15">
        <v>628000</v>
      </c>
      <c r="O125" s="15">
        <f t="shared" si="2"/>
        <v>628000</v>
      </c>
      <c r="P125" s="15"/>
      <c r="Q125" s="14" t="s">
        <v>520</v>
      </c>
      <c r="R125" s="25">
        <v>45078</v>
      </c>
      <c r="S125" s="34" t="str">
        <f>TEXT(Table1[[#This Row],[End Date]],"MMMM")</f>
        <v>June</v>
      </c>
      <c r="T125" s="34" t="str">
        <f>TEXT(Table1[[#This Row],[End Date]],"YYYY")</f>
        <v>2023</v>
      </c>
      <c r="U125" s="24">
        <f t="shared" ca="1" si="3"/>
        <v>55</v>
      </c>
      <c r="V125" s="14" t="str" cm="1">
        <f t="array" aca="1" ref="V125" ca="1">_xlfn.IFS(Table1[[#This Row],[Agreement Days]]&gt;=0,"Expired",Table1[[#This Row],[Agreement Days]]&gt;=-30,"Expires &lt; 30 Days",Table1[[#This Row],[Agreement Days]]&gt;=-60,"Expires &lt; 60 Days",Table1[[#This Row],[Agreement Days]]&lt;-60,"Valid Contract")</f>
        <v>Expired</v>
      </c>
      <c r="W125" s="18" t="s">
        <v>18</v>
      </c>
      <c r="X125" s="18" t="s">
        <v>824</v>
      </c>
      <c r="Y125" s="35" t="s">
        <v>828</v>
      </c>
      <c r="Z125" s="36" t="s">
        <v>826</v>
      </c>
      <c r="AA125" s="27"/>
      <c r="AB125" s="98"/>
      <c r="AC125" s="98"/>
    </row>
    <row r="126" spans="1:29" hidden="1" x14ac:dyDescent="0.3">
      <c r="A126" s="18" t="s">
        <v>820</v>
      </c>
      <c r="B126" s="18" t="s">
        <v>133</v>
      </c>
      <c r="C126" s="18" t="s">
        <v>837</v>
      </c>
      <c r="D126" s="14" t="s">
        <v>653</v>
      </c>
      <c r="E126" s="18" t="s">
        <v>10</v>
      </c>
      <c r="F126" s="14" t="s">
        <v>822</v>
      </c>
      <c r="G126" s="14" t="s">
        <v>518</v>
      </c>
      <c r="H126" s="18" t="s">
        <v>5</v>
      </c>
      <c r="I126" s="14" t="s">
        <v>134</v>
      </c>
      <c r="J126" s="20">
        <v>15</v>
      </c>
      <c r="K126" s="18" t="s">
        <v>627</v>
      </c>
      <c r="L126" s="18"/>
      <c r="M126" s="14">
        <v>1</v>
      </c>
      <c r="N126" s="15">
        <v>1500000</v>
      </c>
      <c r="O126" s="15">
        <f t="shared" si="2"/>
        <v>1500000</v>
      </c>
      <c r="P126" s="15"/>
      <c r="Q126" s="14" t="s">
        <v>520</v>
      </c>
      <c r="R126" s="25">
        <v>45078</v>
      </c>
      <c r="S126" s="34" t="str">
        <f>TEXT(Table1[[#This Row],[End Date]],"MMMM")</f>
        <v>June</v>
      </c>
      <c r="T126" s="34" t="str">
        <f>TEXT(Table1[[#This Row],[End Date]],"YYYY")</f>
        <v>2023</v>
      </c>
      <c r="U126" s="24">
        <f t="shared" ca="1" si="3"/>
        <v>55</v>
      </c>
      <c r="V126" s="14" t="str" cm="1">
        <f t="array" aca="1" ref="V126" ca="1">_xlfn.IFS(Table1[[#This Row],[Agreement Days]]&gt;=0,"Expired",Table1[[#This Row],[Agreement Days]]&gt;=-30,"Expires &lt; 30 Days",Table1[[#This Row],[Agreement Days]]&gt;=-60,"Expires &lt; 60 Days",Table1[[#This Row],[Agreement Days]]&lt;-60,"Valid Contract")</f>
        <v>Expired</v>
      </c>
      <c r="W126" s="18" t="s">
        <v>18</v>
      </c>
      <c r="X126" s="18" t="s">
        <v>824</v>
      </c>
      <c r="Y126" s="35" t="s">
        <v>828</v>
      </c>
      <c r="Z126" s="36" t="s">
        <v>826</v>
      </c>
      <c r="AA126" s="36"/>
      <c r="AB126" s="98"/>
      <c r="AC126" s="98"/>
    </row>
    <row r="127" spans="1:29" hidden="1" x14ac:dyDescent="0.3">
      <c r="A127" s="18" t="s">
        <v>820</v>
      </c>
      <c r="B127" s="18" t="s">
        <v>133</v>
      </c>
      <c r="C127" s="18" t="s">
        <v>838</v>
      </c>
      <c r="D127" s="14" t="s">
        <v>653</v>
      </c>
      <c r="E127" s="18" t="s">
        <v>10</v>
      </c>
      <c r="F127" s="14" t="s">
        <v>822</v>
      </c>
      <c r="G127" s="14" t="s">
        <v>518</v>
      </c>
      <c r="H127" s="18" t="s">
        <v>5</v>
      </c>
      <c r="I127" s="14" t="s">
        <v>134</v>
      </c>
      <c r="J127" s="14">
        <v>20</v>
      </c>
      <c r="K127" s="18" t="s">
        <v>839</v>
      </c>
      <c r="L127" s="18"/>
      <c r="M127" s="14">
        <v>1</v>
      </c>
      <c r="N127" s="15">
        <v>1050000</v>
      </c>
      <c r="O127" s="15">
        <f t="shared" si="2"/>
        <v>1050000</v>
      </c>
      <c r="P127" s="15"/>
      <c r="Q127" s="14" t="s">
        <v>520</v>
      </c>
      <c r="R127" s="25">
        <v>45078</v>
      </c>
      <c r="S127" s="34" t="str">
        <f>TEXT(Table1[[#This Row],[End Date]],"MMMM")</f>
        <v>June</v>
      </c>
      <c r="T127" s="34" t="str">
        <f>TEXT(Table1[[#This Row],[End Date]],"YYYY")</f>
        <v>2023</v>
      </c>
      <c r="U127" s="24">
        <f t="shared" ca="1" si="3"/>
        <v>55</v>
      </c>
      <c r="V127" s="14" t="str" cm="1">
        <f t="array" aca="1" ref="V127" ca="1">_xlfn.IFS(Table1[[#This Row],[Agreement Days]]&gt;=0,"Expired",Table1[[#This Row],[Agreement Days]]&gt;=-30,"Expires &lt; 30 Days",Table1[[#This Row],[Agreement Days]]&gt;=-60,"Expires &lt; 60 Days",Table1[[#This Row],[Agreement Days]]&lt;-60,"Valid Contract")</f>
        <v>Expired</v>
      </c>
      <c r="W127" s="18" t="s">
        <v>18</v>
      </c>
      <c r="X127" s="18" t="s">
        <v>824</v>
      </c>
      <c r="Y127" s="35" t="s">
        <v>825</v>
      </c>
      <c r="Z127" s="36" t="s">
        <v>826</v>
      </c>
      <c r="AA127" s="36"/>
      <c r="AB127" s="98"/>
      <c r="AC127" s="98"/>
    </row>
    <row r="128" spans="1:29" hidden="1" x14ac:dyDescent="0.3">
      <c r="A128" s="18" t="s">
        <v>820</v>
      </c>
      <c r="B128" s="18" t="s">
        <v>133</v>
      </c>
      <c r="C128" s="18" t="s">
        <v>840</v>
      </c>
      <c r="D128" s="14" t="s">
        <v>761</v>
      </c>
      <c r="E128" s="18" t="s">
        <v>10</v>
      </c>
      <c r="F128" s="14" t="s">
        <v>822</v>
      </c>
      <c r="G128" s="14" t="s">
        <v>518</v>
      </c>
      <c r="H128" s="18" t="s">
        <v>5</v>
      </c>
      <c r="I128" s="14" t="s">
        <v>134</v>
      </c>
      <c r="J128" s="14">
        <v>40</v>
      </c>
      <c r="K128" s="18" t="s">
        <v>841</v>
      </c>
      <c r="L128" s="18"/>
      <c r="M128" s="14">
        <v>1</v>
      </c>
      <c r="N128" s="15">
        <f>1744714/1.18</f>
        <v>1478571.1864406781</v>
      </c>
      <c r="O128" s="15">
        <f t="shared" si="2"/>
        <v>1478571.1864406781</v>
      </c>
      <c r="P128" s="15"/>
      <c r="Q128" s="14" t="s">
        <v>520</v>
      </c>
      <c r="R128" s="25">
        <v>45078</v>
      </c>
      <c r="S128" s="34" t="str">
        <f>TEXT(Table1[[#This Row],[End Date]],"MMMM")</f>
        <v>June</v>
      </c>
      <c r="T128" s="34" t="str">
        <f>TEXT(Table1[[#This Row],[End Date]],"YYYY")</f>
        <v>2023</v>
      </c>
      <c r="U128" s="24">
        <f t="shared" ca="1" si="3"/>
        <v>55</v>
      </c>
      <c r="V128" s="14" t="str" cm="1">
        <f t="array" aca="1" ref="V128" ca="1">_xlfn.IFS(Table1[[#This Row],[Agreement Days]]&gt;=0,"Expired",Table1[[#This Row],[Agreement Days]]&gt;=-30,"Expires &lt; 30 Days",Table1[[#This Row],[Agreement Days]]&gt;=-60,"Expires &lt; 60 Days",Table1[[#This Row],[Agreement Days]]&lt;-60,"Valid Contract")</f>
        <v>Expired</v>
      </c>
      <c r="W128" s="18" t="s">
        <v>18</v>
      </c>
      <c r="X128" s="18" t="s">
        <v>824</v>
      </c>
      <c r="Y128" s="35" t="s">
        <v>828</v>
      </c>
      <c r="Z128" s="36" t="s">
        <v>826</v>
      </c>
      <c r="AA128" s="27"/>
      <c r="AB128" s="98"/>
      <c r="AC128" s="98"/>
    </row>
    <row r="129" spans="1:29" s="12" customFormat="1" hidden="1" x14ac:dyDescent="0.3">
      <c r="A129" s="18" t="s">
        <v>820</v>
      </c>
      <c r="B129" s="18" t="s">
        <v>133</v>
      </c>
      <c r="C129" s="18" t="s">
        <v>842</v>
      </c>
      <c r="D129" s="14" t="s">
        <v>653</v>
      </c>
      <c r="E129" s="18" t="s">
        <v>10</v>
      </c>
      <c r="F129" s="14" t="s">
        <v>822</v>
      </c>
      <c r="G129" s="14" t="s">
        <v>518</v>
      </c>
      <c r="H129" s="18" t="s">
        <v>5</v>
      </c>
      <c r="I129" s="14" t="s">
        <v>134</v>
      </c>
      <c r="J129" s="14">
        <v>50</v>
      </c>
      <c r="K129" s="18" t="s">
        <v>843</v>
      </c>
      <c r="L129" s="18"/>
      <c r="M129" s="14">
        <v>1</v>
      </c>
      <c r="N129" s="15">
        <v>1838250</v>
      </c>
      <c r="O129" s="15">
        <f t="shared" si="2"/>
        <v>1838250</v>
      </c>
      <c r="P129" s="15"/>
      <c r="Q129" s="14" t="s">
        <v>520</v>
      </c>
      <c r="R129" s="25">
        <v>45078</v>
      </c>
      <c r="S129" s="34" t="str">
        <f>TEXT(Table1[[#This Row],[End Date]],"MMMM")</f>
        <v>June</v>
      </c>
      <c r="T129" s="34" t="str">
        <f>TEXT(Table1[[#This Row],[End Date]],"YYYY")</f>
        <v>2023</v>
      </c>
      <c r="U129" s="24">
        <f t="shared" ca="1" si="3"/>
        <v>55</v>
      </c>
      <c r="V129" s="14" t="str" cm="1">
        <f t="array" aca="1" ref="V129" ca="1">_xlfn.IFS(Table1[[#This Row],[Agreement Days]]&gt;=0,"Expired",Table1[[#This Row],[Agreement Days]]&gt;=-30,"Expires &lt; 30 Days",Table1[[#This Row],[Agreement Days]]&gt;=-60,"Expires &lt; 60 Days",Table1[[#This Row],[Agreement Days]]&lt;-60,"Valid Contract")</f>
        <v>Expired</v>
      </c>
      <c r="W129" s="18" t="s">
        <v>18</v>
      </c>
      <c r="X129" s="18" t="s">
        <v>824</v>
      </c>
      <c r="Y129" s="35" t="s">
        <v>828</v>
      </c>
      <c r="Z129" s="36" t="s">
        <v>826</v>
      </c>
      <c r="AA129" s="27"/>
      <c r="AB129" s="98"/>
      <c r="AC129" s="98"/>
    </row>
    <row r="130" spans="1:29" s="12" customFormat="1" hidden="1" x14ac:dyDescent="0.3">
      <c r="A130" s="18" t="s">
        <v>820</v>
      </c>
      <c r="B130" s="18" t="s">
        <v>133</v>
      </c>
      <c r="C130" s="18" t="s">
        <v>844</v>
      </c>
      <c r="D130" s="14" t="s">
        <v>771</v>
      </c>
      <c r="E130" s="18" t="s">
        <v>10</v>
      </c>
      <c r="F130" s="14" t="s">
        <v>822</v>
      </c>
      <c r="G130" s="14" t="s">
        <v>518</v>
      </c>
      <c r="H130" s="18" t="s">
        <v>5</v>
      </c>
      <c r="I130" s="14" t="s">
        <v>116</v>
      </c>
      <c r="J130" s="14"/>
      <c r="K130" s="18" t="s">
        <v>533</v>
      </c>
      <c r="L130" s="14">
        <v>84</v>
      </c>
      <c r="M130" s="14">
        <v>1</v>
      </c>
      <c r="N130" s="15">
        <f>7674*1087</f>
        <v>8341638</v>
      </c>
      <c r="O130" s="15">
        <f t="shared" si="2"/>
        <v>8341638</v>
      </c>
      <c r="P130" s="15"/>
      <c r="Q130" s="14" t="s">
        <v>520</v>
      </c>
      <c r="R130" s="25">
        <v>45078</v>
      </c>
      <c r="S130" s="34" t="str">
        <f>TEXT(Table1[[#This Row],[End Date]],"MMMM")</f>
        <v>June</v>
      </c>
      <c r="T130" s="34" t="str">
        <f>TEXT(Table1[[#This Row],[End Date]],"YYYY")</f>
        <v>2023</v>
      </c>
      <c r="U130" s="24">
        <f t="shared" ca="1" si="3"/>
        <v>55</v>
      </c>
      <c r="V130" s="14" t="str" cm="1">
        <f t="array" aca="1" ref="V130" ca="1">_xlfn.IFS(Table1[[#This Row],[Agreement Days]]&gt;=0,"Expired",Table1[[#This Row],[Agreement Days]]&gt;=-30,"Expires &lt; 30 Days",Table1[[#This Row],[Agreement Days]]&gt;=-60,"Expires &lt; 60 Days",Table1[[#This Row],[Agreement Days]]&lt;-60,"Valid Contract")</f>
        <v>Expired</v>
      </c>
      <c r="W130" s="18" t="s">
        <v>18</v>
      </c>
      <c r="X130" s="18" t="s">
        <v>824</v>
      </c>
      <c r="Y130" s="35" t="s">
        <v>828</v>
      </c>
      <c r="Z130" s="36" t="s">
        <v>826</v>
      </c>
      <c r="AA130" s="27"/>
      <c r="AB130" s="98"/>
      <c r="AC130" s="98"/>
    </row>
    <row r="131" spans="1:29" s="12" customFormat="1" hidden="1" x14ac:dyDescent="0.3">
      <c r="A131" s="18" t="s">
        <v>820</v>
      </c>
      <c r="B131" s="18" t="s">
        <v>133</v>
      </c>
      <c r="C131" s="18" t="s">
        <v>544</v>
      </c>
      <c r="D131" s="14" t="s">
        <v>653</v>
      </c>
      <c r="E131" s="18" t="s">
        <v>10</v>
      </c>
      <c r="F131" s="14" t="s">
        <v>822</v>
      </c>
      <c r="G131" s="14" t="s">
        <v>518</v>
      </c>
      <c r="H131" s="18" t="s">
        <v>5</v>
      </c>
      <c r="I131" s="14" t="s">
        <v>115</v>
      </c>
      <c r="J131" s="18"/>
      <c r="K131" s="18" t="s">
        <v>845</v>
      </c>
      <c r="L131" s="18"/>
      <c r="M131" s="14">
        <v>12</v>
      </c>
      <c r="N131" s="15">
        <f>64000/1.18</f>
        <v>54237.288135593226</v>
      </c>
      <c r="O131" s="15">
        <f t="shared" si="2"/>
        <v>650847.45762711868</v>
      </c>
      <c r="P131" s="15"/>
      <c r="Q131" s="14" t="s">
        <v>520</v>
      </c>
      <c r="R131" s="25">
        <v>45078</v>
      </c>
      <c r="S131" s="34" t="str">
        <f>TEXT(Table1[[#This Row],[End Date]],"MMMM")</f>
        <v>June</v>
      </c>
      <c r="T131" s="34" t="str">
        <f>TEXT(Table1[[#This Row],[End Date]],"YYYY")</f>
        <v>2023</v>
      </c>
      <c r="U131" s="24">
        <f t="shared" ca="1" si="3"/>
        <v>55</v>
      </c>
      <c r="V131" s="14" t="str" cm="1">
        <f t="array" aca="1" ref="V131" ca="1">_xlfn.IFS(Table1[[#This Row],[Agreement Days]]&gt;=0,"Expired",Table1[[#This Row],[Agreement Days]]&gt;=-30,"Expires &lt; 30 Days",Table1[[#This Row],[Agreement Days]]&gt;=-60,"Expires &lt; 60 Days",Table1[[#This Row],[Agreement Days]]&lt;-60,"Valid Contract")</f>
        <v>Expired</v>
      </c>
      <c r="W131" s="18" t="s">
        <v>18</v>
      </c>
      <c r="X131" s="18" t="s">
        <v>824</v>
      </c>
      <c r="Y131" s="35" t="s">
        <v>828</v>
      </c>
      <c r="Z131" s="36" t="s">
        <v>826</v>
      </c>
      <c r="AA131" s="27"/>
      <c r="AB131" s="98"/>
      <c r="AC131" s="98"/>
    </row>
    <row r="132" spans="1:29" s="12" customFormat="1" hidden="1" x14ac:dyDescent="0.3">
      <c r="A132" s="18" t="s">
        <v>846</v>
      </c>
      <c r="B132" s="18" t="s">
        <v>112</v>
      </c>
      <c r="C132" s="18" t="s">
        <v>847</v>
      </c>
      <c r="D132" s="14" t="s">
        <v>848</v>
      </c>
      <c r="E132" s="18" t="s">
        <v>10</v>
      </c>
      <c r="F132" s="14" t="s">
        <v>631</v>
      </c>
      <c r="G132" s="14" t="s">
        <v>518</v>
      </c>
      <c r="H132" s="18" t="s">
        <v>5</v>
      </c>
      <c r="I132" s="14" t="s">
        <v>115</v>
      </c>
      <c r="J132" s="18"/>
      <c r="K132" s="18" t="s">
        <v>642</v>
      </c>
      <c r="L132" s="18"/>
      <c r="M132" s="14">
        <v>1</v>
      </c>
      <c r="N132" s="15">
        <v>101694.92</v>
      </c>
      <c r="O132" s="15">
        <f t="shared" si="2"/>
        <v>101694.92</v>
      </c>
      <c r="P132" s="15"/>
      <c r="Q132" s="14" t="s">
        <v>520</v>
      </c>
      <c r="R132" s="25">
        <v>45107</v>
      </c>
      <c r="S132" s="34" t="str">
        <f>TEXT(Table1[[#This Row],[End Date]],"MMMM")</f>
        <v>June</v>
      </c>
      <c r="T132" s="34" t="str">
        <f>TEXT(Table1[[#This Row],[End Date]],"YYYY")</f>
        <v>2023</v>
      </c>
      <c r="U132" s="24">
        <f t="shared" ca="1" si="3"/>
        <v>26</v>
      </c>
      <c r="V132" s="14" t="str" cm="1">
        <f t="array" aca="1" ref="V132" ca="1">_xlfn.IFS(Table1[[#This Row],[Agreement Days]]&gt;=0,"Expired",Table1[[#This Row],[Agreement Days]]&gt;=-30,"Expires &lt; 30 Days",Table1[[#This Row],[Agreement Days]]&gt;=-60,"Expires &lt; 60 Days",Table1[[#This Row],[Agreement Days]]&lt;-60,"Valid Contract")</f>
        <v>Expired</v>
      </c>
      <c r="W132" s="18" t="s">
        <v>21</v>
      </c>
      <c r="X132" s="18" t="s">
        <v>849</v>
      </c>
      <c r="Y132" s="42" t="s">
        <v>850</v>
      </c>
      <c r="Z132" s="27">
        <v>784186537</v>
      </c>
      <c r="AA132" s="27"/>
      <c r="AB132" s="98"/>
      <c r="AC132" s="98"/>
    </row>
    <row r="133" spans="1:29" s="12" customFormat="1" hidden="1" x14ac:dyDescent="0.3">
      <c r="A133" s="18" t="s">
        <v>851</v>
      </c>
      <c r="B133" s="18" t="s">
        <v>260</v>
      </c>
      <c r="C133" s="18" t="s">
        <v>852</v>
      </c>
      <c r="D133" s="14" t="s">
        <v>769</v>
      </c>
      <c r="E133" s="18" t="s">
        <v>9</v>
      </c>
      <c r="F133" s="14" t="s">
        <v>688</v>
      </c>
      <c r="G133" s="14" t="s">
        <v>518</v>
      </c>
      <c r="H133" s="18" t="s">
        <v>5</v>
      </c>
      <c r="I133" s="14" t="s">
        <v>115</v>
      </c>
      <c r="J133" s="18"/>
      <c r="K133" s="18" t="s">
        <v>573</v>
      </c>
      <c r="L133" s="18"/>
      <c r="M133" s="14">
        <v>11</v>
      </c>
      <c r="N133" s="15">
        <v>19491.53</v>
      </c>
      <c r="O133" s="15">
        <f t="shared" ref="O133:O196" si="6">N133*M133</f>
        <v>214406.83</v>
      </c>
      <c r="P133" s="15"/>
      <c r="Q133" s="14" t="s">
        <v>520</v>
      </c>
      <c r="R133" s="25">
        <v>46295</v>
      </c>
      <c r="S133" s="34" t="str">
        <f>TEXT(Table1[[#This Row],[End Date]],"MMMM")</f>
        <v>September</v>
      </c>
      <c r="T133" s="34" t="str">
        <f>TEXT(Table1[[#This Row],[End Date]],"YYYY")</f>
        <v>2026</v>
      </c>
      <c r="U133" s="24">
        <f t="shared" ref="U133:U196" ca="1" si="7">TODAY()-R133</f>
        <v>-1162</v>
      </c>
      <c r="V133" s="14" t="str" cm="1">
        <f t="array" aca="1" ref="V133" ca="1">_xlfn.IFS(Table1[[#This Row],[Agreement Days]]&gt;=0,"Expired",Table1[[#This Row],[Agreement Days]]&gt;=-30,"Expires &lt; 30 Days",Table1[[#This Row],[Agreement Days]]&gt;=-60,"Expires &lt; 60 Days",Table1[[#This Row],[Agreement Days]]&lt;-60,"Valid Contract")</f>
        <v>Valid Contract</v>
      </c>
      <c r="W133" s="18" t="s">
        <v>21</v>
      </c>
      <c r="X133" s="18" t="s">
        <v>853</v>
      </c>
      <c r="Y133" s="42" t="s">
        <v>854</v>
      </c>
      <c r="Z133" s="27">
        <v>788823232</v>
      </c>
      <c r="AA133" s="27"/>
      <c r="AB133" s="98"/>
      <c r="AC133" s="98"/>
    </row>
    <row r="134" spans="1:29" s="12" customFormat="1" hidden="1" x14ac:dyDescent="0.3">
      <c r="A134" s="18" t="s">
        <v>855</v>
      </c>
      <c r="B134" s="18" t="s">
        <v>53</v>
      </c>
      <c r="C134" s="18" t="s">
        <v>53</v>
      </c>
      <c r="D134" s="14" t="s">
        <v>542</v>
      </c>
      <c r="E134" s="18" t="s">
        <v>9</v>
      </c>
      <c r="F134" s="20" t="s">
        <v>631</v>
      </c>
      <c r="G134" s="20" t="s">
        <v>518</v>
      </c>
      <c r="H134" s="18" t="s">
        <v>5</v>
      </c>
      <c r="I134" s="14" t="s">
        <v>117</v>
      </c>
      <c r="J134" s="14">
        <v>10</v>
      </c>
      <c r="K134" s="14" t="s">
        <v>856</v>
      </c>
      <c r="L134" s="14"/>
      <c r="M134" s="14">
        <v>1</v>
      </c>
      <c r="N134" s="15">
        <v>510000</v>
      </c>
      <c r="O134" s="15">
        <f t="shared" si="6"/>
        <v>510000</v>
      </c>
      <c r="P134" s="15"/>
      <c r="Q134" s="14" t="s">
        <v>857</v>
      </c>
      <c r="R134" s="21">
        <v>45089</v>
      </c>
      <c r="S134" s="22" t="str">
        <f>TEXT(Table1[[#This Row],[End Date]],"MMMM")</f>
        <v>June</v>
      </c>
      <c r="T134" s="23" t="str">
        <f>TEXT(Table1[[#This Row],[End Date]],"YYYY")</f>
        <v>2023</v>
      </c>
      <c r="U134" s="24">
        <f t="shared" ca="1" si="7"/>
        <v>44</v>
      </c>
      <c r="V134" s="14" t="str" cm="1">
        <f t="array" aca="1" ref="V134" ca="1">_xlfn.IFS(Table1[[#This Row],[Agreement Days]]&gt;=0,"Expired",Table1[[#This Row],[Agreement Days]]&gt;=-30,"Expires &lt; 30 Days",Table1[[#This Row],[Agreement Days]]&gt;=-60,"Expires &lt; 60 Days",Table1[[#This Row],[Agreement Days]]&lt;-60,"Valid Contract")</f>
        <v>Expired</v>
      </c>
      <c r="W134" s="18" t="s">
        <v>21</v>
      </c>
      <c r="X134" s="14" t="s">
        <v>858</v>
      </c>
      <c r="Y134" s="45" t="s">
        <v>859</v>
      </c>
      <c r="Z134" s="54">
        <v>788825878</v>
      </c>
      <c r="AA134" s="19"/>
      <c r="AB134" s="98"/>
      <c r="AC134" s="98"/>
    </row>
    <row r="135" spans="1:29" s="12" customFormat="1" hidden="1" x14ac:dyDescent="0.3">
      <c r="A135" s="18" t="s">
        <v>855</v>
      </c>
      <c r="B135" s="18" t="s">
        <v>49</v>
      </c>
      <c r="C135" s="18" t="s">
        <v>49</v>
      </c>
      <c r="D135" s="14" t="s">
        <v>542</v>
      </c>
      <c r="E135" s="18" t="s">
        <v>9</v>
      </c>
      <c r="F135" s="20" t="s">
        <v>631</v>
      </c>
      <c r="G135" s="20" t="s">
        <v>518</v>
      </c>
      <c r="H135" s="18" t="s">
        <v>5</v>
      </c>
      <c r="I135" s="14" t="s">
        <v>117</v>
      </c>
      <c r="J135" s="14">
        <v>20</v>
      </c>
      <c r="K135" s="14" t="s">
        <v>860</v>
      </c>
      <c r="L135" s="14"/>
      <c r="M135" s="14">
        <v>1</v>
      </c>
      <c r="N135" s="15">
        <v>900000</v>
      </c>
      <c r="O135" s="15">
        <f t="shared" si="6"/>
        <v>900000</v>
      </c>
      <c r="P135" s="15"/>
      <c r="Q135" s="14" t="s">
        <v>857</v>
      </c>
      <c r="R135" s="21">
        <v>45089</v>
      </c>
      <c r="S135" s="22" t="str">
        <f>TEXT(Table1[[#This Row],[End Date]],"MMMM")</f>
        <v>June</v>
      </c>
      <c r="T135" s="23" t="str">
        <f>TEXT(Table1[[#This Row],[End Date]],"YYYY")</f>
        <v>2023</v>
      </c>
      <c r="U135" s="24">
        <f t="shared" ca="1" si="7"/>
        <v>44</v>
      </c>
      <c r="V135" s="14" t="str" cm="1">
        <f t="array" aca="1" ref="V135" ca="1">_xlfn.IFS(Table1[[#This Row],[Agreement Days]]&gt;=0,"Expired",Table1[[#This Row],[Agreement Days]]&gt;=-30,"Expires &lt; 30 Days",Table1[[#This Row],[Agreement Days]]&gt;=-60,"Expires &lt; 60 Days",Table1[[#This Row],[Agreement Days]]&lt;-60,"Valid Contract")</f>
        <v>Expired</v>
      </c>
      <c r="W135" s="18" t="s">
        <v>21</v>
      </c>
      <c r="X135" s="14" t="s">
        <v>858</v>
      </c>
      <c r="Y135" s="45" t="s">
        <v>859</v>
      </c>
      <c r="Z135" s="54">
        <v>788825878</v>
      </c>
      <c r="AA135" s="19"/>
      <c r="AB135" s="98"/>
      <c r="AC135" s="98"/>
    </row>
    <row r="136" spans="1:29" s="12" customFormat="1" hidden="1" x14ac:dyDescent="0.3">
      <c r="A136" s="18" t="s">
        <v>846</v>
      </c>
      <c r="B136" s="18" t="s">
        <v>112</v>
      </c>
      <c r="C136" s="18" t="s">
        <v>861</v>
      </c>
      <c r="D136" s="14" t="s">
        <v>848</v>
      </c>
      <c r="E136" s="18" t="s">
        <v>10</v>
      </c>
      <c r="F136" s="14" t="s">
        <v>688</v>
      </c>
      <c r="G136" s="14" t="s">
        <v>518</v>
      </c>
      <c r="H136" s="18" t="s">
        <v>5</v>
      </c>
      <c r="I136" s="14" t="s">
        <v>115</v>
      </c>
      <c r="J136" s="18"/>
      <c r="K136" s="18" t="s">
        <v>642</v>
      </c>
      <c r="L136" s="18"/>
      <c r="M136" s="14">
        <v>1</v>
      </c>
      <c r="N136" s="15">
        <v>101694.92</v>
      </c>
      <c r="O136" s="15">
        <f t="shared" si="6"/>
        <v>101694.92</v>
      </c>
      <c r="P136" s="15"/>
      <c r="Q136" s="14" t="s">
        <v>520</v>
      </c>
      <c r="R136" s="25">
        <v>45098</v>
      </c>
      <c r="S136" s="34" t="str">
        <f>TEXT(Table1[[#This Row],[End Date]],"MMMM")</f>
        <v>June</v>
      </c>
      <c r="T136" s="34" t="str">
        <f>TEXT(Table1[[#This Row],[End Date]],"YYYY")</f>
        <v>2023</v>
      </c>
      <c r="U136" s="24">
        <f t="shared" ca="1" si="7"/>
        <v>35</v>
      </c>
      <c r="V136" s="14" t="str" cm="1">
        <f t="array" aca="1" ref="V136" ca="1">_xlfn.IFS(Table1[[#This Row],[Agreement Days]]&gt;=0,"Expired",Table1[[#This Row],[Agreement Days]]&gt;=-30,"Expires &lt; 30 Days",Table1[[#This Row],[Agreement Days]]&gt;=-60,"Expires &lt; 60 Days",Table1[[#This Row],[Agreement Days]]&lt;-60,"Valid Contract")</f>
        <v>Expired</v>
      </c>
      <c r="W136" s="18" t="s">
        <v>21</v>
      </c>
      <c r="X136" s="18" t="s">
        <v>849</v>
      </c>
      <c r="Y136" s="42" t="s">
        <v>850</v>
      </c>
      <c r="Z136" s="27">
        <v>784186537</v>
      </c>
      <c r="AA136" s="27"/>
      <c r="AB136" s="98"/>
      <c r="AC136" s="98"/>
    </row>
    <row r="137" spans="1:29" s="12" customFormat="1" hidden="1" x14ac:dyDescent="0.3">
      <c r="A137" s="18" t="s">
        <v>862</v>
      </c>
      <c r="B137" s="18" t="s">
        <v>217</v>
      </c>
      <c r="C137" s="18" t="s">
        <v>863</v>
      </c>
      <c r="D137" s="14" t="s">
        <v>532</v>
      </c>
      <c r="E137" s="18" t="s">
        <v>9</v>
      </c>
      <c r="F137" s="14" t="s">
        <v>601</v>
      </c>
      <c r="G137" s="14" t="s">
        <v>518</v>
      </c>
      <c r="H137" s="18" t="s">
        <v>5</v>
      </c>
      <c r="I137" s="14" t="s">
        <v>117</v>
      </c>
      <c r="J137" s="14">
        <v>1</v>
      </c>
      <c r="K137" s="14" t="s">
        <v>864</v>
      </c>
      <c r="L137" s="14"/>
      <c r="M137" s="14">
        <v>1</v>
      </c>
      <c r="N137" s="15">
        <v>90000</v>
      </c>
      <c r="O137" s="15">
        <f t="shared" si="6"/>
        <v>90000</v>
      </c>
      <c r="P137" s="15"/>
      <c r="Q137" s="14" t="s">
        <v>520</v>
      </c>
      <c r="R137" s="21">
        <v>45104</v>
      </c>
      <c r="S137" s="22" t="str">
        <f>TEXT(Table1[[#This Row],[End Date]],"MMMM")</f>
        <v>June</v>
      </c>
      <c r="T137" s="23" t="str">
        <f>TEXT(Table1[[#This Row],[End Date]],"YYYY")</f>
        <v>2023</v>
      </c>
      <c r="U137" s="24">
        <f t="shared" ca="1" si="7"/>
        <v>29</v>
      </c>
      <c r="V137" s="14" t="str" cm="1">
        <f t="array" aca="1" ref="V137" ca="1">_xlfn.IFS(Table1[[#This Row],[Agreement Days]]&gt;=0,"Expired",Table1[[#This Row],[Agreement Days]]&gt;=-30,"Expires &lt; 30 Days",Table1[[#This Row],[Agreement Days]]&gt;=-60,"Expires &lt; 60 Days",Table1[[#This Row],[Agreement Days]]&lt;-60,"Valid Contract")</f>
        <v>Expired</v>
      </c>
      <c r="W137" s="14" t="s">
        <v>19</v>
      </c>
      <c r="X137" s="14" t="s">
        <v>865</v>
      </c>
      <c r="Y137" s="14" t="s">
        <v>866</v>
      </c>
      <c r="Z137" s="17">
        <v>727002390</v>
      </c>
      <c r="AA137" s="17"/>
      <c r="AB137" s="98"/>
      <c r="AC137" s="98"/>
    </row>
    <row r="138" spans="1:29" s="12" customFormat="1" hidden="1" x14ac:dyDescent="0.3">
      <c r="A138" s="18" t="s">
        <v>862</v>
      </c>
      <c r="B138" s="18" t="s">
        <v>217</v>
      </c>
      <c r="C138" s="18" t="s">
        <v>867</v>
      </c>
      <c r="D138" s="14" t="s">
        <v>808</v>
      </c>
      <c r="E138" s="18" t="s">
        <v>9</v>
      </c>
      <c r="F138" s="14" t="s">
        <v>601</v>
      </c>
      <c r="G138" s="14" t="s">
        <v>518</v>
      </c>
      <c r="H138" s="18" t="s">
        <v>5</v>
      </c>
      <c r="I138" s="14" t="s">
        <v>117</v>
      </c>
      <c r="J138" s="14">
        <v>1</v>
      </c>
      <c r="K138" s="14" t="s">
        <v>868</v>
      </c>
      <c r="L138" s="14"/>
      <c r="M138" s="14">
        <v>1</v>
      </c>
      <c r="N138" s="15">
        <v>90000</v>
      </c>
      <c r="O138" s="15">
        <f t="shared" si="6"/>
        <v>90000</v>
      </c>
      <c r="P138" s="15"/>
      <c r="Q138" s="14" t="s">
        <v>520</v>
      </c>
      <c r="R138" s="21">
        <v>45104</v>
      </c>
      <c r="S138" s="22" t="str">
        <f>TEXT(Table1[[#This Row],[End Date]],"MMMM")</f>
        <v>June</v>
      </c>
      <c r="T138" s="23" t="str">
        <f>TEXT(Table1[[#This Row],[End Date]],"YYYY")</f>
        <v>2023</v>
      </c>
      <c r="U138" s="24">
        <f t="shared" ca="1" si="7"/>
        <v>29</v>
      </c>
      <c r="V138" s="14" t="str" cm="1">
        <f t="array" aca="1" ref="V138" ca="1">_xlfn.IFS(Table1[[#This Row],[Agreement Days]]&gt;=0,"Expired",Table1[[#This Row],[Agreement Days]]&gt;=-30,"Expires &lt; 30 Days",Table1[[#This Row],[Agreement Days]]&gt;=-60,"Expires &lt; 60 Days",Table1[[#This Row],[Agreement Days]]&lt;-60,"Valid Contract")</f>
        <v>Expired</v>
      </c>
      <c r="W138" s="14" t="s">
        <v>19</v>
      </c>
      <c r="X138" s="14" t="s">
        <v>865</v>
      </c>
      <c r="Y138" s="14" t="s">
        <v>866</v>
      </c>
      <c r="Z138" s="17">
        <v>727002390</v>
      </c>
      <c r="AA138" s="17"/>
      <c r="AB138" s="98"/>
      <c r="AC138" s="98"/>
    </row>
    <row r="139" spans="1:29" s="12" customFormat="1" hidden="1" x14ac:dyDescent="0.3">
      <c r="A139" s="18" t="s">
        <v>862</v>
      </c>
      <c r="B139" s="18" t="s">
        <v>217</v>
      </c>
      <c r="C139" s="18" t="s">
        <v>869</v>
      </c>
      <c r="D139" s="14" t="s">
        <v>616</v>
      </c>
      <c r="E139" s="18" t="s">
        <v>9</v>
      </c>
      <c r="F139" s="14" t="s">
        <v>601</v>
      </c>
      <c r="G139" s="14" t="s">
        <v>518</v>
      </c>
      <c r="H139" s="18" t="s">
        <v>5</v>
      </c>
      <c r="I139" s="14" t="s">
        <v>117</v>
      </c>
      <c r="J139" s="14">
        <v>1</v>
      </c>
      <c r="K139" s="14" t="s">
        <v>868</v>
      </c>
      <c r="L139" s="14"/>
      <c r="M139" s="14">
        <v>1</v>
      </c>
      <c r="N139" s="15">
        <v>90000</v>
      </c>
      <c r="O139" s="15">
        <f t="shared" si="6"/>
        <v>90000</v>
      </c>
      <c r="P139" s="15"/>
      <c r="Q139" s="14" t="s">
        <v>520</v>
      </c>
      <c r="R139" s="21">
        <v>45104</v>
      </c>
      <c r="S139" s="22" t="str">
        <f>TEXT(Table1[[#This Row],[End Date]],"MMMM")</f>
        <v>June</v>
      </c>
      <c r="T139" s="23" t="str">
        <f>TEXT(Table1[[#This Row],[End Date]],"YYYY")</f>
        <v>2023</v>
      </c>
      <c r="U139" s="24">
        <f t="shared" ca="1" si="7"/>
        <v>29</v>
      </c>
      <c r="V139" s="14" t="str" cm="1">
        <f t="array" aca="1" ref="V139" ca="1">_xlfn.IFS(Table1[[#This Row],[Agreement Days]]&gt;=0,"Expired",Table1[[#This Row],[Agreement Days]]&gt;=-30,"Expires &lt; 30 Days",Table1[[#This Row],[Agreement Days]]&gt;=-60,"Expires &lt; 60 Days",Table1[[#This Row],[Agreement Days]]&lt;-60,"Valid Contract")</f>
        <v>Expired</v>
      </c>
      <c r="W139" s="14" t="s">
        <v>19</v>
      </c>
      <c r="X139" s="14" t="s">
        <v>865</v>
      </c>
      <c r="Y139" s="14" t="s">
        <v>866</v>
      </c>
      <c r="Z139" s="17">
        <v>727002390</v>
      </c>
      <c r="AA139" s="17"/>
      <c r="AB139" s="98"/>
      <c r="AC139" s="98"/>
    </row>
    <row r="140" spans="1:29" s="12" customFormat="1" hidden="1" x14ac:dyDescent="0.3">
      <c r="A140" s="18" t="s">
        <v>862</v>
      </c>
      <c r="B140" s="18" t="s">
        <v>217</v>
      </c>
      <c r="C140" s="18" t="s">
        <v>870</v>
      </c>
      <c r="D140" s="14" t="s">
        <v>761</v>
      </c>
      <c r="E140" s="18" t="s">
        <v>9</v>
      </c>
      <c r="F140" s="14" t="s">
        <v>601</v>
      </c>
      <c r="G140" s="14" t="s">
        <v>518</v>
      </c>
      <c r="H140" s="18" t="s">
        <v>5</v>
      </c>
      <c r="I140" s="14" t="s">
        <v>117</v>
      </c>
      <c r="J140" s="14">
        <v>1</v>
      </c>
      <c r="K140" s="14" t="s">
        <v>868</v>
      </c>
      <c r="L140" s="14"/>
      <c r="M140" s="14">
        <v>1</v>
      </c>
      <c r="N140" s="15">
        <v>90000</v>
      </c>
      <c r="O140" s="15">
        <f t="shared" si="6"/>
        <v>90000</v>
      </c>
      <c r="P140" s="15"/>
      <c r="Q140" s="14" t="s">
        <v>520</v>
      </c>
      <c r="R140" s="21">
        <v>45104</v>
      </c>
      <c r="S140" s="22" t="str">
        <f>TEXT(Table1[[#This Row],[End Date]],"MMMM")</f>
        <v>June</v>
      </c>
      <c r="T140" s="23" t="str">
        <f>TEXT(Table1[[#This Row],[End Date]],"YYYY")</f>
        <v>2023</v>
      </c>
      <c r="U140" s="24">
        <f t="shared" ca="1" si="7"/>
        <v>29</v>
      </c>
      <c r="V140" s="14" t="str" cm="1">
        <f t="array" aca="1" ref="V140" ca="1">_xlfn.IFS(Table1[[#This Row],[Agreement Days]]&gt;=0,"Expired",Table1[[#This Row],[Agreement Days]]&gt;=-30,"Expires &lt; 30 Days",Table1[[#This Row],[Agreement Days]]&gt;=-60,"Expires &lt; 60 Days",Table1[[#This Row],[Agreement Days]]&lt;-60,"Valid Contract")</f>
        <v>Expired</v>
      </c>
      <c r="W140" s="14" t="s">
        <v>19</v>
      </c>
      <c r="X140" s="14" t="s">
        <v>865</v>
      </c>
      <c r="Y140" s="14" t="s">
        <v>866</v>
      </c>
      <c r="Z140" s="17">
        <v>727002390</v>
      </c>
      <c r="AA140" s="17"/>
      <c r="AB140" s="98"/>
      <c r="AC140" s="98"/>
    </row>
    <row r="141" spans="1:29" s="12" customFormat="1" hidden="1" x14ac:dyDescent="0.3">
      <c r="A141" s="18" t="s">
        <v>862</v>
      </c>
      <c r="B141" s="18" t="s">
        <v>217</v>
      </c>
      <c r="C141" s="18" t="s">
        <v>871</v>
      </c>
      <c r="D141" s="14" t="s">
        <v>619</v>
      </c>
      <c r="E141" s="18" t="s">
        <v>9</v>
      </c>
      <c r="F141" s="14" t="s">
        <v>601</v>
      </c>
      <c r="G141" s="14" t="s">
        <v>518</v>
      </c>
      <c r="H141" s="18" t="s">
        <v>5</v>
      </c>
      <c r="I141" s="14" t="s">
        <v>117</v>
      </c>
      <c r="J141" s="14">
        <v>1</v>
      </c>
      <c r="K141" s="14" t="s">
        <v>868</v>
      </c>
      <c r="L141" s="14"/>
      <c r="M141" s="14">
        <v>1</v>
      </c>
      <c r="N141" s="15">
        <v>90000</v>
      </c>
      <c r="O141" s="15">
        <f t="shared" si="6"/>
        <v>90000</v>
      </c>
      <c r="P141" s="15"/>
      <c r="Q141" s="14" t="s">
        <v>520</v>
      </c>
      <c r="R141" s="21">
        <v>45104</v>
      </c>
      <c r="S141" s="22" t="str">
        <f>TEXT(Table1[[#This Row],[End Date]],"MMMM")</f>
        <v>June</v>
      </c>
      <c r="T141" s="23" t="str">
        <f>TEXT(Table1[[#This Row],[End Date]],"YYYY")</f>
        <v>2023</v>
      </c>
      <c r="U141" s="24">
        <f t="shared" ca="1" si="7"/>
        <v>29</v>
      </c>
      <c r="V141" s="14" t="str" cm="1">
        <f t="array" aca="1" ref="V141" ca="1">_xlfn.IFS(Table1[[#This Row],[Agreement Days]]&gt;=0,"Expired",Table1[[#This Row],[Agreement Days]]&gt;=-30,"Expires &lt; 30 Days",Table1[[#This Row],[Agreement Days]]&gt;=-60,"Expires &lt; 60 Days",Table1[[#This Row],[Agreement Days]]&lt;-60,"Valid Contract")</f>
        <v>Expired</v>
      </c>
      <c r="W141" s="14" t="s">
        <v>19</v>
      </c>
      <c r="X141" s="14" t="s">
        <v>865</v>
      </c>
      <c r="Y141" s="14" t="s">
        <v>866</v>
      </c>
      <c r="Z141" s="17">
        <v>727002390</v>
      </c>
      <c r="AA141" s="17"/>
      <c r="AB141" s="116"/>
      <c r="AC141" s="116"/>
    </row>
    <row r="142" spans="1:29" s="12" customFormat="1" hidden="1" x14ac:dyDescent="0.3">
      <c r="A142" s="18" t="s">
        <v>862</v>
      </c>
      <c r="B142" s="18" t="s">
        <v>217</v>
      </c>
      <c r="C142" s="18" t="s">
        <v>872</v>
      </c>
      <c r="D142" s="14" t="s">
        <v>873</v>
      </c>
      <c r="E142" s="18" t="s">
        <v>9</v>
      </c>
      <c r="F142" s="14" t="s">
        <v>601</v>
      </c>
      <c r="G142" s="14" t="s">
        <v>518</v>
      </c>
      <c r="H142" s="18" t="s">
        <v>5</v>
      </c>
      <c r="I142" s="14" t="s">
        <v>117</v>
      </c>
      <c r="J142" s="14">
        <v>1</v>
      </c>
      <c r="K142" s="14" t="s">
        <v>868</v>
      </c>
      <c r="L142" s="14"/>
      <c r="M142" s="14">
        <v>1</v>
      </c>
      <c r="N142" s="15">
        <v>90000</v>
      </c>
      <c r="O142" s="15">
        <f t="shared" si="6"/>
        <v>90000</v>
      </c>
      <c r="P142" s="15"/>
      <c r="Q142" s="14" t="s">
        <v>520</v>
      </c>
      <c r="R142" s="21">
        <v>45104</v>
      </c>
      <c r="S142" s="22" t="str">
        <f>TEXT(Table1[[#This Row],[End Date]],"MMMM")</f>
        <v>June</v>
      </c>
      <c r="T142" s="23" t="str">
        <f>TEXT(Table1[[#This Row],[End Date]],"YYYY")</f>
        <v>2023</v>
      </c>
      <c r="U142" s="24">
        <f t="shared" ca="1" si="7"/>
        <v>29</v>
      </c>
      <c r="V142" s="14" t="str" cm="1">
        <f t="array" aca="1" ref="V142" ca="1">_xlfn.IFS(Table1[[#This Row],[Agreement Days]]&gt;=0,"Expired",Table1[[#This Row],[Agreement Days]]&gt;=-30,"Expires &lt; 30 Days",Table1[[#This Row],[Agreement Days]]&gt;=-60,"Expires &lt; 60 Days",Table1[[#This Row],[Agreement Days]]&lt;-60,"Valid Contract")</f>
        <v>Expired</v>
      </c>
      <c r="W142" s="14" t="s">
        <v>19</v>
      </c>
      <c r="X142" s="14" t="s">
        <v>865</v>
      </c>
      <c r="Y142" s="14" t="s">
        <v>866</v>
      </c>
      <c r="Z142" s="17">
        <v>727002390</v>
      </c>
      <c r="AA142" s="17"/>
      <c r="AB142" s="116"/>
      <c r="AC142" s="116"/>
    </row>
    <row r="143" spans="1:29" s="12" customFormat="1" hidden="1" x14ac:dyDescent="0.3">
      <c r="A143" s="18" t="s">
        <v>862</v>
      </c>
      <c r="B143" s="18" t="s">
        <v>217</v>
      </c>
      <c r="C143" s="18" t="s">
        <v>874</v>
      </c>
      <c r="D143" s="14" t="s">
        <v>875</v>
      </c>
      <c r="E143" s="18" t="s">
        <v>9</v>
      </c>
      <c r="F143" s="14" t="s">
        <v>601</v>
      </c>
      <c r="G143" s="14" t="s">
        <v>518</v>
      </c>
      <c r="H143" s="18" t="s">
        <v>5</v>
      </c>
      <c r="I143" s="14" t="s">
        <v>117</v>
      </c>
      <c r="J143" s="14">
        <v>1</v>
      </c>
      <c r="K143" s="14" t="s">
        <v>868</v>
      </c>
      <c r="L143" s="14"/>
      <c r="M143" s="14">
        <v>1</v>
      </c>
      <c r="N143" s="15">
        <v>90000</v>
      </c>
      <c r="O143" s="15">
        <f t="shared" si="6"/>
        <v>90000</v>
      </c>
      <c r="P143" s="15"/>
      <c r="Q143" s="14" t="s">
        <v>520</v>
      </c>
      <c r="R143" s="21">
        <v>45104</v>
      </c>
      <c r="S143" s="22" t="str">
        <f>TEXT(Table1[[#This Row],[End Date]],"MMMM")</f>
        <v>June</v>
      </c>
      <c r="T143" s="23" t="str">
        <f>TEXT(Table1[[#This Row],[End Date]],"YYYY")</f>
        <v>2023</v>
      </c>
      <c r="U143" s="24">
        <f t="shared" ca="1" si="7"/>
        <v>29</v>
      </c>
      <c r="V143" s="14" t="str" cm="1">
        <f t="array" aca="1" ref="V143" ca="1">_xlfn.IFS(Table1[[#This Row],[Agreement Days]]&gt;=0,"Expired",Table1[[#This Row],[Agreement Days]]&gt;=-30,"Expires &lt; 30 Days",Table1[[#This Row],[Agreement Days]]&gt;=-60,"Expires &lt; 60 Days",Table1[[#This Row],[Agreement Days]]&lt;-60,"Valid Contract")</f>
        <v>Expired</v>
      </c>
      <c r="W143" s="14" t="s">
        <v>19</v>
      </c>
      <c r="X143" s="14" t="s">
        <v>865</v>
      </c>
      <c r="Y143" s="14" t="s">
        <v>866</v>
      </c>
      <c r="Z143" s="17">
        <v>727002390</v>
      </c>
      <c r="AA143" s="17"/>
      <c r="AB143" s="116"/>
      <c r="AC143" s="116"/>
    </row>
    <row r="144" spans="1:29" s="12" customFormat="1" hidden="1" x14ac:dyDescent="0.3">
      <c r="A144" s="18" t="s">
        <v>862</v>
      </c>
      <c r="B144" s="18" t="s">
        <v>217</v>
      </c>
      <c r="C144" s="18" t="s">
        <v>876</v>
      </c>
      <c r="D144" s="14" t="s">
        <v>769</v>
      </c>
      <c r="E144" s="18" t="s">
        <v>9</v>
      </c>
      <c r="F144" s="14" t="s">
        <v>601</v>
      </c>
      <c r="G144" s="14" t="s">
        <v>518</v>
      </c>
      <c r="H144" s="18" t="s">
        <v>5</v>
      </c>
      <c r="I144" s="14" t="s">
        <v>117</v>
      </c>
      <c r="J144" s="14">
        <v>1</v>
      </c>
      <c r="K144" s="14" t="s">
        <v>868</v>
      </c>
      <c r="L144" s="14"/>
      <c r="M144" s="14">
        <v>1</v>
      </c>
      <c r="N144" s="15">
        <v>90000</v>
      </c>
      <c r="O144" s="15">
        <f t="shared" si="6"/>
        <v>90000</v>
      </c>
      <c r="P144" s="15"/>
      <c r="Q144" s="14" t="s">
        <v>520</v>
      </c>
      <c r="R144" s="21">
        <v>45104</v>
      </c>
      <c r="S144" s="22" t="str">
        <f>TEXT(Table1[[#This Row],[End Date]],"MMMM")</f>
        <v>June</v>
      </c>
      <c r="T144" s="23" t="str">
        <f>TEXT(Table1[[#This Row],[End Date]],"YYYY")</f>
        <v>2023</v>
      </c>
      <c r="U144" s="24">
        <f t="shared" ca="1" si="7"/>
        <v>29</v>
      </c>
      <c r="V144" s="14" t="str" cm="1">
        <f t="array" aca="1" ref="V144" ca="1">_xlfn.IFS(Table1[[#This Row],[Agreement Days]]&gt;=0,"Expired",Table1[[#This Row],[Agreement Days]]&gt;=-30,"Expires &lt; 30 Days",Table1[[#This Row],[Agreement Days]]&gt;=-60,"Expires &lt; 60 Days",Table1[[#This Row],[Agreement Days]]&lt;-60,"Valid Contract")</f>
        <v>Expired</v>
      </c>
      <c r="W144" s="14" t="s">
        <v>19</v>
      </c>
      <c r="X144" s="14" t="s">
        <v>865</v>
      </c>
      <c r="Y144" s="14" t="s">
        <v>866</v>
      </c>
      <c r="Z144" s="17">
        <v>727002390</v>
      </c>
      <c r="AA144" s="17"/>
      <c r="AB144" s="116"/>
      <c r="AC144" s="116"/>
    </row>
    <row r="145" spans="1:29" s="12" customFormat="1" hidden="1" x14ac:dyDescent="0.3">
      <c r="A145" s="18" t="s">
        <v>862</v>
      </c>
      <c r="B145" s="18" t="s">
        <v>217</v>
      </c>
      <c r="C145" s="18" t="s">
        <v>877</v>
      </c>
      <c r="D145" s="14" t="s">
        <v>579</v>
      </c>
      <c r="E145" s="18" t="s">
        <v>9</v>
      </c>
      <c r="F145" s="14" t="s">
        <v>601</v>
      </c>
      <c r="G145" s="14" t="s">
        <v>518</v>
      </c>
      <c r="H145" s="18" t="s">
        <v>5</v>
      </c>
      <c r="I145" s="14" t="s">
        <v>117</v>
      </c>
      <c r="J145" s="14">
        <v>1</v>
      </c>
      <c r="K145" s="14" t="s">
        <v>868</v>
      </c>
      <c r="L145" s="14"/>
      <c r="M145" s="14">
        <v>1</v>
      </c>
      <c r="N145" s="15">
        <v>90000</v>
      </c>
      <c r="O145" s="15">
        <f t="shared" si="6"/>
        <v>90000</v>
      </c>
      <c r="P145" s="15"/>
      <c r="Q145" s="14" t="s">
        <v>520</v>
      </c>
      <c r="R145" s="21">
        <v>45104</v>
      </c>
      <c r="S145" s="22" t="str">
        <f>TEXT(Table1[[#This Row],[End Date]],"MMMM")</f>
        <v>June</v>
      </c>
      <c r="T145" s="23" t="str">
        <f>TEXT(Table1[[#This Row],[End Date]],"YYYY")</f>
        <v>2023</v>
      </c>
      <c r="U145" s="24">
        <f t="shared" ca="1" si="7"/>
        <v>29</v>
      </c>
      <c r="V145" s="14" t="str" cm="1">
        <f t="array" aca="1" ref="V145" ca="1">_xlfn.IFS(Table1[[#This Row],[Agreement Days]]&gt;=0,"Expired",Table1[[#This Row],[Agreement Days]]&gt;=-30,"Expires &lt; 30 Days",Table1[[#This Row],[Agreement Days]]&gt;=-60,"Expires &lt; 60 Days",Table1[[#This Row],[Agreement Days]]&lt;-60,"Valid Contract")</f>
        <v>Expired</v>
      </c>
      <c r="W145" s="14" t="s">
        <v>19</v>
      </c>
      <c r="X145" s="14" t="s">
        <v>865</v>
      </c>
      <c r="Y145" s="14" t="s">
        <v>866</v>
      </c>
      <c r="Z145" s="17">
        <v>727002390</v>
      </c>
      <c r="AA145" s="17"/>
      <c r="AB145" s="116"/>
      <c r="AC145" s="116"/>
    </row>
    <row r="146" spans="1:29" s="12" customFormat="1" hidden="1" x14ac:dyDescent="0.3">
      <c r="A146" s="18" t="s">
        <v>862</v>
      </c>
      <c r="B146" s="18" t="s">
        <v>217</v>
      </c>
      <c r="C146" s="18" t="s">
        <v>878</v>
      </c>
      <c r="D146" s="14" t="s">
        <v>739</v>
      </c>
      <c r="E146" s="18" t="s">
        <v>9</v>
      </c>
      <c r="F146" s="14" t="s">
        <v>601</v>
      </c>
      <c r="G146" s="14" t="s">
        <v>518</v>
      </c>
      <c r="H146" s="18" t="s">
        <v>5</v>
      </c>
      <c r="I146" s="14" t="s">
        <v>117</v>
      </c>
      <c r="J146" s="14">
        <v>3</v>
      </c>
      <c r="K146" s="14" t="s">
        <v>879</v>
      </c>
      <c r="L146" s="14"/>
      <c r="M146" s="14">
        <v>1</v>
      </c>
      <c r="N146" s="15">
        <v>180000</v>
      </c>
      <c r="O146" s="15">
        <f t="shared" si="6"/>
        <v>180000</v>
      </c>
      <c r="P146" s="15"/>
      <c r="Q146" s="14" t="s">
        <v>520</v>
      </c>
      <c r="R146" s="21">
        <v>45104</v>
      </c>
      <c r="S146" s="22" t="str">
        <f>TEXT(Table1[[#This Row],[End Date]],"MMMM")</f>
        <v>June</v>
      </c>
      <c r="T146" s="23" t="str">
        <f>TEXT(Table1[[#This Row],[End Date]],"YYYY")</f>
        <v>2023</v>
      </c>
      <c r="U146" s="24">
        <f t="shared" ca="1" si="7"/>
        <v>29</v>
      </c>
      <c r="V146" s="14" t="str" cm="1">
        <f t="array" aca="1" ref="V146" ca="1">_xlfn.IFS(Table1[[#This Row],[Agreement Days]]&gt;=0,"Expired",Table1[[#This Row],[Agreement Days]]&gt;=-30,"Expires &lt; 30 Days",Table1[[#This Row],[Agreement Days]]&gt;=-60,"Expires &lt; 60 Days",Table1[[#This Row],[Agreement Days]]&lt;-60,"Valid Contract")</f>
        <v>Expired</v>
      </c>
      <c r="W146" s="14" t="s">
        <v>19</v>
      </c>
      <c r="X146" s="14" t="s">
        <v>865</v>
      </c>
      <c r="Y146" s="14" t="s">
        <v>866</v>
      </c>
      <c r="Z146" s="17">
        <v>727002390</v>
      </c>
      <c r="AA146" s="17"/>
      <c r="AB146" s="116"/>
      <c r="AC146" s="116"/>
    </row>
    <row r="147" spans="1:29" s="12" customFormat="1" hidden="1" x14ac:dyDescent="0.3">
      <c r="A147" s="18" t="s">
        <v>862</v>
      </c>
      <c r="B147" s="18" t="s">
        <v>217</v>
      </c>
      <c r="C147" s="18" t="s">
        <v>880</v>
      </c>
      <c r="D147" s="14" t="s">
        <v>516</v>
      </c>
      <c r="E147" s="18" t="s">
        <v>9</v>
      </c>
      <c r="F147" s="14" t="s">
        <v>601</v>
      </c>
      <c r="G147" s="14" t="s">
        <v>518</v>
      </c>
      <c r="H147" s="18" t="s">
        <v>5</v>
      </c>
      <c r="I147" s="14" t="s">
        <v>117</v>
      </c>
      <c r="J147" s="14">
        <v>3</v>
      </c>
      <c r="K147" s="14" t="s">
        <v>879</v>
      </c>
      <c r="L147" s="14"/>
      <c r="M147" s="14">
        <v>1</v>
      </c>
      <c r="N147" s="15">
        <v>180000</v>
      </c>
      <c r="O147" s="15">
        <f t="shared" si="6"/>
        <v>180000</v>
      </c>
      <c r="P147" s="15"/>
      <c r="Q147" s="14" t="s">
        <v>520</v>
      </c>
      <c r="R147" s="21">
        <v>45104</v>
      </c>
      <c r="S147" s="22" t="str">
        <f>TEXT(Table1[[#This Row],[End Date]],"MMMM")</f>
        <v>June</v>
      </c>
      <c r="T147" s="23" t="str">
        <f>TEXT(Table1[[#This Row],[End Date]],"YYYY")</f>
        <v>2023</v>
      </c>
      <c r="U147" s="24">
        <f t="shared" ca="1" si="7"/>
        <v>29</v>
      </c>
      <c r="V147" s="14" t="str" cm="1">
        <f t="array" aca="1" ref="V147" ca="1">_xlfn.IFS(Table1[[#This Row],[Agreement Days]]&gt;=0,"Expired",Table1[[#This Row],[Agreement Days]]&gt;=-30,"Expires &lt; 30 Days",Table1[[#This Row],[Agreement Days]]&gt;=-60,"Expires &lt; 60 Days",Table1[[#This Row],[Agreement Days]]&lt;-60,"Valid Contract")</f>
        <v>Expired</v>
      </c>
      <c r="W147" s="14" t="s">
        <v>19</v>
      </c>
      <c r="X147" s="14" t="s">
        <v>865</v>
      </c>
      <c r="Y147" s="14" t="s">
        <v>866</v>
      </c>
      <c r="Z147" s="17">
        <v>727002390</v>
      </c>
      <c r="AA147" s="17"/>
      <c r="AB147" s="116"/>
      <c r="AC147" s="116"/>
    </row>
    <row r="148" spans="1:29" s="12" customFormat="1" hidden="1" x14ac:dyDescent="0.3">
      <c r="A148" s="18" t="s">
        <v>862</v>
      </c>
      <c r="B148" s="18" t="s">
        <v>217</v>
      </c>
      <c r="C148" s="18" t="s">
        <v>881</v>
      </c>
      <c r="D148" s="14" t="s">
        <v>545</v>
      </c>
      <c r="E148" s="18" t="s">
        <v>9</v>
      </c>
      <c r="F148" s="14" t="s">
        <v>601</v>
      </c>
      <c r="G148" s="14" t="s">
        <v>518</v>
      </c>
      <c r="H148" s="18" t="s">
        <v>5</v>
      </c>
      <c r="I148" s="14" t="s">
        <v>117</v>
      </c>
      <c r="J148" s="14">
        <v>5</v>
      </c>
      <c r="K148" s="14" t="s">
        <v>882</v>
      </c>
      <c r="L148" s="14"/>
      <c r="M148" s="14">
        <v>1</v>
      </c>
      <c r="N148" s="15">
        <v>270000</v>
      </c>
      <c r="O148" s="15">
        <f t="shared" si="6"/>
        <v>270000</v>
      </c>
      <c r="P148" s="15"/>
      <c r="Q148" s="14" t="s">
        <v>520</v>
      </c>
      <c r="R148" s="21">
        <v>45104</v>
      </c>
      <c r="S148" s="22" t="str">
        <f>TEXT(Table1[[#This Row],[End Date]],"MMMM")</f>
        <v>June</v>
      </c>
      <c r="T148" s="23" t="str">
        <f>TEXT(Table1[[#This Row],[End Date]],"YYYY")</f>
        <v>2023</v>
      </c>
      <c r="U148" s="24">
        <f t="shared" ca="1" si="7"/>
        <v>29</v>
      </c>
      <c r="V148" s="14" t="str" cm="1">
        <f t="array" aca="1" ref="V148" ca="1">_xlfn.IFS(Table1[[#This Row],[Agreement Days]]&gt;=0,"Expired",Table1[[#This Row],[Agreement Days]]&gt;=-30,"Expires &lt; 30 Days",Table1[[#This Row],[Agreement Days]]&gt;=-60,"Expires &lt; 60 Days",Table1[[#This Row],[Agreement Days]]&lt;-60,"Valid Contract")</f>
        <v>Expired</v>
      </c>
      <c r="W148" s="14" t="s">
        <v>19</v>
      </c>
      <c r="X148" s="14" t="s">
        <v>865</v>
      </c>
      <c r="Y148" s="14" t="s">
        <v>866</v>
      </c>
      <c r="Z148" s="17">
        <v>727002390</v>
      </c>
      <c r="AA148" s="17"/>
      <c r="AB148" s="116"/>
      <c r="AC148" s="116"/>
    </row>
    <row r="149" spans="1:29" s="12" customFormat="1" hidden="1" x14ac:dyDescent="0.3">
      <c r="A149" s="18" t="s">
        <v>862</v>
      </c>
      <c r="B149" s="18" t="s">
        <v>217</v>
      </c>
      <c r="C149" s="18" t="s">
        <v>883</v>
      </c>
      <c r="D149" s="14" t="s">
        <v>540</v>
      </c>
      <c r="E149" s="18" t="s">
        <v>9</v>
      </c>
      <c r="F149" s="14" t="s">
        <v>601</v>
      </c>
      <c r="G149" s="14" t="s">
        <v>518</v>
      </c>
      <c r="H149" s="18" t="s">
        <v>5</v>
      </c>
      <c r="I149" s="14" t="s">
        <v>117</v>
      </c>
      <c r="J149" s="14">
        <v>10</v>
      </c>
      <c r="K149" s="14" t="s">
        <v>884</v>
      </c>
      <c r="L149" s="14"/>
      <c r="M149" s="14">
        <v>1</v>
      </c>
      <c r="N149" s="15">
        <v>510000</v>
      </c>
      <c r="O149" s="15">
        <f t="shared" si="6"/>
        <v>510000</v>
      </c>
      <c r="P149" s="15"/>
      <c r="Q149" s="14" t="s">
        <v>520</v>
      </c>
      <c r="R149" s="21">
        <v>45104</v>
      </c>
      <c r="S149" s="22" t="str">
        <f>TEXT(Table1[[#This Row],[End Date]],"MMMM")</f>
        <v>June</v>
      </c>
      <c r="T149" s="23" t="str">
        <f>TEXT(Table1[[#This Row],[End Date]],"YYYY")</f>
        <v>2023</v>
      </c>
      <c r="U149" s="24">
        <f t="shared" ca="1" si="7"/>
        <v>29</v>
      </c>
      <c r="V149" s="14" t="str" cm="1">
        <f t="array" aca="1" ref="V149" ca="1">_xlfn.IFS(Table1[[#This Row],[Agreement Days]]&gt;=0,"Expired",Table1[[#This Row],[Agreement Days]]&gt;=-30,"Expires &lt; 30 Days",Table1[[#This Row],[Agreement Days]]&gt;=-60,"Expires &lt; 60 Days",Table1[[#This Row],[Agreement Days]]&lt;-60,"Valid Contract")</f>
        <v>Expired</v>
      </c>
      <c r="W149" s="14" t="s">
        <v>19</v>
      </c>
      <c r="X149" s="14" t="s">
        <v>865</v>
      </c>
      <c r="Y149" s="14" t="s">
        <v>866</v>
      </c>
      <c r="Z149" s="17">
        <v>727002390</v>
      </c>
      <c r="AA149" s="17"/>
      <c r="AB149" s="116"/>
      <c r="AC149" s="116"/>
    </row>
    <row r="150" spans="1:29" s="12" customFormat="1" hidden="1" x14ac:dyDescent="0.3">
      <c r="A150" s="18" t="s">
        <v>862</v>
      </c>
      <c r="B150" s="18" t="s">
        <v>217</v>
      </c>
      <c r="C150" s="18" t="s">
        <v>885</v>
      </c>
      <c r="D150" s="14" t="s">
        <v>540</v>
      </c>
      <c r="E150" s="18" t="s">
        <v>9</v>
      </c>
      <c r="F150" s="14" t="s">
        <v>601</v>
      </c>
      <c r="G150" s="14" t="s">
        <v>518</v>
      </c>
      <c r="H150" s="18" t="s">
        <v>5</v>
      </c>
      <c r="I150" s="14" t="s">
        <v>115</v>
      </c>
      <c r="J150" s="14"/>
      <c r="K150" s="18" t="s">
        <v>642</v>
      </c>
      <c r="L150" s="14"/>
      <c r="M150" s="14">
        <v>1</v>
      </c>
      <c r="N150" s="15">
        <v>101694.92</v>
      </c>
      <c r="O150" s="15">
        <f t="shared" si="6"/>
        <v>101694.92</v>
      </c>
      <c r="P150" s="15"/>
      <c r="Q150" s="14" t="s">
        <v>520</v>
      </c>
      <c r="R150" s="21">
        <v>45104</v>
      </c>
      <c r="S150" s="22" t="str">
        <f>TEXT(Table1[[#This Row],[End Date]],"MMMM")</f>
        <v>June</v>
      </c>
      <c r="T150" s="23" t="str">
        <f>TEXT(Table1[[#This Row],[End Date]],"YYYY")</f>
        <v>2023</v>
      </c>
      <c r="U150" s="24">
        <f t="shared" ca="1" si="7"/>
        <v>29</v>
      </c>
      <c r="V150" s="14" t="str" cm="1">
        <f t="array" aca="1" ref="V150" ca="1">_xlfn.IFS(Table1[[#This Row],[Agreement Days]]&gt;=0,"Expired",Table1[[#This Row],[Agreement Days]]&gt;=-30,"Expires &lt; 30 Days",Table1[[#This Row],[Agreement Days]]&gt;=-60,"Expires &lt; 60 Days",Table1[[#This Row],[Agreement Days]]&lt;-60,"Valid Contract")</f>
        <v>Expired</v>
      </c>
      <c r="W150" s="14" t="s">
        <v>19</v>
      </c>
      <c r="X150" s="14" t="s">
        <v>865</v>
      </c>
      <c r="Y150" s="14" t="s">
        <v>866</v>
      </c>
      <c r="Z150" s="17">
        <v>727002390</v>
      </c>
      <c r="AA150" s="17"/>
      <c r="AB150" s="116"/>
      <c r="AC150" s="116"/>
    </row>
    <row r="151" spans="1:29" s="12" customFormat="1" hidden="1" x14ac:dyDescent="0.3">
      <c r="A151" s="18" t="s">
        <v>886</v>
      </c>
      <c r="B151" s="18" t="s">
        <v>249</v>
      </c>
      <c r="C151" s="18" t="s">
        <v>887</v>
      </c>
      <c r="D151" s="20" t="s">
        <v>653</v>
      </c>
      <c r="E151" s="18" t="s">
        <v>10</v>
      </c>
      <c r="F151" s="20" t="s">
        <v>888</v>
      </c>
      <c r="G151" s="20" t="s">
        <v>518</v>
      </c>
      <c r="H151" s="18" t="s">
        <v>2</v>
      </c>
      <c r="I151" s="20" t="s">
        <v>134</v>
      </c>
      <c r="J151" s="20">
        <v>4</v>
      </c>
      <c r="K151" s="18" t="s">
        <v>889</v>
      </c>
      <c r="L151" s="18"/>
      <c r="M151" s="20">
        <v>1</v>
      </c>
      <c r="N151" s="15">
        <v>292500</v>
      </c>
      <c r="O151" s="15">
        <f t="shared" si="6"/>
        <v>292500</v>
      </c>
      <c r="P151" s="15"/>
      <c r="Q151" s="14" t="s">
        <v>520</v>
      </c>
      <c r="R151" s="25">
        <v>45105</v>
      </c>
      <c r="S151" s="34" t="str">
        <f>TEXT(Table1[[#This Row],[End Date]],"MMMM")</f>
        <v>June</v>
      </c>
      <c r="T151" s="34" t="str">
        <f>TEXT(Table1[[#This Row],[End Date]],"YYYY")</f>
        <v>2023</v>
      </c>
      <c r="U151" s="28">
        <f t="shared" ca="1" si="7"/>
        <v>28</v>
      </c>
      <c r="V151" s="14" t="str" cm="1">
        <f t="array" aca="1" ref="V151" ca="1">_xlfn.IFS(Table1[[#This Row],[Agreement Days]]&gt;=0,"Expired",Table1[[#This Row],[Agreement Days]]&gt;=-30,"Expires &lt; 30 Days",Table1[[#This Row],[Agreement Days]]&gt;=-60,"Expires &lt; 60 Days",Table1[[#This Row],[Agreement Days]]&lt;-60,"Valid Contract")</f>
        <v>Expired</v>
      </c>
      <c r="W151" s="18" t="s">
        <v>18</v>
      </c>
      <c r="X151" s="18" t="s">
        <v>890</v>
      </c>
      <c r="Y151" s="42" t="s">
        <v>891</v>
      </c>
      <c r="Z151" s="36" t="s">
        <v>892</v>
      </c>
      <c r="AA151" s="36"/>
      <c r="AB151" s="116"/>
      <c r="AC151" s="116"/>
    </row>
    <row r="152" spans="1:29" s="12" customFormat="1" hidden="1" x14ac:dyDescent="0.3">
      <c r="A152" s="18" t="s">
        <v>886</v>
      </c>
      <c r="B152" s="18" t="s">
        <v>249</v>
      </c>
      <c r="C152" s="18" t="s">
        <v>893</v>
      </c>
      <c r="D152" s="20" t="s">
        <v>653</v>
      </c>
      <c r="E152" s="18" t="s">
        <v>10</v>
      </c>
      <c r="F152" s="20" t="s">
        <v>888</v>
      </c>
      <c r="G152" s="20" t="s">
        <v>518</v>
      </c>
      <c r="H152" s="18" t="s">
        <v>2</v>
      </c>
      <c r="I152" s="20" t="s">
        <v>134</v>
      </c>
      <c r="J152" s="20">
        <v>15</v>
      </c>
      <c r="K152" s="18" t="s">
        <v>627</v>
      </c>
      <c r="L152" s="18"/>
      <c r="M152" s="20">
        <v>1</v>
      </c>
      <c r="N152" s="15">
        <v>1278000</v>
      </c>
      <c r="O152" s="15">
        <f t="shared" si="6"/>
        <v>1278000</v>
      </c>
      <c r="P152" s="15"/>
      <c r="Q152" s="14" t="s">
        <v>520</v>
      </c>
      <c r="R152" s="25">
        <v>45105</v>
      </c>
      <c r="S152" s="34" t="str">
        <f>TEXT(Table1[[#This Row],[End Date]],"MMMM")</f>
        <v>June</v>
      </c>
      <c r="T152" s="34" t="str">
        <f>TEXT(Table1[[#This Row],[End Date]],"YYYY")</f>
        <v>2023</v>
      </c>
      <c r="U152" s="28">
        <f t="shared" ca="1" si="7"/>
        <v>28</v>
      </c>
      <c r="V152" s="14" t="str" cm="1">
        <f t="array" aca="1" ref="V152" ca="1">_xlfn.IFS(Table1[[#This Row],[Agreement Days]]&gt;=0,"Expired",Table1[[#This Row],[Agreement Days]]&gt;=-30,"Expires &lt; 30 Days",Table1[[#This Row],[Agreement Days]]&gt;=-60,"Expires &lt; 60 Days",Table1[[#This Row],[Agreement Days]]&lt;-60,"Valid Contract")</f>
        <v>Expired</v>
      </c>
      <c r="W152" s="18" t="s">
        <v>18</v>
      </c>
      <c r="X152" s="18" t="s">
        <v>890</v>
      </c>
      <c r="Y152" s="42" t="s">
        <v>891</v>
      </c>
      <c r="Z152" s="36" t="s">
        <v>892</v>
      </c>
      <c r="AA152" s="36"/>
      <c r="AB152" s="116"/>
      <c r="AC152" s="116"/>
    </row>
    <row r="153" spans="1:29" s="12" customFormat="1" hidden="1" x14ac:dyDescent="0.3">
      <c r="A153" s="18" t="s">
        <v>886</v>
      </c>
      <c r="B153" s="18" t="s">
        <v>249</v>
      </c>
      <c r="C153" s="18" t="s">
        <v>544</v>
      </c>
      <c r="D153" s="20" t="s">
        <v>653</v>
      </c>
      <c r="E153" s="18" t="s">
        <v>10</v>
      </c>
      <c r="F153" s="20" t="s">
        <v>888</v>
      </c>
      <c r="G153" s="20" t="s">
        <v>518</v>
      </c>
      <c r="H153" s="18" t="s">
        <v>2</v>
      </c>
      <c r="I153" s="20" t="s">
        <v>123</v>
      </c>
      <c r="J153" s="18"/>
      <c r="K153" s="18" t="s">
        <v>894</v>
      </c>
      <c r="L153" s="18"/>
      <c r="M153" s="20">
        <v>1</v>
      </c>
      <c r="N153" s="15">
        <v>236000</v>
      </c>
      <c r="O153" s="15">
        <f t="shared" si="6"/>
        <v>236000</v>
      </c>
      <c r="P153" s="15"/>
      <c r="Q153" s="14" t="s">
        <v>520</v>
      </c>
      <c r="R153" s="25">
        <v>45105</v>
      </c>
      <c r="S153" s="34" t="str">
        <f>TEXT(Table1[[#This Row],[End Date]],"MMMM")</f>
        <v>June</v>
      </c>
      <c r="T153" s="34" t="str">
        <f>TEXT(Table1[[#This Row],[End Date]],"YYYY")</f>
        <v>2023</v>
      </c>
      <c r="U153" s="28">
        <f t="shared" ca="1" si="7"/>
        <v>28</v>
      </c>
      <c r="V153" s="14" t="str" cm="1">
        <f t="array" aca="1" ref="V153" ca="1">_xlfn.IFS(Table1[[#This Row],[Agreement Days]]&gt;=0,"Expired",Table1[[#This Row],[Agreement Days]]&gt;=-30,"Expires &lt; 30 Days",Table1[[#This Row],[Agreement Days]]&gt;=-60,"Expires &lt; 60 Days",Table1[[#This Row],[Agreement Days]]&lt;-60,"Valid Contract")</f>
        <v>Expired</v>
      </c>
      <c r="W153" s="18" t="s">
        <v>18</v>
      </c>
      <c r="X153" s="18" t="s">
        <v>890</v>
      </c>
      <c r="Y153" s="42" t="s">
        <v>891</v>
      </c>
      <c r="Z153" s="36" t="s">
        <v>892</v>
      </c>
      <c r="AA153" s="36"/>
      <c r="AB153" s="116"/>
      <c r="AC153" s="116"/>
    </row>
    <row r="154" spans="1:29" s="12" customFormat="1" hidden="1" x14ac:dyDescent="0.3">
      <c r="A154" s="18" t="s">
        <v>895</v>
      </c>
      <c r="B154" s="18" t="s">
        <v>228</v>
      </c>
      <c r="C154" s="18" t="s">
        <v>515</v>
      </c>
      <c r="D154" s="14" t="s">
        <v>653</v>
      </c>
      <c r="E154" s="18" t="s">
        <v>9</v>
      </c>
      <c r="F154" s="14" t="s">
        <v>517</v>
      </c>
      <c r="G154" s="14" t="s">
        <v>518</v>
      </c>
      <c r="H154" s="18" t="s">
        <v>5</v>
      </c>
      <c r="I154" s="14" t="s">
        <v>117</v>
      </c>
      <c r="J154" s="14">
        <v>3</v>
      </c>
      <c r="K154" s="18" t="s">
        <v>646</v>
      </c>
      <c r="L154" s="18"/>
      <c r="M154" s="14">
        <v>1</v>
      </c>
      <c r="N154" s="15">
        <v>180000</v>
      </c>
      <c r="O154" s="15">
        <f t="shared" si="6"/>
        <v>180000</v>
      </c>
      <c r="P154" s="15"/>
      <c r="Q154" s="14" t="s">
        <v>520</v>
      </c>
      <c r="R154" s="25">
        <v>45106</v>
      </c>
      <c r="S154" s="34" t="str">
        <f>TEXT(Table1[[#This Row],[End Date]],"MMMM")</f>
        <v>June</v>
      </c>
      <c r="T154" s="34" t="str">
        <f>TEXT(Table1[[#This Row],[End Date]],"YYYY")</f>
        <v>2023</v>
      </c>
      <c r="U154" s="24">
        <f t="shared" ca="1" si="7"/>
        <v>27</v>
      </c>
      <c r="V154" s="14" t="str" cm="1">
        <f t="array" aca="1" ref="V154" ca="1">_xlfn.IFS(Table1[[#This Row],[Agreement Days]]&gt;=0,"Expired",Table1[[#This Row],[Agreement Days]]&gt;=-30,"Expires &lt; 30 Days",Table1[[#This Row],[Agreement Days]]&gt;=-60,"Expires &lt; 60 Days",Table1[[#This Row],[Agreement Days]]&lt;-60,"Valid Contract")</f>
        <v>Expired</v>
      </c>
      <c r="W154" s="18" t="s">
        <v>18</v>
      </c>
      <c r="X154" s="18" t="s">
        <v>896</v>
      </c>
      <c r="Y154" s="35" t="s">
        <v>897</v>
      </c>
      <c r="Z154" s="36" t="s">
        <v>898</v>
      </c>
      <c r="AA154" s="27"/>
      <c r="AB154" s="116"/>
      <c r="AC154" s="116"/>
    </row>
    <row r="155" spans="1:29" s="12" customFormat="1" hidden="1" x14ac:dyDescent="0.3">
      <c r="A155" s="18" t="s">
        <v>895</v>
      </c>
      <c r="B155" s="18" t="s">
        <v>228</v>
      </c>
      <c r="C155" s="18" t="s">
        <v>544</v>
      </c>
      <c r="D155" s="14" t="s">
        <v>653</v>
      </c>
      <c r="E155" s="18" t="s">
        <v>9</v>
      </c>
      <c r="F155" s="14" t="s">
        <v>517</v>
      </c>
      <c r="G155" s="14" t="s">
        <v>518</v>
      </c>
      <c r="H155" s="18" t="s">
        <v>5</v>
      </c>
      <c r="I155" s="14" t="s">
        <v>117</v>
      </c>
      <c r="J155" s="14">
        <v>15</v>
      </c>
      <c r="K155" s="18" t="s">
        <v>899</v>
      </c>
      <c r="L155" s="18"/>
      <c r="M155" s="14">
        <v>1</v>
      </c>
      <c r="N155" s="15">
        <v>720000</v>
      </c>
      <c r="O155" s="15">
        <f t="shared" si="6"/>
        <v>720000</v>
      </c>
      <c r="P155" s="15"/>
      <c r="Q155" s="14" t="s">
        <v>520</v>
      </c>
      <c r="R155" s="25">
        <v>45106</v>
      </c>
      <c r="S155" s="34" t="str">
        <f>TEXT(Table1[[#This Row],[End Date]],"MMMM")</f>
        <v>June</v>
      </c>
      <c r="T155" s="34" t="str">
        <f>TEXT(Table1[[#This Row],[End Date]],"YYYY")</f>
        <v>2023</v>
      </c>
      <c r="U155" s="24">
        <f t="shared" ca="1" si="7"/>
        <v>27</v>
      </c>
      <c r="V155" s="14" t="str" cm="1">
        <f t="array" aca="1" ref="V155" ca="1">_xlfn.IFS(Table1[[#This Row],[Agreement Days]]&gt;=0,"Expired",Table1[[#This Row],[Agreement Days]]&gt;=-30,"Expires &lt; 30 Days",Table1[[#This Row],[Agreement Days]]&gt;=-60,"Expires &lt; 60 Days",Table1[[#This Row],[Agreement Days]]&lt;-60,"Valid Contract")</f>
        <v>Expired</v>
      </c>
      <c r="W155" s="18" t="s">
        <v>18</v>
      </c>
      <c r="X155" s="18" t="s">
        <v>896</v>
      </c>
      <c r="Y155" s="35" t="s">
        <v>897</v>
      </c>
      <c r="Z155" s="36" t="s">
        <v>898</v>
      </c>
      <c r="AA155" s="36"/>
      <c r="AB155" s="116"/>
      <c r="AC155" s="116"/>
    </row>
    <row r="156" spans="1:29" s="12" customFormat="1" hidden="1" x14ac:dyDescent="0.3">
      <c r="A156" s="18" t="s">
        <v>895</v>
      </c>
      <c r="B156" s="18" t="s">
        <v>228</v>
      </c>
      <c r="C156" s="18" t="s">
        <v>544</v>
      </c>
      <c r="D156" s="14" t="s">
        <v>653</v>
      </c>
      <c r="E156" s="18" t="s">
        <v>9</v>
      </c>
      <c r="F156" s="14" t="s">
        <v>517</v>
      </c>
      <c r="G156" s="14" t="s">
        <v>518</v>
      </c>
      <c r="H156" s="18" t="s">
        <v>2</v>
      </c>
      <c r="I156" s="14" t="s">
        <v>120</v>
      </c>
      <c r="J156" s="18"/>
      <c r="K156" s="18" t="s">
        <v>649</v>
      </c>
      <c r="L156" s="18"/>
      <c r="M156" s="14">
        <v>1</v>
      </c>
      <c r="N156" s="15">
        <v>258045.76</v>
      </c>
      <c r="O156" s="15">
        <f t="shared" si="6"/>
        <v>258045.76</v>
      </c>
      <c r="P156" s="15"/>
      <c r="Q156" s="14" t="s">
        <v>520</v>
      </c>
      <c r="R156" s="25">
        <v>45106</v>
      </c>
      <c r="S156" s="34" t="str">
        <f>TEXT(Table1[[#This Row],[End Date]],"MMMM")</f>
        <v>June</v>
      </c>
      <c r="T156" s="34" t="str">
        <f>TEXT(Table1[[#This Row],[End Date]],"YYYY")</f>
        <v>2023</v>
      </c>
      <c r="U156" s="24">
        <f t="shared" ca="1" si="7"/>
        <v>27</v>
      </c>
      <c r="V156" s="14" t="str" cm="1">
        <f t="array" aca="1" ref="V156" ca="1">_xlfn.IFS(Table1[[#This Row],[Agreement Days]]&gt;=0,"Expired",Table1[[#This Row],[Agreement Days]]&gt;=-30,"Expires &lt; 30 Days",Table1[[#This Row],[Agreement Days]]&gt;=-60,"Expires &lt; 60 Days",Table1[[#This Row],[Agreement Days]]&lt;-60,"Valid Contract")</f>
        <v>Expired</v>
      </c>
      <c r="W156" s="18" t="s">
        <v>18</v>
      </c>
      <c r="X156" s="18" t="s">
        <v>896</v>
      </c>
      <c r="Y156" s="35" t="s">
        <v>897</v>
      </c>
      <c r="Z156" s="36" t="s">
        <v>898</v>
      </c>
      <c r="AA156" s="27"/>
      <c r="AB156" s="116"/>
      <c r="AC156" s="116"/>
    </row>
    <row r="157" spans="1:29" s="12" customFormat="1" hidden="1" x14ac:dyDescent="0.3">
      <c r="A157" s="18" t="s">
        <v>895</v>
      </c>
      <c r="B157" s="18" t="s">
        <v>228</v>
      </c>
      <c r="C157" s="18" t="s">
        <v>544</v>
      </c>
      <c r="D157" s="14" t="s">
        <v>653</v>
      </c>
      <c r="E157" s="18" t="s">
        <v>9</v>
      </c>
      <c r="F157" s="14" t="s">
        <v>517</v>
      </c>
      <c r="G157" s="14" t="s">
        <v>518</v>
      </c>
      <c r="H157" s="18" t="s">
        <v>4</v>
      </c>
      <c r="I157" s="14" t="s">
        <v>118</v>
      </c>
      <c r="J157" s="18"/>
      <c r="K157" s="18" t="s">
        <v>650</v>
      </c>
      <c r="L157" s="18"/>
      <c r="M157" s="14">
        <v>1</v>
      </c>
      <c r="N157" s="15">
        <v>369325</v>
      </c>
      <c r="O157" s="15">
        <f t="shared" si="6"/>
        <v>369325</v>
      </c>
      <c r="P157" s="15"/>
      <c r="Q157" s="14" t="s">
        <v>520</v>
      </c>
      <c r="R157" s="25">
        <v>45106</v>
      </c>
      <c r="S157" s="34" t="str">
        <f>TEXT(Table1[[#This Row],[End Date]],"MMMM")</f>
        <v>June</v>
      </c>
      <c r="T157" s="34" t="str">
        <f>TEXT(Table1[[#This Row],[End Date]],"YYYY")</f>
        <v>2023</v>
      </c>
      <c r="U157" s="24">
        <f t="shared" ca="1" si="7"/>
        <v>27</v>
      </c>
      <c r="V157" s="14" t="str" cm="1">
        <f t="array" aca="1" ref="V157" ca="1">_xlfn.IFS(Table1[[#This Row],[Agreement Days]]&gt;=0,"Expired",Table1[[#This Row],[Agreement Days]]&gt;=-30,"Expires &lt; 30 Days",Table1[[#This Row],[Agreement Days]]&gt;=-60,"Expires &lt; 60 Days",Table1[[#This Row],[Agreement Days]]&lt;-60,"Valid Contract")</f>
        <v>Expired</v>
      </c>
      <c r="W157" s="18" t="s">
        <v>18</v>
      </c>
      <c r="X157" s="18" t="s">
        <v>896</v>
      </c>
      <c r="Y157" s="35" t="s">
        <v>897</v>
      </c>
      <c r="Z157" s="36" t="s">
        <v>898</v>
      </c>
      <c r="AA157" s="52"/>
      <c r="AB157" s="116"/>
      <c r="AC157" s="116"/>
    </row>
    <row r="158" spans="1:29" s="12" customFormat="1" hidden="1" x14ac:dyDescent="0.3">
      <c r="A158" s="18" t="s">
        <v>900</v>
      </c>
      <c r="B158" s="18" t="s">
        <v>383</v>
      </c>
      <c r="C158" s="18" t="s">
        <v>544</v>
      </c>
      <c r="D158" s="14" t="s">
        <v>545</v>
      </c>
      <c r="E158" s="18" t="s">
        <v>9</v>
      </c>
      <c r="F158" s="14" t="s">
        <v>517</v>
      </c>
      <c r="G158" s="14" t="s">
        <v>518</v>
      </c>
      <c r="H158" s="18" t="s">
        <v>2</v>
      </c>
      <c r="I158" s="14" t="s">
        <v>126</v>
      </c>
      <c r="J158" s="14">
        <v>3</v>
      </c>
      <c r="K158" s="18" t="s">
        <v>901</v>
      </c>
      <c r="L158" s="18"/>
      <c r="M158" s="14">
        <v>1</v>
      </c>
      <c r="N158" s="15">
        <v>194916</v>
      </c>
      <c r="O158" s="15">
        <f t="shared" si="6"/>
        <v>194916</v>
      </c>
      <c r="P158" s="15"/>
      <c r="Q158" s="14" t="s">
        <v>520</v>
      </c>
      <c r="R158" s="25">
        <v>45107</v>
      </c>
      <c r="S158" s="34" t="str">
        <f>TEXT(Table1[[#This Row],[End Date]],"MMMM")</f>
        <v>June</v>
      </c>
      <c r="T158" s="34" t="str">
        <f>TEXT(Table1[[#This Row],[End Date]],"YYYY")</f>
        <v>2023</v>
      </c>
      <c r="U158" s="24">
        <f t="shared" ca="1" si="7"/>
        <v>26</v>
      </c>
      <c r="V158" s="14" t="str" cm="1">
        <f t="array" aca="1" ref="V158" ca="1">_xlfn.IFS(Table1[[#This Row],[Agreement Days]]&gt;=0,"Expired",Table1[[#This Row],[Agreement Days]]&gt;=-30,"Expires &lt; 30 Days",Table1[[#This Row],[Agreement Days]]&gt;=-60,"Expires &lt; 60 Days",Table1[[#This Row],[Agreement Days]]&lt;-60,"Valid Contract")</f>
        <v>Expired</v>
      </c>
      <c r="W158" s="18" t="s">
        <v>18</v>
      </c>
      <c r="X158" s="18" t="s">
        <v>902</v>
      </c>
      <c r="Y158" s="35" t="s">
        <v>903</v>
      </c>
      <c r="Z158" s="36" t="s">
        <v>904</v>
      </c>
      <c r="AA158" s="36"/>
      <c r="AB158" s="116"/>
      <c r="AC158" s="116"/>
    </row>
    <row r="159" spans="1:29" s="12" customFormat="1" hidden="1" x14ac:dyDescent="0.3">
      <c r="A159" s="18" t="s">
        <v>900</v>
      </c>
      <c r="B159" s="18" t="s">
        <v>383</v>
      </c>
      <c r="C159" s="18" t="s">
        <v>905</v>
      </c>
      <c r="D159" s="14" t="s">
        <v>545</v>
      </c>
      <c r="E159" s="18" t="s">
        <v>9</v>
      </c>
      <c r="F159" s="14" t="s">
        <v>517</v>
      </c>
      <c r="G159" s="14" t="s">
        <v>518</v>
      </c>
      <c r="H159" s="18" t="s">
        <v>5</v>
      </c>
      <c r="I159" s="14" t="s">
        <v>115</v>
      </c>
      <c r="J159" s="18"/>
      <c r="K159" s="18" t="s">
        <v>643</v>
      </c>
      <c r="L159" s="18"/>
      <c r="M159" s="14">
        <v>5</v>
      </c>
      <c r="N159" s="15">
        <v>28305.08</v>
      </c>
      <c r="O159" s="15">
        <f t="shared" si="6"/>
        <v>141525.40000000002</v>
      </c>
      <c r="P159" s="15"/>
      <c r="Q159" s="14" t="s">
        <v>520</v>
      </c>
      <c r="R159" s="25">
        <v>45107</v>
      </c>
      <c r="S159" s="34" t="str">
        <f>TEXT(Table1[[#This Row],[End Date]],"MMMM")</f>
        <v>June</v>
      </c>
      <c r="T159" s="34" t="str">
        <f>TEXT(Table1[[#This Row],[End Date]],"YYYY")</f>
        <v>2023</v>
      </c>
      <c r="U159" s="24">
        <f t="shared" ca="1" si="7"/>
        <v>26</v>
      </c>
      <c r="V159" s="14" t="str" cm="1">
        <f t="array" aca="1" ref="V159" ca="1">_xlfn.IFS(Table1[[#This Row],[Agreement Days]]&gt;=0,"Expired",Table1[[#This Row],[Agreement Days]]&gt;=-30,"Expires &lt; 30 Days",Table1[[#This Row],[Agreement Days]]&gt;=-60,"Expires &lt; 60 Days",Table1[[#This Row],[Agreement Days]]&lt;-60,"Valid Contract")</f>
        <v>Expired</v>
      </c>
      <c r="W159" s="18" t="s">
        <v>18</v>
      </c>
      <c r="X159" s="18" t="s">
        <v>902</v>
      </c>
      <c r="Y159" s="35" t="s">
        <v>903</v>
      </c>
      <c r="Z159" s="36" t="s">
        <v>904</v>
      </c>
      <c r="AA159" s="27"/>
      <c r="AB159" s="116"/>
      <c r="AC159" s="116"/>
    </row>
    <row r="160" spans="1:29" s="12" customFormat="1" hidden="1" x14ac:dyDescent="0.3">
      <c r="A160" s="18" t="s">
        <v>906</v>
      </c>
      <c r="B160" s="18" t="s">
        <v>185</v>
      </c>
      <c r="C160" s="18" t="s">
        <v>544</v>
      </c>
      <c r="D160" s="14" t="s">
        <v>526</v>
      </c>
      <c r="E160" s="18" t="s">
        <v>9</v>
      </c>
      <c r="F160" s="14" t="s">
        <v>517</v>
      </c>
      <c r="G160" s="14" t="s">
        <v>518</v>
      </c>
      <c r="H160" s="18" t="s">
        <v>5</v>
      </c>
      <c r="I160" s="14" t="s">
        <v>117</v>
      </c>
      <c r="J160" s="14">
        <v>15</v>
      </c>
      <c r="K160" s="14" t="s">
        <v>899</v>
      </c>
      <c r="L160" s="14"/>
      <c r="M160" s="14">
        <v>1</v>
      </c>
      <c r="N160" s="15">
        <v>720000</v>
      </c>
      <c r="O160" s="15">
        <f t="shared" si="6"/>
        <v>720000</v>
      </c>
      <c r="P160" s="15"/>
      <c r="Q160" s="14" t="s">
        <v>520</v>
      </c>
      <c r="R160" s="21">
        <v>45107</v>
      </c>
      <c r="S160" s="22" t="str">
        <f>TEXT(Table1[[#This Row],[End Date]],"MMMM")</f>
        <v>June</v>
      </c>
      <c r="T160" s="23" t="str">
        <f>TEXT(Table1[[#This Row],[End Date]],"YYYY")</f>
        <v>2023</v>
      </c>
      <c r="U160" s="24">
        <f t="shared" ca="1" si="7"/>
        <v>26</v>
      </c>
      <c r="V160" s="14" t="str" cm="1">
        <f t="array" aca="1" ref="V160" ca="1">_xlfn.IFS(Table1[[#This Row],[Agreement Days]]&gt;=0,"Expired",Table1[[#This Row],[Agreement Days]]&gt;=-30,"Expires &lt; 30 Days",Table1[[#This Row],[Agreement Days]]&gt;=-60,"Expires &lt; 60 Days",Table1[[#This Row],[Agreement Days]]&lt;-60,"Valid Contract")</f>
        <v>Expired</v>
      </c>
      <c r="W160" s="14" t="s">
        <v>19</v>
      </c>
      <c r="X160" s="14" t="s">
        <v>907</v>
      </c>
      <c r="Y160" s="14" t="s">
        <v>908</v>
      </c>
      <c r="Z160" s="17">
        <v>788486449</v>
      </c>
      <c r="AA160" s="17"/>
      <c r="AB160" s="116"/>
      <c r="AC160" s="116"/>
    </row>
    <row r="161" spans="1:29" s="12" customFormat="1" hidden="1" x14ac:dyDescent="0.3">
      <c r="A161" s="18" t="s">
        <v>906</v>
      </c>
      <c r="B161" s="18" t="s">
        <v>185</v>
      </c>
      <c r="C161" s="18" t="s">
        <v>544</v>
      </c>
      <c r="D161" s="14" t="s">
        <v>526</v>
      </c>
      <c r="E161" s="18" t="s">
        <v>9</v>
      </c>
      <c r="F161" s="14" t="s">
        <v>517</v>
      </c>
      <c r="G161" s="14" t="s">
        <v>518</v>
      </c>
      <c r="H161" s="18" t="s">
        <v>2</v>
      </c>
      <c r="I161" s="14" t="s">
        <v>120</v>
      </c>
      <c r="J161" s="14"/>
      <c r="K161" s="14" t="s">
        <v>649</v>
      </c>
      <c r="L161" s="14"/>
      <c r="M161" s="14">
        <v>1</v>
      </c>
      <c r="N161" s="15">
        <v>258045.76</v>
      </c>
      <c r="O161" s="15">
        <f t="shared" si="6"/>
        <v>258045.76</v>
      </c>
      <c r="P161" s="15"/>
      <c r="Q161" s="14" t="s">
        <v>520</v>
      </c>
      <c r="R161" s="21">
        <v>45107</v>
      </c>
      <c r="S161" s="22" t="str">
        <f>TEXT(Table1[[#This Row],[End Date]],"MMMM")</f>
        <v>June</v>
      </c>
      <c r="T161" s="23" t="str">
        <f>TEXT(Table1[[#This Row],[End Date]],"YYYY")</f>
        <v>2023</v>
      </c>
      <c r="U161" s="24">
        <f t="shared" ca="1" si="7"/>
        <v>26</v>
      </c>
      <c r="V161" s="14" t="str" cm="1">
        <f t="array" aca="1" ref="V161" ca="1">_xlfn.IFS(Table1[[#This Row],[Agreement Days]]&gt;=0,"Expired",Table1[[#This Row],[Agreement Days]]&gt;=-30,"Expires &lt; 30 Days",Table1[[#This Row],[Agreement Days]]&gt;=-60,"Expires &lt; 60 Days",Table1[[#This Row],[Agreement Days]]&lt;-60,"Valid Contract")</f>
        <v>Expired</v>
      </c>
      <c r="W161" s="14" t="s">
        <v>19</v>
      </c>
      <c r="X161" s="14" t="s">
        <v>907</v>
      </c>
      <c r="Y161" s="14" t="s">
        <v>908</v>
      </c>
      <c r="Z161" s="17">
        <v>788486449</v>
      </c>
      <c r="AA161" s="17"/>
      <c r="AB161" s="116"/>
      <c r="AC161" s="116"/>
    </row>
    <row r="162" spans="1:29" s="12" customFormat="1" hidden="1" x14ac:dyDescent="0.3">
      <c r="A162" s="18" t="s">
        <v>906</v>
      </c>
      <c r="B162" s="18" t="s">
        <v>185</v>
      </c>
      <c r="C162" s="18" t="s">
        <v>544</v>
      </c>
      <c r="D162" s="14" t="s">
        <v>526</v>
      </c>
      <c r="E162" s="18" t="s">
        <v>9</v>
      </c>
      <c r="F162" s="14" t="s">
        <v>517</v>
      </c>
      <c r="G162" s="14" t="s">
        <v>518</v>
      </c>
      <c r="H162" s="18" t="s">
        <v>4</v>
      </c>
      <c r="I162" s="14" t="s">
        <v>118</v>
      </c>
      <c r="J162" s="14"/>
      <c r="K162" s="14" t="s">
        <v>650</v>
      </c>
      <c r="L162" s="14"/>
      <c r="M162" s="14">
        <v>1</v>
      </c>
      <c r="N162" s="15">
        <v>369325</v>
      </c>
      <c r="O162" s="15">
        <f t="shared" si="6"/>
        <v>369325</v>
      </c>
      <c r="P162" s="15"/>
      <c r="Q162" s="14" t="s">
        <v>520</v>
      </c>
      <c r="R162" s="21">
        <v>45107</v>
      </c>
      <c r="S162" s="22" t="str">
        <f>TEXT(Table1[[#This Row],[End Date]],"MMMM")</f>
        <v>June</v>
      </c>
      <c r="T162" s="23" t="str">
        <f>TEXT(Table1[[#This Row],[End Date]],"YYYY")</f>
        <v>2023</v>
      </c>
      <c r="U162" s="24">
        <f t="shared" ca="1" si="7"/>
        <v>26</v>
      </c>
      <c r="V162" s="14" t="str" cm="1">
        <f t="array" aca="1" ref="V162" ca="1">_xlfn.IFS(Table1[[#This Row],[Agreement Days]]&gt;=0,"Expired",Table1[[#This Row],[Agreement Days]]&gt;=-30,"Expires &lt; 30 Days",Table1[[#This Row],[Agreement Days]]&gt;=-60,"Expires &lt; 60 Days",Table1[[#This Row],[Agreement Days]]&lt;-60,"Valid Contract")</f>
        <v>Expired</v>
      </c>
      <c r="W162" s="14" t="s">
        <v>19</v>
      </c>
      <c r="X162" s="14" t="s">
        <v>907</v>
      </c>
      <c r="Y162" s="14" t="s">
        <v>908</v>
      </c>
      <c r="Z162" s="17">
        <v>788486449</v>
      </c>
      <c r="AA162" s="17"/>
      <c r="AB162" s="116"/>
      <c r="AC162" s="116"/>
    </row>
    <row r="163" spans="1:29" s="12" customFormat="1" hidden="1" x14ac:dyDescent="0.3">
      <c r="A163" s="18" t="s">
        <v>906</v>
      </c>
      <c r="B163" s="18" t="s">
        <v>185</v>
      </c>
      <c r="C163" s="18" t="s">
        <v>909</v>
      </c>
      <c r="D163" s="14" t="s">
        <v>526</v>
      </c>
      <c r="E163" s="18" t="s">
        <v>9</v>
      </c>
      <c r="F163" s="14" t="s">
        <v>517</v>
      </c>
      <c r="G163" s="14" t="s">
        <v>518</v>
      </c>
      <c r="H163" s="18" t="s">
        <v>5</v>
      </c>
      <c r="I163" s="14" t="s">
        <v>115</v>
      </c>
      <c r="J163" s="14"/>
      <c r="K163" s="18" t="s">
        <v>642</v>
      </c>
      <c r="L163" s="14"/>
      <c r="M163" s="14">
        <v>1</v>
      </c>
      <c r="N163" s="15">
        <v>101694.91525400001</v>
      </c>
      <c r="O163" s="15">
        <f t="shared" si="6"/>
        <v>101694.91525400001</v>
      </c>
      <c r="P163" s="15"/>
      <c r="Q163" s="14" t="s">
        <v>520</v>
      </c>
      <c r="R163" s="21">
        <v>45107</v>
      </c>
      <c r="S163" s="22" t="str">
        <f>TEXT(Table1[[#This Row],[End Date]],"MMMM")</f>
        <v>June</v>
      </c>
      <c r="T163" s="23" t="str">
        <f>TEXT(Table1[[#This Row],[End Date]],"YYYY")</f>
        <v>2023</v>
      </c>
      <c r="U163" s="24">
        <f t="shared" ca="1" si="7"/>
        <v>26</v>
      </c>
      <c r="V163" s="14" t="str" cm="1">
        <f t="array" aca="1" ref="V163" ca="1">_xlfn.IFS(Table1[[#This Row],[Agreement Days]]&gt;=0,"Expired",Table1[[#This Row],[Agreement Days]]&gt;=-30,"Expires &lt; 30 Days",Table1[[#This Row],[Agreement Days]]&gt;=-60,"Expires &lt; 60 Days",Table1[[#This Row],[Agreement Days]]&lt;-60,"Valid Contract")</f>
        <v>Expired</v>
      </c>
      <c r="W163" s="14" t="s">
        <v>19</v>
      </c>
      <c r="X163" s="14" t="s">
        <v>907</v>
      </c>
      <c r="Y163" s="14" t="s">
        <v>908</v>
      </c>
      <c r="Z163" s="17">
        <v>788486449</v>
      </c>
      <c r="AA163" s="17"/>
      <c r="AB163" s="116"/>
      <c r="AC163" s="116"/>
    </row>
    <row r="164" spans="1:29" s="12" customFormat="1" hidden="1" x14ac:dyDescent="0.3">
      <c r="A164" s="18" t="s">
        <v>906</v>
      </c>
      <c r="B164" s="18" t="s">
        <v>185</v>
      </c>
      <c r="C164" s="18" t="s">
        <v>909</v>
      </c>
      <c r="D164" s="14" t="s">
        <v>526</v>
      </c>
      <c r="E164" s="18" t="s">
        <v>9</v>
      </c>
      <c r="F164" s="14" t="s">
        <v>517</v>
      </c>
      <c r="G164" s="14" t="s">
        <v>518</v>
      </c>
      <c r="H164" s="18" t="s">
        <v>5</v>
      </c>
      <c r="I164" s="14" t="s">
        <v>115</v>
      </c>
      <c r="J164" s="14"/>
      <c r="K164" s="18" t="s">
        <v>573</v>
      </c>
      <c r="L164" s="14"/>
      <c r="M164" s="14">
        <v>5</v>
      </c>
      <c r="N164" s="15">
        <v>19491.53</v>
      </c>
      <c r="O164" s="15">
        <f t="shared" si="6"/>
        <v>97457.65</v>
      </c>
      <c r="P164" s="15"/>
      <c r="Q164" s="14" t="s">
        <v>520</v>
      </c>
      <c r="R164" s="21">
        <v>45107</v>
      </c>
      <c r="S164" s="22" t="str">
        <f>TEXT(Table1[[#This Row],[End Date]],"MMMM")</f>
        <v>June</v>
      </c>
      <c r="T164" s="23" t="str">
        <f>TEXT(Table1[[#This Row],[End Date]],"YYYY")</f>
        <v>2023</v>
      </c>
      <c r="U164" s="24">
        <f t="shared" ca="1" si="7"/>
        <v>26</v>
      </c>
      <c r="V164" s="14" t="str" cm="1">
        <f t="array" aca="1" ref="V164" ca="1">_xlfn.IFS(Table1[[#This Row],[Agreement Days]]&gt;=0,"Expired",Table1[[#This Row],[Agreement Days]]&gt;=-30,"Expires &lt; 30 Days",Table1[[#This Row],[Agreement Days]]&gt;=-60,"Expires &lt; 60 Days",Table1[[#This Row],[Agreement Days]]&lt;-60,"Valid Contract")</f>
        <v>Expired</v>
      </c>
      <c r="W164" s="14" t="s">
        <v>19</v>
      </c>
      <c r="X164" s="14" t="s">
        <v>907</v>
      </c>
      <c r="Y164" s="14" t="s">
        <v>908</v>
      </c>
      <c r="Z164" s="17">
        <v>788486449</v>
      </c>
      <c r="AA164" s="17"/>
      <c r="AB164" s="116"/>
      <c r="AC164" s="116"/>
    </row>
    <row r="165" spans="1:29" s="12" customFormat="1" hidden="1" x14ac:dyDescent="0.3">
      <c r="A165" s="18" t="s">
        <v>906</v>
      </c>
      <c r="B165" s="18" t="s">
        <v>185</v>
      </c>
      <c r="C165" s="18" t="s">
        <v>909</v>
      </c>
      <c r="D165" s="14" t="s">
        <v>526</v>
      </c>
      <c r="E165" s="18" t="s">
        <v>9</v>
      </c>
      <c r="F165" s="14" t="s">
        <v>517</v>
      </c>
      <c r="G165" s="14" t="s">
        <v>518</v>
      </c>
      <c r="H165" s="18" t="s">
        <v>5</v>
      </c>
      <c r="I165" s="14" t="s">
        <v>115</v>
      </c>
      <c r="J165" s="14"/>
      <c r="K165" s="18" t="s">
        <v>651</v>
      </c>
      <c r="L165" s="14"/>
      <c r="M165" s="14">
        <v>18</v>
      </c>
      <c r="N165" s="15">
        <f>96000/1.18</f>
        <v>81355.932203389835</v>
      </c>
      <c r="O165" s="15">
        <f t="shared" si="6"/>
        <v>1464406.779661017</v>
      </c>
      <c r="P165" s="15"/>
      <c r="Q165" s="14" t="s">
        <v>520</v>
      </c>
      <c r="R165" s="21">
        <v>45107</v>
      </c>
      <c r="S165" s="22" t="str">
        <f>TEXT(Table1[[#This Row],[End Date]],"MMMM")</f>
        <v>June</v>
      </c>
      <c r="T165" s="23" t="str">
        <f>TEXT(Table1[[#This Row],[End Date]],"YYYY")</f>
        <v>2023</v>
      </c>
      <c r="U165" s="24">
        <f t="shared" ca="1" si="7"/>
        <v>26</v>
      </c>
      <c r="V165" s="14" t="str" cm="1">
        <f t="array" aca="1" ref="V165" ca="1">_xlfn.IFS(Table1[[#This Row],[Agreement Days]]&gt;=0,"Expired",Table1[[#This Row],[Agreement Days]]&gt;=-30,"Expires &lt; 30 Days",Table1[[#This Row],[Agreement Days]]&gt;=-60,"Expires &lt; 60 Days",Table1[[#This Row],[Agreement Days]]&lt;-60,"Valid Contract")</f>
        <v>Expired</v>
      </c>
      <c r="W165" s="14" t="s">
        <v>19</v>
      </c>
      <c r="X165" s="14" t="s">
        <v>907</v>
      </c>
      <c r="Y165" s="14" t="s">
        <v>908</v>
      </c>
      <c r="Z165" s="17">
        <v>788486449</v>
      </c>
      <c r="AA165" s="17"/>
      <c r="AB165" s="116"/>
      <c r="AC165" s="116"/>
    </row>
    <row r="166" spans="1:29" s="12" customFormat="1" hidden="1" x14ac:dyDescent="0.3">
      <c r="A166" s="18" t="s">
        <v>906</v>
      </c>
      <c r="B166" s="18" t="s">
        <v>185</v>
      </c>
      <c r="C166" s="18" t="s">
        <v>909</v>
      </c>
      <c r="D166" s="14" t="s">
        <v>526</v>
      </c>
      <c r="E166" s="18" t="s">
        <v>9</v>
      </c>
      <c r="F166" s="14" t="s">
        <v>517</v>
      </c>
      <c r="G166" s="14" t="s">
        <v>518</v>
      </c>
      <c r="H166" s="18" t="s">
        <v>5</v>
      </c>
      <c r="I166" s="14" t="s">
        <v>115</v>
      </c>
      <c r="J166" s="14"/>
      <c r="K166" s="18" t="s">
        <v>573</v>
      </c>
      <c r="L166" s="14"/>
      <c r="M166" s="14">
        <v>64</v>
      </c>
      <c r="N166" s="15">
        <v>19491.53</v>
      </c>
      <c r="O166" s="15">
        <f t="shared" si="6"/>
        <v>1247457.92</v>
      </c>
      <c r="P166" s="15"/>
      <c r="Q166" s="14" t="s">
        <v>520</v>
      </c>
      <c r="R166" s="21">
        <v>45107</v>
      </c>
      <c r="S166" s="22" t="str">
        <f>TEXT(Table1[[#This Row],[End Date]],"MMMM")</f>
        <v>June</v>
      </c>
      <c r="T166" s="23" t="str">
        <f>TEXT(Table1[[#This Row],[End Date]],"YYYY")</f>
        <v>2023</v>
      </c>
      <c r="U166" s="24">
        <f t="shared" ca="1" si="7"/>
        <v>26</v>
      </c>
      <c r="V166" s="14" t="str" cm="1">
        <f t="array" aca="1" ref="V166" ca="1">_xlfn.IFS(Table1[[#This Row],[Agreement Days]]&gt;=0,"Expired",Table1[[#This Row],[Agreement Days]]&gt;=-30,"Expires &lt; 30 Days",Table1[[#This Row],[Agreement Days]]&gt;=-60,"Expires &lt; 60 Days",Table1[[#This Row],[Agreement Days]]&lt;-60,"Valid Contract")</f>
        <v>Expired</v>
      </c>
      <c r="W166" s="14" t="s">
        <v>19</v>
      </c>
      <c r="X166" s="14" t="s">
        <v>907</v>
      </c>
      <c r="Y166" s="14" t="s">
        <v>908</v>
      </c>
      <c r="Z166" s="17">
        <v>788486449</v>
      </c>
      <c r="AA166" s="17"/>
      <c r="AB166" s="116"/>
      <c r="AC166" s="116"/>
    </row>
    <row r="167" spans="1:29" s="12" customFormat="1" hidden="1" x14ac:dyDescent="0.3">
      <c r="A167" s="18" t="s">
        <v>910</v>
      </c>
      <c r="B167" s="18" t="s">
        <v>100</v>
      </c>
      <c r="C167" s="18" t="s">
        <v>911</v>
      </c>
      <c r="D167" s="14" t="s">
        <v>769</v>
      </c>
      <c r="E167" s="18" t="s">
        <v>9</v>
      </c>
      <c r="F167" s="14" t="s">
        <v>631</v>
      </c>
      <c r="G167" s="14" t="s">
        <v>518</v>
      </c>
      <c r="H167" s="18" t="s">
        <v>5</v>
      </c>
      <c r="I167" s="14" t="s">
        <v>117</v>
      </c>
      <c r="J167" s="14">
        <v>1</v>
      </c>
      <c r="K167" s="14" t="s">
        <v>677</v>
      </c>
      <c r="L167" s="14"/>
      <c r="M167" s="14">
        <v>1</v>
      </c>
      <c r="N167" s="15">
        <v>90000</v>
      </c>
      <c r="O167" s="15">
        <f t="shared" si="6"/>
        <v>90000</v>
      </c>
      <c r="P167" s="15"/>
      <c r="Q167" s="14" t="s">
        <v>520</v>
      </c>
      <c r="R167" s="21">
        <v>45107</v>
      </c>
      <c r="S167" s="22" t="str">
        <f>TEXT(Table1[[#This Row],[End Date]],"MMMM")</f>
        <v>June</v>
      </c>
      <c r="T167" s="23" t="str">
        <f>TEXT(Table1[[#This Row],[End Date]],"YYYY")</f>
        <v>2023</v>
      </c>
      <c r="U167" s="24">
        <f t="shared" ca="1" si="7"/>
        <v>26</v>
      </c>
      <c r="V167" s="14" t="str" cm="1">
        <f t="array" aca="1" ref="V167" ca="1">_xlfn.IFS(Table1[[#This Row],[Agreement Days]]&gt;=0,"Expired",Table1[[#This Row],[Agreement Days]]&gt;=-30,"Expires &lt; 30 Days",Table1[[#This Row],[Agreement Days]]&gt;=-60,"Expires &lt; 60 Days",Table1[[#This Row],[Agreement Days]]&lt;-60,"Valid Contract")</f>
        <v>Expired</v>
      </c>
      <c r="W167" s="14" t="s">
        <v>13</v>
      </c>
      <c r="X167" s="14" t="s">
        <v>912</v>
      </c>
      <c r="Y167" s="71" t="s">
        <v>913</v>
      </c>
      <c r="Z167" s="17" t="s">
        <v>914</v>
      </c>
      <c r="AA167" s="17"/>
      <c r="AB167" s="116"/>
      <c r="AC167" s="116"/>
    </row>
    <row r="168" spans="1:29" s="12" customFormat="1" hidden="1" x14ac:dyDescent="0.3">
      <c r="A168" s="18" t="s">
        <v>915</v>
      </c>
      <c r="B168" s="18" t="s">
        <v>319</v>
      </c>
      <c r="C168" s="18" t="s">
        <v>319</v>
      </c>
      <c r="D168" s="14" t="s">
        <v>545</v>
      </c>
      <c r="E168" s="18" t="s">
        <v>9</v>
      </c>
      <c r="F168" s="14" t="s">
        <v>517</v>
      </c>
      <c r="G168" s="14" t="s">
        <v>518</v>
      </c>
      <c r="H168" s="18" t="s">
        <v>5</v>
      </c>
      <c r="I168" s="14" t="s">
        <v>117</v>
      </c>
      <c r="J168" s="14">
        <v>10</v>
      </c>
      <c r="K168" s="14" t="s">
        <v>547</v>
      </c>
      <c r="L168" s="14"/>
      <c r="M168" s="14">
        <v>1</v>
      </c>
      <c r="N168" s="15">
        <v>510000</v>
      </c>
      <c r="O168" s="15">
        <f t="shared" si="6"/>
        <v>510000</v>
      </c>
      <c r="P168" s="15"/>
      <c r="Q168" s="14" t="s">
        <v>520</v>
      </c>
      <c r="R168" s="21">
        <v>46203</v>
      </c>
      <c r="S168" s="22" t="str">
        <f>TEXT(Table1[[#This Row],[End Date]],"MMMM")</f>
        <v>June</v>
      </c>
      <c r="T168" s="23" t="str">
        <f>TEXT(Table1[[#This Row],[End Date]],"YYYY")</f>
        <v>2026</v>
      </c>
      <c r="U168" s="24">
        <f t="shared" ca="1" si="7"/>
        <v>-1070</v>
      </c>
      <c r="V168" s="14" t="str" cm="1">
        <f t="array" aca="1" ref="V168" ca="1">_xlfn.IFS(Table1[[#This Row],[Agreement Days]]&gt;=0,"Expired",Table1[[#This Row],[Agreement Days]]&gt;=-30,"Expires &lt; 30 Days",Table1[[#This Row],[Agreement Days]]&gt;=-60,"Expires &lt; 60 Days",Table1[[#This Row],[Agreement Days]]&lt;-60,"Valid Contract")</f>
        <v>Valid Contract</v>
      </c>
      <c r="W168" s="14" t="s">
        <v>20</v>
      </c>
      <c r="X168" s="26" t="s">
        <v>916</v>
      </c>
      <c r="Y168" s="45" t="s">
        <v>917</v>
      </c>
      <c r="Z168" s="17" t="s">
        <v>918</v>
      </c>
      <c r="AA168" s="19"/>
      <c r="AB168" s="116"/>
      <c r="AC168" s="116"/>
    </row>
    <row r="169" spans="1:29" s="12" customFormat="1" hidden="1" x14ac:dyDescent="0.3">
      <c r="A169" s="18" t="s">
        <v>915</v>
      </c>
      <c r="B169" s="18" t="s">
        <v>319</v>
      </c>
      <c r="C169" s="18" t="s">
        <v>319</v>
      </c>
      <c r="D169" s="14" t="s">
        <v>545</v>
      </c>
      <c r="E169" s="18" t="s">
        <v>9</v>
      </c>
      <c r="F169" s="14" t="s">
        <v>517</v>
      </c>
      <c r="G169" s="14" t="s">
        <v>518</v>
      </c>
      <c r="H169" s="18" t="s">
        <v>4</v>
      </c>
      <c r="I169" s="14" t="s">
        <v>118</v>
      </c>
      <c r="J169" s="14"/>
      <c r="K169" s="14" t="s">
        <v>650</v>
      </c>
      <c r="L169" s="14"/>
      <c r="M169" s="14">
        <v>1</v>
      </c>
      <c r="N169" s="15">
        <v>369325.42</v>
      </c>
      <c r="O169" s="15">
        <f t="shared" si="6"/>
        <v>369325.42</v>
      </c>
      <c r="P169" s="15"/>
      <c r="Q169" s="14" t="s">
        <v>520</v>
      </c>
      <c r="R169" s="21">
        <v>46203</v>
      </c>
      <c r="S169" s="22" t="str">
        <f>TEXT(Table1[[#This Row],[End Date]],"MMMM")</f>
        <v>June</v>
      </c>
      <c r="T169" s="23" t="str">
        <f>TEXT(Table1[[#This Row],[End Date]],"YYYY")</f>
        <v>2026</v>
      </c>
      <c r="U169" s="24">
        <f t="shared" ca="1" si="7"/>
        <v>-1070</v>
      </c>
      <c r="V169" s="14" t="str" cm="1">
        <f t="array" aca="1" ref="V169" ca="1">_xlfn.IFS(Table1[[#This Row],[Agreement Days]]&gt;=0,"Expired",Table1[[#This Row],[Agreement Days]]&gt;=-30,"Expires &lt; 30 Days",Table1[[#This Row],[Agreement Days]]&gt;=-60,"Expires &lt; 60 Days",Table1[[#This Row],[Agreement Days]]&lt;-60,"Valid Contract")</f>
        <v>Valid Contract</v>
      </c>
      <c r="W169" s="14" t="s">
        <v>20</v>
      </c>
      <c r="X169" s="26" t="s">
        <v>916</v>
      </c>
      <c r="Y169" s="16" t="s">
        <v>917</v>
      </c>
      <c r="Z169" s="17" t="s">
        <v>918</v>
      </c>
      <c r="AA169" s="19"/>
      <c r="AB169" s="116"/>
      <c r="AC169" s="116"/>
    </row>
    <row r="170" spans="1:29" s="12" customFormat="1" hidden="1" x14ac:dyDescent="0.3">
      <c r="A170" s="18" t="s">
        <v>915</v>
      </c>
      <c r="B170" s="18" t="s">
        <v>319</v>
      </c>
      <c r="C170" s="18" t="s">
        <v>319</v>
      </c>
      <c r="D170" s="14" t="s">
        <v>545</v>
      </c>
      <c r="E170" s="18" t="s">
        <v>9</v>
      </c>
      <c r="F170" s="14" t="s">
        <v>517</v>
      </c>
      <c r="G170" s="14" t="s">
        <v>518</v>
      </c>
      <c r="H170" s="18" t="s">
        <v>5</v>
      </c>
      <c r="I170" s="14" t="s">
        <v>115</v>
      </c>
      <c r="J170" s="14"/>
      <c r="K170" s="18" t="s">
        <v>643</v>
      </c>
      <c r="L170" s="14"/>
      <c r="M170" s="14">
        <v>1</v>
      </c>
      <c r="N170" s="15">
        <v>28305.08</v>
      </c>
      <c r="O170" s="15">
        <f t="shared" si="6"/>
        <v>28305.08</v>
      </c>
      <c r="P170" s="15"/>
      <c r="Q170" s="14" t="s">
        <v>520</v>
      </c>
      <c r="R170" s="21">
        <v>45482</v>
      </c>
      <c r="S170" s="22" t="str">
        <f>TEXT(Table1[[#This Row],[End Date]],"MMMM")</f>
        <v>July</v>
      </c>
      <c r="T170" s="23" t="str">
        <f>TEXT(Table1[[#This Row],[End Date]],"YYYY")</f>
        <v>2024</v>
      </c>
      <c r="U170" s="24">
        <f t="shared" ca="1" si="7"/>
        <v>-349</v>
      </c>
      <c r="V170" s="14" t="str" cm="1">
        <f t="array" aca="1" ref="V170" ca="1">_xlfn.IFS(Table1[[#This Row],[Agreement Days]]&gt;=0,"Expired",Table1[[#This Row],[Agreement Days]]&gt;=-30,"Expires &lt; 30 Days",Table1[[#This Row],[Agreement Days]]&gt;=-60,"Expires &lt; 60 Days",Table1[[#This Row],[Agreement Days]]&lt;-60,"Valid Contract")</f>
        <v>Valid Contract</v>
      </c>
      <c r="W170" s="14" t="s">
        <v>20</v>
      </c>
      <c r="X170" s="26" t="s">
        <v>916</v>
      </c>
      <c r="Y170" s="16" t="s">
        <v>917</v>
      </c>
      <c r="Z170" s="17" t="s">
        <v>918</v>
      </c>
      <c r="AA170" s="19"/>
      <c r="AB170" s="116"/>
      <c r="AC170" s="116"/>
    </row>
    <row r="171" spans="1:29" s="12" customFormat="1" hidden="1" x14ac:dyDescent="0.3">
      <c r="A171" s="18" t="s">
        <v>919</v>
      </c>
      <c r="B171" s="18" t="s">
        <v>85</v>
      </c>
      <c r="C171" s="18" t="s">
        <v>85</v>
      </c>
      <c r="D171" s="14" t="s">
        <v>579</v>
      </c>
      <c r="E171" s="18" t="s">
        <v>9</v>
      </c>
      <c r="F171" s="14" t="s">
        <v>631</v>
      </c>
      <c r="G171" s="14" t="s">
        <v>518</v>
      </c>
      <c r="H171" s="18" t="s">
        <v>5</v>
      </c>
      <c r="I171" s="14" t="s">
        <v>117</v>
      </c>
      <c r="J171" s="14">
        <v>3</v>
      </c>
      <c r="K171" s="14" t="s">
        <v>632</v>
      </c>
      <c r="L171" s="14"/>
      <c r="M171" s="14">
        <v>1</v>
      </c>
      <c r="N171" s="15">
        <v>180000</v>
      </c>
      <c r="O171" s="15">
        <f t="shared" si="6"/>
        <v>180000</v>
      </c>
      <c r="P171" s="15"/>
      <c r="Q171" s="14" t="s">
        <v>520</v>
      </c>
      <c r="R171" s="21">
        <v>45107</v>
      </c>
      <c r="S171" s="22" t="str">
        <f>TEXT(Table1[[#This Row],[End Date]],"MMMM")</f>
        <v>June</v>
      </c>
      <c r="T171" s="23" t="str">
        <f>TEXT(Table1[[#This Row],[End Date]],"YYYY")</f>
        <v>2023</v>
      </c>
      <c r="U171" s="24">
        <f t="shared" ca="1" si="7"/>
        <v>26</v>
      </c>
      <c r="V171" s="14" t="str" cm="1">
        <f t="array" aca="1" ref="V171" ca="1">_xlfn.IFS(Table1[[#This Row],[Agreement Days]]&gt;=0,"Expired",Table1[[#This Row],[Agreement Days]]&gt;=-30,"Expires &lt; 30 Days",Table1[[#This Row],[Agreement Days]]&gt;=-60,"Expires &lt; 60 Days",Table1[[#This Row],[Agreement Days]]&lt;-60,"Valid Contract")</f>
        <v>Expired</v>
      </c>
      <c r="W171" s="14" t="s">
        <v>13</v>
      </c>
      <c r="X171" s="14" t="s">
        <v>920</v>
      </c>
      <c r="Y171" s="43" t="s">
        <v>921</v>
      </c>
      <c r="Z171" s="17">
        <v>788217212</v>
      </c>
      <c r="AA171" s="17"/>
      <c r="AB171" s="116"/>
      <c r="AC171" s="116"/>
    </row>
    <row r="172" spans="1:29" s="12" customFormat="1" hidden="1" x14ac:dyDescent="0.3">
      <c r="A172" s="18" t="s">
        <v>922</v>
      </c>
      <c r="B172" s="18" t="s">
        <v>363</v>
      </c>
      <c r="C172" s="18" t="s">
        <v>923</v>
      </c>
      <c r="D172" s="14" t="s">
        <v>808</v>
      </c>
      <c r="E172" s="18" t="s">
        <v>9</v>
      </c>
      <c r="F172" s="14" t="s">
        <v>688</v>
      </c>
      <c r="G172" s="14" t="s">
        <v>518</v>
      </c>
      <c r="H172" s="18" t="s">
        <v>5</v>
      </c>
      <c r="I172" s="14" t="s">
        <v>117</v>
      </c>
      <c r="J172" s="14">
        <v>10</v>
      </c>
      <c r="K172" s="18" t="s">
        <v>547</v>
      </c>
      <c r="L172" s="18"/>
      <c r="M172" s="14">
        <v>1</v>
      </c>
      <c r="N172" s="15">
        <v>510000</v>
      </c>
      <c r="O172" s="15">
        <f t="shared" si="6"/>
        <v>510000</v>
      </c>
      <c r="P172" s="15"/>
      <c r="Q172" s="14" t="s">
        <v>520</v>
      </c>
      <c r="R172" s="25">
        <v>45107</v>
      </c>
      <c r="S172" s="34" t="str">
        <f>TEXT(Table1[[#This Row],[End Date]],"MMMM")</f>
        <v>June</v>
      </c>
      <c r="T172" s="34" t="str">
        <f>TEXT(Table1[[#This Row],[End Date]],"YYYY")</f>
        <v>2023</v>
      </c>
      <c r="U172" s="24">
        <f t="shared" ca="1" si="7"/>
        <v>26</v>
      </c>
      <c r="V172" s="14" t="str" cm="1">
        <f t="array" aca="1" ref="V172" ca="1">_xlfn.IFS(Table1[[#This Row],[Agreement Days]]&gt;=0,"Expired",Table1[[#This Row],[Agreement Days]]&gt;=-30,"Expires &lt; 30 Days",Table1[[#This Row],[Agreement Days]]&gt;=-60,"Expires &lt; 60 Days",Table1[[#This Row],[Agreement Days]]&lt;-60,"Valid Contract")</f>
        <v>Expired</v>
      </c>
      <c r="W172" s="18" t="s">
        <v>21</v>
      </c>
      <c r="X172" s="18" t="s">
        <v>924</v>
      </c>
      <c r="Y172" s="42" t="s">
        <v>925</v>
      </c>
      <c r="Z172" s="27" t="s">
        <v>926</v>
      </c>
      <c r="AA172" s="27"/>
      <c r="AB172" s="116"/>
      <c r="AC172" s="116"/>
    </row>
    <row r="173" spans="1:29" s="12" customFormat="1" hidden="1" x14ac:dyDescent="0.3">
      <c r="A173" s="18" t="s">
        <v>927</v>
      </c>
      <c r="B173" s="18" t="s">
        <v>355</v>
      </c>
      <c r="C173" s="18" t="s">
        <v>928</v>
      </c>
      <c r="D173" s="14" t="s">
        <v>929</v>
      </c>
      <c r="E173" s="18" t="s">
        <v>9</v>
      </c>
      <c r="F173" s="14" t="s">
        <v>688</v>
      </c>
      <c r="G173" s="14" t="s">
        <v>518</v>
      </c>
      <c r="H173" s="18" t="s">
        <v>5</v>
      </c>
      <c r="I173" s="14" t="s">
        <v>117</v>
      </c>
      <c r="J173" s="14">
        <v>10</v>
      </c>
      <c r="K173" s="18" t="s">
        <v>547</v>
      </c>
      <c r="L173" s="18"/>
      <c r="M173" s="14">
        <v>1</v>
      </c>
      <c r="N173" s="15">
        <v>510000</v>
      </c>
      <c r="O173" s="15">
        <f t="shared" si="6"/>
        <v>510000</v>
      </c>
      <c r="P173" s="15"/>
      <c r="Q173" s="14" t="s">
        <v>520</v>
      </c>
      <c r="R173" s="25">
        <v>45107</v>
      </c>
      <c r="S173" s="34" t="str">
        <f>TEXT(Table1[[#This Row],[End Date]],"MMMM")</f>
        <v>June</v>
      </c>
      <c r="T173" s="34" t="str">
        <f>TEXT(Table1[[#This Row],[End Date]],"YYYY")</f>
        <v>2023</v>
      </c>
      <c r="U173" s="24">
        <f t="shared" ca="1" si="7"/>
        <v>26</v>
      </c>
      <c r="V173" s="14" t="str" cm="1">
        <f t="array" aca="1" ref="V173" ca="1">_xlfn.IFS(Table1[[#This Row],[Agreement Days]]&gt;=0,"Expired",Table1[[#This Row],[Agreement Days]]&gt;=-30,"Expires &lt; 30 Days",Table1[[#This Row],[Agreement Days]]&gt;=-60,"Expires &lt; 60 Days",Table1[[#This Row],[Agreement Days]]&lt;-60,"Valid Contract")</f>
        <v>Expired</v>
      </c>
      <c r="W173" s="18" t="s">
        <v>21</v>
      </c>
      <c r="X173" s="18" t="s">
        <v>930</v>
      </c>
      <c r="Y173" s="42" t="s">
        <v>931</v>
      </c>
      <c r="Z173" s="27">
        <v>788876749</v>
      </c>
      <c r="AA173" s="27"/>
      <c r="AB173" s="116"/>
      <c r="AC173" s="116"/>
    </row>
    <row r="174" spans="1:29" s="12" customFormat="1" hidden="1" x14ac:dyDescent="0.3">
      <c r="A174" s="18" t="s">
        <v>932</v>
      </c>
      <c r="B174" s="18" t="s">
        <v>195</v>
      </c>
      <c r="C174" s="18" t="s">
        <v>515</v>
      </c>
      <c r="D174" s="14" t="s">
        <v>540</v>
      </c>
      <c r="E174" s="18" t="s">
        <v>9</v>
      </c>
      <c r="F174" s="14" t="s">
        <v>517</v>
      </c>
      <c r="G174" s="14" t="s">
        <v>518</v>
      </c>
      <c r="H174" s="18" t="s">
        <v>5</v>
      </c>
      <c r="I174" s="14" t="s">
        <v>117</v>
      </c>
      <c r="J174" s="14">
        <v>3</v>
      </c>
      <c r="K174" s="18" t="s">
        <v>646</v>
      </c>
      <c r="L174" s="18"/>
      <c r="M174" s="14">
        <v>1</v>
      </c>
      <c r="N174" s="15">
        <v>180000</v>
      </c>
      <c r="O174" s="15">
        <f t="shared" si="6"/>
        <v>180000</v>
      </c>
      <c r="P174" s="15"/>
      <c r="Q174" s="14" t="s">
        <v>520</v>
      </c>
      <c r="R174" s="25">
        <v>45107</v>
      </c>
      <c r="S174" s="34" t="str">
        <f>TEXT(Table1[[#This Row],[End Date]],"MMMM")</f>
        <v>June</v>
      </c>
      <c r="T174" s="34" t="str">
        <f>TEXT(Table1[[#This Row],[End Date]],"YYYY")</f>
        <v>2023</v>
      </c>
      <c r="U174" s="24">
        <f t="shared" ca="1" si="7"/>
        <v>26</v>
      </c>
      <c r="V174" s="14" t="str" cm="1">
        <f t="array" aca="1" ref="V174" ca="1">_xlfn.IFS(Table1[[#This Row],[Agreement Days]]&gt;=0,"Expired",Table1[[#This Row],[Agreement Days]]&gt;=-30,"Expires &lt; 30 Days",Table1[[#This Row],[Agreement Days]]&gt;=-60,"Expires &lt; 60 Days",Table1[[#This Row],[Agreement Days]]&lt;-60,"Valid Contract")</f>
        <v>Expired</v>
      </c>
      <c r="W174" s="18" t="s">
        <v>18</v>
      </c>
      <c r="X174" s="18" t="s">
        <v>933</v>
      </c>
      <c r="Y174" s="35" t="s">
        <v>934</v>
      </c>
      <c r="Z174" s="36" t="s">
        <v>935</v>
      </c>
      <c r="AA174" s="36"/>
      <c r="AB174" s="121"/>
      <c r="AC174" s="121"/>
    </row>
    <row r="175" spans="1:29" s="12" customFormat="1" hidden="1" x14ac:dyDescent="0.3">
      <c r="A175" s="18" t="s">
        <v>932</v>
      </c>
      <c r="B175" s="18" t="s">
        <v>195</v>
      </c>
      <c r="C175" s="18" t="s">
        <v>544</v>
      </c>
      <c r="D175" s="14" t="s">
        <v>540</v>
      </c>
      <c r="E175" s="18" t="s">
        <v>9</v>
      </c>
      <c r="F175" s="14" t="s">
        <v>517</v>
      </c>
      <c r="G175" s="14" t="s">
        <v>518</v>
      </c>
      <c r="H175" s="18" t="s">
        <v>5</v>
      </c>
      <c r="I175" s="14" t="s">
        <v>117</v>
      </c>
      <c r="J175" s="14">
        <v>15</v>
      </c>
      <c r="K175" s="18" t="s">
        <v>899</v>
      </c>
      <c r="L175" s="18"/>
      <c r="M175" s="14">
        <v>1</v>
      </c>
      <c r="N175" s="15">
        <v>720000</v>
      </c>
      <c r="O175" s="15">
        <f t="shared" si="6"/>
        <v>720000</v>
      </c>
      <c r="P175" s="15"/>
      <c r="Q175" s="14" t="s">
        <v>520</v>
      </c>
      <c r="R175" s="25">
        <v>45107</v>
      </c>
      <c r="S175" s="34" t="str">
        <f>TEXT(Table1[[#This Row],[End Date]],"MMMM")</f>
        <v>June</v>
      </c>
      <c r="T175" s="34" t="str">
        <f>TEXT(Table1[[#This Row],[End Date]],"YYYY")</f>
        <v>2023</v>
      </c>
      <c r="U175" s="24">
        <f t="shared" ca="1" si="7"/>
        <v>26</v>
      </c>
      <c r="V175" s="14" t="str" cm="1">
        <f t="array" aca="1" ref="V175" ca="1">_xlfn.IFS(Table1[[#This Row],[Agreement Days]]&gt;=0,"Expired",Table1[[#This Row],[Agreement Days]]&gt;=-30,"Expires &lt; 30 Days",Table1[[#This Row],[Agreement Days]]&gt;=-60,"Expires &lt; 60 Days",Table1[[#This Row],[Agreement Days]]&lt;-60,"Valid Contract")</f>
        <v>Expired</v>
      </c>
      <c r="W175" s="18" t="s">
        <v>18</v>
      </c>
      <c r="X175" s="18" t="s">
        <v>933</v>
      </c>
      <c r="Y175" s="35" t="s">
        <v>934</v>
      </c>
      <c r="Z175" s="36" t="s">
        <v>935</v>
      </c>
      <c r="AA175" s="27"/>
      <c r="AB175" s="116"/>
      <c r="AC175" s="116"/>
    </row>
    <row r="176" spans="1:29" s="12" customFormat="1" hidden="1" x14ac:dyDescent="0.3">
      <c r="A176" s="18" t="s">
        <v>932</v>
      </c>
      <c r="B176" s="18" t="s">
        <v>195</v>
      </c>
      <c r="C176" s="18" t="s">
        <v>544</v>
      </c>
      <c r="D176" s="14" t="s">
        <v>540</v>
      </c>
      <c r="E176" s="18" t="s">
        <v>9</v>
      </c>
      <c r="F176" s="14" t="s">
        <v>517</v>
      </c>
      <c r="G176" s="14" t="s">
        <v>518</v>
      </c>
      <c r="H176" s="18" t="s">
        <v>2</v>
      </c>
      <c r="I176" s="14" t="s">
        <v>120</v>
      </c>
      <c r="J176" s="18"/>
      <c r="K176" s="18" t="s">
        <v>649</v>
      </c>
      <c r="L176" s="18"/>
      <c r="M176" s="14">
        <v>1</v>
      </c>
      <c r="N176" s="15">
        <v>258044.92</v>
      </c>
      <c r="O176" s="15">
        <f t="shared" si="6"/>
        <v>258044.92</v>
      </c>
      <c r="P176" s="15"/>
      <c r="Q176" s="14" t="s">
        <v>520</v>
      </c>
      <c r="R176" s="25">
        <v>45107</v>
      </c>
      <c r="S176" s="34" t="str">
        <f>TEXT(Table1[[#This Row],[End Date]],"MMMM")</f>
        <v>June</v>
      </c>
      <c r="T176" s="34" t="str">
        <f>TEXT(Table1[[#This Row],[End Date]],"YYYY")</f>
        <v>2023</v>
      </c>
      <c r="U176" s="24">
        <f t="shared" ca="1" si="7"/>
        <v>26</v>
      </c>
      <c r="V176" s="14" t="str" cm="1">
        <f t="array" aca="1" ref="V176" ca="1">_xlfn.IFS(Table1[[#This Row],[Agreement Days]]&gt;=0,"Expired",Table1[[#This Row],[Agreement Days]]&gt;=-30,"Expires &lt; 30 Days",Table1[[#This Row],[Agreement Days]]&gt;=-60,"Expires &lt; 60 Days",Table1[[#This Row],[Agreement Days]]&lt;-60,"Valid Contract")</f>
        <v>Expired</v>
      </c>
      <c r="W176" s="18" t="s">
        <v>18</v>
      </c>
      <c r="X176" s="18" t="s">
        <v>933</v>
      </c>
      <c r="Y176" s="35" t="s">
        <v>934</v>
      </c>
      <c r="Z176" s="36" t="s">
        <v>935</v>
      </c>
      <c r="AA176" s="27"/>
      <c r="AB176" s="116"/>
      <c r="AC176" s="116"/>
    </row>
    <row r="177" spans="1:29" s="12" customFormat="1" hidden="1" x14ac:dyDescent="0.3">
      <c r="A177" s="18" t="s">
        <v>932</v>
      </c>
      <c r="B177" s="18" t="s">
        <v>195</v>
      </c>
      <c r="C177" s="18" t="s">
        <v>544</v>
      </c>
      <c r="D177" s="14" t="s">
        <v>540</v>
      </c>
      <c r="E177" s="18" t="s">
        <v>9</v>
      </c>
      <c r="F177" s="14" t="s">
        <v>517</v>
      </c>
      <c r="G177" s="14" t="s">
        <v>518</v>
      </c>
      <c r="H177" s="18" t="s">
        <v>4</v>
      </c>
      <c r="I177" s="14" t="s">
        <v>118</v>
      </c>
      <c r="J177" s="18"/>
      <c r="K177" s="18" t="s">
        <v>650</v>
      </c>
      <c r="L177" s="18"/>
      <c r="M177" s="14">
        <v>1</v>
      </c>
      <c r="N177" s="15">
        <v>369325.42</v>
      </c>
      <c r="O177" s="15">
        <f t="shared" si="6"/>
        <v>369325.42</v>
      </c>
      <c r="P177" s="15"/>
      <c r="Q177" s="14" t="s">
        <v>520</v>
      </c>
      <c r="R177" s="25">
        <v>45107</v>
      </c>
      <c r="S177" s="34" t="str">
        <f>TEXT(Table1[[#This Row],[End Date]],"MMMM")</f>
        <v>June</v>
      </c>
      <c r="T177" s="34" t="str">
        <f>TEXT(Table1[[#This Row],[End Date]],"YYYY")</f>
        <v>2023</v>
      </c>
      <c r="U177" s="24">
        <f t="shared" ca="1" si="7"/>
        <v>26</v>
      </c>
      <c r="V177" s="14" t="str" cm="1">
        <f t="array" aca="1" ref="V177" ca="1">_xlfn.IFS(Table1[[#This Row],[Agreement Days]]&gt;=0,"Expired",Table1[[#This Row],[Agreement Days]]&gt;=-30,"Expires &lt; 30 Days",Table1[[#This Row],[Agreement Days]]&gt;=-60,"Expires &lt; 60 Days",Table1[[#This Row],[Agreement Days]]&lt;-60,"Valid Contract")</f>
        <v>Expired</v>
      </c>
      <c r="W177" s="18" t="s">
        <v>18</v>
      </c>
      <c r="X177" s="18" t="s">
        <v>933</v>
      </c>
      <c r="Y177" s="35" t="s">
        <v>934</v>
      </c>
      <c r="Z177" s="36" t="s">
        <v>935</v>
      </c>
      <c r="AA177" s="27"/>
      <c r="AB177" s="116"/>
      <c r="AC177" s="116"/>
    </row>
    <row r="178" spans="1:29" s="12" customFormat="1" hidden="1" x14ac:dyDescent="0.3">
      <c r="A178" s="18" t="s">
        <v>932</v>
      </c>
      <c r="B178" s="18" t="s">
        <v>195</v>
      </c>
      <c r="C178" s="18" t="s">
        <v>544</v>
      </c>
      <c r="D178" s="14" t="s">
        <v>540</v>
      </c>
      <c r="E178" s="18" t="s">
        <v>9</v>
      </c>
      <c r="F178" s="14" t="s">
        <v>517</v>
      </c>
      <c r="G178" s="14" t="s">
        <v>518</v>
      </c>
      <c r="H178" s="18" t="s">
        <v>5</v>
      </c>
      <c r="I178" s="14" t="s">
        <v>115</v>
      </c>
      <c r="J178" s="18"/>
      <c r="K178" s="18" t="s">
        <v>657</v>
      </c>
      <c r="L178" s="18"/>
      <c r="M178" s="14">
        <v>3</v>
      </c>
      <c r="N178" s="15">
        <v>45338.98</v>
      </c>
      <c r="O178" s="15">
        <f t="shared" si="6"/>
        <v>136016.94</v>
      </c>
      <c r="P178" s="15"/>
      <c r="Q178" s="14" t="s">
        <v>520</v>
      </c>
      <c r="R178" s="25">
        <v>45107</v>
      </c>
      <c r="S178" s="34" t="str">
        <f>TEXT(Table1[[#This Row],[End Date]],"MMMM")</f>
        <v>June</v>
      </c>
      <c r="T178" s="34" t="str">
        <f>TEXT(Table1[[#This Row],[End Date]],"YYYY")</f>
        <v>2023</v>
      </c>
      <c r="U178" s="24">
        <f t="shared" ca="1" si="7"/>
        <v>26</v>
      </c>
      <c r="V178" s="14" t="str" cm="1">
        <f t="array" aca="1" ref="V178" ca="1">_xlfn.IFS(Table1[[#This Row],[Agreement Days]]&gt;=0,"Expired",Table1[[#This Row],[Agreement Days]]&gt;=-30,"Expires &lt; 30 Days",Table1[[#This Row],[Agreement Days]]&gt;=-60,"Expires &lt; 60 Days",Table1[[#This Row],[Agreement Days]]&lt;-60,"Valid Contract")</f>
        <v>Expired</v>
      </c>
      <c r="W178" s="18" t="s">
        <v>18</v>
      </c>
      <c r="X178" s="18" t="s">
        <v>933</v>
      </c>
      <c r="Y178" s="35" t="s">
        <v>934</v>
      </c>
      <c r="Z178" s="36" t="s">
        <v>935</v>
      </c>
      <c r="AA178" s="27"/>
      <c r="AB178" s="116"/>
      <c r="AC178" s="116"/>
    </row>
    <row r="179" spans="1:29" s="12" customFormat="1" hidden="1" x14ac:dyDescent="0.3">
      <c r="A179" s="18" t="s">
        <v>932</v>
      </c>
      <c r="B179" s="18" t="s">
        <v>195</v>
      </c>
      <c r="C179" s="18" t="s">
        <v>544</v>
      </c>
      <c r="D179" s="14" t="s">
        <v>540</v>
      </c>
      <c r="E179" s="18" t="s">
        <v>9</v>
      </c>
      <c r="F179" s="14" t="s">
        <v>517</v>
      </c>
      <c r="G179" s="14" t="s">
        <v>518</v>
      </c>
      <c r="H179" s="18" t="s">
        <v>5</v>
      </c>
      <c r="I179" s="14" t="s">
        <v>115</v>
      </c>
      <c r="J179" s="18"/>
      <c r="K179" s="18" t="s">
        <v>936</v>
      </c>
      <c r="L179" s="18"/>
      <c r="M179" s="14">
        <v>4</v>
      </c>
      <c r="N179" s="15">
        <v>77711.86</v>
      </c>
      <c r="O179" s="15">
        <f t="shared" si="6"/>
        <v>310847.44</v>
      </c>
      <c r="P179" s="15"/>
      <c r="Q179" s="14" t="s">
        <v>520</v>
      </c>
      <c r="R179" s="25">
        <v>45107</v>
      </c>
      <c r="S179" s="34" t="str">
        <f>TEXT(Table1[[#This Row],[End Date]],"MMMM")</f>
        <v>June</v>
      </c>
      <c r="T179" s="34" t="str">
        <f>TEXT(Table1[[#This Row],[End Date]],"YYYY")</f>
        <v>2023</v>
      </c>
      <c r="U179" s="24">
        <f t="shared" ca="1" si="7"/>
        <v>26</v>
      </c>
      <c r="V179" s="14" t="str" cm="1">
        <f t="array" aca="1" ref="V179" ca="1">_xlfn.IFS(Table1[[#This Row],[Agreement Days]]&gt;=0,"Expired",Table1[[#This Row],[Agreement Days]]&gt;=-30,"Expires &lt; 30 Days",Table1[[#This Row],[Agreement Days]]&gt;=-60,"Expires &lt; 60 Days",Table1[[#This Row],[Agreement Days]]&lt;-60,"Valid Contract")</f>
        <v>Expired</v>
      </c>
      <c r="W179" s="18" t="s">
        <v>18</v>
      </c>
      <c r="X179" s="18" t="s">
        <v>933</v>
      </c>
      <c r="Y179" s="35" t="s">
        <v>934</v>
      </c>
      <c r="Z179" s="36" t="s">
        <v>935</v>
      </c>
      <c r="AA179" s="27"/>
      <c r="AB179" s="116"/>
      <c r="AC179" s="116"/>
    </row>
    <row r="180" spans="1:29" s="12" customFormat="1" hidden="1" x14ac:dyDescent="0.3">
      <c r="A180" s="18" t="s">
        <v>932</v>
      </c>
      <c r="B180" s="18" t="s">
        <v>195</v>
      </c>
      <c r="C180" s="18" t="s">
        <v>544</v>
      </c>
      <c r="D180" s="14" t="s">
        <v>540</v>
      </c>
      <c r="E180" s="18" t="s">
        <v>9</v>
      </c>
      <c r="F180" s="14" t="s">
        <v>517</v>
      </c>
      <c r="G180" s="14" t="s">
        <v>518</v>
      </c>
      <c r="H180" s="18" t="s">
        <v>5</v>
      </c>
      <c r="I180" s="14" t="s">
        <v>115</v>
      </c>
      <c r="J180" s="18"/>
      <c r="K180" s="18" t="s">
        <v>573</v>
      </c>
      <c r="L180" s="18"/>
      <c r="M180" s="14">
        <v>6</v>
      </c>
      <c r="N180" s="15">
        <v>19491.53</v>
      </c>
      <c r="O180" s="15">
        <f t="shared" si="6"/>
        <v>116949.18</v>
      </c>
      <c r="P180" s="15"/>
      <c r="Q180" s="14" t="s">
        <v>520</v>
      </c>
      <c r="R180" s="25">
        <v>45107</v>
      </c>
      <c r="S180" s="34" t="str">
        <f>TEXT(Table1[[#This Row],[End Date]],"MMMM")</f>
        <v>June</v>
      </c>
      <c r="T180" s="34" t="str">
        <f>TEXT(Table1[[#This Row],[End Date]],"YYYY")</f>
        <v>2023</v>
      </c>
      <c r="U180" s="24">
        <f t="shared" ca="1" si="7"/>
        <v>26</v>
      </c>
      <c r="V180" s="14" t="str" cm="1">
        <f t="array" aca="1" ref="V180" ca="1">_xlfn.IFS(Table1[[#This Row],[Agreement Days]]&gt;=0,"Expired",Table1[[#This Row],[Agreement Days]]&gt;=-30,"Expires &lt; 30 Days",Table1[[#This Row],[Agreement Days]]&gt;=-60,"Expires &lt; 60 Days",Table1[[#This Row],[Agreement Days]]&lt;-60,"Valid Contract")</f>
        <v>Expired</v>
      </c>
      <c r="W180" s="18" t="s">
        <v>18</v>
      </c>
      <c r="X180" s="18" t="s">
        <v>933</v>
      </c>
      <c r="Y180" s="35" t="s">
        <v>934</v>
      </c>
      <c r="Z180" s="36" t="s">
        <v>935</v>
      </c>
      <c r="AA180" s="27"/>
      <c r="AB180" s="116"/>
      <c r="AC180" s="116"/>
    </row>
    <row r="181" spans="1:29" s="12" customFormat="1" hidden="1" x14ac:dyDescent="0.3">
      <c r="A181" s="18" t="s">
        <v>932</v>
      </c>
      <c r="B181" s="18" t="s">
        <v>195</v>
      </c>
      <c r="C181" s="18" t="s">
        <v>937</v>
      </c>
      <c r="D181" s="14" t="s">
        <v>540</v>
      </c>
      <c r="E181" s="18" t="s">
        <v>9</v>
      </c>
      <c r="F181" s="14" t="s">
        <v>517</v>
      </c>
      <c r="G181" s="14" t="s">
        <v>518</v>
      </c>
      <c r="H181" s="18" t="s">
        <v>5</v>
      </c>
      <c r="I181" s="14" t="s">
        <v>115</v>
      </c>
      <c r="J181" s="18"/>
      <c r="K181" s="18" t="s">
        <v>643</v>
      </c>
      <c r="L181" s="18"/>
      <c r="M181" s="14">
        <v>62</v>
      </c>
      <c r="N181" s="15">
        <v>28305.08</v>
      </c>
      <c r="O181" s="15">
        <f t="shared" si="6"/>
        <v>1754914.9600000002</v>
      </c>
      <c r="P181" s="15"/>
      <c r="Q181" s="14" t="s">
        <v>520</v>
      </c>
      <c r="R181" s="25">
        <v>45107</v>
      </c>
      <c r="S181" s="34" t="str">
        <f>TEXT(Table1[[#This Row],[End Date]],"MMMM")</f>
        <v>June</v>
      </c>
      <c r="T181" s="34" t="str">
        <f>TEXT(Table1[[#This Row],[End Date]],"YYYY")</f>
        <v>2023</v>
      </c>
      <c r="U181" s="24">
        <f t="shared" ca="1" si="7"/>
        <v>26</v>
      </c>
      <c r="V181" s="14" t="str" cm="1">
        <f t="array" aca="1" ref="V181" ca="1">_xlfn.IFS(Table1[[#This Row],[Agreement Days]]&gt;=0,"Expired",Table1[[#This Row],[Agreement Days]]&gt;=-30,"Expires &lt; 30 Days",Table1[[#This Row],[Agreement Days]]&gt;=-60,"Expires &lt; 60 Days",Table1[[#This Row],[Agreement Days]]&lt;-60,"Valid Contract")</f>
        <v>Expired</v>
      </c>
      <c r="W181" s="18" t="s">
        <v>18</v>
      </c>
      <c r="X181" s="18" t="s">
        <v>933</v>
      </c>
      <c r="Y181" s="35" t="s">
        <v>934</v>
      </c>
      <c r="Z181" s="36" t="s">
        <v>935</v>
      </c>
      <c r="AA181" s="27"/>
      <c r="AB181" s="116"/>
      <c r="AC181" s="116"/>
    </row>
    <row r="182" spans="1:29" s="12" customFormat="1" hidden="1" x14ac:dyDescent="0.3">
      <c r="A182" s="18" t="s">
        <v>938</v>
      </c>
      <c r="B182" s="18" t="s">
        <v>93</v>
      </c>
      <c r="C182" s="18" t="s">
        <v>93</v>
      </c>
      <c r="D182" s="14" t="s">
        <v>619</v>
      </c>
      <c r="E182" s="18" t="s">
        <v>9</v>
      </c>
      <c r="F182" s="14" t="s">
        <v>631</v>
      </c>
      <c r="G182" s="14" t="s">
        <v>518</v>
      </c>
      <c r="H182" s="18" t="s">
        <v>5</v>
      </c>
      <c r="I182" s="14" t="s">
        <v>117</v>
      </c>
      <c r="J182" s="14">
        <v>3</v>
      </c>
      <c r="K182" s="18" t="s">
        <v>646</v>
      </c>
      <c r="L182" s="18"/>
      <c r="M182" s="14">
        <v>1</v>
      </c>
      <c r="N182" s="15">
        <v>180000</v>
      </c>
      <c r="O182" s="15">
        <f t="shared" si="6"/>
        <v>180000</v>
      </c>
      <c r="P182" s="15"/>
      <c r="Q182" s="14" t="s">
        <v>520</v>
      </c>
      <c r="R182" s="25">
        <v>45107</v>
      </c>
      <c r="S182" s="34" t="str">
        <f>TEXT(Table1[[#This Row],[End Date]],"MMMM")</f>
        <v>June</v>
      </c>
      <c r="T182" s="34" t="str">
        <f>TEXT(Table1[[#This Row],[End Date]],"YYYY")</f>
        <v>2023</v>
      </c>
      <c r="U182" s="24">
        <f t="shared" ca="1" si="7"/>
        <v>26</v>
      </c>
      <c r="V182" s="14" t="str" cm="1">
        <f t="array" aca="1" ref="V182" ca="1">_xlfn.IFS(Table1[[#This Row],[Agreement Days]]&gt;=0,"Expired",Table1[[#This Row],[Agreement Days]]&gt;=-30,"Expires &lt; 30 Days",Table1[[#This Row],[Agreement Days]]&gt;=-60,"Expires &lt; 60 Days",Table1[[#This Row],[Agreement Days]]&lt;-60,"Valid Contract")</f>
        <v>Expired</v>
      </c>
      <c r="W182" s="18" t="s">
        <v>21</v>
      </c>
      <c r="X182" s="18" t="s">
        <v>939</v>
      </c>
      <c r="Y182" s="42" t="s">
        <v>940</v>
      </c>
      <c r="Z182" s="27">
        <v>788416314</v>
      </c>
      <c r="AA182" s="27"/>
      <c r="AB182" s="116"/>
      <c r="AC182" s="116"/>
    </row>
    <row r="183" spans="1:29" hidden="1" x14ac:dyDescent="0.3">
      <c r="A183" s="18" t="s">
        <v>941</v>
      </c>
      <c r="B183" s="18" t="s">
        <v>310</v>
      </c>
      <c r="C183" s="18" t="s">
        <v>942</v>
      </c>
      <c r="D183" s="14" t="s">
        <v>586</v>
      </c>
      <c r="E183" s="18" t="s">
        <v>9</v>
      </c>
      <c r="F183" s="14" t="s">
        <v>688</v>
      </c>
      <c r="G183" s="14" t="s">
        <v>518</v>
      </c>
      <c r="H183" s="18" t="s">
        <v>5</v>
      </c>
      <c r="I183" s="14" t="s">
        <v>117</v>
      </c>
      <c r="J183" s="14">
        <v>5</v>
      </c>
      <c r="K183" s="18" t="s">
        <v>519</v>
      </c>
      <c r="L183" s="18"/>
      <c r="M183" s="14">
        <v>1</v>
      </c>
      <c r="N183" s="15">
        <v>270000</v>
      </c>
      <c r="O183" s="15">
        <f t="shared" si="6"/>
        <v>270000</v>
      </c>
      <c r="P183" s="15"/>
      <c r="Q183" s="14" t="s">
        <v>520</v>
      </c>
      <c r="R183" s="25">
        <v>45107</v>
      </c>
      <c r="S183" s="34" t="str">
        <f>TEXT(Table1[[#This Row],[End Date]],"MMMM")</f>
        <v>June</v>
      </c>
      <c r="T183" s="34" t="str">
        <f>TEXT(Table1[[#This Row],[End Date]],"YYYY")</f>
        <v>2023</v>
      </c>
      <c r="U183" s="24">
        <f t="shared" ca="1" si="7"/>
        <v>26</v>
      </c>
      <c r="V183" s="14" t="str" cm="1">
        <f t="array" aca="1" ref="V183" ca="1">_xlfn.IFS(Table1[[#This Row],[Agreement Days]]&gt;=0,"Expired",Table1[[#This Row],[Agreement Days]]&gt;=-30,"Expires &lt; 30 Days",Table1[[#This Row],[Agreement Days]]&gt;=-60,"Expires &lt; 60 Days",Table1[[#This Row],[Agreement Days]]&lt;-60,"Valid Contract")</f>
        <v>Expired</v>
      </c>
      <c r="W183" s="18" t="s">
        <v>21</v>
      </c>
      <c r="X183" s="18" t="s">
        <v>943</v>
      </c>
      <c r="Y183" s="42" t="s">
        <v>944</v>
      </c>
      <c r="Z183" s="27">
        <v>785658392</v>
      </c>
      <c r="AA183" s="27"/>
      <c r="AB183" s="116"/>
      <c r="AC183" s="116"/>
    </row>
    <row r="184" spans="1:29" x14ac:dyDescent="0.3">
      <c r="A184" s="18" t="s">
        <v>609</v>
      </c>
      <c r="B184" s="18" t="s">
        <v>140</v>
      </c>
      <c r="C184" s="18" t="s">
        <v>945</v>
      </c>
      <c r="D184" s="14" t="s">
        <v>946</v>
      </c>
      <c r="E184" s="18" t="s">
        <v>10</v>
      </c>
      <c r="F184" s="14" t="s">
        <v>527</v>
      </c>
      <c r="G184" s="14" t="s">
        <v>518</v>
      </c>
      <c r="H184" s="18" t="s">
        <v>3</v>
      </c>
      <c r="I184" s="14" t="s">
        <v>116</v>
      </c>
      <c r="J184" s="14"/>
      <c r="K184" s="14" t="s">
        <v>533</v>
      </c>
      <c r="L184" s="14">
        <v>16.86</v>
      </c>
      <c r="M184" s="14">
        <v>1</v>
      </c>
      <c r="N184" s="15">
        <v>813495</v>
      </c>
      <c r="O184" s="15">
        <f t="shared" si="6"/>
        <v>813495</v>
      </c>
      <c r="P184" s="15"/>
      <c r="Q184" s="14" t="s">
        <v>520</v>
      </c>
      <c r="R184" s="21">
        <v>45107</v>
      </c>
      <c r="S184" s="22" t="str">
        <f>TEXT(Table1[[#This Row],[End Date]],"MMMM")</f>
        <v>June</v>
      </c>
      <c r="T184" s="23" t="str">
        <f>TEXT(Table1[[#This Row],[End Date]],"YYYY")</f>
        <v>2023</v>
      </c>
      <c r="U184" s="24">
        <f t="shared" ca="1" si="7"/>
        <v>26</v>
      </c>
      <c r="V184" s="14" t="str" cm="1">
        <f t="array" aca="1" ref="V184" ca="1">_xlfn.IFS(Table1[[#This Row],[Agreement Days]]&gt;=0,"Expired",Table1[[#This Row],[Agreement Days]]&gt;=-30,"Expires &lt; 30 Days",Table1[[#This Row],[Agreement Days]]&gt;=-60,"Expires &lt; 60 Days",Table1[[#This Row],[Agreement Days]]&lt;-60,"Valid Contract")</f>
        <v>Expired</v>
      </c>
      <c r="W184" s="14" t="s">
        <v>12</v>
      </c>
      <c r="X184" s="14" t="s">
        <v>612</v>
      </c>
      <c r="Y184" s="16" t="s">
        <v>613</v>
      </c>
      <c r="Z184" s="17" t="s">
        <v>614</v>
      </c>
      <c r="AA184" s="17"/>
      <c r="AB184" s="116"/>
      <c r="AC184" s="116"/>
    </row>
    <row r="185" spans="1:29" hidden="1" x14ac:dyDescent="0.3">
      <c r="A185" s="18" t="s">
        <v>947</v>
      </c>
      <c r="B185" s="18" t="s">
        <v>308</v>
      </c>
      <c r="C185" s="18" t="s">
        <v>948</v>
      </c>
      <c r="D185" s="14" t="s">
        <v>586</v>
      </c>
      <c r="E185" s="18" t="s">
        <v>9</v>
      </c>
      <c r="F185" s="14" t="s">
        <v>688</v>
      </c>
      <c r="G185" s="14" t="s">
        <v>518</v>
      </c>
      <c r="H185" s="18" t="s">
        <v>5</v>
      </c>
      <c r="I185" s="14" t="s">
        <v>117</v>
      </c>
      <c r="J185" s="14">
        <v>5</v>
      </c>
      <c r="K185" s="18" t="s">
        <v>519</v>
      </c>
      <c r="L185" s="18"/>
      <c r="M185" s="14">
        <v>1</v>
      </c>
      <c r="N185" s="15">
        <v>270000</v>
      </c>
      <c r="O185" s="15">
        <f t="shared" si="6"/>
        <v>270000</v>
      </c>
      <c r="P185" s="15"/>
      <c r="Q185" s="14" t="s">
        <v>520</v>
      </c>
      <c r="R185" s="25">
        <v>45107</v>
      </c>
      <c r="S185" s="34" t="str">
        <f>TEXT(Table1[[#This Row],[End Date]],"MMMM")</f>
        <v>June</v>
      </c>
      <c r="T185" s="34" t="str">
        <f>TEXT(Table1[[#This Row],[End Date]],"YYYY")</f>
        <v>2023</v>
      </c>
      <c r="U185" s="24">
        <f t="shared" ca="1" si="7"/>
        <v>26</v>
      </c>
      <c r="V185" s="14" t="str" cm="1">
        <f t="array" aca="1" ref="V185" ca="1">_xlfn.IFS(Table1[[#This Row],[Agreement Days]]&gt;=0,"Expired",Table1[[#This Row],[Agreement Days]]&gt;=-30,"Expires &lt; 30 Days",Table1[[#This Row],[Agreement Days]]&gt;=-60,"Expires &lt; 60 Days",Table1[[#This Row],[Agreement Days]]&lt;-60,"Valid Contract")</f>
        <v>Expired</v>
      </c>
      <c r="W185" s="18" t="s">
        <v>21</v>
      </c>
      <c r="X185" s="18" t="s">
        <v>949</v>
      </c>
      <c r="Y185" s="42" t="s">
        <v>950</v>
      </c>
      <c r="Z185" s="27">
        <v>785164119</v>
      </c>
      <c r="AA185" s="27"/>
      <c r="AB185" s="116"/>
      <c r="AC185" s="116"/>
    </row>
    <row r="186" spans="1:29" hidden="1" x14ac:dyDescent="0.3">
      <c r="A186" s="18" t="s">
        <v>947</v>
      </c>
      <c r="B186" s="18" t="s">
        <v>308</v>
      </c>
      <c r="C186" s="18" t="s">
        <v>948</v>
      </c>
      <c r="D186" s="14" t="s">
        <v>586</v>
      </c>
      <c r="E186" s="18" t="s">
        <v>9</v>
      </c>
      <c r="F186" s="14" t="s">
        <v>688</v>
      </c>
      <c r="G186" s="14" t="s">
        <v>518</v>
      </c>
      <c r="H186" s="18" t="s">
        <v>4</v>
      </c>
      <c r="I186" s="14" t="s">
        <v>118</v>
      </c>
      <c r="J186" s="18"/>
      <c r="K186" s="18" t="s">
        <v>650</v>
      </c>
      <c r="L186" s="18"/>
      <c r="M186" s="14">
        <v>1</v>
      </c>
      <c r="N186" s="15">
        <v>369325</v>
      </c>
      <c r="O186" s="15">
        <f t="shared" si="6"/>
        <v>369325</v>
      </c>
      <c r="P186" s="15"/>
      <c r="Q186" s="14" t="s">
        <v>520</v>
      </c>
      <c r="R186" s="25">
        <v>45107</v>
      </c>
      <c r="S186" s="34" t="str">
        <f>TEXT(Table1[[#This Row],[End Date]],"MMMM")</f>
        <v>June</v>
      </c>
      <c r="T186" s="34" t="str">
        <f>TEXT(Table1[[#This Row],[End Date]],"YYYY")</f>
        <v>2023</v>
      </c>
      <c r="U186" s="24">
        <f t="shared" ca="1" si="7"/>
        <v>26</v>
      </c>
      <c r="V186" s="14" t="str" cm="1">
        <f t="array" aca="1" ref="V186" ca="1">_xlfn.IFS(Table1[[#This Row],[Agreement Days]]&gt;=0,"Expired",Table1[[#This Row],[Agreement Days]]&gt;=-30,"Expires &lt; 30 Days",Table1[[#This Row],[Agreement Days]]&gt;=-60,"Expires &lt; 60 Days",Table1[[#This Row],[Agreement Days]]&lt;-60,"Valid Contract")</f>
        <v>Expired</v>
      </c>
      <c r="W186" s="18" t="s">
        <v>21</v>
      </c>
      <c r="X186" s="18" t="s">
        <v>949</v>
      </c>
      <c r="Y186" s="42" t="s">
        <v>950</v>
      </c>
      <c r="Z186" s="27">
        <v>785164119</v>
      </c>
      <c r="AA186" s="27"/>
      <c r="AB186" s="116"/>
      <c r="AC186" s="116"/>
    </row>
    <row r="187" spans="1:29" hidden="1" x14ac:dyDescent="0.3">
      <c r="A187" s="18" t="s">
        <v>951</v>
      </c>
      <c r="B187" s="18" t="s">
        <v>241</v>
      </c>
      <c r="C187" s="18" t="s">
        <v>952</v>
      </c>
      <c r="D187" s="14" t="s">
        <v>545</v>
      </c>
      <c r="E187" s="18" t="s">
        <v>9</v>
      </c>
      <c r="F187" s="14" t="s">
        <v>517</v>
      </c>
      <c r="G187" s="14" t="s">
        <v>546</v>
      </c>
      <c r="H187" s="18" t="s">
        <v>5</v>
      </c>
      <c r="I187" s="14" t="s">
        <v>117</v>
      </c>
      <c r="J187" s="14">
        <v>1</v>
      </c>
      <c r="K187" s="14" t="s">
        <v>816</v>
      </c>
      <c r="L187" s="14"/>
      <c r="M187" s="14">
        <v>1</v>
      </c>
      <c r="N187" s="15">
        <v>90000</v>
      </c>
      <c r="O187" s="15">
        <f t="shared" si="6"/>
        <v>90000</v>
      </c>
      <c r="P187" s="15"/>
      <c r="Q187" s="14" t="s">
        <v>520</v>
      </c>
      <c r="R187" s="21">
        <v>46081</v>
      </c>
      <c r="S187" s="22" t="str">
        <f>TEXT(Table1[[#This Row],[End Date]],"MMMM")</f>
        <v>February</v>
      </c>
      <c r="T187" s="23" t="str">
        <f>TEXT(Table1[[#This Row],[End Date]],"YYYY")</f>
        <v>2026</v>
      </c>
      <c r="U187" s="24">
        <f t="shared" ca="1" si="7"/>
        <v>-948</v>
      </c>
      <c r="V187" s="14" t="str" cm="1">
        <f t="array" aca="1" ref="V187" ca="1">_xlfn.IFS(Table1[[#This Row],[Agreement Days]]&gt;=0,"Expired",Table1[[#This Row],[Agreement Days]]&gt;=-30,"Expires &lt; 30 Days",Table1[[#This Row],[Agreement Days]]&gt;=-60,"Expires &lt; 60 Days",Table1[[#This Row],[Agreement Days]]&lt;-60,"Valid Contract")</f>
        <v>Valid Contract</v>
      </c>
      <c r="W187" s="14" t="s">
        <v>20</v>
      </c>
      <c r="X187" s="26" t="s">
        <v>953</v>
      </c>
      <c r="Y187" s="45" t="s">
        <v>954</v>
      </c>
      <c r="Z187" s="17" t="s">
        <v>955</v>
      </c>
      <c r="AA187" s="19"/>
      <c r="AB187" s="116"/>
      <c r="AC187" s="116"/>
    </row>
    <row r="188" spans="1:29" hidden="1" x14ac:dyDescent="0.3">
      <c r="A188" s="18" t="s">
        <v>951</v>
      </c>
      <c r="B188" s="18" t="s">
        <v>241</v>
      </c>
      <c r="C188" s="18" t="s">
        <v>956</v>
      </c>
      <c r="D188" s="14" t="s">
        <v>545</v>
      </c>
      <c r="E188" s="18" t="s">
        <v>9</v>
      </c>
      <c r="F188" s="14" t="s">
        <v>517</v>
      </c>
      <c r="G188" s="14" t="s">
        <v>546</v>
      </c>
      <c r="H188" s="18" t="s">
        <v>5</v>
      </c>
      <c r="I188" s="14" t="s">
        <v>117</v>
      </c>
      <c r="J188" s="14">
        <v>2</v>
      </c>
      <c r="K188" s="14" t="s">
        <v>957</v>
      </c>
      <c r="L188" s="14"/>
      <c r="M188" s="14">
        <v>1</v>
      </c>
      <c r="N188" s="15">
        <v>150000</v>
      </c>
      <c r="O188" s="15">
        <f t="shared" si="6"/>
        <v>150000</v>
      </c>
      <c r="P188" s="15"/>
      <c r="Q188" s="14" t="s">
        <v>520</v>
      </c>
      <c r="R188" s="21">
        <v>46081</v>
      </c>
      <c r="S188" s="22" t="str">
        <f>TEXT(Table1[[#This Row],[End Date]],"MMMM")</f>
        <v>February</v>
      </c>
      <c r="T188" s="23" t="str">
        <f>TEXT(Table1[[#This Row],[End Date]],"YYYY")</f>
        <v>2026</v>
      </c>
      <c r="U188" s="24">
        <f t="shared" ca="1" si="7"/>
        <v>-948</v>
      </c>
      <c r="V188" s="14" t="str" cm="1">
        <f t="array" aca="1" ref="V188" ca="1">_xlfn.IFS(Table1[[#This Row],[Agreement Days]]&gt;=0,"Expired",Table1[[#This Row],[Agreement Days]]&gt;=-30,"Expires &lt; 30 Days",Table1[[#This Row],[Agreement Days]]&gt;=-60,"Expires &lt; 60 Days",Table1[[#This Row],[Agreement Days]]&lt;-60,"Valid Contract")</f>
        <v>Valid Contract</v>
      </c>
      <c r="W188" s="14" t="s">
        <v>20</v>
      </c>
      <c r="X188" s="26" t="s">
        <v>953</v>
      </c>
      <c r="Y188" s="16" t="s">
        <v>954</v>
      </c>
      <c r="Z188" s="17" t="s">
        <v>955</v>
      </c>
      <c r="AA188" s="19"/>
      <c r="AB188" s="116"/>
      <c r="AC188" s="116"/>
    </row>
    <row r="189" spans="1:29" hidden="1" x14ac:dyDescent="0.3">
      <c r="A189" s="18" t="s">
        <v>951</v>
      </c>
      <c r="B189" s="18" t="s">
        <v>241</v>
      </c>
      <c r="C189" s="18" t="s">
        <v>958</v>
      </c>
      <c r="D189" s="14" t="s">
        <v>545</v>
      </c>
      <c r="E189" s="18" t="s">
        <v>9</v>
      </c>
      <c r="F189" s="14" t="s">
        <v>517</v>
      </c>
      <c r="G189" s="14" t="s">
        <v>546</v>
      </c>
      <c r="H189" s="18" t="s">
        <v>5</v>
      </c>
      <c r="I189" s="14" t="s">
        <v>117</v>
      </c>
      <c r="J189" s="14">
        <v>10</v>
      </c>
      <c r="K189" s="14" t="s">
        <v>547</v>
      </c>
      <c r="L189" s="14"/>
      <c r="M189" s="14">
        <v>1</v>
      </c>
      <c r="N189" s="15">
        <v>510000</v>
      </c>
      <c r="O189" s="15">
        <f t="shared" si="6"/>
        <v>510000</v>
      </c>
      <c r="P189" s="15"/>
      <c r="Q189" s="14" t="s">
        <v>520</v>
      </c>
      <c r="R189" s="21">
        <v>46081</v>
      </c>
      <c r="S189" s="22" t="str">
        <f>TEXT(Table1[[#This Row],[End Date]],"MMMM")</f>
        <v>February</v>
      </c>
      <c r="T189" s="23" t="str">
        <f>TEXT(Table1[[#This Row],[End Date]],"YYYY")</f>
        <v>2026</v>
      </c>
      <c r="U189" s="24">
        <f t="shared" ca="1" si="7"/>
        <v>-948</v>
      </c>
      <c r="V189" s="14" t="str" cm="1">
        <f t="array" aca="1" ref="V189" ca="1">_xlfn.IFS(Table1[[#This Row],[Agreement Days]]&gt;=0,"Expired",Table1[[#This Row],[Agreement Days]]&gt;=-30,"Expires &lt; 30 Days",Table1[[#This Row],[Agreement Days]]&gt;=-60,"Expires &lt; 60 Days",Table1[[#This Row],[Agreement Days]]&lt;-60,"Valid Contract")</f>
        <v>Valid Contract</v>
      </c>
      <c r="W189" s="14" t="s">
        <v>20</v>
      </c>
      <c r="X189" s="26" t="s">
        <v>953</v>
      </c>
      <c r="Y189" s="16" t="s">
        <v>954</v>
      </c>
      <c r="Z189" s="17" t="s">
        <v>955</v>
      </c>
      <c r="AA189" s="19"/>
      <c r="AB189" s="116"/>
      <c r="AC189" s="116"/>
    </row>
    <row r="190" spans="1:29" hidden="1" x14ac:dyDescent="0.3">
      <c r="A190" s="18" t="s">
        <v>951</v>
      </c>
      <c r="B190" s="18" t="s">
        <v>241</v>
      </c>
      <c r="C190" s="18" t="s">
        <v>952</v>
      </c>
      <c r="D190" s="14" t="s">
        <v>545</v>
      </c>
      <c r="E190" s="18" t="s">
        <v>9</v>
      </c>
      <c r="F190" s="14" t="s">
        <v>517</v>
      </c>
      <c r="G190" s="14" t="s">
        <v>546</v>
      </c>
      <c r="H190" s="18" t="s">
        <v>5</v>
      </c>
      <c r="I190" s="14" t="s">
        <v>117</v>
      </c>
      <c r="J190" s="14">
        <v>20</v>
      </c>
      <c r="K190" s="14" t="s">
        <v>689</v>
      </c>
      <c r="L190" s="14"/>
      <c r="M190" s="14">
        <v>1</v>
      </c>
      <c r="N190" s="15">
        <v>900000</v>
      </c>
      <c r="O190" s="15">
        <f t="shared" si="6"/>
        <v>900000</v>
      </c>
      <c r="P190" s="15"/>
      <c r="Q190" s="14" t="s">
        <v>520</v>
      </c>
      <c r="R190" s="21">
        <v>46081</v>
      </c>
      <c r="S190" s="22" t="str">
        <f>TEXT(Table1[[#This Row],[End Date]],"MMMM")</f>
        <v>February</v>
      </c>
      <c r="T190" s="23" t="str">
        <f>TEXT(Table1[[#This Row],[End Date]],"YYYY")</f>
        <v>2026</v>
      </c>
      <c r="U190" s="24">
        <f t="shared" ca="1" si="7"/>
        <v>-948</v>
      </c>
      <c r="V190" s="14" t="str" cm="1">
        <f t="array" aca="1" ref="V190" ca="1">_xlfn.IFS(Table1[[#This Row],[Agreement Days]]&gt;=0,"Expired",Table1[[#This Row],[Agreement Days]]&gt;=-30,"Expires &lt; 30 Days",Table1[[#This Row],[Agreement Days]]&gt;=-60,"Expires &lt; 60 Days",Table1[[#This Row],[Agreement Days]]&lt;-60,"Valid Contract")</f>
        <v>Valid Contract</v>
      </c>
      <c r="W190" s="14" t="s">
        <v>20</v>
      </c>
      <c r="X190" s="26" t="s">
        <v>953</v>
      </c>
      <c r="Y190" s="16" t="s">
        <v>954</v>
      </c>
      <c r="Z190" s="17" t="s">
        <v>955</v>
      </c>
      <c r="AA190" s="19"/>
      <c r="AB190" s="116"/>
      <c r="AC190" s="116"/>
    </row>
    <row r="191" spans="1:29" hidden="1" x14ac:dyDescent="0.3">
      <c r="A191" s="18" t="s">
        <v>951</v>
      </c>
      <c r="B191" s="18" t="s">
        <v>241</v>
      </c>
      <c r="C191" s="18" t="s">
        <v>959</v>
      </c>
      <c r="D191" s="14" t="s">
        <v>545</v>
      </c>
      <c r="E191" s="18" t="s">
        <v>9</v>
      </c>
      <c r="F191" s="14" t="s">
        <v>517</v>
      </c>
      <c r="G191" s="14" t="s">
        <v>546</v>
      </c>
      <c r="H191" s="18" t="s">
        <v>5</v>
      </c>
      <c r="I191" s="14" t="s">
        <v>115</v>
      </c>
      <c r="J191" s="14"/>
      <c r="K191" s="18" t="s">
        <v>657</v>
      </c>
      <c r="L191" s="14"/>
      <c r="M191" s="14">
        <v>2</v>
      </c>
      <c r="N191" s="15">
        <v>45338.98</v>
      </c>
      <c r="O191" s="15">
        <f t="shared" si="6"/>
        <v>90677.96</v>
      </c>
      <c r="P191" s="15"/>
      <c r="Q191" s="14" t="s">
        <v>520</v>
      </c>
      <c r="R191" s="21">
        <v>46081</v>
      </c>
      <c r="S191" s="22" t="str">
        <f>TEXT(Table1[[#This Row],[End Date]],"MMMM")</f>
        <v>February</v>
      </c>
      <c r="T191" s="23" t="str">
        <f>TEXT(Table1[[#This Row],[End Date]],"YYYY")</f>
        <v>2026</v>
      </c>
      <c r="U191" s="24">
        <f ca="1">TODAY()-R191</f>
        <v>-948</v>
      </c>
      <c r="V191" s="14" t="str" cm="1">
        <f t="array" aca="1" ref="V191" ca="1">_xlfn.IFS(Table1[[#This Row],[Agreement Days]]&gt;=0,"Expired",Table1[[#This Row],[Agreement Days]]&gt;=-30,"Expires &lt; 30 Days",Table1[[#This Row],[Agreement Days]]&gt;=-60,"Expires &lt; 60 Days",Table1[[#This Row],[Agreement Days]]&lt;-60,"Valid Contract")</f>
        <v>Valid Contract</v>
      </c>
      <c r="W191" s="14" t="s">
        <v>20</v>
      </c>
      <c r="X191" s="26" t="s">
        <v>953</v>
      </c>
      <c r="Y191" s="16" t="s">
        <v>954</v>
      </c>
      <c r="Z191" s="17" t="s">
        <v>955</v>
      </c>
      <c r="AA191" s="19"/>
      <c r="AB191" s="116"/>
      <c r="AC191" s="116"/>
    </row>
    <row r="192" spans="1:29" hidden="1" x14ac:dyDescent="0.3">
      <c r="A192" s="18" t="s">
        <v>960</v>
      </c>
      <c r="B192" s="18" t="s">
        <v>196</v>
      </c>
      <c r="C192" s="18" t="s">
        <v>961</v>
      </c>
      <c r="D192" s="14" t="s">
        <v>653</v>
      </c>
      <c r="E192" s="18" t="s">
        <v>9</v>
      </c>
      <c r="F192" s="14" t="s">
        <v>517</v>
      </c>
      <c r="G192" s="14" t="s">
        <v>518</v>
      </c>
      <c r="H192" s="18" t="s">
        <v>5</v>
      </c>
      <c r="I192" s="14" t="s">
        <v>117</v>
      </c>
      <c r="J192" s="14">
        <v>40</v>
      </c>
      <c r="K192" s="14" t="s">
        <v>962</v>
      </c>
      <c r="L192" s="14"/>
      <c r="M192" s="14">
        <v>1</v>
      </c>
      <c r="N192" s="15">
        <f>1805400/1.18</f>
        <v>1530000</v>
      </c>
      <c r="O192" s="15">
        <f t="shared" si="6"/>
        <v>1530000</v>
      </c>
      <c r="P192" s="15"/>
      <c r="Q192" s="14" t="s">
        <v>520</v>
      </c>
      <c r="R192" s="21">
        <v>45107</v>
      </c>
      <c r="S192" s="22" t="str">
        <f>TEXT(Table1[[#This Row],[End Date]],"MMMM")</f>
        <v>June</v>
      </c>
      <c r="T192" s="23" t="str">
        <f>TEXT(Table1[[#This Row],[End Date]],"YYYY")</f>
        <v>2023</v>
      </c>
      <c r="U192" s="24">
        <f t="shared" ca="1" si="7"/>
        <v>26</v>
      </c>
      <c r="V192" s="14" t="str" cm="1">
        <f t="array" aca="1" ref="V192" ca="1">_xlfn.IFS(Table1[[#This Row],[Agreement Days]]&gt;=0,"Expired",Table1[[#This Row],[Agreement Days]]&gt;=-30,"Expires &lt; 30 Days",Table1[[#This Row],[Agreement Days]]&gt;=-60,"Expires &lt; 60 Days",Table1[[#This Row],[Agreement Days]]&lt;-60,"Valid Contract")</f>
        <v>Expired</v>
      </c>
      <c r="W192" s="14" t="s">
        <v>20</v>
      </c>
      <c r="X192" s="26" t="s">
        <v>963</v>
      </c>
      <c r="Y192" s="45" t="s">
        <v>964</v>
      </c>
      <c r="Z192" s="17" t="s">
        <v>965</v>
      </c>
      <c r="AA192" s="19"/>
      <c r="AB192" s="120"/>
      <c r="AC192" s="120"/>
    </row>
    <row r="193" spans="1:29" hidden="1" x14ac:dyDescent="0.3">
      <c r="A193" s="18" t="s">
        <v>960</v>
      </c>
      <c r="B193" s="18" t="s">
        <v>196</v>
      </c>
      <c r="C193" s="18" t="s">
        <v>966</v>
      </c>
      <c r="D193" s="14" t="s">
        <v>653</v>
      </c>
      <c r="E193" s="18" t="s">
        <v>9</v>
      </c>
      <c r="F193" s="14" t="s">
        <v>517</v>
      </c>
      <c r="G193" s="14" t="s">
        <v>518</v>
      </c>
      <c r="H193" s="18" t="s">
        <v>5</v>
      </c>
      <c r="I193" s="14" t="s">
        <v>117</v>
      </c>
      <c r="J193" s="14">
        <v>40</v>
      </c>
      <c r="K193" s="14" t="s">
        <v>962</v>
      </c>
      <c r="L193" s="14"/>
      <c r="M193" s="14">
        <v>1</v>
      </c>
      <c r="N193" s="15">
        <f>1805400/1.18</f>
        <v>1530000</v>
      </c>
      <c r="O193" s="15">
        <f t="shared" si="6"/>
        <v>1530000</v>
      </c>
      <c r="P193" s="15"/>
      <c r="Q193" s="14" t="s">
        <v>520</v>
      </c>
      <c r="R193" s="21">
        <v>45107</v>
      </c>
      <c r="S193" s="22" t="str">
        <f>TEXT(Table1[[#This Row],[End Date]],"MMMM")</f>
        <v>June</v>
      </c>
      <c r="T193" s="23" t="str">
        <f>TEXT(Table1[[#This Row],[End Date]],"YYYY")</f>
        <v>2023</v>
      </c>
      <c r="U193" s="24">
        <f t="shared" ca="1" si="7"/>
        <v>26</v>
      </c>
      <c r="V193" s="14" t="str" cm="1">
        <f t="array" aca="1" ref="V193" ca="1">_xlfn.IFS(Table1[[#This Row],[Agreement Days]]&gt;=0,"Expired",Table1[[#This Row],[Agreement Days]]&gt;=-30,"Expires &lt; 30 Days",Table1[[#This Row],[Agreement Days]]&gt;=-60,"Expires &lt; 60 Days",Table1[[#This Row],[Agreement Days]]&lt;-60,"Valid Contract")</f>
        <v>Expired</v>
      </c>
      <c r="W193" s="14" t="s">
        <v>20</v>
      </c>
      <c r="X193" s="26" t="s">
        <v>963</v>
      </c>
      <c r="Y193" s="16" t="s">
        <v>964</v>
      </c>
      <c r="Z193" s="17" t="s">
        <v>965</v>
      </c>
      <c r="AA193" s="19"/>
      <c r="AB193" s="116"/>
      <c r="AC193" s="116"/>
    </row>
    <row r="194" spans="1:29" hidden="1" x14ac:dyDescent="0.3">
      <c r="A194" s="18" t="s">
        <v>960</v>
      </c>
      <c r="B194" s="18" t="s">
        <v>196</v>
      </c>
      <c r="C194" s="18" t="s">
        <v>966</v>
      </c>
      <c r="D194" s="14" t="s">
        <v>653</v>
      </c>
      <c r="E194" s="18" t="s">
        <v>9</v>
      </c>
      <c r="F194" s="14" t="s">
        <v>517</v>
      </c>
      <c r="G194" s="14" t="s">
        <v>518</v>
      </c>
      <c r="H194" s="18" t="s">
        <v>4</v>
      </c>
      <c r="I194" s="14" t="s">
        <v>118</v>
      </c>
      <c r="J194" s="14"/>
      <c r="K194" s="14" t="s">
        <v>650</v>
      </c>
      <c r="L194" s="14"/>
      <c r="M194" s="14">
        <v>1</v>
      </c>
      <c r="N194" s="15">
        <v>369325.42</v>
      </c>
      <c r="O194" s="15">
        <f t="shared" si="6"/>
        <v>369325.42</v>
      </c>
      <c r="P194" s="15"/>
      <c r="Q194" s="14" t="s">
        <v>520</v>
      </c>
      <c r="R194" s="21">
        <v>45107</v>
      </c>
      <c r="S194" s="22" t="str">
        <f>TEXT(Table1[[#This Row],[End Date]],"MMMM")</f>
        <v>June</v>
      </c>
      <c r="T194" s="23" t="str">
        <f>TEXT(Table1[[#This Row],[End Date]],"YYYY")</f>
        <v>2023</v>
      </c>
      <c r="U194" s="24">
        <f t="shared" ca="1" si="7"/>
        <v>26</v>
      </c>
      <c r="V194" s="14" t="str" cm="1">
        <f t="array" aca="1" ref="V194" ca="1">_xlfn.IFS(Table1[[#This Row],[Agreement Days]]&gt;=0,"Expired",Table1[[#This Row],[Agreement Days]]&gt;=-30,"Expires &lt; 30 Days",Table1[[#This Row],[Agreement Days]]&gt;=-60,"Expires &lt; 60 Days",Table1[[#This Row],[Agreement Days]]&lt;-60,"Valid Contract")</f>
        <v>Expired</v>
      </c>
      <c r="W194" s="14" t="s">
        <v>20</v>
      </c>
      <c r="X194" s="26" t="s">
        <v>963</v>
      </c>
      <c r="Y194" s="16" t="s">
        <v>964</v>
      </c>
      <c r="Z194" s="17" t="s">
        <v>965</v>
      </c>
      <c r="AA194" s="19"/>
      <c r="AB194" s="116"/>
      <c r="AC194" s="116"/>
    </row>
    <row r="195" spans="1:29" hidden="1" x14ac:dyDescent="0.3">
      <c r="A195" s="18" t="s">
        <v>960</v>
      </c>
      <c r="B195" s="18" t="s">
        <v>196</v>
      </c>
      <c r="C195" s="18" t="s">
        <v>961</v>
      </c>
      <c r="D195" s="14" t="s">
        <v>653</v>
      </c>
      <c r="E195" s="18" t="s">
        <v>9</v>
      </c>
      <c r="F195" s="14" t="s">
        <v>517</v>
      </c>
      <c r="G195" s="14" t="s">
        <v>518</v>
      </c>
      <c r="H195" s="18" t="s">
        <v>4</v>
      </c>
      <c r="I195" s="14" t="s">
        <v>118</v>
      </c>
      <c r="J195" s="14"/>
      <c r="K195" s="14" t="s">
        <v>650</v>
      </c>
      <c r="L195" s="14"/>
      <c r="M195" s="14">
        <v>1</v>
      </c>
      <c r="N195" s="15">
        <v>369325.42</v>
      </c>
      <c r="O195" s="15">
        <f t="shared" si="6"/>
        <v>369325.42</v>
      </c>
      <c r="P195" s="15"/>
      <c r="Q195" s="14" t="s">
        <v>520</v>
      </c>
      <c r="R195" s="21">
        <v>45107</v>
      </c>
      <c r="S195" s="22" t="str">
        <f>TEXT(Table1[[#This Row],[End Date]],"MMMM")</f>
        <v>June</v>
      </c>
      <c r="T195" s="23" t="str">
        <f>TEXT(Table1[[#This Row],[End Date]],"YYYY")</f>
        <v>2023</v>
      </c>
      <c r="U195" s="24">
        <f t="shared" ca="1" si="7"/>
        <v>26</v>
      </c>
      <c r="V195" s="14" t="str" cm="1">
        <f t="array" aca="1" ref="V195" ca="1">_xlfn.IFS(Table1[[#This Row],[Agreement Days]]&gt;=0,"Expired",Table1[[#This Row],[Agreement Days]]&gt;=-30,"Expires &lt; 30 Days",Table1[[#This Row],[Agreement Days]]&gt;=-60,"Expires &lt; 60 Days",Table1[[#This Row],[Agreement Days]]&lt;-60,"Valid Contract")</f>
        <v>Expired</v>
      </c>
      <c r="W195" s="14" t="s">
        <v>20</v>
      </c>
      <c r="X195" s="26" t="s">
        <v>963</v>
      </c>
      <c r="Y195" s="16" t="s">
        <v>964</v>
      </c>
      <c r="Z195" s="17" t="s">
        <v>965</v>
      </c>
      <c r="AA195" s="19"/>
      <c r="AB195" s="116"/>
      <c r="AC195" s="116"/>
    </row>
    <row r="196" spans="1:29" x14ac:dyDescent="0.3">
      <c r="A196" s="18" t="s">
        <v>967</v>
      </c>
      <c r="B196" s="18" t="s">
        <v>154</v>
      </c>
      <c r="C196" s="18" t="s">
        <v>968</v>
      </c>
      <c r="D196" s="14" t="s">
        <v>545</v>
      </c>
      <c r="E196" s="18" t="s">
        <v>9</v>
      </c>
      <c r="F196" s="14" t="s">
        <v>969</v>
      </c>
      <c r="G196" s="14" t="s">
        <v>518</v>
      </c>
      <c r="H196" s="18" t="s">
        <v>2</v>
      </c>
      <c r="I196" s="14" t="s">
        <v>120</v>
      </c>
      <c r="J196" s="14"/>
      <c r="K196" s="14" t="s">
        <v>970</v>
      </c>
      <c r="L196" s="14"/>
      <c r="M196" s="14">
        <v>1</v>
      </c>
      <c r="N196" s="15">
        <v>258045</v>
      </c>
      <c r="O196" s="15">
        <f t="shared" si="6"/>
        <v>258045</v>
      </c>
      <c r="P196" s="15"/>
      <c r="Q196" s="14" t="s">
        <v>520</v>
      </c>
      <c r="R196" s="21">
        <v>45107</v>
      </c>
      <c r="S196" s="22" t="str">
        <f>TEXT(Table1[[#This Row],[End Date]],"MMMM")</f>
        <v>June</v>
      </c>
      <c r="T196" s="23" t="str">
        <f>TEXT(Table1[[#This Row],[End Date]],"YYYY")</f>
        <v>2023</v>
      </c>
      <c r="U196" s="24">
        <f t="shared" ca="1" si="7"/>
        <v>26</v>
      </c>
      <c r="V196" s="14" t="str" cm="1">
        <f t="array" aca="1" ref="V196" ca="1">_xlfn.IFS(Table1[[#This Row],[Agreement Days]]&gt;=0,"Expired",Table1[[#This Row],[Agreement Days]]&gt;=-30,"Expires &lt; 30 Days",Table1[[#This Row],[Agreement Days]]&gt;=-60,"Expires &lt; 60 Days",Table1[[#This Row],[Agreement Days]]&lt;-60,"Valid Contract")</f>
        <v>Expired</v>
      </c>
      <c r="W196" s="14" t="s">
        <v>12</v>
      </c>
      <c r="X196" s="14" t="s">
        <v>971</v>
      </c>
      <c r="Y196" s="16" t="s">
        <v>972</v>
      </c>
      <c r="Z196" s="17" t="s">
        <v>973</v>
      </c>
      <c r="AA196" s="17"/>
      <c r="AB196" s="116"/>
      <c r="AC196" s="116"/>
    </row>
    <row r="197" spans="1:29" x14ac:dyDescent="0.3">
      <c r="A197" s="18" t="s">
        <v>967</v>
      </c>
      <c r="B197" s="18" t="s">
        <v>154</v>
      </c>
      <c r="C197" s="18" t="s">
        <v>974</v>
      </c>
      <c r="D197" s="14" t="s">
        <v>545</v>
      </c>
      <c r="E197" s="18" t="s">
        <v>9</v>
      </c>
      <c r="F197" s="14" t="s">
        <v>969</v>
      </c>
      <c r="G197" s="14" t="s">
        <v>518</v>
      </c>
      <c r="H197" s="18" t="s">
        <v>2</v>
      </c>
      <c r="I197" s="14" t="s">
        <v>131</v>
      </c>
      <c r="J197" s="14"/>
      <c r="K197" s="14" t="s">
        <v>554</v>
      </c>
      <c r="L197" s="14"/>
      <c r="M197" s="14">
        <v>1</v>
      </c>
      <c r="N197" s="15">
        <v>189000</v>
      </c>
      <c r="O197" s="15">
        <f t="shared" ref="O197:O198" si="8">N197*M197</f>
        <v>189000</v>
      </c>
      <c r="P197" s="15"/>
      <c r="Q197" s="14" t="s">
        <v>520</v>
      </c>
      <c r="R197" s="21">
        <v>45107</v>
      </c>
      <c r="S197" s="22" t="str">
        <f>TEXT(Table1[[#This Row],[End Date]],"MMMM")</f>
        <v>June</v>
      </c>
      <c r="T197" s="23" t="str">
        <f>TEXT(Table1[[#This Row],[End Date]],"YYYY")</f>
        <v>2023</v>
      </c>
      <c r="U197" s="24">
        <f t="shared" ref="U197:U198" ca="1" si="9">TODAY()-R197</f>
        <v>26</v>
      </c>
      <c r="V197" s="14" t="str" cm="1">
        <f t="array" aca="1" ref="V197" ca="1">_xlfn.IFS(Table1[[#This Row],[Agreement Days]]&gt;=0,"Expired",Table1[[#This Row],[Agreement Days]]&gt;=-30,"Expires &lt; 30 Days",Table1[[#This Row],[Agreement Days]]&gt;=-60,"Expires &lt; 60 Days",Table1[[#This Row],[Agreement Days]]&lt;-60,"Valid Contract")</f>
        <v>Expired</v>
      </c>
      <c r="W197" s="14" t="s">
        <v>12</v>
      </c>
      <c r="X197" s="14" t="s">
        <v>971</v>
      </c>
      <c r="Y197" s="16" t="s">
        <v>972</v>
      </c>
      <c r="Z197" s="17" t="s">
        <v>973</v>
      </c>
      <c r="AA197" s="17"/>
      <c r="AB197" s="116"/>
      <c r="AC197" s="116"/>
    </row>
    <row r="198" spans="1:29" x14ac:dyDescent="0.3">
      <c r="A198" s="18" t="s">
        <v>975</v>
      </c>
      <c r="B198" s="18" t="s">
        <v>445</v>
      </c>
      <c r="C198" s="18" t="s">
        <v>976</v>
      </c>
      <c r="D198" s="14" t="s">
        <v>540</v>
      </c>
      <c r="E198" s="18" t="s">
        <v>9</v>
      </c>
      <c r="F198" s="14" t="s">
        <v>969</v>
      </c>
      <c r="G198" s="14" t="s">
        <v>518</v>
      </c>
      <c r="H198" s="18" t="s">
        <v>5</v>
      </c>
      <c r="I198" s="14" t="s">
        <v>115</v>
      </c>
      <c r="J198" s="14"/>
      <c r="K198" s="20" t="s">
        <v>642</v>
      </c>
      <c r="L198" s="14"/>
      <c r="M198" s="14">
        <v>1</v>
      </c>
      <c r="N198" s="15">
        <v>101694.91525400001</v>
      </c>
      <c r="O198" s="15">
        <f t="shared" si="8"/>
        <v>101694.91525400001</v>
      </c>
      <c r="P198" s="15"/>
      <c r="Q198" s="14" t="s">
        <v>520</v>
      </c>
      <c r="R198" s="21">
        <v>45107</v>
      </c>
      <c r="S198" s="22" t="str">
        <f>TEXT(Table1[[#This Row],[End Date]],"MMMM")</f>
        <v>June</v>
      </c>
      <c r="T198" s="23" t="str">
        <f>TEXT(Table1[[#This Row],[End Date]],"YYYY")</f>
        <v>2023</v>
      </c>
      <c r="U198" s="24">
        <f t="shared" ca="1" si="9"/>
        <v>26</v>
      </c>
      <c r="V198" s="14" t="str" cm="1">
        <f t="array" aca="1" ref="V198" ca="1">_xlfn.IFS(Table1[[#This Row],[Agreement Days]]&gt;=0,"Expired",Table1[[#This Row],[Agreement Days]]&gt;=-30,"Expires &lt; 30 Days",Table1[[#This Row],[Agreement Days]]&gt;=-60,"Expires &lt; 60 Days",Table1[[#This Row],[Agreement Days]]&lt;-60,"Valid Contract")</f>
        <v>Expired</v>
      </c>
      <c r="W198" s="14" t="s">
        <v>12</v>
      </c>
      <c r="X198" s="14" t="s">
        <v>977</v>
      </c>
      <c r="Y198" s="16" t="s">
        <v>978</v>
      </c>
      <c r="Z198" s="17" t="s">
        <v>979</v>
      </c>
      <c r="AA198" s="17"/>
      <c r="AB198" s="116"/>
      <c r="AC198" s="116"/>
    </row>
    <row r="199" spans="1:29" hidden="1" x14ac:dyDescent="0.3">
      <c r="A199" s="18" t="s">
        <v>980</v>
      </c>
      <c r="B199" s="18" t="s">
        <v>24</v>
      </c>
      <c r="C199" s="18" t="s">
        <v>981</v>
      </c>
      <c r="D199" s="14" t="s">
        <v>545</v>
      </c>
      <c r="E199" s="18" t="s">
        <v>9</v>
      </c>
      <c r="F199" s="14" t="s">
        <v>631</v>
      </c>
      <c r="G199" s="14" t="s">
        <v>546</v>
      </c>
      <c r="H199" s="18" t="s">
        <v>5</v>
      </c>
      <c r="I199" s="14" t="s">
        <v>117</v>
      </c>
      <c r="J199" s="14">
        <f>5*Table1[[#This Row],[Quantity]]</f>
        <v>240</v>
      </c>
      <c r="K199" s="18" t="s">
        <v>519</v>
      </c>
      <c r="L199" s="18"/>
      <c r="M199" s="14">
        <v>48</v>
      </c>
      <c r="N199" s="15">
        <f>270000</f>
        <v>270000</v>
      </c>
      <c r="O199" s="15">
        <f t="shared" ref="O199:O262" si="10">N199*M199</f>
        <v>12960000</v>
      </c>
      <c r="P199" s="15"/>
      <c r="Q199" s="14" t="s">
        <v>520</v>
      </c>
      <c r="R199" s="25">
        <v>45107</v>
      </c>
      <c r="S199" s="34" t="str">
        <f>TEXT(Table1[[#This Row],[End Date]],"MMMM")</f>
        <v>June</v>
      </c>
      <c r="T199" s="34" t="str">
        <f>TEXT(Table1[[#This Row],[End Date]],"YYYY")</f>
        <v>2023</v>
      </c>
      <c r="U199" s="24">
        <f t="shared" ref="U199:U262" ca="1" si="11">TODAY()-R199</f>
        <v>26</v>
      </c>
      <c r="V199" s="14" t="str" cm="1">
        <f t="array" aca="1" ref="V199" ca="1">_xlfn.IFS(Table1[[#This Row],[Agreement Days]]&gt;=0,"Expired",Table1[[#This Row],[Agreement Days]]&gt;=-30,"Expires &lt; 30 Days",Table1[[#This Row],[Agreement Days]]&gt;=-60,"Expires &lt; 60 Days",Table1[[#This Row],[Agreement Days]]&lt;-60,"Valid Contract")</f>
        <v>Expired</v>
      </c>
      <c r="W199" s="18" t="s">
        <v>21</v>
      </c>
      <c r="X199" s="52" t="s">
        <v>982</v>
      </c>
      <c r="Y199" s="39" t="s">
        <v>983</v>
      </c>
      <c r="Z199" s="36" t="s">
        <v>984</v>
      </c>
      <c r="AA199" s="27"/>
      <c r="AB199" s="116"/>
      <c r="AC199" s="116"/>
    </row>
    <row r="200" spans="1:29" hidden="1" x14ac:dyDescent="0.3">
      <c r="A200" s="18" t="s">
        <v>980</v>
      </c>
      <c r="B200" s="18" t="s">
        <v>24</v>
      </c>
      <c r="C200" s="18" t="s">
        <v>985</v>
      </c>
      <c r="D200" s="14" t="s">
        <v>545</v>
      </c>
      <c r="E200" s="18" t="s">
        <v>9</v>
      </c>
      <c r="F200" s="14" t="s">
        <v>631</v>
      </c>
      <c r="G200" s="14" t="s">
        <v>546</v>
      </c>
      <c r="H200" s="18" t="s">
        <v>5</v>
      </c>
      <c r="I200" s="14" t="s">
        <v>115</v>
      </c>
      <c r="J200" s="14"/>
      <c r="K200" s="18" t="s">
        <v>986</v>
      </c>
      <c r="L200" s="18"/>
      <c r="M200" s="14">
        <v>1358</v>
      </c>
      <c r="N200" s="15">
        <f>145000/1.18</f>
        <v>122881.3559322034</v>
      </c>
      <c r="O200" s="15">
        <f t="shared" si="10"/>
        <v>166872881.35593221</v>
      </c>
      <c r="P200" s="15"/>
      <c r="Q200" s="14" t="s">
        <v>520</v>
      </c>
      <c r="R200" s="25">
        <v>45107</v>
      </c>
      <c r="S200" s="34" t="str">
        <f>TEXT(Table1[[#This Row],[End Date]],"MMMM")</f>
        <v>June</v>
      </c>
      <c r="T200" s="34" t="str">
        <f>TEXT(Table1[[#This Row],[End Date]],"YYYY")</f>
        <v>2023</v>
      </c>
      <c r="U200" s="24">
        <f t="shared" ca="1" si="11"/>
        <v>26</v>
      </c>
      <c r="V200" s="14" t="str" cm="1">
        <f t="array" aca="1" ref="V200" ca="1">_xlfn.IFS(Table1[[#This Row],[Agreement Days]]&gt;=0,"Expired",Table1[[#This Row],[Agreement Days]]&gt;=-30,"Expires &lt; 30 Days",Table1[[#This Row],[Agreement Days]]&gt;=-60,"Expires &lt; 60 Days",Table1[[#This Row],[Agreement Days]]&lt;-60,"Valid Contract")</f>
        <v>Expired</v>
      </c>
      <c r="W200" s="18" t="s">
        <v>21</v>
      </c>
      <c r="X200" s="52" t="s">
        <v>982</v>
      </c>
      <c r="Y200" s="39" t="s">
        <v>983</v>
      </c>
      <c r="Z200" s="36" t="s">
        <v>984</v>
      </c>
      <c r="AA200" s="27"/>
      <c r="AB200" s="116"/>
      <c r="AC200" s="116"/>
    </row>
    <row r="201" spans="1:29" hidden="1" x14ac:dyDescent="0.3">
      <c r="A201" s="18" t="s">
        <v>987</v>
      </c>
      <c r="B201" s="18" t="s">
        <v>127</v>
      </c>
      <c r="C201" s="18" t="s">
        <v>988</v>
      </c>
      <c r="D201" s="14" t="s">
        <v>532</v>
      </c>
      <c r="E201" s="18" t="s">
        <v>9</v>
      </c>
      <c r="F201" s="14" t="s">
        <v>601</v>
      </c>
      <c r="G201" s="14" t="s">
        <v>546</v>
      </c>
      <c r="H201" s="18" t="s">
        <v>5</v>
      </c>
      <c r="I201" s="14" t="s">
        <v>117</v>
      </c>
      <c r="J201" s="14">
        <v>1</v>
      </c>
      <c r="K201" s="14" t="s">
        <v>816</v>
      </c>
      <c r="L201" s="14"/>
      <c r="M201" s="14">
        <v>1</v>
      </c>
      <c r="N201" s="15">
        <v>83700</v>
      </c>
      <c r="O201" s="15">
        <f t="shared" si="10"/>
        <v>83700</v>
      </c>
      <c r="P201" s="15"/>
      <c r="Q201" s="14" t="s">
        <v>520</v>
      </c>
      <c r="R201" s="21">
        <v>45107</v>
      </c>
      <c r="S201" s="22" t="str">
        <f>TEXT(Table1[[#This Row],[End Date]],"MMMM")</f>
        <v>June</v>
      </c>
      <c r="T201" s="23" t="str">
        <f>TEXT(Table1[[#This Row],[End Date]],"YYYY")</f>
        <v>2023</v>
      </c>
      <c r="U201" s="24">
        <f t="shared" ca="1" si="11"/>
        <v>26</v>
      </c>
      <c r="V201" s="14" t="str" cm="1">
        <f t="array" aca="1" ref="V201" ca="1">_xlfn.IFS(Table1[[#This Row],[Agreement Days]]&gt;=0,"Expired",Table1[[#This Row],[Agreement Days]]&gt;=-30,"Expires &lt; 30 Days",Table1[[#This Row],[Agreement Days]]&gt;=-60,"Expires &lt; 60 Days",Table1[[#This Row],[Agreement Days]]&lt;-60,"Valid Contract")</f>
        <v>Expired</v>
      </c>
      <c r="W201" s="14" t="s">
        <v>20</v>
      </c>
      <c r="X201" s="14" t="s">
        <v>989</v>
      </c>
      <c r="Y201" s="16" t="s">
        <v>990</v>
      </c>
      <c r="Z201" s="17" t="s">
        <v>991</v>
      </c>
      <c r="AA201" s="19"/>
      <c r="AB201" s="116"/>
      <c r="AC201" s="116"/>
    </row>
    <row r="202" spans="1:29" hidden="1" x14ac:dyDescent="0.3">
      <c r="A202" s="18" t="s">
        <v>987</v>
      </c>
      <c r="B202" s="18" t="s">
        <v>127</v>
      </c>
      <c r="C202" s="18" t="s">
        <v>992</v>
      </c>
      <c r="D202" s="14" t="s">
        <v>532</v>
      </c>
      <c r="E202" s="18" t="s">
        <v>9</v>
      </c>
      <c r="F202" s="14" t="s">
        <v>601</v>
      </c>
      <c r="G202" s="14" t="s">
        <v>546</v>
      </c>
      <c r="H202" s="18" t="s">
        <v>5</v>
      </c>
      <c r="I202" s="14" t="s">
        <v>117</v>
      </c>
      <c r="J202" s="14">
        <v>1</v>
      </c>
      <c r="K202" s="14" t="s">
        <v>816</v>
      </c>
      <c r="L202" s="14"/>
      <c r="M202" s="14">
        <v>1</v>
      </c>
      <c r="N202" s="15">
        <v>83700</v>
      </c>
      <c r="O202" s="15">
        <f t="shared" si="10"/>
        <v>83700</v>
      </c>
      <c r="P202" s="15"/>
      <c r="Q202" s="14" t="s">
        <v>520</v>
      </c>
      <c r="R202" s="21">
        <v>45107</v>
      </c>
      <c r="S202" s="22" t="str">
        <f>TEXT(Table1[[#This Row],[End Date]],"MMMM")</f>
        <v>June</v>
      </c>
      <c r="T202" s="23" t="str">
        <f>TEXT(Table1[[#This Row],[End Date]],"YYYY")</f>
        <v>2023</v>
      </c>
      <c r="U202" s="24">
        <f t="shared" ca="1" si="11"/>
        <v>26</v>
      </c>
      <c r="V202" s="14" t="str" cm="1">
        <f t="array" aca="1" ref="V202" ca="1">_xlfn.IFS(Table1[[#This Row],[Agreement Days]]&gt;=0,"Expired",Table1[[#This Row],[Agreement Days]]&gt;=-30,"Expires &lt; 30 Days",Table1[[#This Row],[Agreement Days]]&gt;=-60,"Expires &lt; 60 Days",Table1[[#This Row],[Agreement Days]]&lt;-60,"Valid Contract")</f>
        <v>Expired</v>
      </c>
      <c r="W202" s="14" t="s">
        <v>20</v>
      </c>
      <c r="X202" s="14" t="s">
        <v>989</v>
      </c>
      <c r="Y202" s="16" t="s">
        <v>990</v>
      </c>
      <c r="Z202" s="17" t="s">
        <v>991</v>
      </c>
      <c r="AA202" s="19"/>
      <c r="AB202" s="116"/>
      <c r="AC202" s="116"/>
    </row>
    <row r="203" spans="1:29" hidden="1" x14ac:dyDescent="0.3">
      <c r="A203" s="18" t="s">
        <v>987</v>
      </c>
      <c r="B203" s="18" t="s">
        <v>127</v>
      </c>
      <c r="C203" s="18" t="s">
        <v>993</v>
      </c>
      <c r="D203" s="14" t="s">
        <v>540</v>
      </c>
      <c r="E203" s="18" t="s">
        <v>9</v>
      </c>
      <c r="F203" s="14" t="s">
        <v>601</v>
      </c>
      <c r="G203" s="14" t="s">
        <v>546</v>
      </c>
      <c r="H203" s="18" t="s">
        <v>5</v>
      </c>
      <c r="I203" s="14" t="s">
        <v>117</v>
      </c>
      <c r="J203" s="14">
        <v>1</v>
      </c>
      <c r="K203" s="14" t="s">
        <v>816</v>
      </c>
      <c r="L203" s="14"/>
      <c r="M203" s="14">
        <v>1</v>
      </c>
      <c r="N203" s="15">
        <v>83700</v>
      </c>
      <c r="O203" s="15">
        <f t="shared" si="10"/>
        <v>83700</v>
      </c>
      <c r="P203" s="15"/>
      <c r="Q203" s="14" t="s">
        <v>520</v>
      </c>
      <c r="R203" s="21">
        <v>45107</v>
      </c>
      <c r="S203" s="22" t="str">
        <f>TEXT(Table1[[#This Row],[End Date]],"MMMM")</f>
        <v>June</v>
      </c>
      <c r="T203" s="23" t="str">
        <f>TEXT(Table1[[#This Row],[End Date]],"YYYY")</f>
        <v>2023</v>
      </c>
      <c r="U203" s="24">
        <f t="shared" ca="1" si="11"/>
        <v>26</v>
      </c>
      <c r="V203" s="14" t="str" cm="1">
        <f t="array" aca="1" ref="V203" ca="1">_xlfn.IFS(Table1[[#This Row],[Agreement Days]]&gt;=0,"Expired",Table1[[#This Row],[Agreement Days]]&gt;=-30,"Expires &lt; 30 Days",Table1[[#This Row],[Agreement Days]]&gt;=-60,"Expires &lt; 60 Days",Table1[[#This Row],[Agreement Days]]&lt;-60,"Valid Contract")</f>
        <v>Expired</v>
      </c>
      <c r="W203" s="14" t="s">
        <v>20</v>
      </c>
      <c r="X203" s="14" t="s">
        <v>989</v>
      </c>
      <c r="Y203" s="16" t="s">
        <v>990</v>
      </c>
      <c r="Z203" s="17" t="s">
        <v>991</v>
      </c>
      <c r="AA203" s="19"/>
      <c r="AB203" s="116"/>
      <c r="AC203" s="116"/>
    </row>
    <row r="204" spans="1:29" hidden="1" x14ac:dyDescent="0.3">
      <c r="A204" s="18" t="s">
        <v>987</v>
      </c>
      <c r="B204" s="18" t="s">
        <v>127</v>
      </c>
      <c r="C204" s="18" t="s">
        <v>994</v>
      </c>
      <c r="D204" s="14" t="s">
        <v>759</v>
      </c>
      <c r="E204" s="18" t="s">
        <v>9</v>
      </c>
      <c r="F204" s="14" t="s">
        <v>601</v>
      </c>
      <c r="G204" s="14" t="s">
        <v>546</v>
      </c>
      <c r="H204" s="18" t="s">
        <v>5</v>
      </c>
      <c r="I204" s="14" t="s">
        <v>117</v>
      </c>
      <c r="J204" s="14">
        <v>1</v>
      </c>
      <c r="K204" s="14" t="s">
        <v>816</v>
      </c>
      <c r="L204" s="14"/>
      <c r="M204" s="14">
        <v>1</v>
      </c>
      <c r="N204" s="15">
        <v>83700</v>
      </c>
      <c r="O204" s="15">
        <f t="shared" si="10"/>
        <v>83700</v>
      </c>
      <c r="P204" s="15"/>
      <c r="Q204" s="14" t="s">
        <v>520</v>
      </c>
      <c r="R204" s="21">
        <v>45107</v>
      </c>
      <c r="S204" s="22" t="str">
        <f>TEXT(Table1[[#This Row],[End Date]],"MMMM")</f>
        <v>June</v>
      </c>
      <c r="T204" s="23" t="str">
        <f>TEXT(Table1[[#This Row],[End Date]],"YYYY")</f>
        <v>2023</v>
      </c>
      <c r="U204" s="24">
        <f t="shared" ca="1" si="11"/>
        <v>26</v>
      </c>
      <c r="V204" s="14" t="str" cm="1">
        <f t="array" aca="1" ref="V204" ca="1">_xlfn.IFS(Table1[[#This Row],[Agreement Days]]&gt;=0,"Expired",Table1[[#This Row],[Agreement Days]]&gt;=-30,"Expires &lt; 30 Days",Table1[[#This Row],[Agreement Days]]&gt;=-60,"Expires &lt; 60 Days",Table1[[#This Row],[Agreement Days]]&lt;-60,"Valid Contract")</f>
        <v>Expired</v>
      </c>
      <c r="W204" s="14" t="s">
        <v>20</v>
      </c>
      <c r="X204" s="14" t="s">
        <v>989</v>
      </c>
      <c r="Y204" s="16" t="s">
        <v>990</v>
      </c>
      <c r="Z204" s="17" t="s">
        <v>991</v>
      </c>
      <c r="AA204" s="19"/>
      <c r="AB204" s="116"/>
      <c r="AC204" s="116"/>
    </row>
    <row r="205" spans="1:29" hidden="1" x14ac:dyDescent="0.3">
      <c r="A205" s="18" t="s">
        <v>987</v>
      </c>
      <c r="B205" s="18" t="s">
        <v>127</v>
      </c>
      <c r="C205" s="18" t="s">
        <v>995</v>
      </c>
      <c r="D205" s="14" t="s">
        <v>759</v>
      </c>
      <c r="E205" s="18" t="s">
        <v>9</v>
      </c>
      <c r="F205" s="14" t="s">
        <v>601</v>
      </c>
      <c r="G205" s="14" t="s">
        <v>546</v>
      </c>
      <c r="H205" s="18" t="s">
        <v>5</v>
      </c>
      <c r="I205" s="14" t="s">
        <v>117</v>
      </c>
      <c r="J205" s="14">
        <v>1</v>
      </c>
      <c r="K205" s="14" t="s">
        <v>816</v>
      </c>
      <c r="L205" s="14"/>
      <c r="M205" s="14">
        <v>1</v>
      </c>
      <c r="N205" s="15">
        <v>83700</v>
      </c>
      <c r="O205" s="15">
        <f t="shared" si="10"/>
        <v>83700</v>
      </c>
      <c r="P205" s="15"/>
      <c r="Q205" s="14" t="s">
        <v>520</v>
      </c>
      <c r="R205" s="21">
        <v>45107</v>
      </c>
      <c r="S205" s="22" t="str">
        <f>TEXT(Table1[[#This Row],[End Date]],"MMMM")</f>
        <v>June</v>
      </c>
      <c r="T205" s="23" t="str">
        <f>TEXT(Table1[[#This Row],[End Date]],"YYYY")</f>
        <v>2023</v>
      </c>
      <c r="U205" s="24">
        <f t="shared" ca="1" si="11"/>
        <v>26</v>
      </c>
      <c r="V205" s="14" t="str" cm="1">
        <f t="array" aca="1" ref="V205" ca="1">_xlfn.IFS(Table1[[#This Row],[Agreement Days]]&gt;=0,"Expired",Table1[[#This Row],[Agreement Days]]&gt;=-30,"Expires &lt; 30 Days",Table1[[#This Row],[Agreement Days]]&gt;=-60,"Expires &lt; 60 Days",Table1[[#This Row],[Agreement Days]]&lt;-60,"Valid Contract")</f>
        <v>Expired</v>
      </c>
      <c r="W205" s="14" t="s">
        <v>20</v>
      </c>
      <c r="X205" s="14" t="s">
        <v>989</v>
      </c>
      <c r="Y205" s="16" t="s">
        <v>990</v>
      </c>
      <c r="Z205" s="17" t="s">
        <v>991</v>
      </c>
      <c r="AA205" s="19"/>
      <c r="AB205" s="116"/>
      <c r="AC205" s="116"/>
    </row>
    <row r="206" spans="1:29" hidden="1" x14ac:dyDescent="0.3">
      <c r="A206" s="18" t="s">
        <v>987</v>
      </c>
      <c r="B206" s="18" t="s">
        <v>127</v>
      </c>
      <c r="C206" s="18" t="s">
        <v>996</v>
      </c>
      <c r="D206" s="14" t="s">
        <v>875</v>
      </c>
      <c r="E206" s="18" t="s">
        <v>9</v>
      </c>
      <c r="F206" s="14" t="s">
        <v>601</v>
      </c>
      <c r="G206" s="14" t="s">
        <v>546</v>
      </c>
      <c r="H206" s="18" t="s">
        <v>5</v>
      </c>
      <c r="I206" s="14" t="s">
        <v>117</v>
      </c>
      <c r="J206" s="14">
        <v>1</v>
      </c>
      <c r="K206" s="14" t="s">
        <v>816</v>
      </c>
      <c r="L206" s="14"/>
      <c r="M206" s="14">
        <v>1</v>
      </c>
      <c r="N206" s="15">
        <v>83700</v>
      </c>
      <c r="O206" s="15">
        <f t="shared" si="10"/>
        <v>83700</v>
      </c>
      <c r="P206" s="15"/>
      <c r="Q206" s="14" t="s">
        <v>520</v>
      </c>
      <c r="R206" s="21">
        <v>45107</v>
      </c>
      <c r="S206" s="22" t="str">
        <f>TEXT(Table1[[#This Row],[End Date]],"MMMM")</f>
        <v>June</v>
      </c>
      <c r="T206" s="23" t="str">
        <f>TEXT(Table1[[#This Row],[End Date]],"YYYY")</f>
        <v>2023</v>
      </c>
      <c r="U206" s="24">
        <f t="shared" ca="1" si="11"/>
        <v>26</v>
      </c>
      <c r="V206" s="14" t="str" cm="1">
        <f t="array" aca="1" ref="V206" ca="1">_xlfn.IFS(Table1[[#This Row],[Agreement Days]]&gt;=0,"Expired",Table1[[#This Row],[Agreement Days]]&gt;=-30,"Expires &lt; 30 Days",Table1[[#This Row],[Agreement Days]]&gt;=-60,"Expires &lt; 60 Days",Table1[[#This Row],[Agreement Days]]&lt;-60,"Valid Contract")</f>
        <v>Expired</v>
      </c>
      <c r="W206" s="14" t="s">
        <v>20</v>
      </c>
      <c r="X206" s="14" t="s">
        <v>989</v>
      </c>
      <c r="Y206" s="16" t="s">
        <v>990</v>
      </c>
      <c r="Z206" s="17" t="s">
        <v>991</v>
      </c>
      <c r="AA206" s="19"/>
      <c r="AB206" s="116"/>
      <c r="AC206" s="116"/>
    </row>
    <row r="207" spans="1:29" hidden="1" x14ac:dyDescent="0.3">
      <c r="A207" s="18" t="s">
        <v>987</v>
      </c>
      <c r="B207" s="18" t="s">
        <v>127</v>
      </c>
      <c r="C207" s="18" t="s">
        <v>997</v>
      </c>
      <c r="D207" s="14" t="s">
        <v>662</v>
      </c>
      <c r="E207" s="18" t="s">
        <v>9</v>
      </c>
      <c r="F207" s="14" t="s">
        <v>601</v>
      </c>
      <c r="G207" s="14" t="s">
        <v>546</v>
      </c>
      <c r="H207" s="18" t="s">
        <v>5</v>
      </c>
      <c r="I207" s="14" t="s">
        <v>117</v>
      </c>
      <c r="J207" s="14">
        <v>1</v>
      </c>
      <c r="K207" s="14" t="s">
        <v>816</v>
      </c>
      <c r="L207" s="14"/>
      <c r="M207" s="14">
        <v>1</v>
      </c>
      <c r="N207" s="15">
        <v>83700</v>
      </c>
      <c r="O207" s="15">
        <f t="shared" si="10"/>
        <v>83700</v>
      </c>
      <c r="P207" s="15"/>
      <c r="Q207" s="14" t="s">
        <v>520</v>
      </c>
      <c r="R207" s="21">
        <v>45107</v>
      </c>
      <c r="S207" s="22" t="str">
        <f>TEXT(Table1[[#This Row],[End Date]],"MMMM")</f>
        <v>June</v>
      </c>
      <c r="T207" s="23" t="str">
        <f>TEXT(Table1[[#This Row],[End Date]],"YYYY")</f>
        <v>2023</v>
      </c>
      <c r="U207" s="24">
        <f t="shared" ca="1" si="11"/>
        <v>26</v>
      </c>
      <c r="V207" s="14" t="str" cm="1">
        <f t="array" aca="1" ref="V207" ca="1">_xlfn.IFS(Table1[[#This Row],[Agreement Days]]&gt;=0,"Expired",Table1[[#This Row],[Agreement Days]]&gt;=-30,"Expires &lt; 30 Days",Table1[[#This Row],[Agreement Days]]&gt;=-60,"Expires &lt; 60 Days",Table1[[#This Row],[Agreement Days]]&lt;-60,"Valid Contract")</f>
        <v>Expired</v>
      </c>
      <c r="W207" s="14" t="s">
        <v>20</v>
      </c>
      <c r="X207" s="14" t="s">
        <v>989</v>
      </c>
      <c r="Y207" s="16" t="s">
        <v>990</v>
      </c>
      <c r="Z207" s="17" t="s">
        <v>991</v>
      </c>
      <c r="AA207" s="19"/>
      <c r="AB207" s="116"/>
      <c r="AC207" s="116"/>
    </row>
    <row r="208" spans="1:29" hidden="1" x14ac:dyDescent="0.3">
      <c r="A208" s="18" t="s">
        <v>987</v>
      </c>
      <c r="B208" s="18" t="s">
        <v>127</v>
      </c>
      <c r="C208" s="18" t="s">
        <v>998</v>
      </c>
      <c r="D208" s="14" t="s">
        <v>662</v>
      </c>
      <c r="E208" s="18" t="s">
        <v>9</v>
      </c>
      <c r="F208" s="14" t="s">
        <v>601</v>
      </c>
      <c r="G208" s="14" t="s">
        <v>546</v>
      </c>
      <c r="H208" s="18" t="s">
        <v>5</v>
      </c>
      <c r="I208" s="14" t="s">
        <v>117</v>
      </c>
      <c r="J208" s="14">
        <v>1</v>
      </c>
      <c r="K208" s="14" t="s">
        <v>816</v>
      </c>
      <c r="L208" s="14"/>
      <c r="M208" s="14">
        <v>1</v>
      </c>
      <c r="N208" s="15">
        <v>83700</v>
      </c>
      <c r="O208" s="15">
        <f t="shared" si="10"/>
        <v>83700</v>
      </c>
      <c r="P208" s="15"/>
      <c r="Q208" s="14" t="s">
        <v>520</v>
      </c>
      <c r="R208" s="21">
        <v>45107</v>
      </c>
      <c r="S208" s="22" t="str">
        <f>TEXT(Table1[[#This Row],[End Date]],"MMMM")</f>
        <v>June</v>
      </c>
      <c r="T208" s="23" t="str">
        <f>TEXT(Table1[[#This Row],[End Date]],"YYYY")</f>
        <v>2023</v>
      </c>
      <c r="U208" s="24">
        <f t="shared" ca="1" si="11"/>
        <v>26</v>
      </c>
      <c r="V208" s="14" t="str" cm="1">
        <f t="array" aca="1" ref="V208" ca="1">_xlfn.IFS(Table1[[#This Row],[Agreement Days]]&gt;=0,"Expired",Table1[[#This Row],[Agreement Days]]&gt;=-30,"Expires &lt; 30 Days",Table1[[#This Row],[Agreement Days]]&gt;=-60,"Expires &lt; 60 Days",Table1[[#This Row],[Agreement Days]]&lt;-60,"Valid Contract")</f>
        <v>Expired</v>
      </c>
      <c r="W208" s="14" t="s">
        <v>20</v>
      </c>
      <c r="X208" s="14" t="s">
        <v>989</v>
      </c>
      <c r="Y208" s="16" t="s">
        <v>990</v>
      </c>
      <c r="Z208" s="17" t="s">
        <v>991</v>
      </c>
      <c r="AA208" s="19"/>
      <c r="AB208" s="116"/>
      <c r="AC208" s="116"/>
    </row>
    <row r="209" spans="1:29" hidden="1" x14ac:dyDescent="0.3">
      <c r="A209" s="18" t="s">
        <v>987</v>
      </c>
      <c r="B209" s="18" t="s">
        <v>127</v>
      </c>
      <c r="C209" s="18" t="s">
        <v>999</v>
      </c>
      <c r="D209" s="14" t="s">
        <v>769</v>
      </c>
      <c r="E209" s="18" t="s">
        <v>9</v>
      </c>
      <c r="F209" s="14" t="s">
        <v>601</v>
      </c>
      <c r="G209" s="14" t="s">
        <v>546</v>
      </c>
      <c r="H209" s="18" t="s">
        <v>5</v>
      </c>
      <c r="I209" s="14" t="s">
        <v>117</v>
      </c>
      <c r="J209" s="14">
        <v>1</v>
      </c>
      <c r="K209" s="14" t="s">
        <v>816</v>
      </c>
      <c r="L209" s="14"/>
      <c r="M209" s="14">
        <v>1</v>
      </c>
      <c r="N209" s="15">
        <v>83700</v>
      </c>
      <c r="O209" s="15">
        <f t="shared" si="10"/>
        <v>83700</v>
      </c>
      <c r="P209" s="15"/>
      <c r="Q209" s="14" t="s">
        <v>520</v>
      </c>
      <c r="R209" s="21">
        <v>45107</v>
      </c>
      <c r="S209" s="22" t="str">
        <f>TEXT(Table1[[#This Row],[End Date]],"MMMM")</f>
        <v>June</v>
      </c>
      <c r="T209" s="23" t="str">
        <f>TEXT(Table1[[#This Row],[End Date]],"YYYY")</f>
        <v>2023</v>
      </c>
      <c r="U209" s="24">
        <f t="shared" ca="1" si="11"/>
        <v>26</v>
      </c>
      <c r="V209" s="14" t="str" cm="1">
        <f t="array" aca="1" ref="V209" ca="1">_xlfn.IFS(Table1[[#This Row],[Agreement Days]]&gt;=0,"Expired",Table1[[#This Row],[Agreement Days]]&gt;=-30,"Expires &lt; 30 Days",Table1[[#This Row],[Agreement Days]]&gt;=-60,"Expires &lt; 60 Days",Table1[[#This Row],[Agreement Days]]&lt;-60,"Valid Contract")</f>
        <v>Expired</v>
      </c>
      <c r="W209" s="14" t="s">
        <v>20</v>
      </c>
      <c r="X209" s="14" t="s">
        <v>989</v>
      </c>
      <c r="Y209" s="16" t="s">
        <v>990</v>
      </c>
      <c r="Z209" s="17" t="s">
        <v>991</v>
      </c>
      <c r="AA209" s="19"/>
      <c r="AB209" s="116"/>
      <c r="AC209" s="116"/>
    </row>
    <row r="210" spans="1:29" hidden="1" x14ac:dyDescent="0.3">
      <c r="A210" s="18" t="s">
        <v>987</v>
      </c>
      <c r="B210" s="18" t="s">
        <v>127</v>
      </c>
      <c r="C210" s="18" t="s">
        <v>1000</v>
      </c>
      <c r="D210" s="14" t="s">
        <v>769</v>
      </c>
      <c r="E210" s="18" t="s">
        <v>9</v>
      </c>
      <c r="F210" s="14" t="s">
        <v>601</v>
      </c>
      <c r="G210" s="14" t="s">
        <v>546</v>
      </c>
      <c r="H210" s="18" t="s">
        <v>5</v>
      </c>
      <c r="I210" s="14" t="s">
        <v>117</v>
      </c>
      <c r="J210" s="14">
        <v>1</v>
      </c>
      <c r="K210" s="14" t="s">
        <v>816</v>
      </c>
      <c r="L210" s="14"/>
      <c r="M210" s="14">
        <v>1</v>
      </c>
      <c r="N210" s="15">
        <v>83700</v>
      </c>
      <c r="O210" s="15">
        <f t="shared" si="10"/>
        <v>83700</v>
      </c>
      <c r="P210" s="15"/>
      <c r="Q210" s="14" t="s">
        <v>520</v>
      </c>
      <c r="R210" s="21">
        <v>45107</v>
      </c>
      <c r="S210" s="22" t="str">
        <f>TEXT(Table1[[#This Row],[End Date]],"MMMM")</f>
        <v>June</v>
      </c>
      <c r="T210" s="23" t="str">
        <f>TEXT(Table1[[#This Row],[End Date]],"YYYY")</f>
        <v>2023</v>
      </c>
      <c r="U210" s="24">
        <f t="shared" ca="1" si="11"/>
        <v>26</v>
      </c>
      <c r="V210" s="14" t="str" cm="1">
        <f t="array" aca="1" ref="V210" ca="1">_xlfn.IFS(Table1[[#This Row],[Agreement Days]]&gt;=0,"Expired",Table1[[#This Row],[Agreement Days]]&gt;=-30,"Expires &lt; 30 Days",Table1[[#This Row],[Agreement Days]]&gt;=-60,"Expires &lt; 60 Days",Table1[[#This Row],[Agreement Days]]&lt;-60,"Valid Contract")</f>
        <v>Expired</v>
      </c>
      <c r="W210" s="14" t="s">
        <v>20</v>
      </c>
      <c r="X210" s="14" t="s">
        <v>989</v>
      </c>
      <c r="Y210" s="16" t="s">
        <v>990</v>
      </c>
      <c r="Z210" s="17" t="s">
        <v>991</v>
      </c>
      <c r="AA210" s="19"/>
      <c r="AB210" s="116"/>
      <c r="AC210" s="116"/>
    </row>
    <row r="211" spans="1:29" hidden="1" x14ac:dyDescent="0.3">
      <c r="A211" s="18" t="s">
        <v>987</v>
      </c>
      <c r="B211" s="18" t="s">
        <v>127</v>
      </c>
      <c r="C211" s="18" t="s">
        <v>1001</v>
      </c>
      <c r="D211" s="14" t="s">
        <v>579</v>
      </c>
      <c r="E211" s="18" t="s">
        <v>9</v>
      </c>
      <c r="F211" s="14" t="s">
        <v>601</v>
      </c>
      <c r="G211" s="14" t="s">
        <v>546</v>
      </c>
      <c r="H211" s="18" t="s">
        <v>5</v>
      </c>
      <c r="I211" s="14" t="s">
        <v>117</v>
      </c>
      <c r="J211" s="14">
        <v>1</v>
      </c>
      <c r="K211" s="14" t="s">
        <v>816</v>
      </c>
      <c r="L211" s="14"/>
      <c r="M211" s="14">
        <v>1</v>
      </c>
      <c r="N211" s="15">
        <v>83700</v>
      </c>
      <c r="O211" s="15">
        <f t="shared" si="10"/>
        <v>83700</v>
      </c>
      <c r="P211" s="15"/>
      <c r="Q211" s="14" t="s">
        <v>520</v>
      </c>
      <c r="R211" s="21">
        <v>45107</v>
      </c>
      <c r="S211" s="22" t="str">
        <f>TEXT(Table1[[#This Row],[End Date]],"MMMM")</f>
        <v>June</v>
      </c>
      <c r="T211" s="23" t="str">
        <f>TEXT(Table1[[#This Row],[End Date]],"YYYY")</f>
        <v>2023</v>
      </c>
      <c r="U211" s="24">
        <f t="shared" ca="1" si="11"/>
        <v>26</v>
      </c>
      <c r="V211" s="14" t="str" cm="1">
        <f t="array" aca="1" ref="V211" ca="1">_xlfn.IFS(Table1[[#This Row],[Agreement Days]]&gt;=0,"Expired",Table1[[#This Row],[Agreement Days]]&gt;=-30,"Expires &lt; 30 Days",Table1[[#This Row],[Agreement Days]]&gt;=-60,"Expires &lt; 60 Days",Table1[[#This Row],[Agreement Days]]&lt;-60,"Valid Contract")</f>
        <v>Expired</v>
      </c>
      <c r="W211" s="14" t="s">
        <v>20</v>
      </c>
      <c r="X211" s="14" t="s">
        <v>989</v>
      </c>
      <c r="Y211" s="16" t="s">
        <v>990</v>
      </c>
      <c r="Z211" s="17" t="s">
        <v>991</v>
      </c>
      <c r="AA211" s="19"/>
      <c r="AB211" s="116"/>
      <c r="AC211" s="116"/>
    </row>
    <row r="212" spans="1:29" hidden="1" x14ac:dyDescent="0.3">
      <c r="A212" s="18" t="s">
        <v>987</v>
      </c>
      <c r="B212" s="18" t="s">
        <v>127</v>
      </c>
      <c r="C212" s="18" t="s">
        <v>1002</v>
      </c>
      <c r="D212" s="14" t="s">
        <v>579</v>
      </c>
      <c r="E212" s="18" t="s">
        <v>9</v>
      </c>
      <c r="F212" s="14" t="s">
        <v>601</v>
      </c>
      <c r="G212" s="14" t="s">
        <v>546</v>
      </c>
      <c r="H212" s="18" t="s">
        <v>5</v>
      </c>
      <c r="I212" s="14" t="s">
        <v>117</v>
      </c>
      <c r="J212" s="14">
        <v>1</v>
      </c>
      <c r="K212" s="14" t="s">
        <v>816</v>
      </c>
      <c r="L212" s="14"/>
      <c r="M212" s="14">
        <v>1</v>
      </c>
      <c r="N212" s="15">
        <v>83700</v>
      </c>
      <c r="O212" s="15">
        <f t="shared" si="10"/>
        <v>83700</v>
      </c>
      <c r="P212" s="15"/>
      <c r="Q212" s="14" t="s">
        <v>520</v>
      </c>
      <c r="R212" s="21">
        <v>45107</v>
      </c>
      <c r="S212" s="22" t="str">
        <f>TEXT(Table1[[#This Row],[End Date]],"MMMM")</f>
        <v>June</v>
      </c>
      <c r="T212" s="23" t="str">
        <f>TEXT(Table1[[#This Row],[End Date]],"YYYY")</f>
        <v>2023</v>
      </c>
      <c r="U212" s="24">
        <f t="shared" ca="1" si="11"/>
        <v>26</v>
      </c>
      <c r="V212" s="14" t="str" cm="1">
        <f t="array" aca="1" ref="V212" ca="1">_xlfn.IFS(Table1[[#This Row],[Agreement Days]]&gt;=0,"Expired",Table1[[#This Row],[Agreement Days]]&gt;=-30,"Expires &lt; 30 Days",Table1[[#This Row],[Agreement Days]]&gt;=-60,"Expires &lt; 60 Days",Table1[[#This Row],[Agreement Days]]&lt;-60,"Valid Contract")</f>
        <v>Expired</v>
      </c>
      <c r="W212" s="14" t="s">
        <v>20</v>
      </c>
      <c r="X212" s="14" t="s">
        <v>989</v>
      </c>
      <c r="Y212" s="16" t="s">
        <v>990</v>
      </c>
      <c r="Z212" s="17" t="s">
        <v>991</v>
      </c>
      <c r="AA212" s="19"/>
      <c r="AB212" s="116"/>
      <c r="AC212" s="116"/>
    </row>
    <row r="213" spans="1:29" hidden="1" x14ac:dyDescent="0.3">
      <c r="A213" s="18" t="s">
        <v>987</v>
      </c>
      <c r="B213" s="18" t="s">
        <v>127</v>
      </c>
      <c r="C213" s="18" t="s">
        <v>1003</v>
      </c>
      <c r="D213" s="14" t="s">
        <v>579</v>
      </c>
      <c r="E213" s="18" t="s">
        <v>9</v>
      </c>
      <c r="F213" s="14" t="s">
        <v>601</v>
      </c>
      <c r="G213" s="14" t="s">
        <v>546</v>
      </c>
      <c r="H213" s="18" t="s">
        <v>5</v>
      </c>
      <c r="I213" s="14" t="s">
        <v>117</v>
      </c>
      <c r="J213" s="14">
        <v>1</v>
      </c>
      <c r="K213" s="14" t="s">
        <v>816</v>
      </c>
      <c r="L213" s="14"/>
      <c r="M213" s="14">
        <v>1</v>
      </c>
      <c r="N213" s="15">
        <v>83700</v>
      </c>
      <c r="O213" s="15">
        <f t="shared" si="10"/>
        <v>83700</v>
      </c>
      <c r="P213" s="15"/>
      <c r="Q213" s="14" t="s">
        <v>520</v>
      </c>
      <c r="R213" s="21">
        <v>45107</v>
      </c>
      <c r="S213" s="22" t="str">
        <f>TEXT(Table1[[#This Row],[End Date]],"MMMM")</f>
        <v>June</v>
      </c>
      <c r="T213" s="23" t="str">
        <f>TEXT(Table1[[#This Row],[End Date]],"YYYY")</f>
        <v>2023</v>
      </c>
      <c r="U213" s="24">
        <f t="shared" ca="1" si="11"/>
        <v>26</v>
      </c>
      <c r="V213" s="14" t="str" cm="1">
        <f t="array" aca="1" ref="V213" ca="1">_xlfn.IFS(Table1[[#This Row],[Agreement Days]]&gt;=0,"Expired",Table1[[#This Row],[Agreement Days]]&gt;=-30,"Expires &lt; 30 Days",Table1[[#This Row],[Agreement Days]]&gt;=-60,"Expires &lt; 60 Days",Table1[[#This Row],[Agreement Days]]&lt;-60,"Valid Contract")</f>
        <v>Expired</v>
      </c>
      <c r="W213" s="14" t="s">
        <v>20</v>
      </c>
      <c r="X213" s="14" t="s">
        <v>989</v>
      </c>
      <c r="Y213" s="16" t="s">
        <v>990</v>
      </c>
      <c r="Z213" s="17" t="s">
        <v>991</v>
      </c>
      <c r="AA213" s="19"/>
      <c r="AB213" s="116"/>
      <c r="AC213" s="116"/>
    </row>
    <row r="214" spans="1:29" hidden="1" x14ac:dyDescent="0.3">
      <c r="A214" s="18" t="s">
        <v>987</v>
      </c>
      <c r="B214" s="18" t="s">
        <v>127</v>
      </c>
      <c r="C214" s="18" t="s">
        <v>1004</v>
      </c>
      <c r="D214" s="14" t="s">
        <v>545</v>
      </c>
      <c r="E214" s="18" t="s">
        <v>9</v>
      </c>
      <c r="F214" s="14" t="s">
        <v>601</v>
      </c>
      <c r="G214" s="14" t="s">
        <v>546</v>
      </c>
      <c r="H214" s="18" t="s">
        <v>5</v>
      </c>
      <c r="I214" s="14" t="s">
        <v>117</v>
      </c>
      <c r="J214" s="14">
        <v>5</v>
      </c>
      <c r="K214" s="14" t="s">
        <v>519</v>
      </c>
      <c r="L214" s="14"/>
      <c r="M214" s="14">
        <v>1</v>
      </c>
      <c r="N214" s="15">
        <v>270000</v>
      </c>
      <c r="O214" s="15">
        <f t="shared" si="10"/>
        <v>270000</v>
      </c>
      <c r="P214" s="15"/>
      <c r="Q214" s="14" t="s">
        <v>520</v>
      </c>
      <c r="R214" s="21">
        <v>45107</v>
      </c>
      <c r="S214" s="22" t="str">
        <f>TEXT(Table1[[#This Row],[End Date]],"MMMM")</f>
        <v>June</v>
      </c>
      <c r="T214" s="23" t="str">
        <f>TEXT(Table1[[#This Row],[End Date]],"YYYY")</f>
        <v>2023</v>
      </c>
      <c r="U214" s="24">
        <f t="shared" ca="1" si="11"/>
        <v>26</v>
      </c>
      <c r="V214" s="14" t="str" cm="1">
        <f t="array" aca="1" ref="V214" ca="1">_xlfn.IFS(Table1[[#This Row],[Agreement Days]]&gt;=0,"Expired",Table1[[#This Row],[Agreement Days]]&gt;=-30,"Expires &lt; 30 Days",Table1[[#This Row],[Agreement Days]]&gt;=-60,"Expires &lt; 60 Days",Table1[[#This Row],[Agreement Days]]&lt;-60,"Valid Contract")</f>
        <v>Expired</v>
      </c>
      <c r="W214" s="14" t="s">
        <v>20</v>
      </c>
      <c r="X214" s="14" t="s">
        <v>989</v>
      </c>
      <c r="Y214" s="16" t="s">
        <v>990</v>
      </c>
      <c r="Z214" s="17" t="s">
        <v>991</v>
      </c>
      <c r="AA214" s="19"/>
      <c r="AB214" s="116"/>
      <c r="AC214" s="116"/>
    </row>
    <row r="215" spans="1:29" s="47" customFormat="1" hidden="1" x14ac:dyDescent="0.3">
      <c r="A215" s="18" t="s">
        <v>987</v>
      </c>
      <c r="B215" s="18" t="s">
        <v>127</v>
      </c>
      <c r="C215" s="18" t="s">
        <v>1005</v>
      </c>
      <c r="D215" s="14" t="s">
        <v>545</v>
      </c>
      <c r="E215" s="18" t="s">
        <v>9</v>
      </c>
      <c r="F215" s="14" t="s">
        <v>601</v>
      </c>
      <c r="G215" s="14" t="s">
        <v>546</v>
      </c>
      <c r="H215" s="18" t="s">
        <v>5</v>
      </c>
      <c r="I215" s="14" t="s">
        <v>117</v>
      </c>
      <c r="J215" s="14">
        <v>10</v>
      </c>
      <c r="K215" s="14" t="s">
        <v>547</v>
      </c>
      <c r="L215" s="14"/>
      <c r="M215" s="14">
        <v>1</v>
      </c>
      <c r="N215" s="15">
        <v>510000</v>
      </c>
      <c r="O215" s="15">
        <f t="shared" si="10"/>
        <v>510000</v>
      </c>
      <c r="P215" s="15"/>
      <c r="Q215" s="14" t="s">
        <v>520</v>
      </c>
      <c r="R215" s="21">
        <v>45107</v>
      </c>
      <c r="S215" s="22" t="str">
        <f>TEXT(Table1[[#This Row],[End Date]],"MMMM")</f>
        <v>June</v>
      </c>
      <c r="T215" s="23" t="str">
        <f>TEXT(Table1[[#This Row],[End Date]],"YYYY")</f>
        <v>2023</v>
      </c>
      <c r="U215" s="24">
        <f t="shared" ca="1" si="11"/>
        <v>26</v>
      </c>
      <c r="V215" s="14" t="str" cm="1">
        <f t="array" aca="1" ref="V215" ca="1">_xlfn.IFS(Table1[[#This Row],[Agreement Days]]&gt;=0,"Expired",Table1[[#This Row],[Agreement Days]]&gt;=-30,"Expires &lt; 30 Days",Table1[[#This Row],[Agreement Days]]&gt;=-60,"Expires &lt; 60 Days",Table1[[#This Row],[Agreement Days]]&lt;-60,"Valid Contract")</f>
        <v>Expired</v>
      </c>
      <c r="W215" s="14" t="s">
        <v>20</v>
      </c>
      <c r="X215" s="14" t="s">
        <v>989</v>
      </c>
      <c r="Y215" s="16" t="s">
        <v>990</v>
      </c>
      <c r="Z215" s="17" t="s">
        <v>991</v>
      </c>
      <c r="AA215" s="19"/>
      <c r="AB215" s="116"/>
      <c r="AC215" s="116"/>
    </row>
    <row r="216" spans="1:29" hidden="1" x14ac:dyDescent="0.3">
      <c r="A216" s="18" t="s">
        <v>987</v>
      </c>
      <c r="B216" s="18" t="s">
        <v>127</v>
      </c>
      <c r="C216" s="18" t="s">
        <v>1006</v>
      </c>
      <c r="D216" s="14" t="s">
        <v>540</v>
      </c>
      <c r="E216" s="18" t="s">
        <v>9</v>
      </c>
      <c r="F216" s="14" t="s">
        <v>601</v>
      </c>
      <c r="G216" s="14" t="s">
        <v>546</v>
      </c>
      <c r="H216" s="18" t="s">
        <v>5</v>
      </c>
      <c r="I216" s="14" t="s">
        <v>117</v>
      </c>
      <c r="J216" s="14">
        <v>10</v>
      </c>
      <c r="K216" s="14" t="s">
        <v>547</v>
      </c>
      <c r="L216" s="14"/>
      <c r="M216" s="14">
        <v>1</v>
      </c>
      <c r="N216" s="15">
        <v>510000</v>
      </c>
      <c r="O216" s="15">
        <f t="shared" si="10"/>
        <v>510000</v>
      </c>
      <c r="P216" s="15"/>
      <c r="Q216" s="14" t="s">
        <v>520</v>
      </c>
      <c r="R216" s="21">
        <v>45107</v>
      </c>
      <c r="S216" s="22" t="str">
        <f>TEXT(Table1[[#This Row],[End Date]],"MMMM")</f>
        <v>June</v>
      </c>
      <c r="T216" s="23" t="str">
        <f>TEXT(Table1[[#This Row],[End Date]],"YYYY")</f>
        <v>2023</v>
      </c>
      <c r="U216" s="24">
        <f t="shared" ca="1" si="11"/>
        <v>26</v>
      </c>
      <c r="V216" s="14" t="str" cm="1">
        <f t="array" aca="1" ref="V216" ca="1">_xlfn.IFS(Table1[[#This Row],[Agreement Days]]&gt;=0,"Expired",Table1[[#This Row],[Agreement Days]]&gt;=-30,"Expires &lt; 30 Days",Table1[[#This Row],[Agreement Days]]&gt;=-60,"Expires &lt; 60 Days",Table1[[#This Row],[Agreement Days]]&lt;-60,"Valid Contract")</f>
        <v>Expired</v>
      </c>
      <c r="W216" s="14" t="s">
        <v>20</v>
      </c>
      <c r="X216" s="14" t="s">
        <v>989</v>
      </c>
      <c r="Y216" s="16" t="s">
        <v>990</v>
      </c>
      <c r="Z216" s="17" t="s">
        <v>991</v>
      </c>
      <c r="AA216" s="19"/>
      <c r="AB216" s="116"/>
      <c r="AC216" s="116"/>
    </row>
    <row r="217" spans="1:29" hidden="1" x14ac:dyDescent="0.3">
      <c r="A217" s="18" t="s">
        <v>987</v>
      </c>
      <c r="B217" s="18" t="s">
        <v>127</v>
      </c>
      <c r="C217" s="18" t="s">
        <v>1007</v>
      </c>
      <c r="D217" s="14" t="s">
        <v>653</v>
      </c>
      <c r="E217" s="18" t="s">
        <v>9</v>
      </c>
      <c r="F217" s="14" t="s">
        <v>601</v>
      </c>
      <c r="G217" s="14" t="s">
        <v>546</v>
      </c>
      <c r="H217" s="18" t="s">
        <v>5</v>
      </c>
      <c r="I217" s="14" t="s">
        <v>117</v>
      </c>
      <c r="J217" s="14">
        <v>10</v>
      </c>
      <c r="K217" s="14" t="s">
        <v>547</v>
      </c>
      <c r="L217" s="14"/>
      <c r="M217" s="14">
        <v>1</v>
      </c>
      <c r="N217" s="15">
        <v>510000</v>
      </c>
      <c r="O217" s="15">
        <f t="shared" si="10"/>
        <v>510000</v>
      </c>
      <c r="P217" s="15"/>
      <c r="Q217" s="14" t="s">
        <v>520</v>
      </c>
      <c r="R217" s="21">
        <v>45107</v>
      </c>
      <c r="S217" s="22" t="str">
        <f>TEXT(Table1[[#This Row],[End Date]],"MMMM")</f>
        <v>June</v>
      </c>
      <c r="T217" s="23" t="str">
        <f>TEXT(Table1[[#This Row],[End Date]],"YYYY")</f>
        <v>2023</v>
      </c>
      <c r="U217" s="24">
        <f t="shared" ca="1" si="11"/>
        <v>26</v>
      </c>
      <c r="V217" s="14" t="str" cm="1">
        <f t="array" aca="1" ref="V217" ca="1">_xlfn.IFS(Table1[[#This Row],[Agreement Days]]&gt;=0,"Expired",Table1[[#This Row],[Agreement Days]]&gt;=-30,"Expires &lt; 30 Days",Table1[[#This Row],[Agreement Days]]&gt;=-60,"Expires &lt; 60 Days",Table1[[#This Row],[Agreement Days]]&lt;-60,"Valid Contract")</f>
        <v>Expired</v>
      </c>
      <c r="W217" s="14" t="s">
        <v>20</v>
      </c>
      <c r="X217" s="14" t="s">
        <v>989</v>
      </c>
      <c r="Y217" s="16" t="s">
        <v>990</v>
      </c>
      <c r="Z217" s="17" t="s">
        <v>991</v>
      </c>
      <c r="AA217" s="19"/>
      <c r="AB217" s="116"/>
      <c r="AC217" s="116"/>
    </row>
    <row r="218" spans="1:29" hidden="1" x14ac:dyDescent="0.3">
      <c r="A218" s="18" t="s">
        <v>987</v>
      </c>
      <c r="B218" s="18" t="s">
        <v>127</v>
      </c>
      <c r="C218" s="18" t="s">
        <v>1008</v>
      </c>
      <c r="D218" s="14" t="s">
        <v>653</v>
      </c>
      <c r="E218" s="18" t="s">
        <v>9</v>
      </c>
      <c r="F218" s="14" t="s">
        <v>601</v>
      </c>
      <c r="G218" s="14" t="s">
        <v>546</v>
      </c>
      <c r="H218" s="18" t="s">
        <v>5</v>
      </c>
      <c r="I218" s="14" t="s">
        <v>117</v>
      </c>
      <c r="J218" s="14">
        <v>15</v>
      </c>
      <c r="K218" s="14" t="s">
        <v>899</v>
      </c>
      <c r="L218" s="14"/>
      <c r="M218" s="14">
        <v>1</v>
      </c>
      <c r="N218" s="15">
        <v>720000</v>
      </c>
      <c r="O218" s="15">
        <f t="shared" si="10"/>
        <v>720000</v>
      </c>
      <c r="P218" s="15"/>
      <c r="Q218" s="14" t="s">
        <v>520</v>
      </c>
      <c r="R218" s="21">
        <v>45107</v>
      </c>
      <c r="S218" s="22" t="str">
        <f>TEXT(Table1[[#This Row],[End Date]],"MMMM")</f>
        <v>June</v>
      </c>
      <c r="T218" s="23" t="str">
        <f>TEXT(Table1[[#This Row],[End Date]],"YYYY")</f>
        <v>2023</v>
      </c>
      <c r="U218" s="24">
        <f t="shared" ca="1" si="11"/>
        <v>26</v>
      </c>
      <c r="V218" s="14" t="str" cm="1">
        <f t="array" aca="1" ref="V218" ca="1">_xlfn.IFS(Table1[[#This Row],[Agreement Days]]&gt;=0,"Expired",Table1[[#This Row],[Agreement Days]]&gt;=-30,"Expires &lt; 30 Days",Table1[[#This Row],[Agreement Days]]&gt;=-60,"Expires &lt; 60 Days",Table1[[#This Row],[Agreement Days]]&lt;-60,"Valid Contract")</f>
        <v>Expired</v>
      </c>
      <c r="W218" s="14" t="s">
        <v>20</v>
      </c>
      <c r="X218" s="14" t="s">
        <v>989</v>
      </c>
      <c r="Y218" s="16" t="s">
        <v>990</v>
      </c>
      <c r="Z218" s="17" t="s">
        <v>991</v>
      </c>
      <c r="AA218" s="19"/>
      <c r="AB218" s="116"/>
      <c r="AC218" s="116"/>
    </row>
    <row r="219" spans="1:29" hidden="1" x14ac:dyDescent="0.3">
      <c r="A219" s="18" t="s">
        <v>987</v>
      </c>
      <c r="B219" s="18" t="s">
        <v>127</v>
      </c>
      <c r="C219" s="18" t="s">
        <v>1009</v>
      </c>
      <c r="D219" s="14" t="s">
        <v>545</v>
      </c>
      <c r="E219" s="18" t="s">
        <v>9</v>
      </c>
      <c r="F219" s="14" t="s">
        <v>601</v>
      </c>
      <c r="G219" s="14" t="s">
        <v>546</v>
      </c>
      <c r="H219" s="18" t="s">
        <v>5</v>
      </c>
      <c r="I219" s="14" t="s">
        <v>117</v>
      </c>
      <c r="J219" s="14">
        <v>52</v>
      </c>
      <c r="K219" s="14" t="s">
        <v>1010</v>
      </c>
      <c r="L219" s="14"/>
      <c r="M219" s="14">
        <v>1</v>
      </c>
      <c r="N219" s="15">
        <v>1872000</v>
      </c>
      <c r="O219" s="15">
        <f t="shared" si="10"/>
        <v>1872000</v>
      </c>
      <c r="P219" s="15"/>
      <c r="Q219" s="14" t="s">
        <v>520</v>
      </c>
      <c r="R219" s="21">
        <v>45107</v>
      </c>
      <c r="S219" s="22" t="str">
        <f>TEXT(Table1[[#This Row],[End Date]],"MMMM")</f>
        <v>June</v>
      </c>
      <c r="T219" s="23" t="str">
        <f>TEXT(Table1[[#This Row],[End Date]],"YYYY")</f>
        <v>2023</v>
      </c>
      <c r="U219" s="24">
        <f t="shared" ca="1" si="11"/>
        <v>26</v>
      </c>
      <c r="V219" s="14" t="str" cm="1">
        <f t="array" aca="1" ref="V219" ca="1">_xlfn.IFS(Table1[[#This Row],[Agreement Days]]&gt;=0,"Expired",Table1[[#This Row],[Agreement Days]]&gt;=-30,"Expires &lt; 30 Days",Table1[[#This Row],[Agreement Days]]&gt;=-60,"Expires &lt; 60 Days",Table1[[#This Row],[Agreement Days]]&lt;-60,"Valid Contract")</f>
        <v>Expired</v>
      </c>
      <c r="W219" s="14" t="s">
        <v>20</v>
      </c>
      <c r="X219" s="14" t="s">
        <v>989</v>
      </c>
      <c r="Y219" s="45" t="s">
        <v>990</v>
      </c>
      <c r="Z219" s="17" t="s">
        <v>991</v>
      </c>
      <c r="AA219" s="19"/>
      <c r="AB219" s="116"/>
      <c r="AC219" s="116"/>
    </row>
    <row r="220" spans="1:29" hidden="1" x14ac:dyDescent="0.3">
      <c r="A220" s="18" t="s">
        <v>1011</v>
      </c>
      <c r="B220" s="18" t="s">
        <v>222</v>
      </c>
      <c r="C220" s="18" t="s">
        <v>1012</v>
      </c>
      <c r="D220" s="14" t="s">
        <v>616</v>
      </c>
      <c r="E220" s="18" t="s">
        <v>9</v>
      </c>
      <c r="F220" s="14" t="s">
        <v>517</v>
      </c>
      <c r="G220" s="14" t="s">
        <v>518</v>
      </c>
      <c r="H220" s="18" t="s">
        <v>5</v>
      </c>
      <c r="I220" s="14" t="s">
        <v>117</v>
      </c>
      <c r="J220" s="14">
        <v>3</v>
      </c>
      <c r="K220" s="14" t="s">
        <v>646</v>
      </c>
      <c r="L220" s="14"/>
      <c r="M220" s="14">
        <v>1</v>
      </c>
      <c r="N220" s="15">
        <v>180000</v>
      </c>
      <c r="O220" s="15">
        <f t="shared" si="10"/>
        <v>180000</v>
      </c>
      <c r="P220" s="15"/>
      <c r="Q220" s="14" t="s">
        <v>520</v>
      </c>
      <c r="R220" s="21">
        <v>45107</v>
      </c>
      <c r="S220" s="22" t="str">
        <f>TEXT(Table1[[#This Row],[End Date]],"MMMM")</f>
        <v>June</v>
      </c>
      <c r="T220" s="23" t="str">
        <f>TEXT(Table1[[#This Row],[End Date]],"YYYY")</f>
        <v>2023</v>
      </c>
      <c r="U220" s="24">
        <f t="shared" ca="1" si="11"/>
        <v>26</v>
      </c>
      <c r="V220" s="14" t="str" cm="1">
        <f t="array" aca="1" ref="V220" ca="1">_xlfn.IFS(Table1[[#This Row],[Agreement Days]]&gt;=0,"Expired",Table1[[#This Row],[Agreement Days]]&gt;=-30,"Expires &lt; 30 Days",Table1[[#This Row],[Agreement Days]]&gt;=-60,"Expires &lt; 60 Days",Table1[[#This Row],[Agreement Days]]&lt;-60,"Valid Contract")</f>
        <v>Expired</v>
      </c>
      <c r="W220" s="14" t="s">
        <v>13</v>
      </c>
      <c r="X220" s="14" t="s">
        <v>1013</v>
      </c>
      <c r="Y220" s="16" t="s">
        <v>1014</v>
      </c>
      <c r="Z220" s="17">
        <v>788447575</v>
      </c>
      <c r="AA220" s="17"/>
      <c r="AB220" s="116"/>
      <c r="AC220" s="116"/>
    </row>
    <row r="221" spans="1:29" hidden="1" x14ac:dyDescent="0.3">
      <c r="A221" s="18" t="s">
        <v>1011</v>
      </c>
      <c r="B221" s="18" t="s">
        <v>222</v>
      </c>
      <c r="C221" s="18" t="s">
        <v>1015</v>
      </c>
      <c r="D221" s="14" t="s">
        <v>848</v>
      </c>
      <c r="E221" s="18" t="s">
        <v>9</v>
      </c>
      <c r="F221" s="14" t="s">
        <v>517</v>
      </c>
      <c r="G221" s="14" t="s">
        <v>518</v>
      </c>
      <c r="H221" s="18" t="s">
        <v>5</v>
      </c>
      <c r="I221" s="14" t="s">
        <v>117</v>
      </c>
      <c r="J221" s="14">
        <v>3</v>
      </c>
      <c r="K221" s="14" t="s">
        <v>646</v>
      </c>
      <c r="L221" s="14"/>
      <c r="M221" s="14">
        <v>1</v>
      </c>
      <c r="N221" s="15">
        <v>180000</v>
      </c>
      <c r="O221" s="15">
        <f t="shared" si="10"/>
        <v>180000</v>
      </c>
      <c r="P221" s="15"/>
      <c r="Q221" s="14" t="s">
        <v>520</v>
      </c>
      <c r="R221" s="21">
        <v>45107</v>
      </c>
      <c r="S221" s="22" t="str">
        <f>TEXT(Table1[[#This Row],[End Date]],"MMMM")</f>
        <v>June</v>
      </c>
      <c r="T221" s="23" t="str">
        <f>TEXT(Table1[[#This Row],[End Date]],"YYYY")</f>
        <v>2023</v>
      </c>
      <c r="U221" s="24">
        <f t="shared" ca="1" si="11"/>
        <v>26</v>
      </c>
      <c r="V221" s="14" t="str" cm="1">
        <f t="array" aca="1" ref="V221" ca="1">_xlfn.IFS(Table1[[#This Row],[Agreement Days]]&gt;=0,"Expired",Table1[[#This Row],[Agreement Days]]&gt;=-30,"Expires &lt; 30 Days",Table1[[#This Row],[Agreement Days]]&gt;=-60,"Expires &lt; 60 Days",Table1[[#This Row],[Agreement Days]]&lt;-60,"Valid Contract")</f>
        <v>Expired</v>
      </c>
      <c r="W221" s="14" t="s">
        <v>13</v>
      </c>
      <c r="X221" s="14" t="s">
        <v>1013</v>
      </c>
      <c r="Y221" s="16" t="s">
        <v>1014</v>
      </c>
      <c r="Z221" s="17">
        <v>788447574</v>
      </c>
      <c r="AA221" s="17"/>
      <c r="AB221" s="116"/>
      <c r="AC221" s="116"/>
    </row>
    <row r="222" spans="1:29" hidden="1" x14ac:dyDescent="0.3">
      <c r="A222" s="18" t="s">
        <v>1011</v>
      </c>
      <c r="B222" s="18" t="s">
        <v>222</v>
      </c>
      <c r="C222" s="18" t="s">
        <v>1016</v>
      </c>
      <c r="D222" s="14" t="s">
        <v>735</v>
      </c>
      <c r="E222" s="18" t="s">
        <v>9</v>
      </c>
      <c r="F222" s="14" t="s">
        <v>517</v>
      </c>
      <c r="G222" s="14" t="s">
        <v>518</v>
      </c>
      <c r="H222" s="18" t="s">
        <v>5</v>
      </c>
      <c r="I222" s="14" t="s">
        <v>117</v>
      </c>
      <c r="J222" s="14">
        <v>3</v>
      </c>
      <c r="K222" s="14" t="s">
        <v>646</v>
      </c>
      <c r="L222" s="14"/>
      <c r="M222" s="14">
        <v>1</v>
      </c>
      <c r="N222" s="15">
        <v>180000</v>
      </c>
      <c r="O222" s="15">
        <f t="shared" si="10"/>
        <v>180000</v>
      </c>
      <c r="P222" s="15"/>
      <c r="Q222" s="14" t="s">
        <v>520</v>
      </c>
      <c r="R222" s="21">
        <v>45107</v>
      </c>
      <c r="S222" s="22" t="str">
        <f>TEXT(Table1[[#This Row],[End Date]],"MMMM")</f>
        <v>June</v>
      </c>
      <c r="T222" s="23" t="str">
        <f>TEXT(Table1[[#This Row],[End Date]],"YYYY")</f>
        <v>2023</v>
      </c>
      <c r="U222" s="24">
        <f t="shared" ca="1" si="11"/>
        <v>26</v>
      </c>
      <c r="V222" s="14" t="str" cm="1">
        <f t="array" aca="1" ref="V222" ca="1">_xlfn.IFS(Table1[[#This Row],[Agreement Days]]&gt;=0,"Expired",Table1[[#This Row],[Agreement Days]]&gt;=-30,"Expires &lt; 30 Days",Table1[[#This Row],[Agreement Days]]&gt;=-60,"Expires &lt; 60 Days",Table1[[#This Row],[Agreement Days]]&lt;-60,"Valid Contract")</f>
        <v>Expired</v>
      </c>
      <c r="W222" s="14" t="s">
        <v>13</v>
      </c>
      <c r="X222" s="14" t="s">
        <v>1013</v>
      </c>
      <c r="Y222" s="16" t="s">
        <v>1014</v>
      </c>
      <c r="Z222" s="17">
        <v>788447573</v>
      </c>
      <c r="AA222" s="17"/>
      <c r="AB222" s="116"/>
      <c r="AC222" s="116"/>
    </row>
    <row r="223" spans="1:29" hidden="1" x14ac:dyDescent="0.3">
      <c r="A223" s="18" t="s">
        <v>1011</v>
      </c>
      <c r="B223" s="18" t="s">
        <v>222</v>
      </c>
      <c r="C223" s="18" t="s">
        <v>1017</v>
      </c>
      <c r="D223" s="14" t="s">
        <v>630</v>
      </c>
      <c r="E223" s="18" t="s">
        <v>9</v>
      </c>
      <c r="F223" s="14" t="s">
        <v>517</v>
      </c>
      <c r="G223" s="14" t="s">
        <v>518</v>
      </c>
      <c r="H223" s="18" t="s">
        <v>5</v>
      </c>
      <c r="I223" s="14" t="s">
        <v>117</v>
      </c>
      <c r="J223" s="14">
        <v>3</v>
      </c>
      <c r="K223" s="14" t="s">
        <v>646</v>
      </c>
      <c r="L223" s="14"/>
      <c r="M223" s="14">
        <v>1</v>
      </c>
      <c r="N223" s="15">
        <v>180000</v>
      </c>
      <c r="O223" s="15">
        <f t="shared" si="10"/>
        <v>180000</v>
      </c>
      <c r="P223" s="15"/>
      <c r="Q223" s="14" t="s">
        <v>520</v>
      </c>
      <c r="R223" s="21">
        <v>45107</v>
      </c>
      <c r="S223" s="22" t="str">
        <f>TEXT(Table1[[#This Row],[End Date]],"MMMM")</f>
        <v>June</v>
      </c>
      <c r="T223" s="23" t="str">
        <f>TEXT(Table1[[#This Row],[End Date]],"YYYY")</f>
        <v>2023</v>
      </c>
      <c r="U223" s="24">
        <f t="shared" ca="1" si="11"/>
        <v>26</v>
      </c>
      <c r="V223" s="14" t="str" cm="1">
        <f t="array" aca="1" ref="V223" ca="1">_xlfn.IFS(Table1[[#This Row],[Agreement Days]]&gt;=0,"Expired",Table1[[#This Row],[Agreement Days]]&gt;=-30,"Expires &lt; 30 Days",Table1[[#This Row],[Agreement Days]]&gt;=-60,"Expires &lt; 60 Days",Table1[[#This Row],[Agreement Days]]&lt;-60,"Valid Contract")</f>
        <v>Expired</v>
      </c>
      <c r="W223" s="14" t="s">
        <v>13</v>
      </c>
      <c r="X223" s="14" t="s">
        <v>1013</v>
      </c>
      <c r="Y223" s="16" t="s">
        <v>1014</v>
      </c>
      <c r="Z223" s="17">
        <v>788447572</v>
      </c>
      <c r="AA223" s="17"/>
      <c r="AB223" s="116"/>
      <c r="AC223" s="116"/>
    </row>
    <row r="224" spans="1:29" hidden="1" x14ac:dyDescent="0.3">
      <c r="A224" s="18" t="s">
        <v>1011</v>
      </c>
      <c r="B224" s="18" t="s">
        <v>222</v>
      </c>
      <c r="C224" s="18" t="s">
        <v>1018</v>
      </c>
      <c r="D224" s="14" t="s">
        <v>653</v>
      </c>
      <c r="E224" s="18" t="s">
        <v>9</v>
      </c>
      <c r="F224" s="14" t="s">
        <v>517</v>
      </c>
      <c r="G224" s="14" t="s">
        <v>518</v>
      </c>
      <c r="H224" s="18" t="s">
        <v>5</v>
      </c>
      <c r="I224" s="14" t="s">
        <v>117</v>
      </c>
      <c r="J224" s="14">
        <v>5</v>
      </c>
      <c r="K224" s="14" t="s">
        <v>519</v>
      </c>
      <c r="L224" s="14"/>
      <c r="M224" s="14">
        <v>1</v>
      </c>
      <c r="N224" s="15">
        <v>270000</v>
      </c>
      <c r="O224" s="15">
        <f t="shared" si="10"/>
        <v>270000</v>
      </c>
      <c r="P224" s="15"/>
      <c r="Q224" s="14" t="s">
        <v>520</v>
      </c>
      <c r="R224" s="21">
        <v>45107</v>
      </c>
      <c r="S224" s="22" t="str">
        <f>TEXT(Table1[[#This Row],[End Date]],"MMMM")</f>
        <v>June</v>
      </c>
      <c r="T224" s="23" t="str">
        <f>TEXT(Table1[[#This Row],[End Date]],"YYYY")</f>
        <v>2023</v>
      </c>
      <c r="U224" s="24">
        <f t="shared" ca="1" si="11"/>
        <v>26</v>
      </c>
      <c r="V224" s="14" t="str" cm="1">
        <f t="array" aca="1" ref="V224" ca="1">_xlfn.IFS(Table1[[#This Row],[Agreement Days]]&gt;=0,"Expired",Table1[[#This Row],[Agreement Days]]&gt;=-30,"Expires &lt; 30 Days",Table1[[#This Row],[Agreement Days]]&gt;=-60,"Expires &lt; 60 Days",Table1[[#This Row],[Agreement Days]]&lt;-60,"Valid Contract")</f>
        <v>Expired</v>
      </c>
      <c r="W224" s="14" t="s">
        <v>13</v>
      </c>
      <c r="X224" s="14" t="s">
        <v>1013</v>
      </c>
      <c r="Y224" s="16" t="s">
        <v>1014</v>
      </c>
      <c r="Z224" s="17">
        <v>788447571</v>
      </c>
      <c r="AA224" s="17"/>
      <c r="AB224" s="116"/>
      <c r="AC224" s="116"/>
    </row>
    <row r="225" spans="1:29" hidden="1" x14ac:dyDescent="0.3">
      <c r="A225" s="18" t="s">
        <v>1011</v>
      </c>
      <c r="B225" s="18" t="s">
        <v>222</v>
      </c>
      <c r="C225" s="18" t="s">
        <v>1019</v>
      </c>
      <c r="D225" s="14" t="s">
        <v>761</v>
      </c>
      <c r="E225" s="18" t="s">
        <v>9</v>
      </c>
      <c r="F225" s="14" t="s">
        <v>517</v>
      </c>
      <c r="G225" s="14" t="s">
        <v>518</v>
      </c>
      <c r="H225" s="18" t="s">
        <v>5</v>
      </c>
      <c r="I225" s="14" t="s">
        <v>117</v>
      </c>
      <c r="J225" s="14">
        <v>15</v>
      </c>
      <c r="K225" s="14" t="s">
        <v>899</v>
      </c>
      <c r="L225" s="14"/>
      <c r="M225" s="14">
        <v>1</v>
      </c>
      <c r="N225" s="15">
        <v>720000</v>
      </c>
      <c r="O225" s="15">
        <f t="shared" si="10"/>
        <v>720000</v>
      </c>
      <c r="P225" s="15"/>
      <c r="Q225" s="14" t="s">
        <v>520</v>
      </c>
      <c r="R225" s="21">
        <v>45107</v>
      </c>
      <c r="S225" s="22" t="str">
        <f>TEXT(Table1[[#This Row],[End Date]],"MMMM")</f>
        <v>June</v>
      </c>
      <c r="T225" s="23" t="str">
        <f>TEXT(Table1[[#This Row],[End Date]],"YYYY")</f>
        <v>2023</v>
      </c>
      <c r="U225" s="24">
        <f t="shared" ca="1" si="11"/>
        <v>26</v>
      </c>
      <c r="V225" s="14" t="str" cm="1">
        <f t="array" aca="1" ref="V225" ca="1">_xlfn.IFS(Table1[[#This Row],[Agreement Days]]&gt;=0,"Expired",Table1[[#This Row],[Agreement Days]]&gt;=-30,"Expires &lt; 30 Days",Table1[[#This Row],[Agreement Days]]&gt;=-60,"Expires &lt; 60 Days",Table1[[#This Row],[Agreement Days]]&lt;-60,"Valid Contract")</f>
        <v>Expired</v>
      </c>
      <c r="W225" s="14" t="s">
        <v>13</v>
      </c>
      <c r="X225" s="14" t="s">
        <v>1013</v>
      </c>
      <c r="Y225" s="16" t="s">
        <v>1014</v>
      </c>
      <c r="Z225" s="17">
        <v>788447569</v>
      </c>
      <c r="AA225" s="17"/>
      <c r="AB225" s="116"/>
      <c r="AC225" s="116"/>
    </row>
    <row r="226" spans="1:29" hidden="1" x14ac:dyDescent="0.3">
      <c r="A226" s="18" t="s">
        <v>1011</v>
      </c>
      <c r="B226" s="18" t="s">
        <v>222</v>
      </c>
      <c r="C226" s="18" t="s">
        <v>1020</v>
      </c>
      <c r="D226" s="14" t="s">
        <v>653</v>
      </c>
      <c r="E226" s="18" t="s">
        <v>9</v>
      </c>
      <c r="F226" s="14" t="s">
        <v>517</v>
      </c>
      <c r="G226" s="14" t="s">
        <v>518</v>
      </c>
      <c r="H226" s="18" t="s">
        <v>4</v>
      </c>
      <c r="I226" s="14" t="s">
        <v>118</v>
      </c>
      <c r="J226" s="14"/>
      <c r="K226" s="14" t="s">
        <v>1021</v>
      </c>
      <c r="L226" s="14"/>
      <c r="M226" s="14">
        <v>1</v>
      </c>
      <c r="N226" s="15">
        <v>369325</v>
      </c>
      <c r="O226" s="15">
        <f t="shared" si="10"/>
        <v>369325</v>
      </c>
      <c r="P226" s="15"/>
      <c r="Q226" s="14" t="s">
        <v>520</v>
      </c>
      <c r="R226" s="21">
        <v>45107</v>
      </c>
      <c r="S226" s="22" t="str">
        <f>TEXT(Table1[[#This Row],[End Date]],"MMMM")</f>
        <v>June</v>
      </c>
      <c r="T226" s="23" t="str">
        <f>TEXT(Table1[[#This Row],[End Date]],"YYYY")</f>
        <v>2023</v>
      </c>
      <c r="U226" s="24">
        <f t="shared" ca="1" si="11"/>
        <v>26</v>
      </c>
      <c r="V226" s="14" t="str" cm="1">
        <f t="array" aca="1" ref="V226" ca="1">_xlfn.IFS(Table1[[#This Row],[Agreement Days]]&gt;=0,"Expired",Table1[[#This Row],[Agreement Days]]&gt;=-30,"Expires &lt; 30 Days",Table1[[#This Row],[Agreement Days]]&gt;=-60,"Expires &lt; 60 Days",Table1[[#This Row],[Agreement Days]]&lt;-60,"Valid Contract")</f>
        <v>Expired</v>
      </c>
      <c r="W226" s="14" t="s">
        <v>13</v>
      </c>
      <c r="X226" s="14" t="s">
        <v>1013</v>
      </c>
      <c r="Y226" s="16" t="s">
        <v>1014</v>
      </c>
      <c r="Z226" s="17">
        <v>788447570</v>
      </c>
      <c r="AA226" s="17"/>
      <c r="AB226" s="116"/>
      <c r="AC226" s="116"/>
    </row>
    <row r="227" spans="1:29" s="13" customFormat="1" hidden="1" x14ac:dyDescent="0.3">
      <c r="A227" s="18" t="s">
        <v>1011</v>
      </c>
      <c r="B227" s="18" t="s">
        <v>222</v>
      </c>
      <c r="C227" s="18" t="s">
        <v>1022</v>
      </c>
      <c r="D227" s="14" t="s">
        <v>653</v>
      </c>
      <c r="E227" s="18" t="s">
        <v>9</v>
      </c>
      <c r="F227" s="14" t="s">
        <v>517</v>
      </c>
      <c r="G227" s="14" t="s">
        <v>518</v>
      </c>
      <c r="H227" s="18" t="s">
        <v>5</v>
      </c>
      <c r="I227" s="14" t="s">
        <v>115</v>
      </c>
      <c r="J227" s="14"/>
      <c r="K227" s="18" t="s">
        <v>642</v>
      </c>
      <c r="L227" s="14"/>
      <c r="M227" s="14">
        <v>4</v>
      </c>
      <c r="N227" s="15">
        <v>101694.92</v>
      </c>
      <c r="O227" s="15">
        <f t="shared" si="10"/>
        <v>406779.68</v>
      </c>
      <c r="P227" s="15"/>
      <c r="Q227" s="14" t="s">
        <v>520</v>
      </c>
      <c r="R227" s="21">
        <v>45107</v>
      </c>
      <c r="S227" s="22" t="str">
        <f>TEXT(Table1[[#This Row],[End Date]],"MMMM")</f>
        <v>June</v>
      </c>
      <c r="T227" s="23" t="str">
        <f>TEXT(Table1[[#This Row],[End Date]],"YYYY")</f>
        <v>2023</v>
      </c>
      <c r="U227" s="24">
        <f t="shared" ca="1" si="11"/>
        <v>26</v>
      </c>
      <c r="V227" s="14" t="str" cm="1">
        <f t="array" aca="1" ref="V227" ca="1">_xlfn.IFS(Table1[[#This Row],[Agreement Days]]&gt;=0,"Expired",Table1[[#This Row],[Agreement Days]]&gt;=-30,"Expires &lt; 30 Days",Table1[[#This Row],[Agreement Days]]&gt;=-60,"Expires &lt; 60 Days",Table1[[#This Row],[Agreement Days]]&lt;-60,"Valid Contract")</f>
        <v>Expired</v>
      </c>
      <c r="W227" s="14" t="s">
        <v>13</v>
      </c>
      <c r="X227" s="14" t="s">
        <v>1013</v>
      </c>
      <c r="Y227" s="16" t="s">
        <v>1014</v>
      </c>
      <c r="Z227" s="17">
        <v>788447576</v>
      </c>
      <c r="AA227" s="17"/>
      <c r="AB227" s="116"/>
      <c r="AC227" s="116"/>
    </row>
    <row r="228" spans="1:29" hidden="1" x14ac:dyDescent="0.3">
      <c r="A228" s="18" t="s">
        <v>514</v>
      </c>
      <c r="B228" s="18" t="s">
        <v>161</v>
      </c>
      <c r="C228" s="18" t="s">
        <v>544</v>
      </c>
      <c r="D228" s="14" t="s">
        <v>516</v>
      </c>
      <c r="E228" s="18" t="s">
        <v>9</v>
      </c>
      <c r="F228" s="14" t="s">
        <v>517</v>
      </c>
      <c r="G228" s="14" t="s">
        <v>518</v>
      </c>
      <c r="H228" s="18" t="s">
        <v>5</v>
      </c>
      <c r="I228" s="14" t="s">
        <v>117</v>
      </c>
      <c r="J228" s="14">
        <v>20</v>
      </c>
      <c r="K228" s="18" t="s">
        <v>689</v>
      </c>
      <c r="L228" s="18"/>
      <c r="M228" s="14">
        <v>1</v>
      </c>
      <c r="N228" s="15">
        <v>900000</v>
      </c>
      <c r="O228" s="15">
        <f t="shared" si="10"/>
        <v>900000</v>
      </c>
      <c r="P228" s="15"/>
      <c r="Q228" s="14" t="s">
        <v>520</v>
      </c>
      <c r="R228" s="25">
        <v>45107</v>
      </c>
      <c r="S228" s="34" t="str">
        <f>TEXT(Table1[[#This Row],[End Date]],"MMMM")</f>
        <v>June</v>
      </c>
      <c r="T228" s="34" t="str">
        <f>TEXT(Table1[[#This Row],[End Date]],"YYYY")</f>
        <v>2023</v>
      </c>
      <c r="U228" s="24">
        <f t="shared" ca="1" si="11"/>
        <v>26</v>
      </c>
      <c r="V228" s="14" t="str" cm="1">
        <f t="array" aca="1" ref="V228" ca="1">_xlfn.IFS(Table1[[#This Row],[Agreement Days]]&gt;=0,"Expired",Table1[[#This Row],[Agreement Days]]&gt;=-30,"Expires &lt; 30 Days",Table1[[#This Row],[Agreement Days]]&gt;=-60,"Expires &lt; 60 Days",Table1[[#This Row],[Agreement Days]]&lt;-60,"Valid Contract")</f>
        <v>Expired</v>
      </c>
      <c r="W228" s="18" t="s">
        <v>18</v>
      </c>
      <c r="X228" s="18" t="s">
        <v>1023</v>
      </c>
      <c r="Y228" s="35" t="s">
        <v>522</v>
      </c>
      <c r="Z228" s="36" t="s">
        <v>523</v>
      </c>
      <c r="AA228" s="27"/>
      <c r="AB228" s="116"/>
      <c r="AC228" s="116"/>
    </row>
    <row r="229" spans="1:29" hidden="1" x14ac:dyDescent="0.3">
      <c r="A229" s="18" t="s">
        <v>514</v>
      </c>
      <c r="B229" s="18" t="s">
        <v>161</v>
      </c>
      <c r="C229" s="18" t="s">
        <v>544</v>
      </c>
      <c r="D229" s="14" t="s">
        <v>516</v>
      </c>
      <c r="E229" s="18" t="s">
        <v>9</v>
      </c>
      <c r="F229" s="14" t="s">
        <v>517</v>
      </c>
      <c r="G229" s="14" t="s">
        <v>518</v>
      </c>
      <c r="H229" s="18" t="s">
        <v>2</v>
      </c>
      <c r="I229" s="14" t="s">
        <v>120</v>
      </c>
      <c r="J229" s="18"/>
      <c r="K229" s="18" t="s">
        <v>649</v>
      </c>
      <c r="L229" s="18"/>
      <c r="M229" s="14">
        <v>1</v>
      </c>
      <c r="N229" s="15">
        <v>258044.92</v>
      </c>
      <c r="O229" s="15">
        <f t="shared" si="10"/>
        <v>258044.92</v>
      </c>
      <c r="P229" s="15"/>
      <c r="Q229" s="14" t="s">
        <v>520</v>
      </c>
      <c r="R229" s="25">
        <v>45107</v>
      </c>
      <c r="S229" s="34" t="str">
        <f>TEXT(Table1[[#This Row],[End Date]],"MMMM")</f>
        <v>June</v>
      </c>
      <c r="T229" s="34" t="str">
        <f>TEXT(Table1[[#This Row],[End Date]],"YYYY")</f>
        <v>2023</v>
      </c>
      <c r="U229" s="24">
        <f t="shared" ca="1" si="11"/>
        <v>26</v>
      </c>
      <c r="V229" s="14" t="str" cm="1">
        <f t="array" aca="1" ref="V229" ca="1">_xlfn.IFS(Table1[[#This Row],[Agreement Days]]&gt;=0,"Expired",Table1[[#This Row],[Agreement Days]]&gt;=-30,"Expires &lt; 30 Days",Table1[[#This Row],[Agreement Days]]&gt;=-60,"Expires &lt; 60 Days",Table1[[#This Row],[Agreement Days]]&lt;-60,"Valid Contract")</f>
        <v>Expired</v>
      </c>
      <c r="W229" s="18" t="s">
        <v>18</v>
      </c>
      <c r="X229" s="18" t="s">
        <v>1023</v>
      </c>
      <c r="Y229" s="35" t="s">
        <v>522</v>
      </c>
      <c r="Z229" s="36" t="s">
        <v>523</v>
      </c>
      <c r="AA229" s="27"/>
      <c r="AB229" s="116"/>
      <c r="AC229" s="116"/>
    </row>
    <row r="230" spans="1:29" hidden="1" x14ac:dyDescent="0.3">
      <c r="A230" s="18" t="s">
        <v>514</v>
      </c>
      <c r="B230" s="18" t="s">
        <v>161</v>
      </c>
      <c r="C230" s="18" t="s">
        <v>544</v>
      </c>
      <c r="D230" s="14" t="s">
        <v>516</v>
      </c>
      <c r="E230" s="18" t="s">
        <v>9</v>
      </c>
      <c r="F230" s="14" t="s">
        <v>517</v>
      </c>
      <c r="G230" s="14" t="s">
        <v>518</v>
      </c>
      <c r="H230" s="18" t="s">
        <v>4</v>
      </c>
      <c r="I230" s="14" t="s">
        <v>118</v>
      </c>
      <c r="J230" s="18"/>
      <c r="K230" s="18" t="s">
        <v>650</v>
      </c>
      <c r="L230" s="18"/>
      <c r="M230" s="14">
        <v>1</v>
      </c>
      <c r="N230" s="15">
        <v>369325.42</v>
      </c>
      <c r="O230" s="15">
        <f t="shared" si="10"/>
        <v>369325.42</v>
      </c>
      <c r="P230" s="15"/>
      <c r="Q230" s="14" t="s">
        <v>520</v>
      </c>
      <c r="R230" s="25">
        <v>45107</v>
      </c>
      <c r="S230" s="34" t="str">
        <f>TEXT(Table1[[#This Row],[End Date]],"MMMM")</f>
        <v>June</v>
      </c>
      <c r="T230" s="34" t="str">
        <f>TEXT(Table1[[#This Row],[End Date]],"YYYY")</f>
        <v>2023</v>
      </c>
      <c r="U230" s="24">
        <f t="shared" ca="1" si="11"/>
        <v>26</v>
      </c>
      <c r="V230" s="14" t="str" cm="1">
        <f t="array" aca="1" ref="V230" ca="1">_xlfn.IFS(Table1[[#This Row],[Agreement Days]]&gt;=0,"Expired",Table1[[#This Row],[Agreement Days]]&gt;=-30,"Expires &lt; 30 Days",Table1[[#This Row],[Agreement Days]]&gt;=-60,"Expires &lt; 60 Days",Table1[[#This Row],[Agreement Days]]&lt;-60,"Valid Contract")</f>
        <v>Expired</v>
      </c>
      <c r="W230" s="18" t="s">
        <v>18</v>
      </c>
      <c r="X230" s="18" t="s">
        <v>1023</v>
      </c>
      <c r="Y230" s="35" t="s">
        <v>522</v>
      </c>
      <c r="Z230" s="36" t="s">
        <v>523</v>
      </c>
      <c r="AA230" s="27"/>
      <c r="AB230" s="116"/>
      <c r="AC230" s="116"/>
    </row>
    <row r="231" spans="1:29" hidden="1" x14ac:dyDescent="0.3">
      <c r="A231" s="18" t="s">
        <v>514</v>
      </c>
      <c r="B231" s="18" t="s">
        <v>161</v>
      </c>
      <c r="C231" s="18" t="s">
        <v>544</v>
      </c>
      <c r="D231" s="14" t="s">
        <v>516</v>
      </c>
      <c r="E231" s="18" t="s">
        <v>9</v>
      </c>
      <c r="F231" s="14" t="s">
        <v>517</v>
      </c>
      <c r="G231" s="14" t="s">
        <v>518</v>
      </c>
      <c r="H231" s="18" t="s">
        <v>5</v>
      </c>
      <c r="I231" s="14" t="s">
        <v>115</v>
      </c>
      <c r="J231" s="18"/>
      <c r="K231" s="18" t="s">
        <v>651</v>
      </c>
      <c r="L231" s="18"/>
      <c r="M231" s="20">
        <v>36</v>
      </c>
      <c r="N231" s="15">
        <f>96000/1.18</f>
        <v>81355.932203389835</v>
      </c>
      <c r="O231" s="15">
        <f t="shared" si="10"/>
        <v>2928813.559322034</v>
      </c>
      <c r="P231" s="15"/>
      <c r="Q231" s="14" t="s">
        <v>520</v>
      </c>
      <c r="R231" s="25">
        <v>45107</v>
      </c>
      <c r="S231" s="34" t="str">
        <f>TEXT(Table1[[#This Row],[End Date]],"MMMM")</f>
        <v>June</v>
      </c>
      <c r="T231" s="34" t="str">
        <f>TEXT(Table1[[#This Row],[End Date]],"YYYY")</f>
        <v>2023</v>
      </c>
      <c r="U231" s="24">
        <f t="shared" ca="1" si="11"/>
        <v>26</v>
      </c>
      <c r="V231" s="14" t="str" cm="1">
        <f t="array" aca="1" ref="V231" ca="1">_xlfn.IFS(Table1[[#This Row],[Agreement Days]]&gt;=0,"Expired",Table1[[#This Row],[Agreement Days]]&gt;=-30,"Expires &lt; 30 Days",Table1[[#This Row],[Agreement Days]]&gt;=-60,"Expires &lt; 60 Days",Table1[[#This Row],[Agreement Days]]&lt;-60,"Valid Contract")</f>
        <v>Expired</v>
      </c>
      <c r="W231" s="18" t="s">
        <v>18</v>
      </c>
      <c r="X231" s="18" t="s">
        <v>1023</v>
      </c>
      <c r="Y231" s="35" t="s">
        <v>522</v>
      </c>
      <c r="Z231" s="36" t="s">
        <v>523</v>
      </c>
      <c r="AA231" s="27"/>
      <c r="AB231" s="116"/>
      <c r="AC231" s="116"/>
    </row>
    <row r="232" spans="1:29" hidden="1" x14ac:dyDescent="0.35">
      <c r="A232" s="18" t="s">
        <v>514</v>
      </c>
      <c r="B232" s="18" t="s">
        <v>161</v>
      </c>
      <c r="C232" s="18" t="s">
        <v>544</v>
      </c>
      <c r="D232" s="14" t="s">
        <v>516</v>
      </c>
      <c r="E232" s="18" t="s">
        <v>9</v>
      </c>
      <c r="F232" s="14" t="s">
        <v>517</v>
      </c>
      <c r="G232" s="14" t="s">
        <v>518</v>
      </c>
      <c r="H232" s="18" t="s">
        <v>5</v>
      </c>
      <c r="I232" s="14" t="s">
        <v>115</v>
      </c>
      <c r="J232" s="18"/>
      <c r="K232" s="18" t="s">
        <v>643</v>
      </c>
      <c r="L232" s="18"/>
      <c r="M232" s="20">
        <v>1</v>
      </c>
      <c r="N232" s="224">
        <v>28305</v>
      </c>
      <c r="O232" s="15">
        <f t="shared" si="10"/>
        <v>28305</v>
      </c>
      <c r="P232" s="15"/>
      <c r="Q232" s="14" t="s">
        <v>520</v>
      </c>
      <c r="R232" s="25">
        <v>45107</v>
      </c>
      <c r="S232" s="34" t="str">
        <f>TEXT(Table1[[#This Row],[End Date]],"MMMM")</f>
        <v>June</v>
      </c>
      <c r="T232" s="34" t="str">
        <f>TEXT(Table1[[#This Row],[End Date]],"YYYY")</f>
        <v>2023</v>
      </c>
      <c r="U232" s="24">
        <f t="shared" ca="1" si="11"/>
        <v>26</v>
      </c>
      <c r="V232" s="14" t="str" cm="1">
        <f t="array" aca="1" ref="V232" ca="1">_xlfn.IFS(Table1[[#This Row],[Agreement Days]]&gt;=0,"Expired",Table1[[#This Row],[Agreement Days]]&gt;=-30,"Expires &lt; 30 Days",Table1[[#This Row],[Agreement Days]]&gt;=-60,"Expires &lt; 60 Days",Table1[[#This Row],[Agreement Days]]&lt;-60,"Valid Contract")</f>
        <v>Expired</v>
      </c>
      <c r="W232" s="18" t="s">
        <v>18</v>
      </c>
      <c r="X232" s="18" t="s">
        <v>1023</v>
      </c>
      <c r="Y232" s="35" t="s">
        <v>522</v>
      </c>
      <c r="Z232" s="36" t="s">
        <v>523</v>
      </c>
      <c r="AA232" s="36"/>
      <c r="AB232" s="116"/>
      <c r="AC232" s="116"/>
    </row>
    <row r="233" spans="1:29" hidden="1" x14ac:dyDescent="0.3">
      <c r="A233" s="18" t="s">
        <v>514</v>
      </c>
      <c r="B233" s="18" t="s">
        <v>161</v>
      </c>
      <c r="C233" s="18" t="s">
        <v>544</v>
      </c>
      <c r="D233" s="14" t="s">
        <v>516</v>
      </c>
      <c r="E233" s="18" t="s">
        <v>9</v>
      </c>
      <c r="F233" s="14" t="s">
        <v>517</v>
      </c>
      <c r="G233" s="14" t="s">
        <v>518</v>
      </c>
      <c r="H233" s="18" t="s">
        <v>5</v>
      </c>
      <c r="I233" s="14" t="s">
        <v>115</v>
      </c>
      <c r="J233" s="18"/>
      <c r="K233" s="18" t="s">
        <v>573</v>
      </c>
      <c r="L233" s="18"/>
      <c r="M233" s="20">
        <v>72</v>
      </c>
      <c r="N233" s="15">
        <v>19491.53</v>
      </c>
      <c r="O233" s="15">
        <f t="shared" si="10"/>
        <v>1403390.16</v>
      </c>
      <c r="P233" s="15"/>
      <c r="Q233" s="14" t="s">
        <v>520</v>
      </c>
      <c r="R233" s="25">
        <v>45107</v>
      </c>
      <c r="S233" s="34" t="str">
        <f>TEXT(Table1[[#This Row],[End Date]],"MMMM")</f>
        <v>June</v>
      </c>
      <c r="T233" s="34" t="str">
        <f>TEXT(Table1[[#This Row],[End Date]],"YYYY")</f>
        <v>2023</v>
      </c>
      <c r="U233" s="24">
        <f t="shared" ca="1" si="11"/>
        <v>26</v>
      </c>
      <c r="V233" s="14" t="str" cm="1">
        <f t="array" aca="1" ref="V233" ca="1">_xlfn.IFS(Table1[[#This Row],[Agreement Days]]&gt;=0,"Expired",Table1[[#This Row],[Agreement Days]]&gt;=-30,"Expires &lt; 30 Days",Table1[[#This Row],[Agreement Days]]&gt;=-60,"Expires &lt; 60 Days",Table1[[#This Row],[Agreement Days]]&lt;-60,"Valid Contract")</f>
        <v>Expired</v>
      </c>
      <c r="W233" s="18" t="s">
        <v>18</v>
      </c>
      <c r="X233" s="18" t="s">
        <v>1023</v>
      </c>
      <c r="Y233" s="35" t="s">
        <v>522</v>
      </c>
      <c r="Z233" s="36" t="s">
        <v>523</v>
      </c>
      <c r="AA233" s="36"/>
      <c r="AB233" s="116"/>
      <c r="AC233" s="116"/>
    </row>
    <row r="234" spans="1:29" hidden="1" x14ac:dyDescent="0.3">
      <c r="A234" s="18" t="s">
        <v>1024</v>
      </c>
      <c r="B234" s="18" t="s">
        <v>382</v>
      </c>
      <c r="C234" s="18" t="s">
        <v>544</v>
      </c>
      <c r="D234" s="14" t="s">
        <v>516</v>
      </c>
      <c r="E234" s="18" t="s">
        <v>10</v>
      </c>
      <c r="F234" s="14" t="s">
        <v>560</v>
      </c>
      <c r="G234" s="14" t="s">
        <v>518</v>
      </c>
      <c r="H234" s="18" t="s">
        <v>2</v>
      </c>
      <c r="I234" s="14" t="s">
        <v>134</v>
      </c>
      <c r="J234" s="14">
        <v>3</v>
      </c>
      <c r="K234" s="18" t="s">
        <v>1025</v>
      </c>
      <c r="L234" s="18"/>
      <c r="M234" s="14">
        <v>1</v>
      </c>
      <c r="N234" s="15">
        <f>(370/1.18)*1105</f>
        <v>346483.05084745761</v>
      </c>
      <c r="O234" s="15">
        <f t="shared" si="10"/>
        <v>346483.05084745761</v>
      </c>
      <c r="P234" s="15"/>
      <c r="Q234" s="14" t="s">
        <v>520</v>
      </c>
      <c r="R234" s="25">
        <v>45107</v>
      </c>
      <c r="S234" s="34" t="str">
        <f>TEXT(Table1[[#This Row],[End Date]],"MMMM")</f>
        <v>June</v>
      </c>
      <c r="T234" s="34" t="str">
        <f>TEXT(Table1[[#This Row],[End Date]],"YYYY")</f>
        <v>2023</v>
      </c>
      <c r="U234" s="24">
        <f t="shared" ca="1" si="11"/>
        <v>26</v>
      </c>
      <c r="V234" s="14" t="str" cm="1">
        <f t="array" aca="1" ref="V234" ca="1">_xlfn.IFS(Table1[[#This Row],[Agreement Days]]&gt;=0,"Expired",Table1[[#This Row],[Agreement Days]]&gt;=-30,"Expires &lt; 30 Days",Table1[[#This Row],[Agreement Days]]&gt;=-60,"Expires &lt; 60 Days",Table1[[#This Row],[Agreement Days]]&lt;-60,"Valid Contract")</f>
        <v>Expired</v>
      </c>
      <c r="W234" s="18" t="s">
        <v>18</v>
      </c>
      <c r="X234" s="18" t="s">
        <v>1026</v>
      </c>
      <c r="Y234" s="35" t="s">
        <v>1027</v>
      </c>
      <c r="Z234" s="36" t="s">
        <v>1028</v>
      </c>
      <c r="AA234" s="36"/>
      <c r="AB234" s="116"/>
      <c r="AC234" s="116"/>
    </row>
    <row r="235" spans="1:29" hidden="1" x14ac:dyDescent="0.3">
      <c r="A235" s="18" t="s">
        <v>1029</v>
      </c>
      <c r="B235" s="18" t="s">
        <v>98</v>
      </c>
      <c r="C235" s="18" t="s">
        <v>98</v>
      </c>
      <c r="D235" s="14" t="s">
        <v>579</v>
      </c>
      <c r="E235" s="18" t="s">
        <v>9</v>
      </c>
      <c r="F235" s="14" t="s">
        <v>631</v>
      </c>
      <c r="G235" s="14" t="s">
        <v>518</v>
      </c>
      <c r="H235" s="18" t="s">
        <v>5</v>
      </c>
      <c r="I235" s="14" t="s">
        <v>117</v>
      </c>
      <c r="J235" s="14">
        <v>3</v>
      </c>
      <c r="K235" s="14" t="s">
        <v>632</v>
      </c>
      <c r="L235" s="14"/>
      <c r="M235" s="14">
        <v>1</v>
      </c>
      <c r="N235" s="15">
        <v>180000</v>
      </c>
      <c r="O235" s="15">
        <f t="shared" si="10"/>
        <v>180000</v>
      </c>
      <c r="P235" s="15"/>
      <c r="Q235" s="14" t="s">
        <v>520</v>
      </c>
      <c r="R235" s="21">
        <v>45107</v>
      </c>
      <c r="S235" s="22" t="str">
        <f>TEXT(Table1[[#This Row],[End Date]],"MMMM")</f>
        <v>June</v>
      </c>
      <c r="T235" s="23" t="str">
        <f>TEXT(Table1[[#This Row],[End Date]],"YYYY")</f>
        <v>2023</v>
      </c>
      <c r="U235" s="24">
        <f t="shared" ca="1" si="11"/>
        <v>26</v>
      </c>
      <c r="V235" s="14" t="str" cm="1">
        <f t="array" aca="1" ref="V235" ca="1">_xlfn.IFS(Table1[[#This Row],[Agreement Days]]&gt;=0,"Expired",Table1[[#This Row],[Agreement Days]]&gt;=-30,"Expires &lt; 30 Days",Table1[[#This Row],[Agreement Days]]&gt;=-60,"Expires &lt; 60 Days",Table1[[#This Row],[Agreement Days]]&lt;-60,"Valid Contract")</f>
        <v>Expired</v>
      </c>
      <c r="W235" s="14" t="s">
        <v>13</v>
      </c>
      <c r="X235" s="14" t="s">
        <v>1030</v>
      </c>
      <c r="Y235" s="71" t="s">
        <v>1031</v>
      </c>
      <c r="Z235" s="17">
        <v>787473746</v>
      </c>
      <c r="AA235" s="17"/>
      <c r="AB235" s="116"/>
      <c r="AC235" s="116"/>
    </row>
    <row r="236" spans="1:29" hidden="1" x14ac:dyDescent="0.3">
      <c r="A236" s="18" t="s">
        <v>1032</v>
      </c>
      <c r="B236" s="18" t="s">
        <v>26</v>
      </c>
      <c r="C236" s="18" t="s">
        <v>1033</v>
      </c>
      <c r="D236" s="14" t="s">
        <v>808</v>
      </c>
      <c r="E236" s="18" t="s">
        <v>9</v>
      </c>
      <c r="F236" s="14" t="s">
        <v>517</v>
      </c>
      <c r="G236" s="14" t="s">
        <v>546</v>
      </c>
      <c r="H236" s="18" t="s">
        <v>5</v>
      </c>
      <c r="I236" s="14" t="s">
        <v>117</v>
      </c>
      <c r="J236" s="14">
        <v>1000</v>
      </c>
      <c r="K236" s="14" t="s">
        <v>1034</v>
      </c>
      <c r="L236" s="14"/>
      <c r="M236" s="14">
        <v>1</v>
      </c>
      <c r="N236" s="15">
        <f>23750000/1.18</f>
        <v>20127118.644067798</v>
      </c>
      <c r="O236" s="15">
        <f t="shared" si="10"/>
        <v>20127118.644067798</v>
      </c>
      <c r="P236" s="15"/>
      <c r="Q236" s="14" t="s">
        <v>520</v>
      </c>
      <c r="R236" s="21">
        <v>45107</v>
      </c>
      <c r="S236" s="22" t="str">
        <f>TEXT(Table1[[#This Row],[End Date]],"MMMM")</f>
        <v>June</v>
      </c>
      <c r="T236" s="23" t="str">
        <f>TEXT(Table1[[#This Row],[End Date]],"YYYY")</f>
        <v>2023</v>
      </c>
      <c r="U236" s="24">
        <f t="shared" ca="1" si="11"/>
        <v>26</v>
      </c>
      <c r="V236" s="14" t="str" cm="1">
        <f t="array" aca="1" ref="V236" ca="1">_xlfn.IFS(Table1[[#This Row],[Agreement Days]]&gt;=0,"Expired",Table1[[#This Row],[Agreement Days]]&gt;=-30,"Expires &lt; 30 Days",Table1[[#This Row],[Agreement Days]]&gt;=-60,"Expires &lt; 60 Days",Table1[[#This Row],[Agreement Days]]&lt;-60,"Valid Contract")</f>
        <v>Expired</v>
      </c>
      <c r="W236" s="14" t="s">
        <v>13</v>
      </c>
      <c r="X236" s="14" t="s">
        <v>1035</v>
      </c>
      <c r="Y236" s="14" t="s">
        <v>1036</v>
      </c>
      <c r="Z236" s="17">
        <v>788518565</v>
      </c>
      <c r="AA236" s="17"/>
      <c r="AB236" s="116"/>
      <c r="AC236" s="116"/>
    </row>
    <row r="237" spans="1:29" hidden="1" x14ac:dyDescent="0.3">
      <c r="A237" s="18" t="s">
        <v>1032</v>
      </c>
      <c r="B237" s="18" t="s">
        <v>26</v>
      </c>
      <c r="C237" s="18" t="s">
        <v>1037</v>
      </c>
      <c r="D237" s="14" t="s">
        <v>808</v>
      </c>
      <c r="E237" s="18" t="s">
        <v>9</v>
      </c>
      <c r="F237" s="14" t="s">
        <v>517</v>
      </c>
      <c r="G237" s="14" t="s">
        <v>546</v>
      </c>
      <c r="H237" s="18" t="s">
        <v>5</v>
      </c>
      <c r="I237" s="14" t="s">
        <v>115</v>
      </c>
      <c r="J237" s="14"/>
      <c r="K237" s="18" t="s">
        <v>573</v>
      </c>
      <c r="L237" s="14"/>
      <c r="M237" s="14">
        <v>1</v>
      </c>
      <c r="N237" s="15">
        <v>19491.53</v>
      </c>
      <c r="O237" s="15">
        <f t="shared" si="10"/>
        <v>19491.53</v>
      </c>
      <c r="P237" s="15"/>
      <c r="Q237" s="14" t="s">
        <v>520</v>
      </c>
      <c r="R237" s="21">
        <v>45107</v>
      </c>
      <c r="S237" s="22" t="str">
        <f>TEXT(Table1[[#This Row],[End Date]],"MMMM")</f>
        <v>June</v>
      </c>
      <c r="T237" s="23" t="str">
        <f>TEXT(Table1[[#This Row],[End Date]],"YYYY")</f>
        <v>2023</v>
      </c>
      <c r="U237" s="24">
        <f t="shared" ca="1" si="11"/>
        <v>26</v>
      </c>
      <c r="V237" s="14" t="str" cm="1">
        <f t="array" aca="1" ref="V237" ca="1">_xlfn.IFS(Table1[[#This Row],[Agreement Days]]&gt;=0,"Expired",Table1[[#This Row],[Agreement Days]]&gt;=-30,"Expires &lt; 30 Days",Table1[[#This Row],[Agreement Days]]&gt;=-60,"Expires &lt; 60 Days",Table1[[#This Row],[Agreement Days]]&lt;-60,"Valid Contract")</f>
        <v>Expired</v>
      </c>
      <c r="W237" s="14" t="s">
        <v>13</v>
      </c>
      <c r="X237" s="14" t="s">
        <v>1035</v>
      </c>
      <c r="Y237" s="14" t="s">
        <v>1036</v>
      </c>
      <c r="Z237" s="17">
        <v>788518573</v>
      </c>
      <c r="AA237" s="17"/>
      <c r="AB237" s="116"/>
      <c r="AC237" s="116"/>
    </row>
    <row r="238" spans="1:29" hidden="1" x14ac:dyDescent="0.3">
      <c r="A238" s="18" t="s">
        <v>1032</v>
      </c>
      <c r="B238" s="18" t="s">
        <v>26</v>
      </c>
      <c r="C238" s="18" t="s">
        <v>1038</v>
      </c>
      <c r="D238" s="14" t="s">
        <v>848</v>
      </c>
      <c r="E238" s="18" t="s">
        <v>9</v>
      </c>
      <c r="F238" s="14" t="s">
        <v>517</v>
      </c>
      <c r="G238" s="14" t="s">
        <v>546</v>
      </c>
      <c r="H238" s="18" t="s">
        <v>5</v>
      </c>
      <c r="I238" s="14" t="s">
        <v>115</v>
      </c>
      <c r="J238" s="14"/>
      <c r="K238" s="18" t="s">
        <v>643</v>
      </c>
      <c r="L238" s="14"/>
      <c r="M238" s="14">
        <v>2</v>
      </c>
      <c r="N238" s="15">
        <v>28305.084745762713</v>
      </c>
      <c r="O238" s="15">
        <f t="shared" si="10"/>
        <v>56610.169491525427</v>
      </c>
      <c r="P238" s="15"/>
      <c r="Q238" s="14" t="s">
        <v>520</v>
      </c>
      <c r="R238" s="21">
        <v>45107</v>
      </c>
      <c r="S238" s="22" t="str">
        <f>TEXT(Table1[[#This Row],[End Date]],"MMMM")</f>
        <v>June</v>
      </c>
      <c r="T238" s="23" t="str">
        <f>TEXT(Table1[[#This Row],[End Date]],"YYYY")</f>
        <v>2023</v>
      </c>
      <c r="U238" s="24">
        <f t="shared" ca="1" si="11"/>
        <v>26</v>
      </c>
      <c r="V238" s="14" t="str" cm="1">
        <f t="array" aca="1" ref="V238" ca="1">_xlfn.IFS(Table1[[#This Row],[Agreement Days]]&gt;=0,"Expired",Table1[[#This Row],[Agreement Days]]&gt;=-30,"Expires &lt; 30 Days",Table1[[#This Row],[Agreement Days]]&gt;=-60,"Expires &lt; 60 Days",Table1[[#This Row],[Agreement Days]]&lt;-60,"Valid Contract")</f>
        <v>Expired</v>
      </c>
      <c r="W238" s="14" t="s">
        <v>13</v>
      </c>
      <c r="X238" s="14" t="s">
        <v>1035</v>
      </c>
      <c r="Y238" s="14" t="s">
        <v>1036</v>
      </c>
      <c r="Z238" s="17">
        <v>788518571</v>
      </c>
      <c r="AA238" s="17"/>
      <c r="AB238" s="116"/>
      <c r="AC238" s="116"/>
    </row>
    <row r="239" spans="1:29" hidden="1" x14ac:dyDescent="0.3">
      <c r="A239" s="18" t="s">
        <v>1032</v>
      </c>
      <c r="B239" s="18" t="s">
        <v>26</v>
      </c>
      <c r="C239" s="18" t="s">
        <v>1039</v>
      </c>
      <c r="D239" s="14" t="s">
        <v>545</v>
      </c>
      <c r="E239" s="18" t="s">
        <v>9</v>
      </c>
      <c r="F239" s="14" t="s">
        <v>517</v>
      </c>
      <c r="G239" s="14" t="s">
        <v>546</v>
      </c>
      <c r="H239" s="18" t="s">
        <v>5</v>
      </c>
      <c r="I239" s="14" t="s">
        <v>115</v>
      </c>
      <c r="J239" s="14"/>
      <c r="K239" s="18" t="s">
        <v>573</v>
      </c>
      <c r="L239" s="14"/>
      <c r="M239" s="14">
        <v>3</v>
      </c>
      <c r="N239" s="15">
        <v>19491.53</v>
      </c>
      <c r="O239" s="15">
        <f t="shared" si="10"/>
        <v>58474.59</v>
      </c>
      <c r="P239" s="15"/>
      <c r="Q239" s="14" t="s">
        <v>520</v>
      </c>
      <c r="R239" s="21">
        <v>45107</v>
      </c>
      <c r="S239" s="22" t="str">
        <f>TEXT(Table1[[#This Row],[End Date]],"MMMM")</f>
        <v>June</v>
      </c>
      <c r="T239" s="23" t="str">
        <f>TEXT(Table1[[#This Row],[End Date]],"YYYY")</f>
        <v>2023</v>
      </c>
      <c r="U239" s="24">
        <f t="shared" ca="1" si="11"/>
        <v>26</v>
      </c>
      <c r="V239" s="14" t="str" cm="1">
        <f t="array" aca="1" ref="V239" ca="1">_xlfn.IFS(Table1[[#This Row],[Agreement Days]]&gt;=0,"Expired",Table1[[#This Row],[Agreement Days]]&gt;=-30,"Expires &lt; 30 Days",Table1[[#This Row],[Agreement Days]]&gt;=-60,"Expires &lt; 60 Days",Table1[[#This Row],[Agreement Days]]&lt;-60,"Valid Contract")</f>
        <v>Expired</v>
      </c>
      <c r="W239" s="14" t="s">
        <v>13</v>
      </c>
      <c r="X239" s="14" t="s">
        <v>1035</v>
      </c>
      <c r="Y239" s="14" t="s">
        <v>1036</v>
      </c>
      <c r="Z239" s="17">
        <v>788518564</v>
      </c>
      <c r="AA239" s="17"/>
      <c r="AB239" s="116"/>
      <c r="AC239" s="116"/>
    </row>
    <row r="240" spans="1:29" hidden="1" x14ac:dyDescent="0.3">
      <c r="A240" s="18" t="s">
        <v>1032</v>
      </c>
      <c r="B240" s="18" t="s">
        <v>26</v>
      </c>
      <c r="C240" s="18" t="s">
        <v>1038</v>
      </c>
      <c r="D240" s="14" t="s">
        <v>848</v>
      </c>
      <c r="E240" s="18" t="s">
        <v>9</v>
      </c>
      <c r="F240" s="14" t="s">
        <v>517</v>
      </c>
      <c r="G240" s="14" t="s">
        <v>546</v>
      </c>
      <c r="H240" s="18" t="s">
        <v>5</v>
      </c>
      <c r="I240" s="14" t="s">
        <v>115</v>
      </c>
      <c r="J240" s="14"/>
      <c r="K240" s="18" t="s">
        <v>573</v>
      </c>
      <c r="L240" s="14"/>
      <c r="M240" s="14">
        <v>3</v>
      </c>
      <c r="N240" s="15">
        <v>19491.53</v>
      </c>
      <c r="O240" s="15">
        <f t="shared" si="10"/>
        <v>58474.59</v>
      </c>
      <c r="P240" s="15"/>
      <c r="Q240" s="14" t="s">
        <v>520</v>
      </c>
      <c r="R240" s="21">
        <v>45107</v>
      </c>
      <c r="S240" s="22" t="str">
        <f>TEXT(Table1[[#This Row],[End Date]],"MMMM")</f>
        <v>June</v>
      </c>
      <c r="T240" s="23" t="str">
        <f>TEXT(Table1[[#This Row],[End Date]],"YYYY")</f>
        <v>2023</v>
      </c>
      <c r="U240" s="24">
        <f t="shared" ca="1" si="11"/>
        <v>26</v>
      </c>
      <c r="V240" s="14" t="str" cm="1">
        <f t="array" aca="1" ref="V240" ca="1">_xlfn.IFS(Table1[[#This Row],[Agreement Days]]&gt;=0,"Expired",Table1[[#This Row],[Agreement Days]]&gt;=-30,"Expires &lt; 30 Days",Table1[[#This Row],[Agreement Days]]&gt;=-60,"Expires &lt; 60 Days",Table1[[#This Row],[Agreement Days]]&lt;-60,"Valid Contract")</f>
        <v>Expired</v>
      </c>
      <c r="W240" s="14" t="s">
        <v>13</v>
      </c>
      <c r="X240" s="14" t="s">
        <v>1035</v>
      </c>
      <c r="Y240" s="14" t="s">
        <v>1036</v>
      </c>
      <c r="Z240" s="17">
        <v>788518570</v>
      </c>
      <c r="AA240" s="17"/>
      <c r="AB240" s="116"/>
      <c r="AC240" s="116"/>
    </row>
    <row r="241" spans="1:29" hidden="1" x14ac:dyDescent="0.3">
      <c r="A241" s="18" t="s">
        <v>1040</v>
      </c>
      <c r="B241" s="18" t="s">
        <v>296</v>
      </c>
      <c r="C241" s="18" t="s">
        <v>544</v>
      </c>
      <c r="D241" s="14" t="s">
        <v>545</v>
      </c>
      <c r="E241" s="18" t="s">
        <v>10</v>
      </c>
      <c r="F241" s="14" t="s">
        <v>560</v>
      </c>
      <c r="G241" s="14" t="s">
        <v>518</v>
      </c>
      <c r="H241" s="18" t="s">
        <v>2</v>
      </c>
      <c r="I241" s="14" t="s">
        <v>134</v>
      </c>
      <c r="J241" s="14">
        <v>20</v>
      </c>
      <c r="K241" s="18" t="s">
        <v>712</v>
      </c>
      <c r="L241" s="18"/>
      <c r="M241" s="14">
        <v>1</v>
      </c>
      <c r="N241" s="15">
        <v>1065000</v>
      </c>
      <c r="O241" s="15">
        <f t="shared" si="10"/>
        <v>1065000</v>
      </c>
      <c r="P241" s="15"/>
      <c r="Q241" s="14" t="s">
        <v>520</v>
      </c>
      <c r="R241" s="25">
        <v>45107</v>
      </c>
      <c r="S241" s="34" t="str">
        <f>TEXT(Table1[[#This Row],[End Date]],"MMMM")</f>
        <v>June</v>
      </c>
      <c r="T241" s="34" t="str">
        <f>TEXT(Table1[[#This Row],[End Date]],"YYYY")</f>
        <v>2023</v>
      </c>
      <c r="U241" s="24">
        <f t="shared" ca="1" si="11"/>
        <v>26</v>
      </c>
      <c r="V241" s="14" t="str" cm="1">
        <f t="array" aca="1" ref="V241" ca="1">_xlfn.IFS(Table1[[#This Row],[Agreement Days]]&gt;=0,"Expired",Table1[[#This Row],[Agreement Days]]&gt;=-30,"Expires &lt; 30 Days",Table1[[#This Row],[Agreement Days]]&gt;=-60,"Expires &lt; 60 Days",Table1[[#This Row],[Agreement Days]]&lt;-60,"Valid Contract")</f>
        <v>Expired</v>
      </c>
      <c r="W241" s="18" t="s">
        <v>18</v>
      </c>
      <c r="X241" s="18" t="s">
        <v>1041</v>
      </c>
      <c r="Y241" s="35" t="s">
        <v>1042</v>
      </c>
      <c r="Z241" s="36" t="s">
        <v>1043</v>
      </c>
      <c r="AA241" s="36"/>
      <c r="AB241" s="116"/>
      <c r="AC241" s="116"/>
    </row>
    <row r="242" spans="1:29" hidden="1" x14ac:dyDescent="0.3">
      <c r="A242" s="18" t="s">
        <v>1044</v>
      </c>
      <c r="B242" s="18" t="s">
        <v>183</v>
      </c>
      <c r="C242" s="18" t="s">
        <v>544</v>
      </c>
      <c r="D242" s="14" t="s">
        <v>653</v>
      </c>
      <c r="E242" s="18" t="s">
        <v>10</v>
      </c>
      <c r="F242" s="14" t="s">
        <v>693</v>
      </c>
      <c r="G242" s="14" t="s">
        <v>518</v>
      </c>
      <c r="H242" s="18" t="s">
        <v>2</v>
      </c>
      <c r="I242" s="14" t="s">
        <v>134</v>
      </c>
      <c r="J242" s="19">
        <v>100</v>
      </c>
      <c r="K242" s="26" t="s">
        <v>1045</v>
      </c>
      <c r="L242" s="26"/>
      <c r="M242" s="19">
        <v>1</v>
      </c>
      <c r="N242" s="15">
        <v>3600000</v>
      </c>
      <c r="O242" s="15">
        <f t="shared" si="10"/>
        <v>3600000</v>
      </c>
      <c r="P242" s="15"/>
      <c r="Q242" s="14" t="s">
        <v>520</v>
      </c>
      <c r="R242" s="25">
        <v>45120</v>
      </c>
      <c r="S242" s="34" t="str">
        <f>TEXT(Table1[[#This Row],[End Date]],"MMMM")</f>
        <v>July</v>
      </c>
      <c r="T242" s="34" t="str">
        <f>TEXT(Table1[[#This Row],[End Date]],"YYYY")</f>
        <v>2023</v>
      </c>
      <c r="U242" s="24">
        <f t="shared" ca="1" si="11"/>
        <v>13</v>
      </c>
      <c r="V242" s="14" t="str" cm="1">
        <f t="array" aca="1" ref="V242" ca="1">_xlfn.IFS(Table1[[#This Row],[Agreement Days]]&gt;=0,"Expired",Table1[[#This Row],[Agreement Days]]&gt;=-30,"Expires &lt; 30 Days",Table1[[#This Row],[Agreement Days]]&gt;=-60,"Expires &lt; 60 Days",Table1[[#This Row],[Agreement Days]]&lt;-60,"Valid Contract")</f>
        <v>Expired</v>
      </c>
      <c r="W242" s="26" t="s">
        <v>17</v>
      </c>
      <c r="X242" s="26" t="s">
        <v>1046</v>
      </c>
      <c r="Y242" s="18" t="s">
        <v>1047</v>
      </c>
      <c r="Z242" s="27">
        <v>788511688</v>
      </c>
      <c r="AA242" s="27"/>
      <c r="AB242" s="116"/>
      <c r="AC242" s="116"/>
    </row>
    <row r="243" spans="1:29" hidden="1" x14ac:dyDescent="0.3">
      <c r="A243" s="18" t="s">
        <v>1044</v>
      </c>
      <c r="B243" s="18" t="s">
        <v>183</v>
      </c>
      <c r="C243" s="18" t="s">
        <v>544</v>
      </c>
      <c r="D243" s="14" t="s">
        <v>653</v>
      </c>
      <c r="E243" s="18" t="s">
        <v>10</v>
      </c>
      <c r="F243" s="14" t="s">
        <v>693</v>
      </c>
      <c r="G243" s="14" t="s">
        <v>518</v>
      </c>
      <c r="H243" s="18" t="s">
        <v>4</v>
      </c>
      <c r="I243" s="14" t="s">
        <v>118</v>
      </c>
      <c r="J243" s="26"/>
      <c r="K243" s="26" t="s">
        <v>650</v>
      </c>
      <c r="L243" s="26"/>
      <c r="M243" s="19">
        <v>1</v>
      </c>
      <c r="N243" s="15">
        <v>369325.42</v>
      </c>
      <c r="O243" s="15">
        <f t="shared" si="10"/>
        <v>369325.42</v>
      </c>
      <c r="P243" s="15"/>
      <c r="Q243" s="14" t="s">
        <v>520</v>
      </c>
      <c r="R243" s="25">
        <v>45120</v>
      </c>
      <c r="S243" s="34" t="str">
        <f>TEXT(Table1[[#This Row],[End Date]],"MMMM")</f>
        <v>July</v>
      </c>
      <c r="T243" s="34" t="str">
        <f>TEXT(Table1[[#This Row],[End Date]],"YYYY")</f>
        <v>2023</v>
      </c>
      <c r="U243" s="24">
        <f t="shared" ca="1" si="11"/>
        <v>13</v>
      </c>
      <c r="V243" s="14" t="str" cm="1">
        <f t="array" aca="1" ref="V243" ca="1">_xlfn.IFS(Table1[[#This Row],[Agreement Days]]&gt;=0,"Expired",Table1[[#This Row],[Agreement Days]]&gt;=-30,"Expires &lt; 30 Days",Table1[[#This Row],[Agreement Days]]&gt;=-60,"Expires &lt; 60 Days",Table1[[#This Row],[Agreement Days]]&lt;-60,"Valid Contract")</f>
        <v>Expired</v>
      </c>
      <c r="W243" s="26" t="s">
        <v>17</v>
      </c>
      <c r="X243" s="26" t="s">
        <v>1046</v>
      </c>
      <c r="Y243" s="18" t="s">
        <v>1047</v>
      </c>
      <c r="Z243" s="27">
        <v>788511688</v>
      </c>
      <c r="AA243" s="27"/>
      <c r="AB243" s="116"/>
      <c r="AC243" s="116"/>
    </row>
    <row r="244" spans="1:29" hidden="1" x14ac:dyDescent="0.3">
      <c r="A244" s="18" t="s">
        <v>1044</v>
      </c>
      <c r="B244" s="18" t="s">
        <v>183</v>
      </c>
      <c r="C244" s="18" t="s">
        <v>544</v>
      </c>
      <c r="D244" s="14" t="s">
        <v>653</v>
      </c>
      <c r="E244" s="18" t="s">
        <v>10</v>
      </c>
      <c r="F244" s="14" t="s">
        <v>693</v>
      </c>
      <c r="G244" s="14" t="s">
        <v>518</v>
      </c>
      <c r="H244" s="18" t="s">
        <v>5</v>
      </c>
      <c r="I244" s="14" t="s">
        <v>115</v>
      </c>
      <c r="J244" s="26"/>
      <c r="K244" s="26" t="s">
        <v>1048</v>
      </c>
      <c r="L244" s="26"/>
      <c r="M244" s="19">
        <v>3</v>
      </c>
      <c r="N244" s="15">
        <v>100423.73</v>
      </c>
      <c r="O244" s="15">
        <f t="shared" si="10"/>
        <v>301271.19</v>
      </c>
      <c r="P244" s="15"/>
      <c r="Q244" s="14" t="s">
        <v>520</v>
      </c>
      <c r="R244" s="25">
        <v>45120</v>
      </c>
      <c r="S244" s="34" t="str">
        <f>TEXT(Table1[[#This Row],[End Date]],"MMMM")</f>
        <v>July</v>
      </c>
      <c r="T244" s="34" t="str">
        <f>TEXT(Table1[[#This Row],[End Date]],"YYYY")</f>
        <v>2023</v>
      </c>
      <c r="U244" s="24">
        <f t="shared" ca="1" si="11"/>
        <v>13</v>
      </c>
      <c r="V244" s="14" t="str" cm="1">
        <f t="array" aca="1" ref="V244" ca="1">_xlfn.IFS(Table1[[#This Row],[Agreement Days]]&gt;=0,"Expired",Table1[[#This Row],[Agreement Days]]&gt;=-30,"Expires &lt; 30 Days",Table1[[#This Row],[Agreement Days]]&gt;=-60,"Expires &lt; 60 Days",Table1[[#This Row],[Agreement Days]]&lt;-60,"Valid Contract")</f>
        <v>Expired</v>
      </c>
      <c r="W244" s="26" t="s">
        <v>17</v>
      </c>
      <c r="X244" s="26" t="s">
        <v>1046</v>
      </c>
      <c r="Y244" s="18" t="s">
        <v>1047</v>
      </c>
      <c r="Z244" s="27">
        <v>788511688</v>
      </c>
      <c r="AA244" s="27"/>
      <c r="AB244" s="116"/>
      <c r="AC244" s="116"/>
    </row>
    <row r="245" spans="1:29" x14ac:dyDescent="0.3">
      <c r="A245" s="18" t="s">
        <v>1049</v>
      </c>
      <c r="B245" s="18" t="s">
        <v>238</v>
      </c>
      <c r="C245" s="18" t="s">
        <v>1021</v>
      </c>
      <c r="D245" s="14" t="s">
        <v>545</v>
      </c>
      <c r="E245" s="18" t="s">
        <v>9</v>
      </c>
      <c r="F245" s="14" t="s">
        <v>517</v>
      </c>
      <c r="G245" s="14" t="s">
        <v>518</v>
      </c>
      <c r="H245" s="18" t="s">
        <v>2</v>
      </c>
      <c r="I245" s="14" t="s">
        <v>118</v>
      </c>
      <c r="J245" s="14"/>
      <c r="K245" s="14" t="s">
        <v>721</v>
      </c>
      <c r="L245" s="14"/>
      <c r="M245" s="14">
        <v>1</v>
      </c>
      <c r="N245" s="15">
        <v>369325</v>
      </c>
      <c r="O245" s="15">
        <f t="shared" si="10"/>
        <v>369325</v>
      </c>
      <c r="P245" s="15"/>
      <c r="Q245" s="14" t="s">
        <v>520</v>
      </c>
      <c r="R245" s="21">
        <v>45121</v>
      </c>
      <c r="S245" s="22" t="str">
        <f>TEXT(Table1[[#This Row],[End Date]],"MMMM")</f>
        <v>July</v>
      </c>
      <c r="T245" s="23" t="str">
        <f>TEXT(Table1[[#This Row],[End Date]],"YYYY")</f>
        <v>2023</v>
      </c>
      <c r="U245" s="24">
        <f t="shared" ca="1" si="11"/>
        <v>12</v>
      </c>
      <c r="V245" s="14" t="str" cm="1">
        <f t="array" aca="1" ref="V245" ca="1">_xlfn.IFS(Table1[[#This Row],[Agreement Days]]&gt;=0,"Expired",Table1[[#This Row],[Agreement Days]]&gt;=-30,"Expires &lt; 30 Days",Table1[[#This Row],[Agreement Days]]&gt;=-60,"Expires &lt; 60 Days",Table1[[#This Row],[Agreement Days]]&lt;-60,"Valid Contract")</f>
        <v>Expired</v>
      </c>
      <c r="W245" s="14" t="s">
        <v>12</v>
      </c>
      <c r="X245" s="14" t="s">
        <v>1050</v>
      </c>
      <c r="Y245" s="16" t="s">
        <v>1051</v>
      </c>
      <c r="Z245" s="17" t="s">
        <v>1052</v>
      </c>
      <c r="AA245" s="17"/>
      <c r="AB245" s="116"/>
      <c r="AC245" s="116"/>
    </row>
    <row r="246" spans="1:29" s="41" customFormat="1" hidden="1" x14ac:dyDescent="0.3">
      <c r="A246" s="18" t="s">
        <v>1053</v>
      </c>
      <c r="B246" s="18" t="s">
        <v>277</v>
      </c>
      <c r="C246" s="18" t="s">
        <v>1054</v>
      </c>
      <c r="D246" s="14" t="s">
        <v>545</v>
      </c>
      <c r="E246" s="18" t="s">
        <v>9</v>
      </c>
      <c r="F246" s="14" t="s">
        <v>688</v>
      </c>
      <c r="G246" s="14" t="s">
        <v>518</v>
      </c>
      <c r="H246" s="18" t="s">
        <v>5</v>
      </c>
      <c r="I246" s="14" t="s">
        <v>117</v>
      </c>
      <c r="J246" s="14">
        <v>5</v>
      </c>
      <c r="K246" s="18" t="s">
        <v>519</v>
      </c>
      <c r="L246" s="18"/>
      <c r="M246" s="14">
        <v>1</v>
      </c>
      <c r="N246" s="15">
        <v>270000</v>
      </c>
      <c r="O246" s="15">
        <f t="shared" si="10"/>
        <v>270000</v>
      </c>
      <c r="P246" s="15"/>
      <c r="Q246" s="14" t="s">
        <v>520</v>
      </c>
      <c r="R246" s="25">
        <v>45135</v>
      </c>
      <c r="S246" s="34" t="str">
        <f>TEXT(Table1[[#This Row],[End Date]],"MMMM")</f>
        <v>July</v>
      </c>
      <c r="T246" s="34" t="str">
        <f>TEXT(Table1[[#This Row],[End Date]],"YYYY")</f>
        <v>2023</v>
      </c>
      <c r="U246" s="24">
        <f t="shared" ca="1" si="11"/>
        <v>-2</v>
      </c>
      <c r="V246" s="14" t="str" cm="1">
        <f t="array" aca="1" ref="V246" ca="1">_xlfn.IFS(Table1[[#This Row],[Agreement Days]]&gt;=0,"Expired",Table1[[#This Row],[Agreement Days]]&gt;=-30,"Expires &lt; 30 Days",Table1[[#This Row],[Agreement Days]]&gt;=-60,"Expires &lt; 60 Days",Table1[[#This Row],[Agreement Days]]&lt;-60,"Valid Contract")</f>
        <v>Expires &lt; 30 Days</v>
      </c>
      <c r="W246" s="18" t="s">
        <v>21</v>
      </c>
      <c r="X246" s="18" t="s">
        <v>1055</v>
      </c>
      <c r="Y246" s="42" t="s">
        <v>1056</v>
      </c>
      <c r="Z246" s="27">
        <v>788989730</v>
      </c>
      <c r="AA246" s="27"/>
      <c r="AB246" s="116"/>
      <c r="AC246" s="116"/>
    </row>
    <row r="247" spans="1:29" hidden="1" x14ac:dyDescent="0.3">
      <c r="A247" s="18" t="s">
        <v>1053</v>
      </c>
      <c r="B247" s="18" t="s">
        <v>277</v>
      </c>
      <c r="C247" s="18" t="s">
        <v>1054</v>
      </c>
      <c r="D247" s="14" t="s">
        <v>545</v>
      </c>
      <c r="E247" s="18" t="s">
        <v>9</v>
      </c>
      <c r="F247" s="14" t="s">
        <v>688</v>
      </c>
      <c r="G247" s="14" t="s">
        <v>518</v>
      </c>
      <c r="H247" s="18" t="s">
        <v>5</v>
      </c>
      <c r="I247" s="14" t="s">
        <v>117</v>
      </c>
      <c r="J247" s="14">
        <v>10</v>
      </c>
      <c r="K247" s="18" t="s">
        <v>547</v>
      </c>
      <c r="L247" s="18"/>
      <c r="M247" s="14">
        <v>1</v>
      </c>
      <c r="N247" s="15">
        <v>510000</v>
      </c>
      <c r="O247" s="15">
        <f t="shared" si="10"/>
        <v>510000</v>
      </c>
      <c r="P247" s="15"/>
      <c r="Q247" s="14" t="s">
        <v>520</v>
      </c>
      <c r="R247" s="25">
        <v>45135</v>
      </c>
      <c r="S247" s="34" t="str">
        <f>TEXT(Table1[[#This Row],[End Date]],"MMMM")</f>
        <v>July</v>
      </c>
      <c r="T247" s="34" t="str">
        <f>TEXT(Table1[[#This Row],[End Date]],"YYYY")</f>
        <v>2023</v>
      </c>
      <c r="U247" s="24">
        <f t="shared" ca="1" si="11"/>
        <v>-2</v>
      </c>
      <c r="V247" s="14" t="str" cm="1">
        <f t="array" aca="1" ref="V247" ca="1">_xlfn.IFS(Table1[[#This Row],[Agreement Days]]&gt;=0,"Expired",Table1[[#This Row],[Agreement Days]]&gt;=-30,"Expires &lt; 30 Days",Table1[[#This Row],[Agreement Days]]&gt;=-60,"Expires &lt; 60 Days",Table1[[#This Row],[Agreement Days]]&lt;-60,"Valid Contract")</f>
        <v>Expires &lt; 30 Days</v>
      </c>
      <c r="W247" s="18" t="s">
        <v>21</v>
      </c>
      <c r="X247" s="18" t="s">
        <v>1055</v>
      </c>
      <c r="Y247" s="42" t="s">
        <v>1056</v>
      </c>
      <c r="Z247" s="27">
        <v>788989730</v>
      </c>
      <c r="AA247" s="27"/>
      <c r="AB247" s="116"/>
      <c r="AC247" s="116"/>
    </row>
    <row r="248" spans="1:29" hidden="1" x14ac:dyDescent="0.3">
      <c r="A248" s="18" t="s">
        <v>980</v>
      </c>
      <c r="B248" s="18" t="s">
        <v>24</v>
      </c>
      <c r="C248" s="18" t="s">
        <v>1057</v>
      </c>
      <c r="D248" s="14" t="s">
        <v>545</v>
      </c>
      <c r="E248" s="18" t="s">
        <v>9</v>
      </c>
      <c r="F248" s="14" t="s">
        <v>631</v>
      </c>
      <c r="G248" s="14" t="s">
        <v>546</v>
      </c>
      <c r="H248" s="18" t="s">
        <v>5</v>
      </c>
      <c r="I248" s="14" t="s">
        <v>117</v>
      </c>
      <c r="J248" s="14">
        <v>30</v>
      </c>
      <c r="K248" s="18" t="s">
        <v>694</v>
      </c>
      <c r="L248" s="18"/>
      <c r="M248" s="14">
        <v>1</v>
      </c>
      <c r="N248" s="15">
        <v>1260000</v>
      </c>
      <c r="O248" s="15">
        <f t="shared" si="10"/>
        <v>1260000</v>
      </c>
      <c r="P248" s="15"/>
      <c r="Q248" s="14" t="s">
        <v>520</v>
      </c>
      <c r="R248" s="25">
        <v>45135</v>
      </c>
      <c r="S248" s="34" t="str">
        <f>TEXT(Table1[[#This Row],[End Date]],"MMMM")</f>
        <v>July</v>
      </c>
      <c r="T248" s="34" t="str">
        <f>TEXT(Table1[[#This Row],[End Date]],"YYYY")</f>
        <v>2023</v>
      </c>
      <c r="U248" s="24">
        <f t="shared" ca="1" si="11"/>
        <v>-2</v>
      </c>
      <c r="V248" s="14" t="str" cm="1">
        <f t="array" aca="1" ref="V248" ca="1">_xlfn.IFS(Table1[[#This Row],[Agreement Days]]&gt;=0,"Expired",Table1[[#This Row],[Agreement Days]]&gt;=-30,"Expires &lt; 30 Days",Table1[[#This Row],[Agreement Days]]&gt;=-60,"Expires &lt; 60 Days",Table1[[#This Row],[Agreement Days]]&lt;-60,"Valid Contract")</f>
        <v>Expires &lt; 30 Days</v>
      </c>
      <c r="W248" s="18" t="s">
        <v>21</v>
      </c>
      <c r="X248" s="18" t="s">
        <v>1058</v>
      </c>
      <c r="Y248" s="48" t="s">
        <v>1059</v>
      </c>
      <c r="Z248" s="36" t="s">
        <v>1060</v>
      </c>
      <c r="AA248" s="27"/>
      <c r="AB248" s="116"/>
      <c r="AC248" s="116"/>
    </row>
    <row r="249" spans="1:29" hidden="1" x14ac:dyDescent="0.3">
      <c r="A249" s="18" t="s">
        <v>980</v>
      </c>
      <c r="B249" s="18" t="s">
        <v>24</v>
      </c>
      <c r="C249" s="18" t="s">
        <v>1057</v>
      </c>
      <c r="D249" s="14" t="s">
        <v>545</v>
      </c>
      <c r="E249" s="18" t="s">
        <v>9</v>
      </c>
      <c r="F249" s="14" t="s">
        <v>631</v>
      </c>
      <c r="G249" s="14" t="s">
        <v>546</v>
      </c>
      <c r="H249" s="18" t="s">
        <v>4</v>
      </c>
      <c r="I249" s="14" t="s">
        <v>118</v>
      </c>
      <c r="J249" s="18"/>
      <c r="K249" s="18" t="s">
        <v>650</v>
      </c>
      <c r="L249" s="18"/>
      <c r="M249" s="14">
        <v>1</v>
      </c>
      <c r="N249" s="15">
        <v>369325</v>
      </c>
      <c r="O249" s="15">
        <f t="shared" si="10"/>
        <v>369325</v>
      </c>
      <c r="P249" s="15"/>
      <c r="Q249" s="14" t="s">
        <v>520</v>
      </c>
      <c r="R249" s="25">
        <v>45135</v>
      </c>
      <c r="S249" s="34" t="str">
        <f>TEXT(Table1[[#This Row],[End Date]],"MMMM")</f>
        <v>July</v>
      </c>
      <c r="T249" s="34" t="str">
        <f>TEXT(Table1[[#This Row],[End Date]],"YYYY")</f>
        <v>2023</v>
      </c>
      <c r="U249" s="24">
        <f t="shared" ca="1" si="11"/>
        <v>-2</v>
      </c>
      <c r="V249" s="14" t="str" cm="1">
        <f t="array" aca="1" ref="V249" ca="1">_xlfn.IFS(Table1[[#This Row],[Agreement Days]]&gt;=0,"Expired",Table1[[#This Row],[Agreement Days]]&gt;=-30,"Expires &lt; 30 Days",Table1[[#This Row],[Agreement Days]]&gt;=-60,"Expires &lt; 60 Days",Table1[[#This Row],[Agreement Days]]&lt;-60,"Valid Contract")</f>
        <v>Expires &lt; 30 Days</v>
      </c>
      <c r="W249" s="18" t="s">
        <v>21</v>
      </c>
      <c r="X249" s="18" t="s">
        <v>1058</v>
      </c>
      <c r="Y249" s="48" t="s">
        <v>1059</v>
      </c>
      <c r="Z249" s="36" t="s">
        <v>1060</v>
      </c>
      <c r="AA249" s="27"/>
      <c r="AB249" s="116"/>
      <c r="AC249" s="116"/>
    </row>
    <row r="250" spans="1:29" hidden="1" x14ac:dyDescent="0.3">
      <c r="A250" s="18" t="s">
        <v>980</v>
      </c>
      <c r="B250" s="18" t="s">
        <v>24</v>
      </c>
      <c r="C250" s="18" t="s">
        <v>1057</v>
      </c>
      <c r="D250" s="14" t="s">
        <v>545</v>
      </c>
      <c r="E250" s="18" t="s">
        <v>9</v>
      </c>
      <c r="F250" s="14" t="s">
        <v>631</v>
      </c>
      <c r="G250" s="14" t="s">
        <v>546</v>
      </c>
      <c r="H250" s="18" t="s">
        <v>5</v>
      </c>
      <c r="I250" s="14" t="s">
        <v>116</v>
      </c>
      <c r="J250" s="18"/>
      <c r="K250" s="14" t="s">
        <v>533</v>
      </c>
      <c r="L250" s="46">
        <v>3.2</v>
      </c>
      <c r="M250" s="14">
        <v>1</v>
      </c>
      <c r="N250" s="15">
        <v>340303</v>
      </c>
      <c r="O250" s="15">
        <f t="shared" si="10"/>
        <v>340303</v>
      </c>
      <c r="P250" s="15"/>
      <c r="Q250" s="14" t="s">
        <v>520</v>
      </c>
      <c r="R250" s="25">
        <v>45135</v>
      </c>
      <c r="S250" s="34" t="str">
        <f>TEXT(Table1[[#This Row],[End Date]],"MMMM")</f>
        <v>July</v>
      </c>
      <c r="T250" s="34" t="str">
        <f>TEXT(Table1[[#This Row],[End Date]],"YYYY")</f>
        <v>2023</v>
      </c>
      <c r="U250" s="24">
        <f t="shared" ca="1" si="11"/>
        <v>-2</v>
      </c>
      <c r="V250" s="14" t="str" cm="1">
        <f t="array" aca="1" ref="V250" ca="1">_xlfn.IFS(Table1[[#This Row],[Agreement Days]]&gt;=0,"Expired",Table1[[#This Row],[Agreement Days]]&gt;=-30,"Expires &lt; 30 Days",Table1[[#This Row],[Agreement Days]]&gt;=-60,"Expires &lt; 60 Days",Table1[[#This Row],[Agreement Days]]&lt;-60,"Valid Contract")</f>
        <v>Expires &lt; 30 Days</v>
      </c>
      <c r="W250" s="18" t="s">
        <v>21</v>
      </c>
      <c r="X250" s="18" t="s">
        <v>1058</v>
      </c>
      <c r="Y250" s="48" t="s">
        <v>1059</v>
      </c>
      <c r="Z250" s="36" t="s">
        <v>1060</v>
      </c>
      <c r="AA250" s="27"/>
      <c r="AB250" s="116"/>
      <c r="AC250" s="116"/>
    </row>
    <row r="251" spans="1:29" hidden="1" x14ac:dyDescent="0.3">
      <c r="A251" s="18" t="s">
        <v>980</v>
      </c>
      <c r="B251" s="18" t="s">
        <v>24</v>
      </c>
      <c r="C251" s="18" t="s">
        <v>1057</v>
      </c>
      <c r="D251" s="14" t="s">
        <v>545</v>
      </c>
      <c r="E251" s="18" t="s">
        <v>9</v>
      </c>
      <c r="F251" s="14" t="s">
        <v>631</v>
      </c>
      <c r="G251" s="14" t="s">
        <v>546</v>
      </c>
      <c r="H251" s="18" t="s">
        <v>5</v>
      </c>
      <c r="I251" s="14" t="s">
        <v>115</v>
      </c>
      <c r="J251" s="18"/>
      <c r="K251" s="18" t="s">
        <v>643</v>
      </c>
      <c r="L251" s="18"/>
      <c r="M251" s="14">
        <v>55</v>
      </c>
      <c r="N251" s="15">
        <v>28305.08</v>
      </c>
      <c r="O251" s="15">
        <f t="shared" si="10"/>
        <v>1556779.4000000001</v>
      </c>
      <c r="P251" s="15"/>
      <c r="Q251" s="14" t="s">
        <v>520</v>
      </c>
      <c r="R251" s="25">
        <v>45135</v>
      </c>
      <c r="S251" s="34" t="str">
        <f>TEXT(Table1[[#This Row],[End Date]],"MMMM")</f>
        <v>July</v>
      </c>
      <c r="T251" s="34" t="str">
        <f>TEXT(Table1[[#This Row],[End Date]],"YYYY")</f>
        <v>2023</v>
      </c>
      <c r="U251" s="24">
        <f t="shared" ca="1" si="11"/>
        <v>-2</v>
      </c>
      <c r="V251" s="14" t="str" cm="1">
        <f t="array" aca="1" ref="V251" ca="1">_xlfn.IFS(Table1[[#This Row],[Agreement Days]]&gt;=0,"Expired",Table1[[#This Row],[Agreement Days]]&gt;=-30,"Expires &lt; 30 Days",Table1[[#This Row],[Agreement Days]]&gt;=-60,"Expires &lt; 60 Days",Table1[[#This Row],[Agreement Days]]&lt;-60,"Valid Contract")</f>
        <v>Expires &lt; 30 Days</v>
      </c>
      <c r="W251" s="18" t="s">
        <v>21</v>
      </c>
      <c r="X251" s="18" t="s">
        <v>1058</v>
      </c>
      <c r="Y251" s="48" t="s">
        <v>1059</v>
      </c>
      <c r="Z251" s="36" t="s">
        <v>1060</v>
      </c>
      <c r="AA251" s="27"/>
      <c r="AB251" s="116"/>
      <c r="AC251" s="116"/>
    </row>
    <row r="252" spans="1:29" hidden="1" x14ac:dyDescent="0.3">
      <c r="A252" s="18" t="s">
        <v>1061</v>
      </c>
      <c r="B252" s="18" t="s">
        <v>393</v>
      </c>
      <c r="C252" s="18" t="s">
        <v>1062</v>
      </c>
      <c r="D252" s="14" t="s">
        <v>542</v>
      </c>
      <c r="E252" s="18" t="s">
        <v>9</v>
      </c>
      <c r="F252" s="14" t="s">
        <v>688</v>
      </c>
      <c r="G252" s="14" t="s">
        <v>518</v>
      </c>
      <c r="H252" s="18" t="s">
        <v>5</v>
      </c>
      <c r="I252" s="14" t="s">
        <v>115</v>
      </c>
      <c r="J252" s="18"/>
      <c r="K252" s="18" t="s">
        <v>642</v>
      </c>
      <c r="L252" s="18"/>
      <c r="M252" s="14">
        <v>1</v>
      </c>
      <c r="N252" s="15">
        <v>101694.92</v>
      </c>
      <c r="O252" s="15">
        <f t="shared" si="10"/>
        <v>101694.92</v>
      </c>
      <c r="P252" s="15"/>
      <c r="Q252" s="14" t="s">
        <v>520</v>
      </c>
      <c r="R252" s="25">
        <v>45135</v>
      </c>
      <c r="S252" s="34" t="str">
        <f>TEXT(Table1[[#This Row],[End Date]],"MMMM")</f>
        <v>July</v>
      </c>
      <c r="T252" s="34" t="str">
        <f>TEXT(Table1[[#This Row],[End Date]],"YYYY")</f>
        <v>2023</v>
      </c>
      <c r="U252" s="24">
        <f t="shared" ca="1" si="11"/>
        <v>-2</v>
      </c>
      <c r="V252" s="14" t="str" cm="1">
        <f t="array" aca="1" ref="V252" ca="1">_xlfn.IFS(Table1[[#This Row],[Agreement Days]]&gt;=0,"Expired",Table1[[#This Row],[Agreement Days]]&gt;=-30,"Expires &lt; 30 Days",Table1[[#This Row],[Agreement Days]]&gt;=-60,"Expires &lt; 60 Days",Table1[[#This Row],[Agreement Days]]&lt;-60,"Valid Contract")</f>
        <v>Expires &lt; 30 Days</v>
      </c>
      <c r="W252" s="18" t="s">
        <v>21</v>
      </c>
      <c r="X252" s="18" t="s">
        <v>1063</v>
      </c>
      <c r="Y252" s="42" t="s">
        <v>1064</v>
      </c>
      <c r="Z252" s="27">
        <v>788470934</v>
      </c>
      <c r="AA252" s="27"/>
      <c r="AB252" s="116"/>
      <c r="AC252" s="116"/>
    </row>
    <row r="253" spans="1:29" hidden="1" x14ac:dyDescent="0.3">
      <c r="A253" s="18" t="s">
        <v>1065</v>
      </c>
      <c r="B253" s="18" t="s">
        <v>198</v>
      </c>
      <c r="C253" s="18" t="s">
        <v>1066</v>
      </c>
      <c r="D253" s="14" t="s">
        <v>545</v>
      </c>
      <c r="E253" s="18" t="s">
        <v>9</v>
      </c>
      <c r="F253" s="14" t="s">
        <v>688</v>
      </c>
      <c r="G253" s="14" t="s">
        <v>518</v>
      </c>
      <c r="H253" s="18" t="s">
        <v>2</v>
      </c>
      <c r="I253" s="14" t="s">
        <v>117</v>
      </c>
      <c r="J253" s="14">
        <v>50</v>
      </c>
      <c r="K253" s="18" t="s">
        <v>1067</v>
      </c>
      <c r="L253" s="18"/>
      <c r="M253" s="14">
        <v>1</v>
      </c>
      <c r="N253" s="15">
        <v>1800000</v>
      </c>
      <c r="O253" s="15">
        <f t="shared" si="10"/>
        <v>1800000</v>
      </c>
      <c r="P253" s="15"/>
      <c r="Q253" s="14" t="s">
        <v>520</v>
      </c>
      <c r="R253" s="25">
        <v>45135</v>
      </c>
      <c r="S253" s="34" t="str">
        <f>TEXT(Table1[[#This Row],[End Date]],"MMMM")</f>
        <v>July</v>
      </c>
      <c r="T253" s="34" t="str">
        <f>TEXT(Table1[[#This Row],[End Date]],"YYYY")</f>
        <v>2023</v>
      </c>
      <c r="U253" s="24">
        <f t="shared" ca="1" si="11"/>
        <v>-2</v>
      </c>
      <c r="V253" s="14" t="str" cm="1">
        <f t="array" aca="1" ref="V253" ca="1">_xlfn.IFS(Table1[[#This Row],[Agreement Days]]&gt;=0,"Expired",Table1[[#This Row],[Agreement Days]]&gt;=-30,"Expires &lt; 30 Days",Table1[[#This Row],[Agreement Days]]&gt;=-60,"Expires &lt; 60 Days",Table1[[#This Row],[Agreement Days]]&lt;-60,"Valid Contract")</f>
        <v>Expires &lt; 30 Days</v>
      </c>
      <c r="W253" s="18" t="s">
        <v>21</v>
      </c>
      <c r="X253" s="18" t="s">
        <v>1068</v>
      </c>
      <c r="Y253" s="42" t="s">
        <v>1069</v>
      </c>
      <c r="Z253" s="27">
        <v>788470200</v>
      </c>
      <c r="AA253" s="27"/>
      <c r="AB253" s="116"/>
      <c r="AC253" s="116"/>
    </row>
    <row r="254" spans="1:29" hidden="1" x14ac:dyDescent="0.3">
      <c r="A254" s="18" t="s">
        <v>1065</v>
      </c>
      <c r="B254" s="18" t="s">
        <v>198</v>
      </c>
      <c r="C254" s="18" t="s">
        <v>1066</v>
      </c>
      <c r="D254" s="14" t="s">
        <v>545</v>
      </c>
      <c r="E254" s="18" t="s">
        <v>9</v>
      </c>
      <c r="F254" s="14" t="s">
        <v>688</v>
      </c>
      <c r="G254" s="14" t="s">
        <v>518</v>
      </c>
      <c r="H254" s="18" t="s">
        <v>4</v>
      </c>
      <c r="I254" s="14" t="s">
        <v>118</v>
      </c>
      <c r="J254" s="18"/>
      <c r="K254" s="18" t="s">
        <v>650</v>
      </c>
      <c r="L254" s="18"/>
      <c r="M254" s="14">
        <v>1</v>
      </c>
      <c r="N254" s="15">
        <v>369325</v>
      </c>
      <c r="O254" s="15">
        <f t="shared" si="10"/>
        <v>369325</v>
      </c>
      <c r="P254" s="15"/>
      <c r="Q254" s="14" t="s">
        <v>520</v>
      </c>
      <c r="R254" s="25">
        <v>45135</v>
      </c>
      <c r="S254" s="34" t="str">
        <f>TEXT(Table1[[#This Row],[End Date]],"MMMM")</f>
        <v>July</v>
      </c>
      <c r="T254" s="34" t="str">
        <f>TEXT(Table1[[#This Row],[End Date]],"YYYY")</f>
        <v>2023</v>
      </c>
      <c r="U254" s="24">
        <f t="shared" ca="1" si="11"/>
        <v>-2</v>
      </c>
      <c r="V254" s="14" t="str" cm="1">
        <f t="array" aca="1" ref="V254" ca="1">_xlfn.IFS(Table1[[#This Row],[Agreement Days]]&gt;=0,"Expired",Table1[[#This Row],[Agreement Days]]&gt;=-30,"Expires &lt; 30 Days",Table1[[#This Row],[Agreement Days]]&gt;=-60,"Expires &lt; 60 Days",Table1[[#This Row],[Agreement Days]]&lt;-60,"Valid Contract")</f>
        <v>Expires &lt; 30 Days</v>
      </c>
      <c r="W254" s="18" t="s">
        <v>21</v>
      </c>
      <c r="X254" s="18" t="s">
        <v>1068</v>
      </c>
      <c r="Y254" s="42" t="s">
        <v>1069</v>
      </c>
      <c r="Z254" s="27">
        <v>788470200</v>
      </c>
      <c r="AA254" s="27"/>
      <c r="AB254" s="116"/>
      <c r="AC254" s="116"/>
    </row>
    <row r="255" spans="1:29" hidden="1" x14ac:dyDescent="0.3">
      <c r="A255" s="18" t="s">
        <v>1065</v>
      </c>
      <c r="B255" s="18" t="s">
        <v>198</v>
      </c>
      <c r="C255" s="18" t="s">
        <v>1066</v>
      </c>
      <c r="D255" s="14" t="s">
        <v>545</v>
      </c>
      <c r="E255" s="18" t="s">
        <v>9</v>
      </c>
      <c r="F255" s="14" t="s">
        <v>688</v>
      </c>
      <c r="G255" s="14" t="s">
        <v>518</v>
      </c>
      <c r="H255" s="18" t="s">
        <v>5</v>
      </c>
      <c r="I255" s="14" t="s">
        <v>115</v>
      </c>
      <c r="J255" s="18"/>
      <c r="K255" s="18" t="s">
        <v>657</v>
      </c>
      <c r="L255" s="18"/>
      <c r="M255" s="14">
        <v>9</v>
      </c>
      <c r="N255" s="15">
        <v>45338.98</v>
      </c>
      <c r="O255" s="15">
        <f t="shared" si="10"/>
        <v>408050.82</v>
      </c>
      <c r="P255" s="15"/>
      <c r="Q255" s="14" t="s">
        <v>520</v>
      </c>
      <c r="R255" s="25">
        <v>45135</v>
      </c>
      <c r="S255" s="34" t="str">
        <f>TEXT(Table1[[#This Row],[End Date]],"MMMM")</f>
        <v>July</v>
      </c>
      <c r="T255" s="34" t="str">
        <f>TEXT(Table1[[#This Row],[End Date]],"YYYY")</f>
        <v>2023</v>
      </c>
      <c r="U255" s="24">
        <f t="shared" ca="1" si="11"/>
        <v>-2</v>
      </c>
      <c r="V255" s="14" t="str" cm="1">
        <f t="array" aca="1" ref="V255" ca="1">_xlfn.IFS(Table1[[#This Row],[Agreement Days]]&gt;=0,"Expired",Table1[[#This Row],[Agreement Days]]&gt;=-30,"Expires &lt; 30 Days",Table1[[#This Row],[Agreement Days]]&gt;=-60,"Expires &lt; 60 Days",Table1[[#This Row],[Agreement Days]]&lt;-60,"Valid Contract")</f>
        <v>Expires &lt; 30 Days</v>
      </c>
      <c r="W255" s="18" t="s">
        <v>21</v>
      </c>
      <c r="X255" s="18" t="s">
        <v>1068</v>
      </c>
      <c r="Y255" s="42" t="s">
        <v>1069</v>
      </c>
      <c r="Z255" s="27">
        <v>788470200</v>
      </c>
      <c r="AA255" s="27"/>
      <c r="AB255" s="116"/>
      <c r="AC255" s="116"/>
    </row>
    <row r="256" spans="1:29" hidden="1" x14ac:dyDescent="0.3">
      <c r="A256" s="18" t="s">
        <v>1070</v>
      </c>
      <c r="B256" s="18" t="s">
        <v>219</v>
      </c>
      <c r="C256" s="18" t="s">
        <v>1071</v>
      </c>
      <c r="D256" s="14" t="s">
        <v>808</v>
      </c>
      <c r="E256" s="18" t="s">
        <v>9</v>
      </c>
      <c r="F256" s="14" t="s">
        <v>688</v>
      </c>
      <c r="G256" s="14" t="s">
        <v>518</v>
      </c>
      <c r="H256" s="18" t="s">
        <v>5</v>
      </c>
      <c r="I256" s="14" t="s">
        <v>117</v>
      </c>
      <c r="J256" s="14">
        <v>50</v>
      </c>
      <c r="K256" s="18" t="s">
        <v>673</v>
      </c>
      <c r="L256" s="18"/>
      <c r="M256" s="14">
        <v>1</v>
      </c>
      <c r="N256" s="15">
        <f>2124000/1.18</f>
        <v>1800000</v>
      </c>
      <c r="O256" s="15">
        <f t="shared" si="10"/>
        <v>1800000</v>
      </c>
      <c r="P256" s="15"/>
      <c r="Q256" s="14" t="s">
        <v>520</v>
      </c>
      <c r="R256" s="25">
        <v>45137</v>
      </c>
      <c r="S256" s="34" t="str">
        <f>TEXT(Table1[[#This Row],[End Date]],"MMMM")</f>
        <v>July</v>
      </c>
      <c r="T256" s="34" t="str">
        <f>TEXT(Table1[[#This Row],[End Date]],"YYYY")</f>
        <v>2023</v>
      </c>
      <c r="U256" s="24">
        <f t="shared" ca="1" si="11"/>
        <v>-4</v>
      </c>
      <c r="V256" s="14" t="str" cm="1">
        <f t="array" aca="1" ref="V256" ca="1">_xlfn.IFS(Table1[[#This Row],[Agreement Days]]&gt;=0,"Expired",Table1[[#This Row],[Agreement Days]]&gt;=-30,"Expires &lt; 30 Days",Table1[[#This Row],[Agreement Days]]&gt;=-60,"Expires &lt; 60 Days",Table1[[#This Row],[Agreement Days]]&lt;-60,"Valid Contract")</f>
        <v>Expires &lt; 30 Days</v>
      </c>
      <c r="W256" s="18" t="s">
        <v>21</v>
      </c>
      <c r="X256" s="18" t="s">
        <v>1072</v>
      </c>
      <c r="Y256" s="42" t="s">
        <v>1073</v>
      </c>
      <c r="Z256" s="27">
        <v>788553158</v>
      </c>
      <c r="AA256" s="27"/>
      <c r="AB256" s="116"/>
      <c r="AC256" s="116"/>
    </row>
    <row r="257" spans="1:29" hidden="1" x14ac:dyDescent="0.3">
      <c r="A257" s="18" t="s">
        <v>1074</v>
      </c>
      <c r="B257" s="18" t="s">
        <v>289</v>
      </c>
      <c r="C257" s="18" t="s">
        <v>289</v>
      </c>
      <c r="D257" s="14" t="s">
        <v>545</v>
      </c>
      <c r="E257" s="18" t="s">
        <v>10</v>
      </c>
      <c r="F257" s="14" t="s">
        <v>560</v>
      </c>
      <c r="G257" s="14" t="s">
        <v>518</v>
      </c>
      <c r="H257" s="18" t="s">
        <v>2</v>
      </c>
      <c r="I257" s="14" t="s">
        <v>134</v>
      </c>
      <c r="J257" s="14">
        <v>25</v>
      </c>
      <c r="K257" s="14" t="s">
        <v>1075</v>
      </c>
      <c r="L257" s="14"/>
      <c r="M257" s="14">
        <v>1</v>
      </c>
      <c r="N257" s="15">
        <v>1120000</v>
      </c>
      <c r="O257" s="15">
        <f t="shared" si="10"/>
        <v>1120000</v>
      </c>
      <c r="P257" s="15"/>
      <c r="Q257" s="14" t="s">
        <v>520</v>
      </c>
      <c r="R257" s="21">
        <v>45869</v>
      </c>
      <c r="S257" s="22" t="str">
        <f>TEXT(Table1[[#This Row],[End Date]],"MMMM")</f>
        <v>July</v>
      </c>
      <c r="T257" s="23" t="str">
        <f>TEXT(Table1[[#This Row],[End Date]],"YYYY")</f>
        <v>2025</v>
      </c>
      <c r="U257" s="24">
        <f t="shared" ca="1" si="11"/>
        <v>-736</v>
      </c>
      <c r="V257" s="14" t="str" cm="1">
        <f t="array" aca="1" ref="V257" ca="1">_xlfn.IFS(Table1[[#This Row],[Agreement Days]]&gt;=0,"Expired",Table1[[#This Row],[Agreement Days]]&gt;=-30,"Expires &lt; 30 Days",Table1[[#This Row],[Agreement Days]]&gt;=-60,"Expires &lt; 60 Days",Table1[[#This Row],[Agreement Days]]&lt;-60,"Valid Contract")</f>
        <v>Valid Contract</v>
      </c>
      <c r="W257" s="14" t="s">
        <v>20</v>
      </c>
      <c r="X257" s="26" t="s">
        <v>1076</v>
      </c>
      <c r="Y257" s="45" t="s">
        <v>1077</v>
      </c>
      <c r="Z257" s="17" t="s">
        <v>1078</v>
      </c>
      <c r="AA257" s="19"/>
      <c r="AB257" s="116"/>
      <c r="AC257" s="116"/>
    </row>
    <row r="258" spans="1:29" x14ac:dyDescent="0.3">
      <c r="A258" s="18" t="s">
        <v>1079</v>
      </c>
      <c r="B258" s="18" t="s">
        <v>349</v>
      </c>
      <c r="C258" s="18" t="s">
        <v>1080</v>
      </c>
      <c r="D258" s="14" t="s">
        <v>653</v>
      </c>
      <c r="E258" s="18" t="s">
        <v>9</v>
      </c>
      <c r="F258" s="14" t="s">
        <v>517</v>
      </c>
      <c r="G258" s="14" t="s">
        <v>518</v>
      </c>
      <c r="H258" s="18" t="s">
        <v>5</v>
      </c>
      <c r="I258" s="14" t="s">
        <v>115</v>
      </c>
      <c r="J258" s="14"/>
      <c r="K258" s="18" t="s">
        <v>573</v>
      </c>
      <c r="L258" s="14"/>
      <c r="M258" s="14">
        <v>1</v>
      </c>
      <c r="N258" s="15">
        <v>19491.525423999999</v>
      </c>
      <c r="O258" s="15">
        <f t="shared" si="10"/>
        <v>19491.525423999999</v>
      </c>
      <c r="P258" s="15"/>
      <c r="Q258" s="14" t="s">
        <v>520</v>
      </c>
      <c r="R258" s="21">
        <v>45138</v>
      </c>
      <c r="S258" s="22" t="str">
        <f>TEXT(Table1[[#This Row],[End Date]],"MMMM")</f>
        <v>July</v>
      </c>
      <c r="T258" s="23" t="str">
        <f>TEXT(Table1[[#This Row],[End Date]],"YYYY")</f>
        <v>2023</v>
      </c>
      <c r="U258" s="24">
        <f t="shared" ca="1" si="11"/>
        <v>-5</v>
      </c>
      <c r="V258" s="14" t="str" cm="1">
        <f t="array" aca="1" ref="V258" ca="1">_xlfn.IFS(Table1[[#This Row],[Agreement Days]]&gt;=0,"Expired",Table1[[#This Row],[Agreement Days]]&gt;=-30,"Expires &lt; 30 Days",Table1[[#This Row],[Agreement Days]]&gt;=-60,"Expires &lt; 60 Days",Table1[[#This Row],[Agreement Days]]&lt;-60,"Valid Contract")</f>
        <v>Expires &lt; 30 Days</v>
      </c>
      <c r="W258" s="14" t="s">
        <v>12</v>
      </c>
      <c r="X258" s="14" t="s">
        <v>1081</v>
      </c>
      <c r="Y258" s="16" t="s">
        <v>1082</v>
      </c>
      <c r="Z258" s="17" t="s">
        <v>1083</v>
      </c>
      <c r="AA258" s="17"/>
      <c r="AB258" s="116"/>
      <c r="AC258" s="116"/>
    </row>
    <row r="259" spans="1:29" x14ac:dyDescent="0.3">
      <c r="A259" s="18" t="s">
        <v>1079</v>
      </c>
      <c r="B259" s="18" t="s">
        <v>349</v>
      </c>
      <c r="C259" s="18" t="s">
        <v>1080</v>
      </c>
      <c r="D259" s="14" t="s">
        <v>653</v>
      </c>
      <c r="E259" s="18" t="s">
        <v>9</v>
      </c>
      <c r="F259" s="14" t="s">
        <v>517</v>
      </c>
      <c r="G259" s="14" t="s">
        <v>518</v>
      </c>
      <c r="H259" s="18" t="s">
        <v>5</v>
      </c>
      <c r="I259" s="14" t="s">
        <v>115</v>
      </c>
      <c r="J259" s="14"/>
      <c r="K259" s="18" t="s">
        <v>643</v>
      </c>
      <c r="L259" s="14"/>
      <c r="M259" s="14">
        <v>1</v>
      </c>
      <c r="N259" s="15">
        <v>28305.084746</v>
      </c>
      <c r="O259" s="15">
        <f t="shared" si="10"/>
        <v>28305.084746</v>
      </c>
      <c r="P259" s="15"/>
      <c r="Q259" s="14" t="s">
        <v>520</v>
      </c>
      <c r="R259" s="21">
        <v>45138</v>
      </c>
      <c r="S259" s="22" t="str">
        <f>TEXT(Table1[[#This Row],[End Date]],"MMMM")</f>
        <v>July</v>
      </c>
      <c r="T259" s="23" t="str">
        <f>TEXT(Table1[[#This Row],[End Date]],"YYYY")</f>
        <v>2023</v>
      </c>
      <c r="U259" s="24">
        <f t="shared" ca="1" si="11"/>
        <v>-5</v>
      </c>
      <c r="V259" s="14" t="str" cm="1">
        <f t="array" aca="1" ref="V259" ca="1">_xlfn.IFS(Table1[[#This Row],[Agreement Days]]&gt;=0,"Expired",Table1[[#This Row],[Agreement Days]]&gt;=-30,"Expires &lt; 30 Days",Table1[[#This Row],[Agreement Days]]&gt;=-60,"Expires &lt; 60 Days",Table1[[#This Row],[Agreement Days]]&lt;-60,"Valid Contract")</f>
        <v>Expires &lt; 30 Days</v>
      </c>
      <c r="W259" s="14" t="s">
        <v>12</v>
      </c>
      <c r="X259" s="14" t="s">
        <v>1081</v>
      </c>
      <c r="Y259" s="16" t="s">
        <v>1082</v>
      </c>
      <c r="Z259" s="17" t="s">
        <v>1084</v>
      </c>
      <c r="AA259" s="17" t="s">
        <v>1085</v>
      </c>
      <c r="AB259" s="116"/>
      <c r="AC259" s="116"/>
    </row>
    <row r="260" spans="1:29" hidden="1" x14ac:dyDescent="0.3">
      <c r="A260" s="18" t="s">
        <v>1086</v>
      </c>
      <c r="B260" s="18" t="s">
        <v>73</v>
      </c>
      <c r="C260" s="18" t="s">
        <v>73</v>
      </c>
      <c r="D260" s="14" t="s">
        <v>735</v>
      </c>
      <c r="E260" s="18" t="s">
        <v>9</v>
      </c>
      <c r="F260" s="14" t="s">
        <v>631</v>
      </c>
      <c r="G260" s="14" t="s">
        <v>518</v>
      </c>
      <c r="H260" s="18" t="s">
        <v>5</v>
      </c>
      <c r="I260" s="14" t="s">
        <v>134</v>
      </c>
      <c r="J260" s="14">
        <v>3</v>
      </c>
      <c r="K260" s="18" t="s">
        <v>646</v>
      </c>
      <c r="L260" s="18"/>
      <c r="M260" s="14">
        <v>1</v>
      </c>
      <c r="N260" s="15">
        <v>180000</v>
      </c>
      <c r="O260" s="15">
        <f t="shared" si="10"/>
        <v>180000</v>
      </c>
      <c r="P260" s="15"/>
      <c r="Q260" s="14" t="s">
        <v>520</v>
      </c>
      <c r="R260" s="25">
        <v>45138</v>
      </c>
      <c r="S260" s="34" t="str">
        <f>TEXT(Table1[[#This Row],[End Date]],"MMMM")</f>
        <v>July</v>
      </c>
      <c r="T260" s="34" t="str">
        <f>TEXT(Table1[[#This Row],[End Date]],"YYYY")</f>
        <v>2023</v>
      </c>
      <c r="U260" s="24">
        <f t="shared" ca="1" si="11"/>
        <v>-5</v>
      </c>
      <c r="V260" s="14" t="str" cm="1">
        <f t="array" aca="1" ref="V260" ca="1">_xlfn.IFS(Table1[[#This Row],[Agreement Days]]&gt;=0,"Expired",Table1[[#This Row],[Agreement Days]]&gt;=-30,"Expires &lt; 30 Days",Table1[[#This Row],[Agreement Days]]&gt;=-60,"Expires &lt; 60 Days",Table1[[#This Row],[Agreement Days]]&lt;-60,"Valid Contract")</f>
        <v>Expires &lt; 30 Days</v>
      </c>
      <c r="W260" s="18" t="s">
        <v>21</v>
      </c>
      <c r="X260" s="18" t="s">
        <v>1087</v>
      </c>
      <c r="Y260" s="42" t="s">
        <v>1088</v>
      </c>
      <c r="Z260" s="27">
        <v>783625869</v>
      </c>
      <c r="AA260" s="27"/>
      <c r="AB260" s="116"/>
      <c r="AC260" s="116"/>
    </row>
    <row r="261" spans="1:29" hidden="1" x14ac:dyDescent="0.3">
      <c r="A261" s="18" t="s">
        <v>1089</v>
      </c>
      <c r="B261" s="18" t="s">
        <v>81</v>
      </c>
      <c r="C261" s="18" t="s">
        <v>81</v>
      </c>
      <c r="D261" s="14" t="s">
        <v>579</v>
      </c>
      <c r="E261" s="18" t="s">
        <v>9</v>
      </c>
      <c r="F261" s="14" t="s">
        <v>631</v>
      </c>
      <c r="G261" s="14" t="s">
        <v>518</v>
      </c>
      <c r="H261" s="18" t="s">
        <v>5</v>
      </c>
      <c r="I261" s="14" t="s">
        <v>117</v>
      </c>
      <c r="J261" s="14">
        <v>3</v>
      </c>
      <c r="K261" s="14" t="s">
        <v>632</v>
      </c>
      <c r="L261" s="14"/>
      <c r="M261" s="14">
        <v>1</v>
      </c>
      <c r="N261" s="15">
        <v>180000</v>
      </c>
      <c r="O261" s="15">
        <f t="shared" si="10"/>
        <v>180000</v>
      </c>
      <c r="P261" s="15"/>
      <c r="Q261" s="14" t="s">
        <v>520</v>
      </c>
      <c r="R261" s="21">
        <v>45138</v>
      </c>
      <c r="S261" s="22" t="str">
        <f>TEXT(Table1[[#This Row],[End Date]],"MMMM")</f>
        <v>July</v>
      </c>
      <c r="T261" s="23" t="str">
        <f>TEXT(Table1[[#This Row],[End Date]],"YYYY")</f>
        <v>2023</v>
      </c>
      <c r="U261" s="24">
        <f t="shared" ca="1" si="11"/>
        <v>-5</v>
      </c>
      <c r="V261" s="14" t="str" cm="1">
        <f t="array" aca="1" ref="V261" ca="1">_xlfn.IFS(Table1[[#This Row],[Agreement Days]]&gt;=0,"Expired",Table1[[#This Row],[Agreement Days]]&gt;=-30,"Expires &lt; 30 Days",Table1[[#This Row],[Agreement Days]]&gt;=-60,"Expires &lt; 60 Days",Table1[[#This Row],[Agreement Days]]&lt;-60,"Valid Contract")</f>
        <v>Expires &lt; 30 Days</v>
      </c>
      <c r="W261" s="14" t="s">
        <v>13</v>
      </c>
      <c r="X261" s="14" t="s">
        <v>1090</v>
      </c>
      <c r="Y261" s="43" t="s">
        <v>1091</v>
      </c>
      <c r="Z261" s="17" t="s">
        <v>1092</v>
      </c>
      <c r="AA261" s="17"/>
      <c r="AB261" s="116"/>
      <c r="AC261" s="116"/>
    </row>
    <row r="262" spans="1:29" hidden="1" x14ac:dyDescent="0.3">
      <c r="A262" s="18" t="s">
        <v>1093</v>
      </c>
      <c r="B262" s="18" t="s">
        <v>353</v>
      </c>
      <c r="C262" s="18" t="s">
        <v>353</v>
      </c>
      <c r="D262" s="14" t="s">
        <v>540</v>
      </c>
      <c r="E262" s="18" t="s">
        <v>10</v>
      </c>
      <c r="F262" s="14" t="s">
        <v>560</v>
      </c>
      <c r="G262" s="14" t="s">
        <v>518</v>
      </c>
      <c r="H262" s="18" t="s">
        <v>2</v>
      </c>
      <c r="I262" s="14" t="s">
        <v>123</v>
      </c>
      <c r="J262" s="14"/>
      <c r="K262" s="14" t="s">
        <v>1094</v>
      </c>
      <c r="L262" s="14"/>
      <c r="M262" s="14">
        <v>1</v>
      </c>
      <c r="N262" s="15">
        <v>513000</v>
      </c>
      <c r="O262" s="15">
        <f t="shared" si="10"/>
        <v>513000</v>
      </c>
      <c r="P262" s="15"/>
      <c r="Q262" s="14" t="s">
        <v>520</v>
      </c>
      <c r="R262" s="21">
        <v>45138</v>
      </c>
      <c r="S262" s="22" t="str">
        <f>TEXT(Table1[[#This Row],[End Date]],"MMMM")</f>
        <v>July</v>
      </c>
      <c r="T262" s="23" t="str">
        <f>TEXT(Table1[[#This Row],[End Date]],"YYYY")</f>
        <v>2023</v>
      </c>
      <c r="U262" s="24">
        <f t="shared" ca="1" si="11"/>
        <v>-5</v>
      </c>
      <c r="V262" s="14" t="str" cm="1">
        <f t="array" aca="1" ref="V262" ca="1">_xlfn.IFS(Table1[[#This Row],[Agreement Days]]&gt;=0,"Expired",Table1[[#This Row],[Agreement Days]]&gt;=-30,"Expires &lt; 30 Days",Table1[[#This Row],[Agreement Days]]&gt;=-60,"Expires &lt; 60 Days",Table1[[#This Row],[Agreement Days]]&lt;-60,"Valid Contract")</f>
        <v>Expires &lt; 30 Days</v>
      </c>
      <c r="W262" s="14" t="s">
        <v>20</v>
      </c>
      <c r="X262" s="14" t="s">
        <v>1095</v>
      </c>
      <c r="Y262" s="16" t="s">
        <v>1096</v>
      </c>
      <c r="Z262" s="17" t="s">
        <v>1097</v>
      </c>
      <c r="AA262" s="19"/>
      <c r="AB262" s="116"/>
      <c r="AC262" s="116"/>
    </row>
    <row r="263" spans="1:29" hidden="1" x14ac:dyDescent="0.3">
      <c r="A263" s="18" t="s">
        <v>1098</v>
      </c>
      <c r="B263" s="18" t="s">
        <v>299</v>
      </c>
      <c r="C263" s="18" t="s">
        <v>1099</v>
      </c>
      <c r="D263" s="14" t="s">
        <v>545</v>
      </c>
      <c r="E263" s="18" t="s">
        <v>10</v>
      </c>
      <c r="F263" s="14" t="s">
        <v>527</v>
      </c>
      <c r="G263" s="14" t="s">
        <v>518</v>
      </c>
      <c r="H263" s="18" t="s">
        <v>2</v>
      </c>
      <c r="I263" s="14" t="s">
        <v>123</v>
      </c>
      <c r="J263" s="14"/>
      <c r="K263" s="14" t="s">
        <v>1100</v>
      </c>
      <c r="L263" s="14"/>
      <c r="M263" s="14">
        <v>1</v>
      </c>
      <c r="N263" s="15">
        <v>53563</v>
      </c>
      <c r="O263" s="15">
        <f t="shared" ref="O263:O326" si="12">N263*M263</f>
        <v>53563</v>
      </c>
      <c r="P263" s="15"/>
      <c r="Q263" s="14" t="s">
        <v>520</v>
      </c>
      <c r="R263" s="21">
        <v>45138</v>
      </c>
      <c r="S263" s="22" t="str">
        <f>TEXT(Table1[[#This Row],[End Date]],"MMMM")</f>
        <v>July</v>
      </c>
      <c r="T263" s="23" t="str">
        <f>TEXT(Table1[[#This Row],[End Date]],"YYYY")</f>
        <v>2023</v>
      </c>
      <c r="U263" s="24">
        <f t="shared" ref="U263:U326" ca="1" si="13">TODAY()-R263</f>
        <v>-5</v>
      </c>
      <c r="V263" s="14" t="str" cm="1">
        <f t="array" aca="1" ref="V263" ca="1">_xlfn.IFS(Table1[[#This Row],[Agreement Days]]&gt;=0,"Expired",Table1[[#This Row],[Agreement Days]]&gt;=-30,"Expires &lt; 30 Days",Table1[[#This Row],[Agreement Days]]&gt;=-60,"Expires &lt; 60 Days",Table1[[#This Row],[Agreement Days]]&lt;-60,"Valid Contract")</f>
        <v>Expires &lt; 30 Days</v>
      </c>
      <c r="W263" s="14" t="s">
        <v>20</v>
      </c>
      <c r="X263" s="55" t="s">
        <v>1101</v>
      </c>
      <c r="Y263" s="16" t="s">
        <v>1102</v>
      </c>
      <c r="Z263" s="17" t="s">
        <v>1103</v>
      </c>
      <c r="AA263" s="19"/>
      <c r="AB263" s="116"/>
      <c r="AC263" s="116"/>
    </row>
    <row r="264" spans="1:29" hidden="1" x14ac:dyDescent="0.3">
      <c r="A264" s="18" t="s">
        <v>1098</v>
      </c>
      <c r="B264" s="18" t="s">
        <v>299</v>
      </c>
      <c r="C264" s="18" t="s">
        <v>1099</v>
      </c>
      <c r="D264" s="14" t="s">
        <v>545</v>
      </c>
      <c r="E264" s="18" t="s">
        <v>10</v>
      </c>
      <c r="F264" s="14" t="s">
        <v>527</v>
      </c>
      <c r="G264" s="14" t="s">
        <v>518</v>
      </c>
      <c r="H264" s="18" t="s">
        <v>2</v>
      </c>
      <c r="I264" s="14" t="s">
        <v>123</v>
      </c>
      <c r="J264" s="14"/>
      <c r="K264" s="14" t="s">
        <v>1100</v>
      </c>
      <c r="L264" s="14"/>
      <c r="M264" s="14">
        <v>4</v>
      </c>
      <c r="N264" s="15">
        <v>53563</v>
      </c>
      <c r="O264" s="15">
        <f t="shared" si="12"/>
        <v>214252</v>
      </c>
      <c r="P264" s="15"/>
      <c r="Q264" s="14" t="s">
        <v>520</v>
      </c>
      <c r="R264" s="21">
        <v>45138</v>
      </c>
      <c r="S264" s="22" t="str">
        <f>TEXT(Table1[[#This Row],[End Date]],"MMMM")</f>
        <v>July</v>
      </c>
      <c r="T264" s="23" t="str">
        <f>TEXT(Table1[[#This Row],[End Date]],"YYYY")</f>
        <v>2023</v>
      </c>
      <c r="U264" s="24">
        <f t="shared" ca="1" si="13"/>
        <v>-5</v>
      </c>
      <c r="V264" s="14" t="str" cm="1">
        <f t="array" aca="1" ref="V264" ca="1">_xlfn.IFS(Table1[[#This Row],[Agreement Days]]&gt;=0,"Expired",Table1[[#This Row],[Agreement Days]]&gt;=-30,"Expires &lt; 30 Days",Table1[[#This Row],[Agreement Days]]&gt;=-60,"Expires &lt; 60 Days",Table1[[#This Row],[Agreement Days]]&lt;-60,"Valid Contract")</f>
        <v>Expires &lt; 30 Days</v>
      </c>
      <c r="W264" s="14" t="s">
        <v>20</v>
      </c>
      <c r="X264" s="55" t="s">
        <v>1101</v>
      </c>
      <c r="Y264" s="16" t="s">
        <v>1102</v>
      </c>
      <c r="Z264" s="17" t="s">
        <v>1103</v>
      </c>
      <c r="AA264" s="19"/>
      <c r="AB264" s="116"/>
      <c r="AC264" s="116"/>
    </row>
    <row r="265" spans="1:29" hidden="1" x14ac:dyDescent="0.3">
      <c r="A265" s="18" t="s">
        <v>1098</v>
      </c>
      <c r="B265" s="18" t="s">
        <v>299</v>
      </c>
      <c r="C265" s="18" t="s">
        <v>1099</v>
      </c>
      <c r="D265" s="14" t="s">
        <v>545</v>
      </c>
      <c r="E265" s="18" t="s">
        <v>10</v>
      </c>
      <c r="F265" s="14" t="s">
        <v>527</v>
      </c>
      <c r="G265" s="14" t="s">
        <v>518</v>
      </c>
      <c r="H265" s="18" t="s">
        <v>2</v>
      </c>
      <c r="I265" s="14" t="s">
        <v>123</v>
      </c>
      <c r="J265" s="14"/>
      <c r="K265" s="14" t="s">
        <v>1104</v>
      </c>
      <c r="L265" s="14"/>
      <c r="M265" s="14">
        <v>7</v>
      </c>
      <c r="N265" s="15">
        <v>99710</v>
      </c>
      <c r="O265" s="15">
        <f t="shared" si="12"/>
        <v>697970</v>
      </c>
      <c r="P265" s="15"/>
      <c r="Q265" s="14" t="s">
        <v>520</v>
      </c>
      <c r="R265" s="21">
        <v>45138</v>
      </c>
      <c r="S265" s="22" t="str">
        <f>TEXT(Table1[[#This Row],[End Date]],"MMMM")</f>
        <v>July</v>
      </c>
      <c r="T265" s="23" t="str">
        <f>TEXT(Table1[[#This Row],[End Date]],"YYYY")</f>
        <v>2023</v>
      </c>
      <c r="U265" s="24">
        <f t="shared" ca="1" si="13"/>
        <v>-5</v>
      </c>
      <c r="V265" s="14" t="str" cm="1">
        <f t="array" aca="1" ref="V265" ca="1">_xlfn.IFS(Table1[[#This Row],[Agreement Days]]&gt;=0,"Expired",Table1[[#This Row],[Agreement Days]]&gt;=-30,"Expires &lt; 30 Days",Table1[[#This Row],[Agreement Days]]&gt;=-60,"Expires &lt; 60 Days",Table1[[#This Row],[Agreement Days]]&lt;-60,"Valid Contract")</f>
        <v>Expires &lt; 30 Days</v>
      </c>
      <c r="W265" s="14" t="s">
        <v>20</v>
      </c>
      <c r="X265" s="55" t="s">
        <v>1101</v>
      </c>
      <c r="Y265" s="45" t="s">
        <v>1102</v>
      </c>
      <c r="Z265" s="17" t="s">
        <v>1103</v>
      </c>
      <c r="AA265" s="19"/>
      <c r="AB265" s="116"/>
      <c r="AC265" s="116"/>
    </row>
    <row r="266" spans="1:29" hidden="1" x14ac:dyDescent="0.3">
      <c r="A266" s="18" t="s">
        <v>698</v>
      </c>
      <c r="B266" s="18" t="s">
        <v>122</v>
      </c>
      <c r="C266" s="18" t="s">
        <v>1105</v>
      </c>
      <c r="D266" s="14" t="s">
        <v>545</v>
      </c>
      <c r="E266" s="18" t="s">
        <v>9</v>
      </c>
      <c r="F266" s="14" t="s">
        <v>517</v>
      </c>
      <c r="G266" s="14" t="s">
        <v>546</v>
      </c>
      <c r="H266" s="18" t="s">
        <v>2</v>
      </c>
      <c r="I266" s="14" t="s">
        <v>117</v>
      </c>
      <c r="J266" s="14">
        <v>10</v>
      </c>
      <c r="K266" s="19" t="s">
        <v>547</v>
      </c>
      <c r="L266" s="14"/>
      <c r="M266" s="20">
        <v>1</v>
      </c>
      <c r="N266" s="15">
        <v>510000</v>
      </c>
      <c r="O266" s="15">
        <f t="shared" si="12"/>
        <v>510000</v>
      </c>
      <c r="P266" s="15"/>
      <c r="Q266" s="14" t="s">
        <v>520</v>
      </c>
      <c r="R266" s="21">
        <v>45138</v>
      </c>
      <c r="S266" s="22" t="str">
        <f>TEXT(Table1[[#This Row],[End Date]],"MMMM")</f>
        <v>July</v>
      </c>
      <c r="T266" s="23" t="str">
        <f>TEXT(Table1[[#This Row],[End Date]],"YYYY")</f>
        <v>2023</v>
      </c>
      <c r="U266" s="24">
        <f t="shared" ca="1" si="13"/>
        <v>-5</v>
      </c>
      <c r="V266" s="14" t="str" cm="1">
        <f t="array" aca="1" ref="V266" ca="1">_xlfn.IFS(Table1[[#This Row],[Agreement Days]]&gt;=0,"Expired",Table1[[#This Row],[Agreement Days]]&gt;=-30,"Expires &lt; 30 Days",Table1[[#This Row],[Agreement Days]]&gt;=-60,"Expires &lt; 60 Days",Table1[[#This Row],[Agreement Days]]&lt;-60,"Valid Contract")</f>
        <v>Expires &lt; 30 Days</v>
      </c>
      <c r="W266" s="14" t="s">
        <v>16</v>
      </c>
      <c r="X266" s="20" t="s">
        <v>701</v>
      </c>
      <c r="Y266" s="16" t="s">
        <v>702</v>
      </c>
      <c r="Z266" s="17" t="s">
        <v>703</v>
      </c>
      <c r="AA266" s="17"/>
      <c r="AB266" s="116"/>
      <c r="AC266" s="116"/>
    </row>
    <row r="267" spans="1:29" hidden="1" x14ac:dyDescent="0.3">
      <c r="A267" s="18" t="s">
        <v>1106</v>
      </c>
      <c r="B267" s="18" t="s">
        <v>314</v>
      </c>
      <c r="C267" s="18" t="s">
        <v>1107</v>
      </c>
      <c r="D267" s="14" t="s">
        <v>516</v>
      </c>
      <c r="E267" s="18" t="s">
        <v>9</v>
      </c>
      <c r="F267" s="14" t="s">
        <v>688</v>
      </c>
      <c r="G267" s="14" t="s">
        <v>518</v>
      </c>
      <c r="H267" s="18" t="s">
        <v>5</v>
      </c>
      <c r="I267" s="14" t="s">
        <v>117</v>
      </c>
      <c r="J267" s="14">
        <v>5</v>
      </c>
      <c r="K267" s="18" t="s">
        <v>519</v>
      </c>
      <c r="L267" s="18"/>
      <c r="M267" s="14">
        <v>1</v>
      </c>
      <c r="N267" s="15">
        <v>270000</v>
      </c>
      <c r="O267" s="15">
        <f t="shared" si="12"/>
        <v>270000</v>
      </c>
      <c r="P267" s="15"/>
      <c r="Q267" s="14" t="s">
        <v>520</v>
      </c>
      <c r="R267" s="25">
        <v>45138</v>
      </c>
      <c r="S267" s="34" t="str">
        <f>TEXT(Table1[[#This Row],[End Date]],"MMMM")</f>
        <v>July</v>
      </c>
      <c r="T267" s="34" t="str">
        <f>TEXT(Table1[[#This Row],[End Date]],"YYYY")</f>
        <v>2023</v>
      </c>
      <c r="U267" s="24">
        <f t="shared" ca="1" si="13"/>
        <v>-5</v>
      </c>
      <c r="V267" s="14" t="str" cm="1">
        <f t="array" aca="1" ref="V267" ca="1">_xlfn.IFS(Table1[[#This Row],[Agreement Days]]&gt;=0,"Expired",Table1[[#This Row],[Agreement Days]]&gt;=-30,"Expires &lt; 30 Days",Table1[[#This Row],[Agreement Days]]&gt;=-60,"Expires &lt; 60 Days",Table1[[#This Row],[Agreement Days]]&lt;-60,"Valid Contract")</f>
        <v>Expires &lt; 30 Days</v>
      </c>
      <c r="W267" s="18" t="s">
        <v>21</v>
      </c>
      <c r="X267" s="18" t="s">
        <v>1108</v>
      </c>
      <c r="Y267" s="42" t="s">
        <v>1109</v>
      </c>
      <c r="Z267" s="27">
        <v>788949680</v>
      </c>
      <c r="AA267" s="27"/>
      <c r="AB267" s="116"/>
      <c r="AC267" s="116"/>
    </row>
    <row r="268" spans="1:29" hidden="1" x14ac:dyDescent="0.3">
      <c r="A268" s="18" t="s">
        <v>1106</v>
      </c>
      <c r="B268" s="18" t="s">
        <v>314</v>
      </c>
      <c r="C268" s="18" t="s">
        <v>1107</v>
      </c>
      <c r="D268" s="14" t="s">
        <v>516</v>
      </c>
      <c r="E268" s="18" t="s">
        <v>9</v>
      </c>
      <c r="F268" s="14" t="s">
        <v>688</v>
      </c>
      <c r="G268" s="14" t="s">
        <v>518</v>
      </c>
      <c r="H268" s="18" t="s">
        <v>4</v>
      </c>
      <c r="I268" s="14" t="s">
        <v>118</v>
      </c>
      <c r="J268" s="18"/>
      <c r="K268" s="18" t="s">
        <v>650</v>
      </c>
      <c r="L268" s="18"/>
      <c r="M268" s="14">
        <v>1</v>
      </c>
      <c r="N268" s="15">
        <v>369325</v>
      </c>
      <c r="O268" s="15">
        <f t="shared" si="12"/>
        <v>369325</v>
      </c>
      <c r="P268" s="15"/>
      <c r="Q268" s="14" t="s">
        <v>520</v>
      </c>
      <c r="R268" s="25">
        <v>45138</v>
      </c>
      <c r="S268" s="34" t="str">
        <f>TEXT(Table1[[#This Row],[End Date]],"MMMM")</f>
        <v>July</v>
      </c>
      <c r="T268" s="34" t="str">
        <f>TEXT(Table1[[#This Row],[End Date]],"YYYY")</f>
        <v>2023</v>
      </c>
      <c r="U268" s="24">
        <f t="shared" ca="1" si="13"/>
        <v>-5</v>
      </c>
      <c r="V268" s="14" t="str" cm="1">
        <f t="array" aca="1" ref="V268" ca="1">_xlfn.IFS(Table1[[#This Row],[Agreement Days]]&gt;=0,"Expired",Table1[[#This Row],[Agreement Days]]&gt;=-30,"Expires &lt; 30 Days",Table1[[#This Row],[Agreement Days]]&gt;=-60,"Expires &lt; 60 Days",Table1[[#This Row],[Agreement Days]]&lt;-60,"Valid Contract")</f>
        <v>Expires &lt; 30 Days</v>
      </c>
      <c r="W268" s="18" t="s">
        <v>21</v>
      </c>
      <c r="X268" s="18" t="s">
        <v>1108</v>
      </c>
      <c r="Y268" s="42" t="s">
        <v>1109</v>
      </c>
      <c r="Z268" s="27">
        <v>788949680</v>
      </c>
      <c r="AA268" s="27"/>
      <c r="AB268" s="116"/>
      <c r="AC268" s="116"/>
    </row>
    <row r="269" spans="1:29" hidden="1" x14ac:dyDescent="0.3">
      <c r="A269" s="18" t="s">
        <v>1110</v>
      </c>
      <c r="B269" s="18" t="s">
        <v>97</v>
      </c>
      <c r="C269" s="18" t="s">
        <v>97</v>
      </c>
      <c r="D269" s="14" t="s">
        <v>769</v>
      </c>
      <c r="E269" s="18" t="s">
        <v>9</v>
      </c>
      <c r="F269" s="14" t="s">
        <v>631</v>
      </c>
      <c r="G269" s="14" t="s">
        <v>518</v>
      </c>
      <c r="H269" s="18" t="s">
        <v>5</v>
      </c>
      <c r="I269" s="14" t="s">
        <v>117</v>
      </c>
      <c r="J269" s="14">
        <v>3</v>
      </c>
      <c r="K269" s="14" t="s">
        <v>632</v>
      </c>
      <c r="L269" s="14"/>
      <c r="M269" s="14">
        <v>1</v>
      </c>
      <c r="N269" s="15">
        <v>180000</v>
      </c>
      <c r="O269" s="15">
        <f t="shared" si="12"/>
        <v>180000</v>
      </c>
      <c r="P269" s="15"/>
      <c r="Q269" s="14" t="s">
        <v>520</v>
      </c>
      <c r="R269" s="21">
        <v>45138</v>
      </c>
      <c r="S269" s="22" t="str">
        <f>TEXT(Table1[[#This Row],[End Date]],"MMMM")</f>
        <v>July</v>
      </c>
      <c r="T269" s="23" t="str">
        <f>TEXT(Table1[[#This Row],[End Date]],"YYYY")</f>
        <v>2023</v>
      </c>
      <c r="U269" s="24">
        <f t="shared" ca="1" si="13"/>
        <v>-5</v>
      </c>
      <c r="V269" s="14" t="str" cm="1">
        <f t="array" aca="1" ref="V269" ca="1">_xlfn.IFS(Table1[[#This Row],[Agreement Days]]&gt;=0,"Expired",Table1[[#This Row],[Agreement Days]]&gt;=-30,"Expires &lt; 30 Days",Table1[[#This Row],[Agreement Days]]&gt;=-60,"Expires &lt; 60 Days",Table1[[#This Row],[Agreement Days]]&lt;-60,"Valid Contract")</f>
        <v>Expires &lt; 30 Days</v>
      </c>
      <c r="W269" s="14" t="s">
        <v>13</v>
      </c>
      <c r="X269" s="14" t="s">
        <v>1111</v>
      </c>
      <c r="Y269" s="43" t="s">
        <v>1112</v>
      </c>
      <c r="Z269" s="17">
        <v>788526885</v>
      </c>
      <c r="AA269" s="17"/>
      <c r="AB269" s="116"/>
      <c r="AC269" s="116"/>
    </row>
    <row r="270" spans="1:29" hidden="1" x14ac:dyDescent="0.3">
      <c r="A270" s="18" t="s">
        <v>1113</v>
      </c>
      <c r="B270" s="18" t="s">
        <v>213</v>
      </c>
      <c r="C270" s="18" t="s">
        <v>761</v>
      </c>
      <c r="D270" s="14" t="s">
        <v>761</v>
      </c>
      <c r="E270" s="18" t="s">
        <v>9</v>
      </c>
      <c r="F270" s="14" t="s">
        <v>693</v>
      </c>
      <c r="G270" s="14" t="s">
        <v>518</v>
      </c>
      <c r="H270" s="18" t="s">
        <v>5</v>
      </c>
      <c r="I270" s="14" t="s">
        <v>117</v>
      </c>
      <c r="J270" s="14">
        <v>7</v>
      </c>
      <c r="K270" s="18" t="s">
        <v>1114</v>
      </c>
      <c r="L270" s="18"/>
      <c r="M270" s="14">
        <v>1</v>
      </c>
      <c r="N270" s="15">
        <v>330000</v>
      </c>
      <c r="O270" s="15">
        <f t="shared" si="12"/>
        <v>330000</v>
      </c>
      <c r="P270" s="15"/>
      <c r="Q270" s="14" t="s">
        <v>520</v>
      </c>
      <c r="R270" s="25">
        <v>45138</v>
      </c>
      <c r="S270" s="34" t="str">
        <f>TEXT(Table1[[#This Row],[End Date]],"MMMM")</f>
        <v>July</v>
      </c>
      <c r="T270" s="34" t="str">
        <f>TEXT(Table1[[#This Row],[End Date]],"YYYY")</f>
        <v>2023</v>
      </c>
      <c r="U270" s="24">
        <f t="shared" ca="1" si="13"/>
        <v>-5</v>
      </c>
      <c r="V270" s="14" t="str" cm="1">
        <f t="array" aca="1" ref="V270" ca="1">_xlfn.IFS(Table1[[#This Row],[Agreement Days]]&gt;=0,"Expired",Table1[[#This Row],[Agreement Days]]&gt;=-30,"Expires &lt; 30 Days",Table1[[#This Row],[Agreement Days]]&gt;=-60,"Expires &lt; 60 Days",Table1[[#This Row],[Agreement Days]]&lt;-60,"Valid Contract")</f>
        <v>Expires &lt; 30 Days</v>
      </c>
      <c r="W270" s="18" t="s">
        <v>18</v>
      </c>
      <c r="X270" s="18" t="s">
        <v>1115</v>
      </c>
      <c r="Y270" s="35" t="s">
        <v>1116</v>
      </c>
      <c r="Z270" s="36" t="s">
        <v>1117</v>
      </c>
      <c r="AA270" s="36"/>
      <c r="AB270" s="116"/>
      <c r="AC270" s="116"/>
    </row>
    <row r="271" spans="1:29" hidden="1" x14ac:dyDescent="0.3">
      <c r="A271" s="18" t="s">
        <v>1113</v>
      </c>
      <c r="B271" s="18" t="s">
        <v>213</v>
      </c>
      <c r="C271" s="18" t="s">
        <v>1118</v>
      </c>
      <c r="D271" s="14" t="s">
        <v>545</v>
      </c>
      <c r="E271" s="18" t="s">
        <v>9</v>
      </c>
      <c r="F271" s="14" t="s">
        <v>693</v>
      </c>
      <c r="G271" s="14" t="s">
        <v>518</v>
      </c>
      <c r="H271" s="18" t="s">
        <v>5</v>
      </c>
      <c r="I271" s="14" t="s">
        <v>117</v>
      </c>
      <c r="J271" s="14">
        <v>10</v>
      </c>
      <c r="K271" s="18" t="s">
        <v>1119</v>
      </c>
      <c r="L271" s="18"/>
      <c r="M271" s="14">
        <v>1</v>
      </c>
      <c r="N271" s="15">
        <v>510000</v>
      </c>
      <c r="O271" s="15">
        <f t="shared" si="12"/>
        <v>510000</v>
      </c>
      <c r="P271" s="15"/>
      <c r="Q271" s="14" t="s">
        <v>520</v>
      </c>
      <c r="R271" s="25">
        <v>45138</v>
      </c>
      <c r="S271" s="34" t="str">
        <f>TEXT(Table1[[#This Row],[End Date]],"MMMM")</f>
        <v>July</v>
      </c>
      <c r="T271" s="34" t="str">
        <f>TEXT(Table1[[#This Row],[End Date]],"YYYY")</f>
        <v>2023</v>
      </c>
      <c r="U271" s="24">
        <f t="shared" ca="1" si="13"/>
        <v>-5</v>
      </c>
      <c r="V271" s="14" t="str" cm="1">
        <f t="array" aca="1" ref="V271" ca="1">_xlfn.IFS(Table1[[#This Row],[Agreement Days]]&gt;=0,"Expired",Table1[[#This Row],[Agreement Days]]&gt;=-30,"Expires &lt; 30 Days",Table1[[#This Row],[Agreement Days]]&gt;=-60,"Expires &lt; 60 Days",Table1[[#This Row],[Agreement Days]]&lt;-60,"Valid Contract")</f>
        <v>Expires &lt; 30 Days</v>
      </c>
      <c r="W271" s="18" t="s">
        <v>18</v>
      </c>
      <c r="X271" s="18" t="s">
        <v>1115</v>
      </c>
      <c r="Y271" s="35" t="s">
        <v>1116</v>
      </c>
      <c r="Z271" s="36" t="s">
        <v>1117</v>
      </c>
      <c r="AA271" s="27"/>
      <c r="AB271" s="116"/>
      <c r="AC271" s="116"/>
    </row>
    <row r="272" spans="1:29" hidden="1" x14ac:dyDescent="0.3">
      <c r="A272" s="18" t="s">
        <v>1113</v>
      </c>
      <c r="B272" s="18" t="s">
        <v>213</v>
      </c>
      <c r="C272" s="18" t="s">
        <v>848</v>
      </c>
      <c r="D272" s="14" t="s">
        <v>848</v>
      </c>
      <c r="E272" s="18" t="s">
        <v>9</v>
      </c>
      <c r="F272" s="14" t="s">
        <v>693</v>
      </c>
      <c r="G272" s="14" t="s">
        <v>518</v>
      </c>
      <c r="H272" s="18" t="s">
        <v>5</v>
      </c>
      <c r="I272" s="14" t="s">
        <v>117</v>
      </c>
      <c r="J272" s="14">
        <v>20</v>
      </c>
      <c r="K272" s="18" t="s">
        <v>839</v>
      </c>
      <c r="L272" s="18"/>
      <c r="M272" s="14">
        <v>1</v>
      </c>
      <c r="N272" s="15">
        <v>900000</v>
      </c>
      <c r="O272" s="15">
        <f t="shared" si="12"/>
        <v>900000</v>
      </c>
      <c r="P272" s="15"/>
      <c r="Q272" s="14" t="s">
        <v>520</v>
      </c>
      <c r="R272" s="25">
        <v>45138</v>
      </c>
      <c r="S272" s="34" t="str">
        <f>TEXT(Table1[[#This Row],[End Date]],"MMMM")</f>
        <v>July</v>
      </c>
      <c r="T272" s="34" t="str">
        <f>TEXT(Table1[[#This Row],[End Date]],"YYYY")</f>
        <v>2023</v>
      </c>
      <c r="U272" s="24">
        <f t="shared" ca="1" si="13"/>
        <v>-5</v>
      </c>
      <c r="V272" s="14" t="str" cm="1">
        <f t="array" aca="1" ref="V272" ca="1">_xlfn.IFS(Table1[[#This Row],[Agreement Days]]&gt;=0,"Expired",Table1[[#This Row],[Agreement Days]]&gt;=-30,"Expires &lt; 30 Days",Table1[[#This Row],[Agreement Days]]&gt;=-60,"Expires &lt; 60 Days",Table1[[#This Row],[Agreement Days]]&lt;-60,"Valid Contract")</f>
        <v>Expires &lt; 30 Days</v>
      </c>
      <c r="W272" s="18" t="s">
        <v>18</v>
      </c>
      <c r="X272" s="18" t="s">
        <v>1115</v>
      </c>
      <c r="Y272" s="35" t="s">
        <v>1116</v>
      </c>
      <c r="Z272" s="36" t="s">
        <v>1117</v>
      </c>
      <c r="AA272" s="27"/>
      <c r="AB272" s="116"/>
      <c r="AC272" s="116"/>
    </row>
    <row r="273" spans="1:29" hidden="1" x14ac:dyDescent="0.3">
      <c r="A273" s="18" t="s">
        <v>1113</v>
      </c>
      <c r="B273" s="18" t="s">
        <v>213</v>
      </c>
      <c r="C273" s="18" t="s">
        <v>761</v>
      </c>
      <c r="D273" s="14" t="s">
        <v>761</v>
      </c>
      <c r="E273" s="18" t="s">
        <v>9</v>
      </c>
      <c r="F273" s="14" t="s">
        <v>693</v>
      </c>
      <c r="G273" s="14" t="s">
        <v>518</v>
      </c>
      <c r="H273" s="18" t="s">
        <v>5</v>
      </c>
      <c r="I273" s="14" t="s">
        <v>117</v>
      </c>
      <c r="J273" s="14">
        <v>20</v>
      </c>
      <c r="K273" s="18" t="s">
        <v>839</v>
      </c>
      <c r="L273" s="18"/>
      <c r="M273" s="14">
        <v>1</v>
      </c>
      <c r="N273" s="15">
        <v>900000</v>
      </c>
      <c r="O273" s="15">
        <f t="shared" si="12"/>
        <v>900000</v>
      </c>
      <c r="P273" s="15"/>
      <c r="Q273" s="14" t="s">
        <v>520</v>
      </c>
      <c r="R273" s="25">
        <v>45138</v>
      </c>
      <c r="S273" s="34" t="str">
        <f>TEXT(Table1[[#This Row],[End Date]],"MMMM")</f>
        <v>July</v>
      </c>
      <c r="T273" s="34" t="str">
        <f>TEXT(Table1[[#This Row],[End Date]],"YYYY")</f>
        <v>2023</v>
      </c>
      <c r="U273" s="24">
        <f t="shared" ca="1" si="13"/>
        <v>-5</v>
      </c>
      <c r="V273" s="14" t="str" cm="1">
        <f t="array" aca="1" ref="V273" ca="1">_xlfn.IFS(Table1[[#This Row],[Agreement Days]]&gt;=0,"Expired",Table1[[#This Row],[Agreement Days]]&gt;=-30,"Expires &lt; 30 Days",Table1[[#This Row],[Agreement Days]]&gt;=-60,"Expires &lt; 60 Days",Table1[[#This Row],[Agreement Days]]&lt;-60,"Valid Contract")</f>
        <v>Expires &lt; 30 Days</v>
      </c>
      <c r="W273" s="18" t="s">
        <v>18</v>
      </c>
      <c r="X273" s="18" t="s">
        <v>1115</v>
      </c>
      <c r="Y273" s="35" t="s">
        <v>1116</v>
      </c>
      <c r="Z273" s="36" t="s">
        <v>1117</v>
      </c>
      <c r="AA273" s="27"/>
      <c r="AB273" s="116"/>
      <c r="AC273" s="116"/>
    </row>
    <row r="274" spans="1:29" hidden="1" x14ac:dyDescent="0.3">
      <c r="A274" s="18" t="s">
        <v>1120</v>
      </c>
      <c r="B274" s="18" t="s">
        <v>412</v>
      </c>
      <c r="C274" s="18" t="s">
        <v>544</v>
      </c>
      <c r="D274" s="18" t="s">
        <v>545</v>
      </c>
      <c r="E274" s="18" t="s">
        <v>10</v>
      </c>
      <c r="F274" s="20" t="s">
        <v>729</v>
      </c>
      <c r="G274" s="20" t="s">
        <v>518</v>
      </c>
      <c r="H274" s="18" t="s">
        <v>5</v>
      </c>
      <c r="I274" s="20" t="s">
        <v>115</v>
      </c>
      <c r="J274" s="20"/>
      <c r="K274" s="18" t="s">
        <v>642</v>
      </c>
      <c r="L274" s="18"/>
      <c r="M274" s="20">
        <v>2</v>
      </c>
      <c r="N274" s="15">
        <v>101695</v>
      </c>
      <c r="O274" s="15">
        <f t="shared" si="12"/>
        <v>203390</v>
      </c>
      <c r="P274" s="15"/>
      <c r="Q274" s="14" t="s">
        <v>520</v>
      </c>
      <c r="R274" s="25">
        <v>45139</v>
      </c>
      <c r="S274" s="22" t="str">
        <f>TEXT(Table1[[#This Row],[End Date]],"MMMM")</f>
        <v>August</v>
      </c>
      <c r="T274" s="22" t="str">
        <f>TEXT(Table1[[#This Row],[End Date]],"YYYY")</f>
        <v>2023</v>
      </c>
      <c r="U274" s="24">
        <f t="shared" ca="1" si="13"/>
        <v>-6</v>
      </c>
      <c r="V274" s="14" t="str" cm="1">
        <f t="array" aca="1" ref="V274" ca="1">_xlfn.IFS(Table1[[#This Row],[Agreement Days]]&gt;=0,"Expired",Table1[[#This Row],[Agreement Days]]&gt;=-30,"Expires &lt; 30 Days",Table1[[#This Row],[Agreement Days]]&gt;=-60,"Expires &lt; 60 Days",Table1[[#This Row],[Agreement Days]]&lt;-60,"Valid Contract")</f>
        <v>Expires &lt; 30 Days</v>
      </c>
      <c r="W274" s="18" t="s">
        <v>15</v>
      </c>
      <c r="X274" s="18" t="s">
        <v>1121</v>
      </c>
      <c r="Y274" s="42" t="s">
        <v>1122</v>
      </c>
      <c r="Z274" s="27" t="s">
        <v>1123</v>
      </c>
      <c r="AA274" s="20"/>
      <c r="AB274" s="116"/>
      <c r="AC274" s="116"/>
    </row>
    <row r="275" spans="1:29" x14ac:dyDescent="0.3">
      <c r="A275" s="18" t="s">
        <v>1049</v>
      </c>
      <c r="B275" s="18" t="s">
        <v>238</v>
      </c>
      <c r="C275" s="18" t="s">
        <v>1124</v>
      </c>
      <c r="D275" s="14" t="s">
        <v>545</v>
      </c>
      <c r="E275" s="18" t="s">
        <v>9</v>
      </c>
      <c r="F275" s="14" t="s">
        <v>693</v>
      </c>
      <c r="G275" s="14" t="s">
        <v>518</v>
      </c>
      <c r="H275" s="18" t="s">
        <v>5</v>
      </c>
      <c r="I275" s="14" t="s">
        <v>115</v>
      </c>
      <c r="J275" s="14"/>
      <c r="K275" s="26" t="s">
        <v>573</v>
      </c>
      <c r="L275" s="14"/>
      <c r="M275" s="14">
        <v>1</v>
      </c>
      <c r="N275" s="15">
        <v>19491.53</v>
      </c>
      <c r="O275" s="15">
        <f t="shared" si="12"/>
        <v>19491.53</v>
      </c>
      <c r="P275" s="15"/>
      <c r="Q275" s="14" t="s">
        <v>520</v>
      </c>
      <c r="R275" s="25">
        <v>45143</v>
      </c>
      <c r="S275" s="22" t="str">
        <f>TEXT(Table1[[#This Row],[End Date]],"MMMM")</f>
        <v>August</v>
      </c>
      <c r="T275" s="23" t="str">
        <f>TEXT(Table1[[#This Row],[End Date]],"YYYY")</f>
        <v>2023</v>
      </c>
      <c r="U275" s="24">
        <f t="shared" ca="1" si="13"/>
        <v>-10</v>
      </c>
      <c r="V275" s="14" t="str" cm="1">
        <f t="array" aca="1" ref="V275" ca="1">_xlfn.IFS(Table1[[#This Row],[Agreement Days]]&gt;=0,"Expired",Table1[[#This Row],[Agreement Days]]&gt;=-30,"Expires &lt; 30 Days",Table1[[#This Row],[Agreement Days]]&gt;=-60,"Expires &lt; 60 Days",Table1[[#This Row],[Agreement Days]]&lt;-60,"Valid Contract")</f>
        <v>Expires &lt; 30 Days</v>
      </c>
      <c r="W275" s="14" t="s">
        <v>12</v>
      </c>
      <c r="X275" s="14" t="s">
        <v>1050</v>
      </c>
      <c r="Y275" s="16" t="s">
        <v>1051</v>
      </c>
      <c r="Z275" s="17" t="s">
        <v>1052</v>
      </c>
      <c r="AA275" s="17"/>
      <c r="AB275" s="116"/>
      <c r="AC275" s="116"/>
    </row>
    <row r="276" spans="1:29" hidden="1" x14ac:dyDescent="0.3">
      <c r="A276" s="18" t="s">
        <v>1125</v>
      </c>
      <c r="B276" s="18" t="s">
        <v>338</v>
      </c>
      <c r="C276" s="18" t="s">
        <v>544</v>
      </c>
      <c r="D276" s="14" t="s">
        <v>653</v>
      </c>
      <c r="E276" s="18" t="s">
        <v>10</v>
      </c>
      <c r="F276" s="14" t="s">
        <v>560</v>
      </c>
      <c r="G276" s="14" t="s">
        <v>518</v>
      </c>
      <c r="H276" s="18" t="s">
        <v>5</v>
      </c>
      <c r="I276" s="14" t="s">
        <v>115</v>
      </c>
      <c r="J276" s="26"/>
      <c r="K276" s="18" t="s">
        <v>657</v>
      </c>
      <c r="L276" s="26"/>
      <c r="M276" s="19">
        <v>8</v>
      </c>
      <c r="N276" s="15">
        <v>45338.98</v>
      </c>
      <c r="O276" s="15">
        <f t="shared" si="12"/>
        <v>362711.84</v>
      </c>
      <c r="P276" s="15"/>
      <c r="Q276" s="14" t="s">
        <v>520</v>
      </c>
      <c r="R276" s="25">
        <v>45144</v>
      </c>
      <c r="S276" s="34" t="str">
        <f>TEXT(Table1[[#This Row],[End Date]],"MMMM")</f>
        <v>August</v>
      </c>
      <c r="T276" s="34" t="str">
        <f>TEXT(Table1[[#This Row],[End Date]],"YYYY")</f>
        <v>2023</v>
      </c>
      <c r="U276" s="24">
        <f t="shared" ca="1" si="13"/>
        <v>-11</v>
      </c>
      <c r="V276" s="14" t="str" cm="1">
        <f t="array" aca="1" ref="V276" ca="1">_xlfn.IFS(Table1[[#This Row],[Agreement Days]]&gt;=0,"Expired",Table1[[#This Row],[Agreement Days]]&gt;=-30,"Expires &lt; 30 Days",Table1[[#This Row],[Agreement Days]]&gt;=-60,"Expires &lt; 60 Days",Table1[[#This Row],[Agreement Days]]&lt;-60,"Valid Contract")</f>
        <v>Expires &lt; 30 Days</v>
      </c>
      <c r="W276" s="26" t="s">
        <v>17</v>
      </c>
      <c r="X276" s="26" t="s">
        <v>1126</v>
      </c>
      <c r="Y276" s="18" t="s">
        <v>1127</v>
      </c>
      <c r="Z276" s="27">
        <v>788847870</v>
      </c>
      <c r="AA276" s="27"/>
      <c r="AB276" s="116"/>
      <c r="AC276" s="116"/>
    </row>
    <row r="277" spans="1:29" hidden="1" x14ac:dyDescent="0.3">
      <c r="A277" s="18" t="s">
        <v>1125</v>
      </c>
      <c r="B277" s="18" t="s">
        <v>338</v>
      </c>
      <c r="C277" s="18" t="s">
        <v>544</v>
      </c>
      <c r="D277" s="14" t="s">
        <v>653</v>
      </c>
      <c r="E277" s="18" t="s">
        <v>10</v>
      </c>
      <c r="F277" s="14" t="s">
        <v>560</v>
      </c>
      <c r="G277" s="14" t="s">
        <v>518</v>
      </c>
      <c r="H277" s="18" t="s">
        <v>5</v>
      </c>
      <c r="I277" s="14" t="s">
        <v>115</v>
      </c>
      <c r="J277" s="26"/>
      <c r="K277" s="18" t="s">
        <v>643</v>
      </c>
      <c r="L277" s="26"/>
      <c r="M277" s="19">
        <v>11</v>
      </c>
      <c r="N277" s="15">
        <v>28305.08</v>
      </c>
      <c r="O277" s="15">
        <f t="shared" si="12"/>
        <v>311355.88</v>
      </c>
      <c r="P277" s="15"/>
      <c r="Q277" s="14" t="s">
        <v>520</v>
      </c>
      <c r="R277" s="25">
        <v>45144</v>
      </c>
      <c r="S277" s="34" t="str">
        <f>TEXT(Table1[[#This Row],[End Date]],"MMMM")</f>
        <v>August</v>
      </c>
      <c r="T277" s="34" t="str">
        <f>TEXT(Table1[[#This Row],[End Date]],"YYYY")</f>
        <v>2023</v>
      </c>
      <c r="U277" s="24">
        <f t="shared" ca="1" si="13"/>
        <v>-11</v>
      </c>
      <c r="V277" s="14" t="str" cm="1">
        <f t="array" aca="1" ref="V277" ca="1">_xlfn.IFS(Table1[[#This Row],[Agreement Days]]&gt;=0,"Expired",Table1[[#This Row],[Agreement Days]]&gt;=-30,"Expires &lt; 30 Days",Table1[[#This Row],[Agreement Days]]&gt;=-60,"Expires &lt; 60 Days",Table1[[#This Row],[Agreement Days]]&lt;-60,"Valid Contract")</f>
        <v>Expires &lt; 30 Days</v>
      </c>
      <c r="W277" s="26" t="s">
        <v>17</v>
      </c>
      <c r="X277" s="26" t="s">
        <v>1126</v>
      </c>
      <c r="Y277" s="18" t="s">
        <v>1127</v>
      </c>
      <c r="Z277" s="27">
        <v>788847870</v>
      </c>
      <c r="AA277" s="27"/>
      <c r="AB277" s="116"/>
      <c r="AC277" s="116"/>
    </row>
    <row r="278" spans="1:29" hidden="1" x14ac:dyDescent="0.3">
      <c r="A278" s="18" t="s">
        <v>1128</v>
      </c>
      <c r="B278" s="18" t="s">
        <v>48</v>
      </c>
      <c r="C278" s="18" t="s">
        <v>48</v>
      </c>
      <c r="D278" s="14" t="s">
        <v>619</v>
      </c>
      <c r="E278" s="18" t="s">
        <v>9</v>
      </c>
      <c r="F278" s="14" t="s">
        <v>631</v>
      </c>
      <c r="G278" s="14" t="s">
        <v>518</v>
      </c>
      <c r="H278" s="18" t="s">
        <v>5</v>
      </c>
      <c r="I278" s="14" t="s">
        <v>117</v>
      </c>
      <c r="J278" s="14">
        <v>10</v>
      </c>
      <c r="K278" s="14" t="s">
        <v>1129</v>
      </c>
      <c r="L278" s="14"/>
      <c r="M278" s="14">
        <v>1</v>
      </c>
      <c r="N278" s="15">
        <v>510000</v>
      </c>
      <c r="O278" s="15">
        <f t="shared" si="12"/>
        <v>510000</v>
      </c>
      <c r="P278" s="15"/>
      <c r="Q278" s="14" t="s">
        <v>520</v>
      </c>
      <c r="R278" s="25">
        <v>45150</v>
      </c>
      <c r="S278" s="22" t="str">
        <f>TEXT(Table1[[#This Row],[End Date]],"MMMM")</f>
        <v>August</v>
      </c>
      <c r="T278" s="23" t="str">
        <f>TEXT(Table1[[#This Row],[End Date]],"YYYY")</f>
        <v>2023</v>
      </c>
      <c r="U278" s="24">
        <f t="shared" ca="1" si="13"/>
        <v>-17</v>
      </c>
      <c r="V278" s="14" t="str" cm="1">
        <f t="array" aca="1" ref="V278" ca="1">_xlfn.IFS(Table1[[#This Row],[Agreement Days]]&gt;=0,"Expired",Table1[[#This Row],[Agreement Days]]&gt;=-30,"Expires &lt; 30 Days",Table1[[#This Row],[Agreement Days]]&gt;=-60,"Expires &lt; 60 Days",Table1[[#This Row],[Agreement Days]]&lt;-60,"Valid Contract")</f>
        <v>Expires &lt; 30 Days</v>
      </c>
      <c r="W278" s="14" t="s">
        <v>13</v>
      </c>
      <c r="X278" s="14" t="s">
        <v>1130</v>
      </c>
      <c r="Y278" s="33" t="s">
        <v>1131</v>
      </c>
      <c r="Z278" s="17">
        <v>788411508</v>
      </c>
      <c r="AA278" s="17"/>
      <c r="AB278" s="116"/>
      <c r="AC278" s="116"/>
    </row>
    <row r="279" spans="1:29" hidden="1" x14ac:dyDescent="0.3">
      <c r="A279" s="18" t="s">
        <v>1132</v>
      </c>
      <c r="B279" s="18" t="s">
        <v>337</v>
      </c>
      <c r="C279" s="18" t="s">
        <v>1133</v>
      </c>
      <c r="D279" s="14" t="s">
        <v>653</v>
      </c>
      <c r="E279" s="18" t="s">
        <v>9</v>
      </c>
      <c r="F279" s="14" t="s">
        <v>517</v>
      </c>
      <c r="G279" s="14" t="s">
        <v>518</v>
      </c>
      <c r="H279" s="18" t="s">
        <v>5</v>
      </c>
      <c r="I279" s="14" t="s">
        <v>115</v>
      </c>
      <c r="J279" s="14"/>
      <c r="K279" s="18" t="s">
        <v>573</v>
      </c>
      <c r="L279" s="14"/>
      <c r="M279" s="14">
        <v>4</v>
      </c>
      <c r="N279" s="15">
        <v>19491.53</v>
      </c>
      <c r="O279" s="15">
        <f t="shared" si="12"/>
        <v>77966.12</v>
      </c>
      <c r="P279" s="15"/>
      <c r="Q279" s="14" t="s">
        <v>520</v>
      </c>
      <c r="R279" s="25">
        <v>45151</v>
      </c>
      <c r="S279" s="22" t="str">
        <f>TEXT(Table1[[#This Row],[End Date]],"MMMM")</f>
        <v>August</v>
      </c>
      <c r="T279" s="22" t="str">
        <f>TEXT(Table1[[#This Row],[End Date]],"YYYY")</f>
        <v>2023</v>
      </c>
      <c r="U279" s="24">
        <f t="shared" ca="1" si="13"/>
        <v>-18</v>
      </c>
      <c r="V279" s="14" t="str" cm="1">
        <f t="array" aca="1" ref="V279" ca="1">_xlfn.IFS(Table1[[#This Row],[Agreement Days]]&gt;=0,"Expired",Table1[[#This Row],[Agreement Days]]&gt;=-30,"Expires &lt; 30 Days",Table1[[#This Row],[Agreement Days]]&gt;=-60,"Expires &lt; 60 Days",Table1[[#This Row],[Agreement Days]]&lt;-60,"Valid Contract")</f>
        <v>Expires &lt; 30 Days</v>
      </c>
      <c r="W279" s="14" t="s">
        <v>20</v>
      </c>
      <c r="X279" s="26" t="s">
        <v>1134</v>
      </c>
      <c r="Y279" s="16" t="s">
        <v>1135</v>
      </c>
      <c r="Z279" s="17" t="s">
        <v>1136</v>
      </c>
      <c r="AA279" s="19"/>
      <c r="AB279" s="116"/>
      <c r="AC279" s="116"/>
    </row>
    <row r="280" spans="1:29" x14ac:dyDescent="0.3">
      <c r="A280" s="18" t="s">
        <v>967</v>
      </c>
      <c r="B280" s="18" t="s">
        <v>154</v>
      </c>
      <c r="C280" s="18" t="s">
        <v>1137</v>
      </c>
      <c r="D280" s="14" t="s">
        <v>545</v>
      </c>
      <c r="E280" s="18" t="s">
        <v>9</v>
      </c>
      <c r="F280" s="14" t="s">
        <v>969</v>
      </c>
      <c r="G280" s="14" t="s">
        <v>518</v>
      </c>
      <c r="H280" s="18" t="s">
        <v>2</v>
      </c>
      <c r="I280" s="14" t="s">
        <v>118</v>
      </c>
      <c r="J280" s="14"/>
      <c r="K280" s="14" t="s">
        <v>1138</v>
      </c>
      <c r="L280" s="14"/>
      <c r="M280" s="14">
        <v>1</v>
      </c>
      <c r="N280" s="15">
        <v>1478575</v>
      </c>
      <c r="O280" s="15">
        <f t="shared" si="12"/>
        <v>1478575</v>
      </c>
      <c r="P280" s="15"/>
      <c r="Q280" s="14" t="s">
        <v>520</v>
      </c>
      <c r="R280" s="25">
        <v>45162</v>
      </c>
      <c r="S280" s="22" t="str">
        <f>TEXT(Table1[[#This Row],[End Date]],"MMMM")</f>
        <v>August</v>
      </c>
      <c r="T280" s="23" t="str">
        <f>TEXT(Table1[[#This Row],[End Date]],"YYYY")</f>
        <v>2023</v>
      </c>
      <c r="U280" s="24">
        <f t="shared" ca="1" si="13"/>
        <v>-29</v>
      </c>
      <c r="V280" s="14" t="str" cm="1">
        <f t="array" aca="1" ref="V280" ca="1">_xlfn.IFS(Table1[[#This Row],[Agreement Days]]&gt;=0,"Expired",Table1[[#This Row],[Agreement Days]]&gt;=-30,"Expires &lt; 30 Days",Table1[[#This Row],[Agreement Days]]&gt;=-60,"Expires &lt; 60 Days",Table1[[#This Row],[Agreement Days]]&lt;-60,"Valid Contract")</f>
        <v>Expires &lt; 30 Days</v>
      </c>
      <c r="W280" s="14" t="s">
        <v>12</v>
      </c>
      <c r="X280" s="14" t="s">
        <v>971</v>
      </c>
      <c r="Y280" s="16" t="s">
        <v>972</v>
      </c>
      <c r="Z280" s="17" t="s">
        <v>973</v>
      </c>
      <c r="AA280" s="17"/>
      <c r="AB280" s="116"/>
      <c r="AC280" s="116"/>
    </row>
    <row r="281" spans="1:29" hidden="1" x14ac:dyDescent="0.3">
      <c r="A281" s="18" t="s">
        <v>1139</v>
      </c>
      <c r="B281" s="18" t="s">
        <v>156</v>
      </c>
      <c r="C281" s="18" t="s">
        <v>156</v>
      </c>
      <c r="D281" s="14" t="s">
        <v>1140</v>
      </c>
      <c r="E281" s="18" t="s">
        <v>9</v>
      </c>
      <c r="F281" s="14" t="s">
        <v>517</v>
      </c>
      <c r="G281" s="14" t="s">
        <v>518</v>
      </c>
      <c r="H281" s="18" t="s">
        <v>5</v>
      </c>
      <c r="I281" s="14" t="s">
        <v>115</v>
      </c>
      <c r="J281" s="14"/>
      <c r="K281" s="18" t="s">
        <v>657</v>
      </c>
      <c r="L281" s="14"/>
      <c r="M281" s="14">
        <v>1</v>
      </c>
      <c r="N281" s="15">
        <v>45338.98</v>
      </c>
      <c r="O281" s="15">
        <f t="shared" si="12"/>
        <v>45338.98</v>
      </c>
      <c r="P281" s="15"/>
      <c r="Q281" s="14" t="s">
        <v>520</v>
      </c>
      <c r="R281" s="25">
        <v>45167</v>
      </c>
      <c r="S281" s="22" t="str">
        <f>TEXT(Table1[[#This Row],[End Date]],"MMMM")</f>
        <v>August</v>
      </c>
      <c r="T281" s="22" t="str">
        <f>TEXT(Table1[[#This Row],[End Date]],"YYYY")</f>
        <v>2023</v>
      </c>
      <c r="U281" s="24">
        <f t="shared" ca="1" si="13"/>
        <v>-34</v>
      </c>
      <c r="V281" s="14" t="str" cm="1">
        <f t="array" aca="1" ref="V281" ca="1">_xlfn.IFS(Table1[[#This Row],[Agreement Days]]&gt;=0,"Expired",Table1[[#This Row],[Agreement Days]]&gt;=-30,"Expires &lt; 30 Days",Table1[[#This Row],[Agreement Days]]&gt;=-60,"Expires &lt; 60 Days",Table1[[#This Row],[Agreement Days]]&lt;-60,"Valid Contract")</f>
        <v>Expires &lt; 60 Days</v>
      </c>
      <c r="W281" s="14" t="s">
        <v>20</v>
      </c>
      <c r="X281" s="26" t="s">
        <v>1141</v>
      </c>
      <c r="Y281" s="45" t="s">
        <v>1142</v>
      </c>
      <c r="Z281" s="17" t="s">
        <v>1143</v>
      </c>
      <c r="AA281" s="19"/>
      <c r="AB281" s="116"/>
      <c r="AC281" s="116"/>
    </row>
    <row r="282" spans="1:29" hidden="1" x14ac:dyDescent="0.3">
      <c r="A282" s="18" t="s">
        <v>1144</v>
      </c>
      <c r="B282" s="18" t="s">
        <v>205</v>
      </c>
      <c r="C282" s="18" t="s">
        <v>1145</v>
      </c>
      <c r="D282" s="14" t="s">
        <v>739</v>
      </c>
      <c r="E282" s="18" t="s">
        <v>9</v>
      </c>
      <c r="F282" s="14" t="s">
        <v>517</v>
      </c>
      <c r="G282" s="14" t="s">
        <v>518</v>
      </c>
      <c r="H282" s="18" t="s">
        <v>5</v>
      </c>
      <c r="I282" s="14" t="s">
        <v>117</v>
      </c>
      <c r="J282" s="14">
        <v>3</v>
      </c>
      <c r="K282" s="14" t="s">
        <v>646</v>
      </c>
      <c r="L282" s="14"/>
      <c r="M282" s="14">
        <v>1</v>
      </c>
      <c r="N282" s="15">
        <v>180000</v>
      </c>
      <c r="O282" s="15">
        <f t="shared" si="12"/>
        <v>180000</v>
      </c>
      <c r="P282" s="15"/>
      <c r="Q282" s="14" t="s">
        <v>520</v>
      </c>
      <c r="R282" s="25">
        <v>45168</v>
      </c>
      <c r="S282" s="22" t="str">
        <f>TEXT(Table1[[#This Row],[End Date]],"MMMM")</f>
        <v>August</v>
      </c>
      <c r="T282" s="23" t="str">
        <f>TEXT(Table1[[#This Row],[End Date]],"YYYY")</f>
        <v>2023</v>
      </c>
      <c r="U282" s="24">
        <f t="shared" ca="1" si="13"/>
        <v>-35</v>
      </c>
      <c r="V282" s="14" t="str" cm="1">
        <f t="array" aca="1" ref="V282" ca="1">_xlfn.IFS(Table1[[#This Row],[Agreement Days]]&gt;=0,"Expired",Table1[[#This Row],[Agreement Days]]&gt;=-30,"Expires &lt; 30 Days",Table1[[#This Row],[Agreement Days]]&gt;=-60,"Expires &lt; 60 Days",Table1[[#This Row],[Agreement Days]]&lt;-60,"Valid Contract")</f>
        <v>Expires &lt; 60 Days</v>
      </c>
      <c r="W282" s="14" t="s">
        <v>19</v>
      </c>
      <c r="X282" s="14" t="s">
        <v>1146</v>
      </c>
      <c r="Y282" s="14" t="s">
        <v>1147</v>
      </c>
      <c r="Z282" s="17">
        <v>783217769</v>
      </c>
      <c r="AA282" s="17"/>
      <c r="AB282" s="116"/>
      <c r="AC282" s="116"/>
    </row>
    <row r="283" spans="1:29" hidden="1" x14ac:dyDescent="0.3">
      <c r="A283" s="18" t="s">
        <v>1144</v>
      </c>
      <c r="B283" s="18" t="s">
        <v>205</v>
      </c>
      <c r="C283" s="18" t="s">
        <v>1148</v>
      </c>
      <c r="D283" s="14" t="s">
        <v>739</v>
      </c>
      <c r="E283" s="18" t="s">
        <v>9</v>
      </c>
      <c r="F283" s="14" t="s">
        <v>517</v>
      </c>
      <c r="G283" s="14" t="s">
        <v>518</v>
      </c>
      <c r="H283" s="18" t="s">
        <v>5</v>
      </c>
      <c r="I283" s="14" t="s">
        <v>117</v>
      </c>
      <c r="J283" s="14">
        <v>10</v>
      </c>
      <c r="K283" s="14" t="s">
        <v>547</v>
      </c>
      <c r="L283" s="14"/>
      <c r="M283" s="14">
        <v>1</v>
      </c>
      <c r="N283" s="15">
        <v>510000</v>
      </c>
      <c r="O283" s="15">
        <f t="shared" si="12"/>
        <v>510000</v>
      </c>
      <c r="P283" s="15"/>
      <c r="Q283" s="14" t="s">
        <v>520</v>
      </c>
      <c r="R283" s="25">
        <v>45168</v>
      </c>
      <c r="S283" s="22" t="str">
        <f>TEXT(Table1[[#This Row],[End Date]],"MMMM")</f>
        <v>August</v>
      </c>
      <c r="T283" s="23" t="str">
        <f>TEXT(Table1[[#This Row],[End Date]],"YYYY")</f>
        <v>2023</v>
      </c>
      <c r="U283" s="24">
        <f t="shared" ca="1" si="13"/>
        <v>-35</v>
      </c>
      <c r="V283" s="14" t="str" cm="1">
        <f t="array" aca="1" ref="V283" ca="1">_xlfn.IFS(Table1[[#This Row],[Agreement Days]]&gt;=0,"Expired",Table1[[#This Row],[Agreement Days]]&gt;=-30,"Expires &lt; 30 Days",Table1[[#This Row],[Agreement Days]]&gt;=-60,"Expires &lt; 60 Days",Table1[[#This Row],[Agreement Days]]&lt;-60,"Valid Contract")</f>
        <v>Expires &lt; 60 Days</v>
      </c>
      <c r="W283" s="14" t="s">
        <v>19</v>
      </c>
      <c r="X283" s="14" t="s">
        <v>1146</v>
      </c>
      <c r="Y283" s="14" t="s">
        <v>1147</v>
      </c>
      <c r="Z283" s="17">
        <v>783217769</v>
      </c>
      <c r="AA283" s="17"/>
      <c r="AB283" s="116"/>
      <c r="AC283" s="116"/>
    </row>
    <row r="284" spans="1:29" hidden="1" x14ac:dyDescent="0.3">
      <c r="A284" s="18" t="s">
        <v>1144</v>
      </c>
      <c r="B284" s="18" t="s">
        <v>205</v>
      </c>
      <c r="C284" s="18" t="s">
        <v>1149</v>
      </c>
      <c r="D284" s="14" t="s">
        <v>739</v>
      </c>
      <c r="E284" s="18" t="s">
        <v>9</v>
      </c>
      <c r="F284" s="14" t="s">
        <v>517</v>
      </c>
      <c r="G284" s="14" t="s">
        <v>518</v>
      </c>
      <c r="H284" s="18" t="s">
        <v>2</v>
      </c>
      <c r="I284" s="14" t="s">
        <v>120</v>
      </c>
      <c r="J284" s="14"/>
      <c r="K284" s="14" t="s">
        <v>649</v>
      </c>
      <c r="L284" s="14"/>
      <c r="M284" s="14">
        <v>1</v>
      </c>
      <c r="N284" s="15">
        <v>258044.92</v>
      </c>
      <c r="O284" s="15">
        <f t="shared" si="12"/>
        <v>258044.92</v>
      </c>
      <c r="P284" s="15"/>
      <c r="Q284" s="14" t="s">
        <v>520</v>
      </c>
      <c r="R284" s="25">
        <v>45168</v>
      </c>
      <c r="S284" s="22" t="str">
        <f>TEXT(Table1[[#This Row],[End Date]],"MMMM")</f>
        <v>August</v>
      </c>
      <c r="T284" s="23" t="str">
        <f>TEXT(Table1[[#This Row],[End Date]],"YYYY")</f>
        <v>2023</v>
      </c>
      <c r="U284" s="24">
        <f t="shared" ca="1" si="13"/>
        <v>-35</v>
      </c>
      <c r="V284" s="14" t="str" cm="1">
        <f t="array" aca="1" ref="V284" ca="1">_xlfn.IFS(Table1[[#This Row],[Agreement Days]]&gt;=0,"Expired",Table1[[#This Row],[Agreement Days]]&gt;=-30,"Expires &lt; 30 Days",Table1[[#This Row],[Agreement Days]]&gt;=-60,"Expires &lt; 60 Days",Table1[[#This Row],[Agreement Days]]&lt;-60,"Valid Contract")</f>
        <v>Expires &lt; 60 Days</v>
      </c>
      <c r="W284" s="14" t="s">
        <v>19</v>
      </c>
      <c r="X284" s="14" t="s">
        <v>1146</v>
      </c>
      <c r="Y284" s="14" t="s">
        <v>1147</v>
      </c>
      <c r="Z284" s="17">
        <v>783217769</v>
      </c>
      <c r="AA284" s="17"/>
      <c r="AB284" s="116"/>
      <c r="AC284" s="116"/>
    </row>
    <row r="285" spans="1:29" hidden="1" x14ac:dyDescent="0.3">
      <c r="A285" s="18" t="s">
        <v>1144</v>
      </c>
      <c r="B285" s="18" t="s">
        <v>205</v>
      </c>
      <c r="C285" s="18" t="s">
        <v>1148</v>
      </c>
      <c r="D285" s="14" t="s">
        <v>739</v>
      </c>
      <c r="E285" s="18" t="s">
        <v>9</v>
      </c>
      <c r="F285" s="14" t="s">
        <v>517</v>
      </c>
      <c r="G285" s="14" t="s">
        <v>518</v>
      </c>
      <c r="H285" s="18" t="s">
        <v>4</v>
      </c>
      <c r="I285" s="14" t="s">
        <v>118</v>
      </c>
      <c r="J285" s="14"/>
      <c r="K285" s="14" t="s">
        <v>650</v>
      </c>
      <c r="L285" s="14"/>
      <c r="M285" s="14">
        <v>1</v>
      </c>
      <c r="N285" s="15">
        <v>369325</v>
      </c>
      <c r="O285" s="15">
        <f t="shared" si="12"/>
        <v>369325</v>
      </c>
      <c r="P285" s="15"/>
      <c r="Q285" s="14" t="s">
        <v>520</v>
      </c>
      <c r="R285" s="25">
        <v>45168</v>
      </c>
      <c r="S285" s="22" t="str">
        <f>TEXT(Table1[[#This Row],[End Date]],"MMMM")</f>
        <v>August</v>
      </c>
      <c r="T285" s="23" t="str">
        <f>TEXT(Table1[[#This Row],[End Date]],"YYYY")</f>
        <v>2023</v>
      </c>
      <c r="U285" s="24">
        <f t="shared" ca="1" si="13"/>
        <v>-35</v>
      </c>
      <c r="V285" s="14" t="str" cm="1">
        <f t="array" aca="1" ref="V285" ca="1">_xlfn.IFS(Table1[[#This Row],[Agreement Days]]&gt;=0,"Expired",Table1[[#This Row],[Agreement Days]]&gt;=-30,"Expires &lt; 30 Days",Table1[[#This Row],[Agreement Days]]&gt;=-60,"Expires &lt; 60 Days",Table1[[#This Row],[Agreement Days]]&lt;-60,"Valid Contract")</f>
        <v>Expires &lt; 60 Days</v>
      </c>
      <c r="W285" s="14" t="s">
        <v>19</v>
      </c>
      <c r="X285" s="14" t="s">
        <v>1146</v>
      </c>
      <c r="Y285" s="14" t="s">
        <v>1147</v>
      </c>
      <c r="Z285" s="17">
        <v>783217769</v>
      </c>
      <c r="AA285" s="17"/>
      <c r="AB285" s="116"/>
      <c r="AC285" s="116"/>
    </row>
    <row r="286" spans="1:29" hidden="1" x14ac:dyDescent="0.3">
      <c r="A286" s="18" t="s">
        <v>1144</v>
      </c>
      <c r="B286" s="18" t="s">
        <v>205</v>
      </c>
      <c r="C286" s="18" t="s">
        <v>1148</v>
      </c>
      <c r="D286" s="14" t="s">
        <v>739</v>
      </c>
      <c r="E286" s="18" t="s">
        <v>9</v>
      </c>
      <c r="F286" s="14" t="s">
        <v>517</v>
      </c>
      <c r="G286" s="14" t="s">
        <v>518</v>
      </c>
      <c r="H286" s="18" t="s">
        <v>5</v>
      </c>
      <c r="I286" s="14" t="s">
        <v>115</v>
      </c>
      <c r="J286" s="14"/>
      <c r="K286" s="18" t="s">
        <v>651</v>
      </c>
      <c r="L286" s="14"/>
      <c r="M286" s="14">
        <v>3</v>
      </c>
      <c r="N286" s="15">
        <f>96000/1.18</f>
        <v>81355.932203389835</v>
      </c>
      <c r="O286" s="15">
        <f t="shared" si="12"/>
        <v>244067.79661016952</v>
      </c>
      <c r="P286" s="15"/>
      <c r="Q286" s="14" t="s">
        <v>520</v>
      </c>
      <c r="R286" s="25">
        <v>45168</v>
      </c>
      <c r="S286" s="22" t="str">
        <f>TEXT(Table1[[#This Row],[End Date]],"MMMM")</f>
        <v>August</v>
      </c>
      <c r="T286" s="23" t="str">
        <f>TEXT(Table1[[#This Row],[End Date]],"YYYY")</f>
        <v>2023</v>
      </c>
      <c r="U286" s="24">
        <f t="shared" ca="1" si="13"/>
        <v>-35</v>
      </c>
      <c r="V286" s="14" t="str" cm="1">
        <f t="array" aca="1" ref="V286" ca="1">_xlfn.IFS(Table1[[#This Row],[Agreement Days]]&gt;=0,"Expired",Table1[[#This Row],[Agreement Days]]&gt;=-30,"Expires &lt; 30 Days",Table1[[#This Row],[Agreement Days]]&gt;=-60,"Expires &lt; 60 Days",Table1[[#This Row],[Agreement Days]]&lt;-60,"Valid Contract")</f>
        <v>Expires &lt; 60 Days</v>
      </c>
      <c r="W286" s="14" t="s">
        <v>19</v>
      </c>
      <c r="X286" s="14" t="s">
        <v>1146</v>
      </c>
      <c r="Y286" s="14" t="s">
        <v>1147</v>
      </c>
      <c r="Z286" s="17">
        <v>783217769</v>
      </c>
      <c r="AA286" s="17"/>
      <c r="AB286" s="116"/>
      <c r="AC286" s="116"/>
    </row>
    <row r="287" spans="1:29" hidden="1" x14ac:dyDescent="0.3">
      <c r="A287" s="18" t="s">
        <v>1144</v>
      </c>
      <c r="B287" s="18" t="s">
        <v>205</v>
      </c>
      <c r="C287" s="18" t="s">
        <v>1148</v>
      </c>
      <c r="D287" s="14" t="s">
        <v>739</v>
      </c>
      <c r="E287" s="18" t="s">
        <v>9</v>
      </c>
      <c r="F287" s="14" t="s">
        <v>517</v>
      </c>
      <c r="G287" s="14" t="s">
        <v>518</v>
      </c>
      <c r="H287" s="18" t="s">
        <v>5</v>
      </c>
      <c r="I287" s="14" t="s">
        <v>115</v>
      </c>
      <c r="J287" s="14"/>
      <c r="K287" s="18" t="s">
        <v>643</v>
      </c>
      <c r="L287" s="14"/>
      <c r="M287" s="14">
        <v>1</v>
      </c>
      <c r="N287" s="15">
        <v>28305.08</v>
      </c>
      <c r="O287" s="15">
        <f t="shared" si="12"/>
        <v>28305.08</v>
      </c>
      <c r="P287" s="15"/>
      <c r="Q287" s="14" t="s">
        <v>520</v>
      </c>
      <c r="R287" s="25">
        <v>45168</v>
      </c>
      <c r="S287" s="22" t="str">
        <f>TEXT(Table1[[#This Row],[End Date]],"MMMM")</f>
        <v>August</v>
      </c>
      <c r="T287" s="23" t="str">
        <f>TEXT(Table1[[#This Row],[End Date]],"YYYY")</f>
        <v>2023</v>
      </c>
      <c r="U287" s="24">
        <f t="shared" ca="1" si="13"/>
        <v>-35</v>
      </c>
      <c r="V287" s="14" t="str" cm="1">
        <f t="array" aca="1" ref="V287" ca="1">_xlfn.IFS(Table1[[#This Row],[Agreement Days]]&gt;=0,"Expired",Table1[[#This Row],[Agreement Days]]&gt;=-30,"Expires &lt; 30 Days",Table1[[#This Row],[Agreement Days]]&gt;=-60,"Expires &lt; 60 Days",Table1[[#This Row],[Agreement Days]]&lt;-60,"Valid Contract")</f>
        <v>Expires &lt; 60 Days</v>
      </c>
      <c r="W287" s="14" t="s">
        <v>19</v>
      </c>
      <c r="X287" s="14" t="s">
        <v>1146</v>
      </c>
      <c r="Y287" s="14" t="s">
        <v>1147</v>
      </c>
      <c r="Z287" s="17">
        <v>783217769</v>
      </c>
      <c r="AA287" s="17"/>
      <c r="AB287" s="116"/>
      <c r="AC287" s="116"/>
    </row>
    <row r="288" spans="1:29" hidden="1" x14ac:dyDescent="0.3">
      <c r="A288" s="18" t="s">
        <v>1144</v>
      </c>
      <c r="B288" s="18" t="s">
        <v>205</v>
      </c>
      <c r="C288" s="18" t="s">
        <v>1148</v>
      </c>
      <c r="D288" s="14" t="s">
        <v>739</v>
      </c>
      <c r="E288" s="18" t="s">
        <v>9</v>
      </c>
      <c r="F288" s="14" t="s">
        <v>517</v>
      </c>
      <c r="G288" s="14" t="s">
        <v>518</v>
      </c>
      <c r="H288" s="18" t="s">
        <v>5</v>
      </c>
      <c r="I288" s="14" t="s">
        <v>115</v>
      </c>
      <c r="J288" s="14"/>
      <c r="K288" s="18" t="s">
        <v>573</v>
      </c>
      <c r="L288" s="14"/>
      <c r="M288" s="14">
        <v>1</v>
      </c>
      <c r="N288" s="15">
        <v>19491.53</v>
      </c>
      <c r="O288" s="15">
        <f t="shared" si="12"/>
        <v>19491.53</v>
      </c>
      <c r="P288" s="15"/>
      <c r="Q288" s="14" t="s">
        <v>520</v>
      </c>
      <c r="R288" s="25">
        <v>45168</v>
      </c>
      <c r="S288" s="22" t="str">
        <f>TEXT(Table1[[#This Row],[End Date]],"MMMM")</f>
        <v>August</v>
      </c>
      <c r="T288" s="23" t="str">
        <f>TEXT(Table1[[#This Row],[End Date]],"YYYY")</f>
        <v>2023</v>
      </c>
      <c r="U288" s="24">
        <f t="shared" ca="1" si="13"/>
        <v>-35</v>
      </c>
      <c r="V288" s="14" t="str" cm="1">
        <f t="array" aca="1" ref="V288" ca="1">_xlfn.IFS(Table1[[#This Row],[Agreement Days]]&gt;=0,"Expired",Table1[[#This Row],[Agreement Days]]&gt;=-30,"Expires &lt; 30 Days",Table1[[#This Row],[Agreement Days]]&gt;=-60,"Expires &lt; 60 Days",Table1[[#This Row],[Agreement Days]]&lt;-60,"Valid Contract")</f>
        <v>Expires &lt; 60 Days</v>
      </c>
      <c r="W288" s="14" t="s">
        <v>19</v>
      </c>
      <c r="X288" s="14" t="s">
        <v>1146</v>
      </c>
      <c r="Y288" s="14" t="s">
        <v>1147</v>
      </c>
      <c r="Z288" s="17">
        <v>783217769</v>
      </c>
      <c r="AA288" s="17"/>
      <c r="AB288" s="116"/>
      <c r="AC288" s="116"/>
    </row>
    <row r="289" spans="1:29" hidden="1" x14ac:dyDescent="0.3">
      <c r="A289" s="18" t="s">
        <v>1144</v>
      </c>
      <c r="B289" s="18" t="s">
        <v>205</v>
      </c>
      <c r="C289" s="18" t="s">
        <v>1148</v>
      </c>
      <c r="D289" s="14" t="s">
        <v>739</v>
      </c>
      <c r="E289" s="18" t="s">
        <v>9</v>
      </c>
      <c r="F289" s="14" t="s">
        <v>517</v>
      </c>
      <c r="G289" s="14" t="s">
        <v>518</v>
      </c>
      <c r="H289" s="18" t="s">
        <v>5</v>
      </c>
      <c r="I289" s="14" t="s">
        <v>115</v>
      </c>
      <c r="J289" s="14"/>
      <c r="K289" s="18" t="s">
        <v>573</v>
      </c>
      <c r="L289" s="14"/>
      <c r="M289" s="14">
        <v>1</v>
      </c>
      <c r="N289" s="15">
        <v>19491.53</v>
      </c>
      <c r="O289" s="15">
        <f t="shared" si="12"/>
        <v>19491.53</v>
      </c>
      <c r="P289" s="15"/>
      <c r="Q289" s="14" t="s">
        <v>520</v>
      </c>
      <c r="R289" s="25">
        <v>45168</v>
      </c>
      <c r="S289" s="22" t="str">
        <f>TEXT(Table1[[#This Row],[End Date]],"MMMM")</f>
        <v>August</v>
      </c>
      <c r="T289" s="23" t="str">
        <f>TEXT(Table1[[#This Row],[End Date]],"YYYY")</f>
        <v>2023</v>
      </c>
      <c r="U289" s="24">
        <f t="shared" ca="1" si="13"/>
        <v>-35</v>
      </c>
      <c r="V289" s="14" t="str" cm="1">
        <f t="array" aca="1" ref="V289" ca="1">_xlfn.IFS(Table1[[#This Row],[Agreement Days]]&gt;=0,"Expired",Table1[[#This Row],[Agreement Days]]&gt;=-30,"Expires &lt; 30 Days",Table1[[#This Row],[Agreement Days]]&gt;=-60,"Expires &lt; 60 Days",Table1[[#This Row],[Agreement Days]]&lt;-60,"Valid Contract")</f>
        <v>Expires &lt; 60 Days</v>
      </c>
      <c r="W289" s="14" t="s">
        <v>19</v>
      </c>
      <c r="X289" s="14" t="s">
        <v>1146</v>
      </c>
      <c r="Y289" s="14" t="s">
        <v>1147</v>
      </c>
      <c r="Z289" s="17">
        <v>783217769</v>
      </c>
      <c r="AA289" s="17"/>
      <c r="AB289" s="116"/>
      <c r="AC289" s="116"/>
    </row>
    <row r="290" spans="1:29" hidden="1" x14ac:dyDescent="0.3">
      <c r="A290" s="18" t="s">
        <v>1144</v>
      </c>
      <c r="B290" s="18" t="s">
        <v>205</v>
      </c>
      <c r="C290" s="18" t="s">
        <v>1148</v>
      </c>
      <c r="D290" s="14" t="s">
        <v>739</v>
      </c>
      <c r="E290" s="18" t="s">
        <v>9</v>
      </c>
      <c r="F290" s="14" t="s">
        <v>517</v>
      </c>
      <c r="G290" s="14" t="s">
        <v>518</v>
      </c>
      <c r="H290" s="18" t="s">
        <v>5</v>
      </c>
      <c r="I290" s="14" t="s">
        <v>115</v>
      </c>
      <c r="J290" s="14"/>
      <c r="K290" s="18" t="s">
        <v>573</v>
      </c>
      <c r="L290" s="14"/>
      <c r="M290" s="14">
        <v>1</v>
      </c>
      <c r="N290" s="15">
        <v>19491.53</v>
      </c>
      <c r="O290" s="15">
        <f t="shared" si="12"/>
        <v>19491.53</v>
      </c>
      <c r="P290" s="15"/>
      <c r="Q290" s="14" t="s">
        <v>520</v>
      </c>
      <c r="R290" s="25">
        <v>45168</v>
      </c>
      <c r="S290" s="22" t="str">
        <f>TEXT(Table1[[#This Row],[End Date]],"MMMM")</f>
        <v>August</v>
      </c>
      <c r="T290" s="23" t="str">
        <f>TEXT(Table1[[#This Row],[End Date]],"YYYY")</f>
        <v>2023</v>
      </c>
      <c r="U290" s="24">
        <f t="shared" ca="1" si="13"/>
        <v>-35</v>
      </c>
      <c r="V290" s="14" t="str" cm="1">
        <f t="array" aca="1" ref="V290" ca="1">_xlfn.IFS(Table1[[#This Row],[Agreement Days]]&gt;=0,"Expired",Table1[[#This Row],[Agreement Days]]&gt;=-30,"Expires &lt; 30 Days",Table1[[#This Row],[Agreement Days]]&gt;=-60,"Expires &lt; 60 Days",Table1[[#This Row],[Agreement Days]]&lt;-60,"Valid Contract")</f>
        <v>Expires &lt; 60 Days</v>
      </c>
      <c r="W290" s="14" t="s">
        <v>19</v>
      </c>
      <c r="X290" s="14" t="s">
        <v>1146</v>
      </c>
      <c r="Y290" s="14" t="s">
        <v>1147</v>
      </c>
      <c r="Z290" s="17">
        <v>783217769</v>
      </c>
      <c r="AA290" s="17"/>
      <c r="AB290" s="116"/>
      <c r="AC290" s="116"/>
    </row>
    <row r="291" spans="1:29" hidden="1" x14ac:dyDescent="0.3">
      <c r="A291" s="18" t="s">
        <v>1144</v>
      </c>
      <c r="B291" s="18" t="s">
        <v>205</v>
      </c>
      <c r="C291" s="18" t="s">
        <v>1148</v>
      </c>
      <c r="D291" s="14" t="s">
        <v>739</v>
      </c>
      <c r="E291" s="18" t="s">
        <v>9</v>
      </c>
      <c r="F291" s="14" t="s">
        <v>517</v>
      </c>
      <c r="G291" s="14" t="s">
        <v>518</v>
      </c>
      <c r="H291" s="18" t="s">
        <v>5</v>
      </c>
      <c r="I291" s="14" t="s">
        <v>115</v>
      </c>
      <c r="J291" s="14"/>
      <c r="K291" s="18" t="s">
        <v>573</v>
      </c>
      <c r="L291" s="14"/>
      <c r="M291" s="14">
        <v>3</v>
      </c>
      <c r="N291" s="15">
        <v>19491.53</v>
      </c>
      <c r="O291" s="15">
        <f t="shared" si="12"/>
        <v>58474.59</v>
      </c>
      <c r="P291" s="15"/>
      <c r="Q291" s="14" t="s">
        <v>520</v>
      </c>
      <c r="R291" s="25">
        <v>45168</v>
      </c>
      <c r="S291" s="22" t="str">
        <f>TEXT(Table1[[#This Row],[End Date]],"MMMM")</f>
        <v>August</v>
      </c>
      <c r="T291" s="23" t="str">
        <f>TEXT(Table1[[#This Row],[End Date]],"YYYY")</f>
        <v>2023</v>
      </c>
      <c r="U291" s="24">
        <f t="shared" ca="1" si="13"/>
        <v>-35</v>
      </c>
      <c r="V291" s="14" t="str" cm="1">
        <f t="array" aca="1" ref="V291" ca="1">_xlfn.IFS(Table1[[#This Row],[Agreement Days]]&gt;=0,"Expired",Table1[[#This Row],[Agreement Days]]&gt;=-30,"Expires &lt; 30 Days",Table1[[#This Row],[Agreement Days]]&gt;=-60,"Expires &lt; 60 Days",Table1[[#This Row],[Agreement Days]]&lt;-60,"Valid Contract")</f>
        <v>Expires &lt; 60 Days</v>
      </c>
      <c r="W291" s="14" t="s">
        <v>19</v>
      </c>
      <c r="X291" s="14" t="s">
        <v>1146</v>
      </c>
      <c r="Y291" s="14" t="s">
        <v>1147</v>
      </c>
      <c r="Z291" s="17">
        <v>783217769</v>
      </c>
      <c r="AA291" s="17"/>
      <c r="AB291" s="116"/>
      <c r="AC291" s="116"/>
    </row>
    <row r="292" spans="1:29" hidden="1" x14ac:dyDescent="0.3">
      <c r="A292" s="18" t="s">
        <v>1144</v>
      </c>
      <c r="B292" s="18" t="s">
        <v>205</v>
      </c>
      <c r="C292" s="18" t="s">
        <v>1148</v>
      </c>
      <c r="D292" s="14" t="s">
        <v>739</v>
      </c>
      <c r="E292" s="18" t="s">
        <v>9</v>
      </c>
      <c r="F292" s="14" t="s">
        <v>517</v>
      </c>
      <c r="G292" s="14" t="s">
        <v>518</v>
      </c>
      <c r="H292" s="18" t="s">
        <v>5</v>
      </c>
      <c r="I292" s="14" t="s">
        <v>115</v>
      </c>
      <c r="J292" s="14"/>
      <c r="K292" s="18" t="s">
        <v>573</v>
      </c>
      <c r="L292" s="14"/>
      <c r="M292" s="14">
        <v>4</v>
      </c>
      <c r="N292" s="15">
        <v>19491.53</v>
      </c>
      <c r="O292" s="15">
        <f t="shared" si="12"/>
        <v>77966.12</v>
      </c>
      <c r="P292" s="15"/>
      <c r="Q292" s="14" t="s">
        <v>520</v>
      </c>
      <c r="R292" s="25">
        <v>45168</v>
      </c>
      <c r="S292" s="22" t="str">
        <f>TEXT(Table1[[#This Row],[End Date]],"MMMM")</f>
        <v>August</v>
      </c>
      <c r="T292" s="23" t="str">
        <f>TEXT(Table1[[#This Row],[End Date]],"YYYY")</f>
        <v>2023</v>
      </c>
      <c r="U292" s="24">
        <f t="shared" ca="1" si="13"/>
        <v>-35</v>
      </c>
      <c r="V292" s="14" t="str" cm="1">
        <f t="array" aca="1" ref="V292" ca="1">_xlfn.IFS(Table1[[#This Row],[Agreement Days]]&gt;=0,"Expired",Table1[[#This Row],[Agreement Days]]&gt;=-30,"Expires &lt; 30 Days",Table1[[#This Row],[Agreement Days]]&gt;=-60,"Expires &lt; 60 Days",Table1[[#This Row],[Agreement Days]]&lt;-60,"Valid Contract")</f>
        <v>Expires &lt; 60 Days</v>
      </c>
      <c r="W292" s="14" t="s">
        <v>19</v>
      </c>
      <c r="X292" s="14" t="s">
        <v>1146</v>
      </c>
      <c r="Y292" s="14" t="s">
        <v>1147</v>
      </c>
      <c r="Z292" s="17">
        <v>783217769</v>
      </c>
      <c r="AA292" s="17"/>
      <c r="AB292" s="116"/>
      <c r="AC292" s="116"/>
    </row>
    <row r="293" spans="1:29" hidden="1" x14ac:dyDescent="0.3">
      <c r="A293" s="18" t="s">
        <v>1144</v>
      </c>
      <c r="B293" s="18" t="s">
        <v>205</v>
      </c>
      <c r="C293" s="18" t="s">
        <v>1148</v>
      </c>
      <c r="D293" s="14" t="s">
        <v>739</v>
      </c>
      <c r="E293" s="18" t="s">
        <v>9</v>
      </c>
      <c r="F293" s="14" t="s">
        <v>517</v>
      </c>
      <c r="G293" s="14" t="s">
        <v>518</v>
      </c>
      <c r="H293" s="18" t="s">
        <v>5</v>
      </c>
      <c r="I293" s="14" t="s">
        <v>115</v>
      </c>
      <c r="J293" s="14"/>
      <c r="K293" s="18" t="s">
        <v>573</v>
      </c>
      <c r="L293" s="14"/>
      <c r="M293" s="14">
        <v>4</v>
      </c>
      <c r="N293" s="15">
        <v>19491.53</v>
      </c>
      <c r="O293" s="15">
        <f t="shared" si="12"/>
        <v>77966.12</v>
      </c>
      <c r="P293" s="15"/>
      <c r="Q293" s="14" t="s">
        <v>520</v>
      </c>
      <c r="R293" s="25">
        <v>45168</v>
      </c>
      <c r="S293" s="22" t="str">
        <f>TEXT(Table1[[#This Row],[End Date]],"MMMM")</f>
        <v>August</v>
      </c>
      <c r="T293" s="23" t="str">
        <f>TEXT(Table1[[#This Row],[End Date]],"YYYY")</f>
        <v>2023</v>
      </c>
      <c r="U293" s="24">
        <f t="shared" ca="1" si="13"/>
        <v>-35</v>
      </c>
      <c r="V293" s="14" t="str" cm="1">
        <f t="array" aca="1" ref="V293" ca="1">_xlfn.IFS(Table1[[#This Row],[Agreement Days]]&gt;=0,"Expired",Table1[[#This Row],[Agreement Days]]&gt;=-30,"Expires &lt; 30 Days",Table1[[#This Row],[Agreement Days]]&gt;=-60,"Expires &lt; 60 Days",Table1[[#This Row],[Agreement Days]]&lt;-60,"Valid Contract")</f>
        <v>Expires &lt; 60 Days</v>
      </c>
      <c r="W293" s="14" t="s">
        <v>19</v>
      </c>
      <c r="X293" s="14" t="s">
        <v>1146</v>
      </c>
      <c r="Y293" s="14" t="s">
        <v>1147</v>
      </c>
      <c r="Z293" s="17">
        <v>783217769</v>
      </c>
      <c r="AA293" s="17"/>
      <c r="AB293" s="116"/>
      <c r="AC293" s="116"/>
    </row>
    <row r="294" spans="1:29" hidden="1" x14ac:dyDescent="0.3">
      <c r="A294" s="18" t="s">
        <v>1144</v>
      </c>
      <c r="B294" s="18" t="s">
        <v>205</v>
      </c>
      <c r="C294" s="18" t="s">
        <v>1148</v>
      </c>
      <c r="D294" s="14" t="s">
        <v>739</v>
      </c>
      <c r="E294" s="18" t="s">
        <v>9</v>
      </c>
      <c r="F294" s="14" t="s">
        <v>517</v>
      </c>
      <c r="G294" s="14" t="s">
        <v>518</v>
      </c>
      <c r="H294" s="18" t="s">
        <v>5</v>
      </c>
      <c r="I294" s="14" t="s">
        <v>115</v>
      </c>
      <c r="J294" s="14"/>
      <c r="K294" s="18" t="s">
        <v>573</v>
      </c>
      <c r="L294" s="14"/>
      <c r="M294" s="14">
        <v>57</v>
      </c>
      <c r="N294" s="15">
        <v>19491.53</v>
      </c>
      <c r="O294" s="15">
        <f t="shared" si="12"/>
        <v>1111017.21</v>
      </c>
      <c r="P294" s="15"/>
      <c r="Q294" s="14" t="s">
        <v>520</v>
      </c>
      <c r="R294" s="25">
        <v>45168</v>
      </c>
      <c r="S294" s="22" t="str">
        <f>TEXT(Table1[[#This Row],[End Date]],"MMMM")</f>
        <v>August</v>
      </c>
      <c r="T294" s="23" t="str">
        <f>TEXT(Table1[[#This Row],[End Date]],"YYYY")</f>
        <v>2023</v>
      </c>
      <c r="U294" s="24">
        <f t="shared" ca="1" si="13"/>
        <v>-35</v>
      </c>
      <c r="V294" s="14" t="str" cm="1">
        <f t="array" aca="1" ref="V294" ca="1">_xlfn.IFS(Table1[[#This Row],[Agreement Days]]&gt;=0,"Expired",Table1[[#This Row],[Agreement Days]]&gt;=-30,"Expires &lt; 30 Days",Table1[[#This Row],[Agreement Days]]&gt;=-60,"Expires &lt; 60 Days",Table1[[#This Row],[Agreement Days]]&lt;-60,"Valid Contract")</f>
        <v>Expires &lt; 60 Days</v>
      </c>
      <c r="W294" s="14" t="s">
        <v>19</v>
      </c>
      <c r="X294" s="14" t="s">
        <v>1146</v>
      </c>
      <c r="Y294" s="14" t="s">
        <v>1147</v>
      </c>
      <c r="Z294" s="17">
        <v>783217769</v>
      </c>
      <c r="AA294" s="17"/>
      <c r="AB294" s="116"/>
      <c r="AC294" s="116"/>
    </row>
    <row r="295" spans="1:29" hidden="1" x14ac:dyDescent="0.3">
      <c r="A295" s="18" t="s">
        <v>1150</v>
      </c>
      <c r="B295" s="18" t="s">
        <v>215</v>
      </c>
      <c r="C295" s="18" t="s">
        <v>909</v>
      </c>
      <c r="D295" s="14" t="s">
        <v>630</v>
      </c>
      <c r="E295" s="18" t="s">
        <v>9</v>
      </c>
      <c r="F295" s="14" t="s">
        <v>517</v>
      </c>
      <c r="G295" s="14" t="s">
        <v>518</v>
      </c>
      <c r="H295" s="18" t="s">
        <v>5</v>
      </c>
      <c r="I295" s="14" t="s">
        <v>117</v>
      </c>
      <c r="J295" s="14">
        <v>1</v>
      </c>
      <c r="K295" s="14" t="s">
        <v>816</v>
      </c>
      <c r="L295" s="14"/>
      <c r="M295" s="14">
        <v>1</v>
      </c>
      <c r="N295" s="15">
        <v>90000</v>
      </c>
      <c r="O295" s="15">
        <f t="shared" si="12"/>
        <v>90000</v>
      </c>
      <c r="P295" s="15"/>
      <c r="Q295" s="14" t="s">
        <v>520</v>
      </c>
      <c r="R295" s="25">
        <v>45168</v>
      </c>
      <c r="S295" s="22" t="str">
        <f>TEXT(Table1[[#This Row],[End Date]],"MMMM")</f>
        <v>August</v>
      </c>
      <c r="T295" s="23" t="str">
        <f>TEXT(Table1[[#This Row],[End Date]],"YYYY")</f>
        <v>2023</v>
      </c>
      <c r="U295" s="24">
        <f t="shared" ca="1" si="13"/>
        <v>-35</v>
      </c>
      <c r="V295" s="14" t="str" cm="1">
        <f t="array" aca="1" ref="V295" ca="1">_xlfn.IFS(Table1[[#This Row],[Agreement Days]]&gt;=0,"Expired",Table1[[#This Row],[Agreement Days]]&gt;=-30,"Expires &lt; 30 Days",Table1[[#This Row],[Agreement Days]]&gt;=-60,"Expires &lt; 60 Days",Table1[[#This Row],[Agreement Days]]&lt;-60,"Valid Contract")</f>
        <v>Expires &lt; 60 Days</v>
      </c>
      <c r="W295" s="14" t="s">
        <v>19</v>
      </c>
      <c r="X295" s="14" t="s">
        <v>1151</v>
      </c>
      <c r="Y295" s="43" t="s">
        <v>1152</v>
      </c>
      <c r="Z295" s="17">
        <v>788384541</v>
      </c>
      <c r="AA295" s="17"/>
      <c r="AB295" s="116"/>
      <c r="AC295" s="116"/>
    </row>
    <row r="296" spans="1:29" hidden="1" x14ac:dyDescent="0.3">
      <c r="A296" s="18" t="s">
        <v>1150</v>
      </c>
      <c r="B296" s="18" t="s">
        <v>215</v>
      </c>
      <c r="C296" s="18" t="s">
        <v>1145</v>
      </c>
      <c r="D296" s="14" t="s">
        <v>630</v>
      </c>
      <c r="E296" s="18" t="s">
        <v>9</v>
      </c>
      <c r="F296" s="14" t="s">
        <v>517</v>
      </c>
      <c r="G296" s="14" t="s">
        <v>518</v>
      </c>
      <c r="H296" s="18" t="s">
        <v>5</v>
      </c>
      <c r="I296" s="14" t="s">
        <v>117</v>
      </c>
      <c r="J296" s="14">
        <v>3</v>
      </c>
      <c r="K296" s="14" t="s">
        <v>646</v>
      </c>
      <c r="L296" s="14"/>
      <c r="M296" s="14">
        <v>1</v>
      </c>
      <c r="N296" s="15">
        <v>180000</v>
      </c>
      <c r="O296" s="15">
        <f t="shared" si="12"/>
        <v>180000</v>
      </c>
      <c r="P296" s="15"/>
      <c r="Q296" s="14" t="s">
        <v>520</v>
      </c>
      <c r="R296" s="25">
        <v>45168</v>
      </c>
      <c r="S296" s="22" t="str">
        <f>TEXT(Table1[[#This Row],[End Date]],"MMMM")</f>
        <v>August</v>
      </c>
      <c r="T296" s="23" t="str">
        <f>TEXT(Table1[[#This Row],[End Date]],"YYYY")</f>
        <v>2023</v>
      </c>
      <c r="U296" s="24">
        <f t="shared" ca="1" si="13"/>
        <v>-35</v>
      </c>
      <c r="V296" s="14" t="str" cm="1">
        <f t="array" aca="1" ref="V296" ca="1">_xlfn.IFS(Table1[[#This Row],[Agreement Days]]&gt;=0,"Expired",Table1[[#This Row],[Agreement Days]]&gt;=-30,"Expires &lt; 30 Days",Table1[[#This Row],[Agreement Days]]&gt;=-60,"Expires &lt; 60 Days",Table1[[#This Row],[Agreement Days]]&lt;-60,"Valid Contract")</f>
        <v>Expires &lt; 60 Days</v>
      </c>
      <c r="W296" s="14" t="s">
        <v>19</v>
      </c>
      <c r="X296" s="14" t="s">
        <v>1151</v>
      </c>
      <c r="Y296" s="43" t="s">
        <v>1152</v>
      </c>
      <c r="Z296" s="17">
        <v>788384541</v>
      </c>
      <c r="AA296" s="17"/>
      <c r="AB296" s="116"/>
      <c r="AC296" s="116"/>
    </row>
    <row r="297" spans="1:29" hidden="1" x14ac:dyDescent="0.3">
      <c r="A297" s="18" t="s">
        <v>1150</v>
      </c>
      <c r="B297" s="18" t="s">
        <v>215</v>
      </c>
      <c r="C297" s="18" t="s">
        <v>544</v>
      </c>
      <c r="D297" s="14" t="s">
        <v>630</v>
      </c>
      <c r="E297" s="18" t="s">
        <v>9</v>
      </c>
      <c r="F297" s="14" t="s">
        <v>517</v>
      </c>
      <c r="G297" s="14" t="s">
        <v>518</v>
      </c>
      <c r="H297" s="18" t="s">
        <v>5</v>
      </c>
      <c r="I297" s="14" t="s">
        <v>117</v>
      </c>
      <c r="J297" s="14">
        <v>5</v>
      </c>
      <c r="K297" s="14" t="s">
        <v>519</v>
      </c>
      <c r="L297" s="14"/>
      <c r="M297" s="14">
        <v>1</v>
      </c>
      <c r="N297" s="15">
        <v>270000</v>
      </c>
      <c r="O297" s="15">
        <f t="shared" si="12"/>
        <v>270000</v>
      </c>
      <c r="P297" s="15"/>
      <c r="Q297" s="14" t="s">
        <v>520</v>
      </c>
      <c r="R297" s="25">
        <v>45168</v>
      </c>
      <c r="S297" s="22" t="str">
        <f>TEXT(Table1[[#This Row],[End Date]],"MMMM")</f>
        <v>August</v>
      </c>
      <c r="T297" s="23" t="str">
        <f>TEXT(Table1[[#This Row],[End Date]],"YYYY")</f>
        <v>2023</v>
      </c>
      <c r="U297" s="24">
        <f t="shared" ca="1" si="13"/>
        <v>-35</v>
      </c>
      <c r="V297" s="14" t="str" cm="1">
        <f t="array" aca="1" ref="V297" ca="1">_xlfn.IFS(Table1[[#This Row],[Agreement Days]]&gt;=0,"Expired",Table1[[#This Row],[Agreement Days]]&gt;=-30,"Expires &lt; 30 Days",Table1[[#This Row],[Agreement Days]]&gt;=-60,"Expires &lt; 60 Days",Table1[[#This Row],[Agreement Days]]&lt;-60,"Valid Contract")</f>
        <v>Expires &lt; 60 Days</v>
      </c>
      <c r="W297" s="14" t="s">
        <v>19</v>
      </c>
      <c r="X297" s="14" t="s">
        <v>1151</v>
      </c>
      <c r="Y297" s="43" t="s">
        <v>1152</v>
      </c>
      <c r="Z297" s="17">
        <v>788384541</v>
      </c>
      <c r="AA297" s="17"/>
      <c r="AB297" s="116"/>
      <c r="AC297" s="116"/>
    </row>
    <row r="298" spans="1:29" hidden="1" x14ac:dyDescent="0.3">
      <c r="A298" s="18" t="s">
        <v>1150</v>
      </c>
      <c r="B298" s="18" t="s">
        <v>215</v>
      </c>
      <c r="C298" s="18" t="s">
        <v>215</v>
      </c>
      <c r="D298" s="14" t="s">
        <v>630</v>
      </c>
      <c r="E298" s="18" t="s">
        <v>9</v>
      </c>
      <c r="F298" s="14" t="s">
        <v>517</v>
      </c>
      <c r="G298" s="14" t="s">
        <v>518</v>
      </c>
      <c r="H298" s="18" t="s">
        <v>5</v>
      </c>
      <c r="I298" s="14" t="s">
        <v>117</v>
      </c>
      <c r="J298" s="14">
        <v>5</v>
      </c>
      <c r="K298" s="14" t="s">
        <v>519</v>
      </c>
      <c r="L298" s="14"/>
      <c r="M298" s="14">
        <v>1</v>
      </c>
      <c r="N298" s="15">
        <v>270000</v>
      </c>
      <c r="O298" s="15">
        <f t="shared" si="12"/>
        <v>270000</v>
      </c>
      <c r="P298" s="15"/>
      <c r="Q298" s="14" t="s">
        <v>520</v>
      </c>
      <c r="R298" s="25">
        <v>45168</v>
      </c>
      <c r="S298" s="22" t="str">
        <f>TEXT(Table1[[#This Row],[End Date]],"MMMM")</f>
        <v>August</v>
      </c>
      <c r="T298" s="23" t="str">
        <f>TEXT(Table1[[#This Row],[End Date]],"YYYY")</f>
        <v>2023</v>
      </c>
      <c r="U298" s="24">
        <f t="shared" ca="1" si="13"/>
        <v>-35</v>
      </c>
      <c r="V298" s="14" t="str" cm="1">
        <f t="array" aca="1" ref="V298" ca="1">_xlfn.IFS(Table1[[#This Row],[Agreement Days]]&gt;=0,"Expired",Table1[[#This Row],[Agreement Days]]&gt;=-30,"Expires &lt; 30 Days",Table1[[#This Row],[Agreement Days]]&gt;=-60,"Expires &lt; 60 Days",Table1[[#This Row],[Agreement Days]]&lt;-60,"Valid Contract")</f>
        <v>Expires &lt; 60 Days</v>
      </c>
      <c r="W298" s="14" t="s">
        <v>19</v>
      </c>
      <c r="X298" s="14" t="s">
        <v>1151</v>
      </c>
      <c r="Y298" s="43" t="s">
        <v>1152</v>
      </c>
      <c r="Z298" s="17">
        <v>788384541</v>
      </c>
      <c r="AA298" s="17"/>
      <c r="AB298" s="116"/>
      <c r="AC298" s="116"/>
    </row>
    <row r="299" spans="1:29" hidden="1" x14ac:dyDescent="0.3">
      <c r="A299" s="18" t="s">
        <v>1150</v>
      </c>
      <c r="B299" s="18" t="s">
        <v>215</v>
      </c>
      <c r="C299" s="18" t="s">
        <v>909</v>
      </c>
      <c r="D299" s="14" t="s">
        <v>630</v>
      </c>
      <c r="E299" s="18" t="s">
        <v>9</v>
      </c>
      <c r="F299" s="14" t="s">
        <v>517</v>
      </c>
      <c r="G299" s="14" t="s">
        <v>518</v>
      </c>
      <c r="H299" s="18" t="s">
        <v>2</v>
      </c>
      <c r="I299" s="14" t="s">
        <v>120</v>
      </c>
      <c r="J299" s="14"/>
      <c r="K299" s="14" t="s">
        <v>649</v>
      </c>
      <c r="L299" s="14"/>
      <c r="M299" s="14">
        <v>1</v>
      </c>
      <c r="N299" s="15">
        <v>258044.92</v>
      </c>
      <c r="O299" s="15">
        <f t="shared" si="12"/>
        <v>258044.92</v>
      </c>
      <c r="P299" s="15"/>
      <c r="Q299" s="14" t="s">
        <v>520</v>
      </c>
      <c r="R299" s="25">
        <v>45168</v>
      </c>
      <c r="S299" s="22" t="str">
        <f>TEXT(Table1[[#This Row],[End Date]],"MMMM")</f>
        <v>August</v>
      </c>
      <c r="T299" s="23" t="str">
        <f>TEXT(Table1[[#This Row],[End Date]],"YYYY")</f>
        <v>2023</v>
      </c>
      <c r="U299" s="24">
        <f t="shared" ca="1" si="13"/>
        <v>-35</v>
      </c>
      <c r="V299" s="14" t="str" cm="1">
        <f t="array" aca="1" ref="V299" ca="1">_xlfn.IFS(Table1[[#This Row],[Agreement Days]]&gt;=0,"Expired",Table1[[#This Row],[Agreement Days]]&gt;=-30,"Expires &lt; 30 Days",Table1[[#This Row],[Agreement Days]]&gt;=-60,"Expires &lt; 60 Days",Table1[[#This Row],[Agreement Days]]&lt;-60,"Valid Contract")</f>
        <v>Expires &lt; 60 Days</v>
      </c>
      <c r="W299" s="14" t="s">
        <v>19</v>
      </c>
      <c r="X299" s="14" t="s">
        <v>1151</v>
      </c>
      <c r="Y299" s="43" t="s">
        <v>1152</v>
      </c>
      <c r="Z299" s="17">
        <v>788384541</v>
      </c>
      <c r="AA299" s="17"/>
      <c r="AB299" s="116"/>
      <c r="AC299" s="116"/>
    </row>
    <row r="300" spans="1:29" hidden="1" x14ac:dyDescent="0.3">
      <c r="A300" s="18" t="s">
        <v>1150</v>
      </c>
      <c r="B300" s="18" t="s">
        <v>215</v>
      </c>
      <c r="C300" s="18" t="s">
        <v>909</v>
      </c>
      <c r="D300" s="14" t="s">
        <v>630</v>
      </c>
      <c r="E300" s="18" t="s">
        <v>9</v>
      </c>
      <c r="F300" s="14" t="s">
        <v>517</v>
      </c>
      <c r="G300" s="14" t="s">
        <v>518</v>
      </c>
      <c r="H300" s="18" t="s">
        <v>5</v>
      </c>
      <c r="I300" s="14" t="s">
        <v>115</v>
      </c>
      <c r="J300" s="14"/>
      <c r="K300" s="18" t="s">
        <v>651</v>
      </c>
      <c r="L300" s="14"/>
      <c r="M300" s="14">
        <v>9</v>
      </c>
      <c r="N300" s="15">
        <f>96000/1.18</f>
        <v>81355.932203389835</v>
      </c>
      <c r="O300" s="15">
        <f t="shared" si="12"/>
        <v>732203.3898305085</v>
      </c>
      <c r="P300" s="15"/>
      <c r="Q300" s="14" t="s">
        <v>520</v>
      </c>
      <c r="R300" s="25">
        <v>45168</v>
      </c>
      <c r="S300" s="22" t="str">
        <f>TEXT(Table1[[#This Row],[End Date]],"MMMM")</f>
        <v>August</v>
      </c>
      <c r="T300" s="23" t="str">
        <f>TEXT(Table1[[#This Row],[End Date]],"YYYY")</f>
        <v>2023</v>
      </c>
      <c r="U300" s="24">
        <f t="shared" ca="1" si="13"/>
        <v>-35</v>
      </c>
      <c r="V300" s="14" t="str" cm="1">
        <f t="array" aca="1" ref="V300" ca="1">_xlfn.IFS(Table1[[#This Row],[Agreement Days]]&gt;=0,"Expired",Table1[[#This Row],[Agreement Days]]&gt;=-30,"Expires &lt; 30 Days",Table1[[#This Row],[Agreement Days]]&gt;=-60,"Expires &lt; 60 Days",Table1[[#This Row],[Agreement Days]]&lt;-60,"Valid Contract")</f>
        <v>Expires &lt; 60 Days</v>
      </c>
      <c r="W300" s="14" t="s">
        <v>19</v>
      </c>
      <c r="X300" s="14" t="s">
        <v>1151</v>
      </c>
      <c r="Y300" s="43" t="s">
        <v>1152</v>
      </c>
      <c r="Z300" s="17">
        <v>788384541</v>
      </c>
      <c r="AA300" s="17"/>
      <c r="AB300" s="116"/>
      <c r="AC300" s="116"/>
    </row>
    <row r="301" spans="1:29" hidden="1" x14ac:dyDescent="0.3">
      <c r="A301" s="18" t="s">
        <v>1150</v>
      </c>
      <c r="B301" s="18" t="s">
        <v>215</v>
      </c>
      <c r="C301" s="18" t="s">
        <v>909</v>
      </c>
      <c r="D301" s="14" t="s">
        <v>630</v>
      </c>
      <c r="E301" s="18" t="s">
        <v>9</v>
      </c>
      <c r="F301" s="14" t="s">
        <v>517</v>
      </c>
      <c r="G301" s="14" t="s">
        <v>518</v>
      </c>
      <c r="H301" s="18" t="s">
        <v>5</v>
      </c>
      <c r="I301" s="14" t="s">
        <v>115</v>
      </c>
      <c r="J301" s="14"/>
      <c r="K301" s="18" t="s">
        <v>573</v>
      </c>
      <c r="L301" s="14"/>
      <c r="M301" s="14">
        <v>40</v>
      </c>
      <c r="N301" s="15">
        <v>19491.53</v>
      </c>
      <c r="O301" s="15">
        <f t="shared" si="12"/>
        <v>779661.2</v>
      </c>
      <c r="P301" s="15"/>
      <c r="Q301" s="14" t="s">
        <v>520</v>
      </c>
      <c r="R301" s="25">
        <v>45168</v>
      </c>
      <c r="S301" s="22" t="str">
        <f>TEXT(Table1[[#This Row],[End Date]],"MMMM")</f>
        <v>August</v>
      </c>
      <c r="T301" s="23" t="str">
        <f>TEXT(Table1[[#This Row],[End Date]],"YYYY")</f>
        <v>2023</v>
      </c>
      <c r="U301" s="24">
        <f t="shared" ca="1" si="13"/>
        <v>-35</v>
      </c>
      <c r="V301" s="14" t="str" cm="1">
        <f t="array" aca="1" ref="V301" ca="1">_xlfn.IFS(Table1[[#This Row],[Agreement Days]]&gt;=0,"Expired",Table1[[#This Row],[Agreement Days]]&gt;=-30,"Expires &lt; 30 Days",Table1[[#This Row],[Agreement Days]]&gt;=-60,"Expires &lt; 60 Days",Table1[[#This Row],[Agreement Days]]&lt;-60,"Valid Contract")</f>
        <v>Expires &lt; 60 Days</v>
      </c>
      <c r="W301" s="14" t="s">
        <v>19</v>
      </c>
      <c r="X301" s="14" t="s">
        <v>1151</v>
      </c>
      <c r="Y301" s="43" t="s">
        <v>1152</v>
      </c>
      <c r="Z301" s="17">
        <v>788384541</v>
      </c>
      <c r="AA301" s="17"/>
      <c r="AB301" s="116"/>
      <c r="AC301" s="116"/>
    </row>
    <row r="302" spans="1:29" hidden="1" x14ac:dyDescent="0.3">
      <c r="A302" s="18" t="s">
        <v>1150</v>
      </c>
      <c r="B302" s="18" t="s">
        <v>215</v>
      </c>
      <c r="C302" s="18" t="s">
        <v>909</v>
      </c>
      <c r="D302" s="14" t="s">
        <v>630</v>
      </c>
      <c r="E302" s="18" t="s">
        <v>9</v>
      </c>
      <c r="F302" s="14" t="s">
        <v>517</v>
      </c>
      <c r="G302" s="14" t="s">
        <v>518</v>
      </c>
      <c r="H302" s="18" t="s">
        <v>5</v>
      </c>
      <c r="I302" s="14" t="s">
        <v>115</v>
      </c>
      <c r="J302" s="14"/>
      <c r="K302" s="18" t="s">
        <v>643</v>
      </c>
      <c r="L302" s="14"/>
      <c r="M302" s="14">
        <v>2</v>
      </c>
      <c r="N302" s="15">
        <v>19491.53</v>
      </c>
      <c r="O302" s="15">
        <f t="shared" si="12"/>
        <v>38983.06</v>
      </c>
      <c r="P302" s="15"/>
      <c r="Q302" s="14" t="s">
        <v>520</v>
      </c>
      <c r="R302" s="25">
        <v>45168</v>
      </c>
      <c r="S302" s="22" t="str">
        <f>TEXT(Table1[[#This Row],[End Date]],"MMMM")</f>
        <v>August</v>
      </c>
      <c r="T302" s="23" t="str">
        <f>TEXT(Table1[[#This Row],[End Date]],"YYYY")</f>
        <v>2023</v>
      </c>
      <c r="U302" s="24">
        <f t="shared" ca="1" si="13"/>
        <v>-35</v>
      </c>
      <c r="V302" s="14" t="str" cm="1">
        <f t="array" aca="1" ref="V302" ca="1">_xlfn.IFS(Table1[[#This Row],[Agreement Days]]&gt;=0,"Expired",Table1[[#This Row],[Agreement Days]]&gt;=-30,"Expires &lt; 30 Days",Table1[[#This Row],[Agreement Days]]&gt;=-60,"Expires &lt; 60 Days",Table1[[#This Row],[Agreement Days]]&lt;-60,"Valid Contract")</f>
        <v>Expires &lt; 60 Days</v>
      </c>
      <c r="W302" s="14" t="s">
        <v>19</v>
      </c>
      <c r="X302" s="14" t="s">
        <v>1151</v>
      </c>
      <c r="Y302" s="43" t="s">
        <v>1152</v>
      </c>
      <c r="Z302" s="17">
        <v>788384541</v>
      </c>
      <c r="AA302" s="17"/>
      <c r="AB302" s="116"/>
      <c r="AC302" s="116"/>
    </row>
    <row r="303" spans="1:29" hidden="1" x14ac:dyDescent="0.3">
      <c r="A303" s="18" t="s">
        <v>1153</v>
      </c>
      <c r="B303" s="18" t="s">
        <v>188</v>
      </c>
      <c r="C303" s="18" t="s">
        <v>1154</v>
      </c>
      <c r="D303" s="14" t="s">
        <v>653</v>
      </c>
      <c r="E303" s="18" t="s">
        <v>9</v>
      </c>
      <c r="F303" s="14" t="s">
        <v>693</v>
      </c>
      <c r="G303" s="14" t="s">
        <v>518</v>
      </c>
      <c r="H303" s="18" t="s">
        <v>5</v>
      </c>
      <c r="I303" s="14" t="s">
        <v>117</v>
      </c>
      <c r="J303" s="19">
        <v>30</v>
      </c>
      <c r="K303" s="26" t="s">
        <v>694</v>
      </c>
      <c r="L303" s="26"/>
      <c r="M303" s="19">
        <v>1</v>
      </c>
      <c r="N303" s="15">
        <v>1260000</v>
      </c>
      <c r="O303" s="15">
        <f t="shared" si="12"/>
        <v>1260000</v>
      </c>
      <c r="P303" s="15"/>
      <c r="Q303" s="14" t="s">
        <v>520</v>
      </c>
      <c r="R303" s="25">
        <v>45168</v>
      </c>
      <c r="S303" s="34" t="str">
        <f>TEXT(Table1[[#This Row],[End Date]],"MMMM")</f>
        <v>August</v>
      </c>
      <c r="T303" s="34" t="str">
        <f>TEXT(Table1[[#This Row],[End Date]],"YYYY")</f>
        <v>2023</v>
      </c>
      <c r="U303" s="24">
        <f t="shared" ca="1" si="13"/>
        <v>-35</v>
      </c>
      <c r="V303" s="14" t="str" cm="1">
        <f t="array" aca="1" ref="V303" ca="1">_xlfn.IFS(Table1[[#This Row],[Agreement Days]]&gt;=0,"Expired",Table1[[#This Row],[Agreement Days]]&gt;=-30,"Expires &lt; 30 Days",Table1[[#This Row],[Agreement Days]]&gt;=-60,"Expires &lt; 60 Days",Table1[[#This Row],[Agreement Days]]&lt;-60,"Valid Contract")</f>
        <v>Expires &lt; 60 Days</v>
      </c>
      <c r="W303" s="26" t="s">
        <v>17</v>
      </c>
      <c r="X303" s="26" t="s">
        <v>1155</v>
      </c>
      <c r="Y303" s="35" t="s">
        <v>1156</v>
      </c>
      <c r="Z303" s="27">
        <v>788426108</v>
      </c>
      <c r="AA303" s="27"/>
      <c r="AB303" s="116"/>
      <c r="AC303" s="116"/>
    </row>
    <row r="304" spans="1:29" hidden="1" x14ac:dyDescent="0.3">
      <c r="A304" s="18" t="s">
        <v>1153</v>
      </c>
      <c r="B304" s="18" t="s">
        <v>188</v>
      </c>
      <c r="C304" s="18" t="s">
        <v>1154</v>
      </c>
      <c r="D304" s="14" t="s">
        <v>653</v>
      </c>
      <c r="E304" s="18" t="s">
        <v>9</v>
      </c>
      <c r="F304" s="14" t="s">
        <v>693</v>
      </c>
      <c r="G304" s="14" t="s">
        <v>518</v>
      </c>
      <c r="H304" s="18" t="s">
        <v>4</v>
      </c>
      <c r="I304" s="14" t="s">
        <v>118</v>
      </c>
      <c r="J304" s="26"/>
      <c r="K304" s="26" t="s">
        <v>650</v>
      </c>
      <c r="L304" s="26"/>
      <c r="M304" s="19">
        <v>1</v>
      </c>
      <c r="N304" s="15">
        <v>369325</v>
      </c>
      <c r="O304" s="15">
        <f t="shared" si="12"/>
        <v>369325</v>
      </c>
      <c r="P304" s="15"/>
      <c r="Q304" s="14" t="s">
        <v>520</v>
      </c>
      <c r="R304" s="25">
        <v>45168</v>
      </c>
      <c r="S304" s="34" t="str">
        <f>TEXT(Table1[[#This Row],[End Date]],"MMMM")</f>
        <v>August</v>
      </c>
      <c r="T304" s="34" t="str">
        <f>TEXT(Table1[[#This Row],[End Date]],"YYYY")</f>
        <v>2023</v>
      </c>
      <c r="U304" s="24">
        <f t="shared" ca="1" si="13"/>
        <v>-35</v>
      </c>
      <c r="V304" s="14" t="str" cm="1">
        <f t="array" aca="1" ref="V304" ca="1">_xlfn.IFS(Table1[[#This Row],[Agreement Days]]&gt;=0,"Expired",Table1[[#This Row],[Agreement Days]]&gt;=-30,"Expires &lt; 30 Days",Table1[[#This Row],[Agreement Days]]&gt;=-60,"Expires &lt; 60 Days",Table1[[#This Row],[Agreement Days]]&lt;-60,"Valid Contract")</f>
        <v>Expires &lt; 60 Days</v>
      </c>
      <c r="W304" s="26" t="s">
        <v>17</v>
      </c>
      <c r="X304" s="26" t="s">
        <v>1155</v>
      </c>
      <c r="Y304" s="35" t="s">
        <v>1156</v>
      </c>
      <c r="Z304" s="27">
        <v>788426108</v>
      </c>
      <c r="AA304" s="27"/>
      <c r="AB304" s="116"/>
      <c r="AC304" s="116"/>
    </row>
    <row r="305" spans="1:29" hidden="1" x14ac:dyDescent="0.3">
      <c r="A305" s="18" t="s">
        <v>1153</v>
      </c>
      <c r="B305" s="18" t="s">
        <v>188</v>
      </c>
      <c r="C305" s="18" t="s">
        <v>1154</v>
      </c>
      <c r="D305" s="14" t="s">
        <v>653</v>
      </c>
      <c r="E305" s="18" t="s">
        <v>9</v>
      </c>
      <c r="F305" s="14" t="s">
        <v>693</v>
      </c>
      <c r="G305" s="14" t="s">
        <v>518</v>
      </c>
      <c r="H305" s="18" t="s">
        <v>5</v>
      </c>
      <c r="I305" s="14" t="s">
        <v>115</v>
      </c>
      <c r="J305" s="26"/>
      <c r="K305" s="18" t="s">
        <v>1157</v>
      </c>
      <c r="L305" s="26"/>
      <c r="M305" s="19">
        <v>29</v>
      </c>
      <c r="N305" s="15">
        <v>45338.98</v>
      </c>
      <c r="O305" s="15">
        <f t="shared" si="12"/>
        <v>1314830.4200000002</v>
      </c>
      <c r="P305" s="15"/>
      <c r="Q305" s="14" t="s">
        <v>520</v>
      </c>
      <c r="R305" s="25">
        <v>45168</v>
      </c>
      <c r="S305" s="34" t="str">
        <f>TEXT(Table1[[#This Row],[End Date]],"MMMM")</f>
        <v>August</v>
      </c>
      <c r="T305" s="34" t="str">
        <f>TEXT(Table1[[#This Row],[End Date]],"YYYY")</f>
        <v>2023</v>
      </c>
      <c r="U305" s="24">
        <f t="shared" ca="1" si="13"/>
        <v>-35</v>
      </c>
      <c r="V305" s="14" t="str" cm="1">
        <f t="array" aca="1" ref="V305" ca="1">_xlfn.IFS(Table1[[#This Row],[Agreement Days]]&gt;=0,"Expired",Table1[[#This Row],[Agreement Days]]&gt;=-30,"Expires &lt; 30 Days",Table1[[#This Row],[Agreement Days]]&gt;=-60,"Expires &lt; 60 Days",Table1[[#This Row],[Agreement Days]]&lt;-60,"Valid Contract")</f>
        <v>Expires &lt; 60 Days</v>
      </c>
      <c r="W305" s="26" t="s">
        <v>17</v>
      </c>
      <c r="X305" s="26" t="s">
        <v>1155</v>
      </c>
      <c r="Y305" s="35" t="s">
        <v>1156</v>
      </c>
      <c r="Z305" s="27">
        <v>788426108</v>
      </c>
      <c r="AA305" s="27"/>
      <c r="AB305" s="116"/>
      <c r="AC305" s="116"/>
    </row>
    <row r="306" spans="1:29" hidden="1" x14ac:dyDescent="0.3">
      <c r="A306" s="18" t="s">
        <v>1153</v>
      </c>
      <c r="B306" s="18" t="s">
        <v>188</v>
      </c>
      <c r="C306" s="18" t="s">
        <v>1154</v>
      </c>
      <c r="D306" s="14" t="s">
        <v>653</v>
      </c>
      <c r="E306" s="18" t="s">
        <v>9</v>
      </c>
      <c r="F306" s="14" t="s">
        <v>693</v>
      </c>
      <c r="G306" s="14" t="s">
        <v>518</v>
      </c>
      <c r="H306" s="18" t="s">
        <v>5</v>
      </c>
      <c r="I306" s="14" t="s">
        <v>115</v>
      </c>
      <c r="J306" s="26"/>
      <c r="K306" s="18" t="s">
        <v>573</v>
      </c>
      <c r="L306" s="26"/>
      <c r="M306" s="19">
        <v>49</v>
      </c>
      <c r="N306" s="15">
        <v>19491.53</v>
      </c>
      <c r="O306" s="15">
        <f t="shared" si="12"/>
        <v>955084.97</v>
      </c>
      <c r="P306" s="15"/>
      <c r="Q306" s="14" t="s">
        <v>520</v>
      </c>
      <c r="R306" s="25">
        <v>45168</v>
      </c>
      <c r="S306" s="34" t="str">
        <f>TEXT(Table1[[#This Row],[End Date]],"MMMM")</f>
        <v>August</v>
      </c>
      <c r="T306" s="23" t="str">
        <f>TEXT(Table1[[#This Row],[End Date]],"YYYY")</f>
        <v>2023</v>
      </c>
      <c r="U306" s="24">
        <f t="shared" ca="1" si="13"/>
        <v>-35</v>
      </c>
      <c r="V306" s="14" t="str" cm="1">
        <f t="array" aca="1" ref="V306" ca="1">_xlfn.IFS(Table1[[#This Row],[Agreement Days]]&gt;=0,"Expired",Table1[[#This Row],[Agreement Days]]&gt;=-30,"Expires &lt; 30 Days",Table1[[#This Row],[Agreement Days]]&gt;=-60,"Expires &lt; 60 Days",Table1[[#This Row],[Agreement Days]]&lt;-60,"Valid Contract")</f>
        <v>Expires &lt; 60 Days</v>
      </c>
      <c r="W306" s="26" t="s">
        <v>17</v>
      </c>
      <c r="X306" s="26" t="s">
        <v>1155</v>
      </c>
      <c r="Y306" s="35" t="s">
        <v>1156</v>
      </c>
      <c r="Z306" s="27">
        <v>788426108</v>
      </c>
      <c r="AA306" s="27"/>
      <c r="AB306" s="116"/>
      <c r="AC306" s="116"/>
    </row>
    <row r="307" spans="1:29" hidden="1" x14ac:dyDescent="0.3">
      <c r="A307" s="18" t="s">
        <v>1153</v>
      </c>
      <c r="B307" s="18" t="s">
        <v>188</v>
      </c>
      <c r="C307" s="18" t="s">
        <v>1154</v>
      </c>
      <c r="D307" s="14" t="s">
        <v>653</v>
      </c>
      <c r="E307" s="18" t="s">
        <v>9</v>
      </c>
      <c r="F307" s="14" t="s">
        <v>693</v>
      </c>
      <c r="G307" s="14" t="s">
        <v>518</v>
      </c>
      <c r="H307" s="18" t="s">
        <v>2</v>
      </c>
      <c r="I307" s="14" t="s">
        <v>120</v>
      </c>
      <c r="J307" s="26"/>
      <c r="K307" s="26" t="s">
        <v>1158</v>
      </c>
      <c r="L307" s="26"/>
      <c r="M307" s="19">
        <v>1</v>
      </c>
      <c r="N307" s="15">
        <v>258045</v>
      </c>
      <c r="O307" s="15">
        <f t="shared" si="12"/>
        <v>258045</v>
      </c>
      <c r="P307" s="15"/>
      <c r="Q307" s="14" t="s">
        <v>520</v>
      </c>
      <c r="R307" s="25">
        <v>45168</v>
      </c>
      <c r="S307" s="34" t="str">
        <f>TEXT(Table1[[#This Row],[End Date]],"MMMM")</f>
        <v>August</v>
      </c>
      <c r="T307" s="34" t="str">
        <f>TEXT(Table1[[#This Row],[End Date]],"YYYY")</f>
        <v>2023</v>
      </c>
      <c r="U307" s="24">
        <f t="shared" ca="1" si="13"/>
        <v>-35</v>
      </c>
      <c r="V307" s="14" t="str" cm="1">
        <f t="array" aca="1" ref="V307" ca="1">_xlfn.IFS(Table1[[#This Row],[Agreement Days]]&gt;=0,"Expired",Table1[[#This Row],[Agreement Days]]&gt;=-30,"Expires &lt; 30 Days",Table1[[#This Row],[Agreement Days]]&gt;=-60,"Expires &lt; 60 Days",Table1[[#This Row],[Agreement Days]]&lt;-60,"Valid Contract")</f>
        <v>Expires &lt; 60 Days</v>
      </c>
      <c r="W307" s="26" t="s">
        <v>17</v>
      </c>
      <c r="X307" s="26" t="s">
        <v>1155</v>
      </c>
      <c r="Y307" s="35" t="s">
        <v>1156</v>
      </c>
      <c r="Z307" s="27">
        <v>788426108</v>
      </c>
      <c r="AA307" s="27"/>
      <c r="AB307" s="116"/>
      <c r="AC307" s="116"/>
    </row>
    <row r="308" spans="1:29" x14ac:dyDescent="0.3">
      <c r="A308" s="18" t="s">
        <v>1079</v>
      </c>
      <c r="B308" s="18" t="s">
        <v>349</v>
      </c>
      <c r="C308" s="18" t="s">
        <v>1159</v>
      </c>
      <c r="D308" s="14" t="s">
        <v>653</v>
      </c>
      <c r="E308" s="18" t="s">
        <v>9</v>
      </c>
      <c r="F308" s="14" t="s">
        <v>517</v>
      </c>
      <c r="G308" s="14" t="s">
        <v>518</v>
      </c>
      <c r="H308" s="18" t="s">
        <v>5</v>
      </c>
      <c r="I308" s="14" t="s">
        <v>117</v>
      </c>
      <c r="J308" s="14">
        <v>10</v>
      </c>
      <c r="K308" s="14" t="s">
        <v>1160</v>
      </c>
      <c r="L308" s="14"/>
      <c r="M308" s="14">
        <v>1</v>
      </c>
      <c r="N308" s="15">
        <f>601800/1.18</f>
        <v>510000</v>
      </c>
      <c r="O308" s="15">
        <f t="shared" si="12"/>
        <v>510000</v>
      </c>
      <c r="P308" s="15"/>
      <c r="Q308" s="14" t="s">
        <v>520</v>
      </c>
      <c r="R308" s="25">
        <v>45169</v>
      </c>
      <c r="S308" s="22" t="str">
        <f>TEXT(Table1[[#This Row],[End Date]],"MMMM")</f>
        <v>August</v>
      </c>
      <c r="T308" s="23" t="str">
        <f>TEXT(Table1[[#This Row],[End Date]],"YYYY")</f>
        <v>2023</v>
      </c>
      <c r="U308" s="24">
        <f t="shared" ca="1" si="13"/>
        <v>-36</v>
      </c>
      <c r="V308" s="14" t="str" cm="1">
        <f t="array" aca="1" ref="V308" ca="1">_xlfn.IFS(Table1[[#This Row],[Agreement Days]]&gt;=0,"Expired",Table1[[#This Row],[Agreement Days]]&gt;=-30,"Expires &lt; 30 Days",Table1[[#This Row],[Agreement Days]]&gt;=-60,"Expires &lt; 60 Days",Table1[[#This Row],[Agreement Days]]&lt;-60,"Valid Contract")</f>
        <v>Expires &lt; 60 Days</v>
      </c>
      <c r="W308" s="14" t="s">
        <v>12</v>
      </c>
      <c r="X308" s="14" t="s">
        <v>1081</v>
      </c>
      <c r="Y308" s="16" t="s">
        <v>1082</v>
      </c>
      <c r="Z308" s="17" t="s">
        <v>1084</v>
      </c>
      <c r="AA308" s="17"/>
      <c r="AB308" s="116"/>
      <c r="AC308" s="116"/>
    </row>
    <row r="309" spans="1:29" hidden="1" x14ac:dyDescent="0.3">
      <c r="A309" s="18" t="s">
        <v>1161</v>
      </c>
      <c r="B309" s="18" t="s">
        <v>245</v>
      </c>
      <c r="C309" s="18" t="s">
        <v>544</v>
      </c>
      <c r="D309" s="14" t="s">
        <v>545</v>
      </c>
      <c r="E309" s="18" t="s">
        <v>9</v>
      </c>
      <c r="F309" s="14" t="s">
        <v>693</v>
      </c>
      <c r="G309" s="14" t="s">
        <v>518</v>
      </c>
      <c r="H309" s="18" t="s">
        <v>2</v>
      </c>
      <c r="I309" s="14" t="s">
        <v>117</v>
      </c>
      <c r="J309" s="19">
        <v>30</v>
      </c>
      <c r="K309" s="26" t="s">
        <v>1162</v>
      </c>
      <c r="L309" s="26"/>
      <c r="M309" s="19">
        <v>1</v>
      </c>
      <c r="N309" s="15">
        <v>1260000</v>
      </c>
      <c r="O309" s="15">
        <f t="shared" si="12"/>
        <v>1260000</v>
      </c>
      <c r="P309" s="15"/>
      <c r="Q309" s="14" t="s">
        <v>520</v>
      </c>
      <c r="R309" s="25">
        <v>45169</v>
      </c>
      <c r="S309" s="34" t="str">
        <f>TEXT(Table1[[#This Row],[End Date]],"MMMM")</f>
        <v>August</v>
      </c>
      <c r="T309" s="34" t="str">
        <f>TEXT(Table1[[#This Row],[End Date]],"YYYY")</f>
        <v>2023</v>
      </c>
      <c r="U309" s="24">
        <f t="shared" ca="1" si="13"/>
        <v>-36</v>
      </c>
      <c r="V309" s="14" t="str" cm="1">
        <f t="array" aca="1" ref="V309" ca="1">_xlfn.IFS(Table1[[#This Row],[Agreement Days]]&gt;=0,"Expired",Table1[[#This Row],[Agreement Days]]&gt;=-30,"Expires &lt; 30 Days",Table1[[#This Row],[Agreement Days]]&gt;=-60,"Expires &lt; 60 Days",Table1[[#This Row],[Agreement Days]]&lt;-60,"Valid Contract")</f>
        <v>Expires &lt; 60 Days</v>
      </c>
      <c r="W309" s="26" t="s">
        <v>17</v>
      </c>
      <c r="X309" s="26" t="s">
        <v>1163</v>
      </c>
      <c r="Y309" s="18" t="s">
        <v>1164</v>
      </c>
      <c r="Z309" s="27">
        <v>788807096</v>
      </c>
      <c r="AA309" s="27"/>
      <c r="AB309" s="116"/>
      <c r="AC309" s="116"/>
    </row>
    <row r="310" spans="1:29" hidden="1" x14ac:dyDescent="0.3">
      <c r="A310" s="18" t="s">
        <v>1161</v>
      </c>
      <c r="B310" s="18" t="s">
        <v>245</v>
      </c>
      <c r="C310" s="18" t="s">
        <v>544</v>
      </c>
      <c r="D310" s="14" t="s">
        <v>545</v>
      </c>
      <c r="E310" s="18" t="s">
        <v>9</v>
      </c>
      <c r="F310" s="14" t="s">
        <v>693</v>
      </c>
      <c r="G310" s="14" t="s">
        <v>518</v>
      </c>
      <c r="H310" s="18" t="s">
        <v>5</v>
      </c>
      <c r="I310" s="14" t="s">
        <v>115</v>
      </c>
      <c r="J310" s="26"/>
      <c r="K310" s="18" t="s">
        <v>573</v>
      </c>
      <c r="L310" s="26"/>
      <c r="M310" s="19">
        <v>16</v>
      </c>
      <c r="N310" s="15">
        <v>19491.53</v>
      </c>
      <c r="O310" s="15">
        <f t="shared" si="12"/>
        <v>311864.48</v>
      </c>
      <c r="P310" s="15"/>
      <c r="Q310" s="14" t="s">
        <v>520</v>
      </c>
      <c r="R310" s="25">
        <v>45169</v>
      </c>
      <c r="S310" s="34" t="str">
        <f>TEXT(Table1[[#This Row],[End Date]],"MMMM")</f>
        <v>August</v>
      </c>
      <c r="T310" s="23" t="str">
        <f>TEXT(Table1[[#This Row],[End Date]],"YYYY")</f>
        <v>2023</v>
      </c>
      <c r="U310" s="24">
        <f t="shared" ca="1" si="13"/>
        <v>-36</v>
      </c>
      <c r="V310" s="14" t="str" cm="1">
        <f t="array" aca="1" ref="V310" ca="1">_xlfn.IFS(Table1[[#This Row],[Agreement Days]]&gt;=0,"Expired",Table1[[#This Row],[Agreement Days]]&gt;=-30,"Expires &lt; 30 Days",Table1[[#This Row],[Agreement Days]]&gt;=-60,"Expires &lt; 60 Days",Table1[[#This Row],[Agreement Days]]&lt;-60,"Valid Contract")</f>
        <v>Expires &lt; 60 Days</v>
      </c>
      <c r="W310" s="26" t="s">
        <v>17</v>
      </c>
      <c r="X310" s="26" t="s">
        <v>1163</v>
      </c>
      <c r="Y310" s="18" t="s">
        <v>1164</v>
      </c>
      <c r="Z310" s="27">
        <v>788807096</v>
      </c>
      <c r="AA310" s="27"/>
      <c r="AB310" s="116"/>
      <c r="AC310" s="116"/>
    </row>
    <row r="311" spans="1:29" hidden="1" x14ac:dyDescent="0.3">
      <c r="A311" s="18" t="s">
        <v>1165</v>
      </c>
      <c r="B311" s="18" t="s">
        <v>89</v>
      </c>
      <c r="C311" s="18" t="s">
        <v>1166</v>
      </c>
      <c r="D311" s="14" t="s">
        <v>662</v>
      </c>
      <c r="E311" s="18" t="s">
        <v>9</v>
      </c>
      <c r="F311" s="14" t="s">
        <v>631</v>
      </c>
      <c r="G311" s="14" t="s">
        <v>518</v>
      </c>
      <c r="H311" s="18" t="s">
        <v>5</v>
      </c>
      <c r="I311" s="14" t="s">
        <v>117</v>
      </c>
      <c r="J311" s="14">
        <v>3</v>
      </c>
      <c r="K311" s="14" t="s">
        <v>632</v>
      </c>
      <c r="L311" s="14"/>
      <c r="M311" s="14">
        <v>1</v>
      </c>
      <c r="N311" s="15">
        <v>180000</v>
      </c>
      <c r="O311" s="15">
        <f t="shared" si="12"/>
        <v>180000</v>
      </c>
      <c r="P311" s="15"/>
      <c r="Q311" s="14" t="s">
        <v>520</v>
      </c>
      <c r="R311" s="25">
        <v>45169</v>
      </c>
      <c r="S311" s="22" t="str">
        <f>TEXT(Table1[[#This Row],[End Date]],"MMMM")</f>
        <v>August</v>
      </c>
      <c r="T311" s="23" t="str">
        <f>TEXT(Table1[[#This Row],[End Date]],"YYYY")</f>
        <v>2023</v>
      </c>
      <c r="U311" s="24">
        <f t="shared" ca="1" si="13"/>
        <v>-36</v>
      </c>
      <c r="V311" s="14" t="str" cm="1">
        <f t="array" aca="1" ref="V311" ca="1">_xlfn.IFS(Table1[[#This Row],[Agreement Days]]&gt;=0,"Expired",Table1[[#This Row],[Agreement Days]]&gt;=-30,"Expires &lt; 30 Days",Table1[[#This Row],[Agreement Days]]&gt;=-60,"Expires &lt; 60 Days",Table1[[#This Row],[Agreement Days]]&lt;-60,"Valid Contract")</f>
        <v>Expires &lt; 60 Days</v>
      </c>
      <c r="W311" s="14" t="s">
        <v>13</v>
      </c>
      <c r="X311" s="14" t="s">
        <v>1167</v>
      </c>
      <c r="Y311" s="43" t="s">
        <v>1168</v>
      </c>
      <c r="Z311" s="17" t="s">
        <v>1169</v>
      </c>
      <c r="AA311" s="17"/>
      <c r="AB311" s="116"/>
      <c r="AC311" s="116"/>
    </row>
    <row r="312" spans="1:29" x14ac:dyDescent="0.3">
      <c r="A312" s="18" t="s">
        <v>1170</v>
      </c>
      <c r="B312" s="18" t="s">
        <v>184</v>
      </c>
      <c r="C312" s="18" t="s">
        <v>1171</v>
      </c>
      <c r="D312" s="14" t="s">
        <v>545</v>
      </c>
      <c r="E312" s="18" t="s">
        <v>9</v>
      </c>
      <c r="F312" s="14" t="s">
        <v>517</v>
      </c>
      <c r="G312" s="14" t="s">
        <v>518</v>
      </c>
      <c r="H312" s="18" t="s">
        <v>5</v>
      </c>
      <c r="I312" s="14" t="s">
        <v>115</v>
      </c>
      <c r="J312" s="14"/>
      <c r="K312" s="18" t="s">
        <v>643</v>
      </c>
      <c r="L312" s="14"/>
      <c r="M312" s="14">
        <v>9</v>
      </c>
      <c r="N312" s="15">
        <v>28305.084746</v>
      </c>
      <c r="O312" s="15">
        <f>N312*M312</f>
        <v>254745.76271400001</v>
      </c>
      <c r="P312" s="15"/>
      <c r="Q312" s="14" t="s">
        <v>520</v>
      </c>
      <c r="R312" s="25">
        <v>45169</v>
      </c>
      <c r="S312" s="22" t="str">
        <f>TEXT(Table1[[#This Row],[End Date]],"MMMM")</f>
        <v>August</v>
      </c>
      <c r="T312" s="23" t="str">
        <f>TEXT(Table1[[#This Row],[End Date]],"YYYY")</f>
        <v>2023</v>
      </c>
      <c r="U312" s="24">
        <f t="shared" ca="1" si="13"/>
        <v>-36</v>
      </c>
      <c r="V312" s="14" t="str" cm="1">
        <f t="array" aca="1" ref="V312" ca="1">_xlfn.IFS(Table1[[#This Row],[Agreement Days]]&gt;=0,"Expired",Table1[[#This Row],[Agreement Days]]&gt;=-30,"Expires &lt; 30 Days",Table1[[#This Row],[Agreement Days]]&gt;=-60,"Expires &lt; 60 Days",Table1[[#This Row],[Agreement Days]]&lt;-60,"Valid Contract")</f>
        <v>Expires &lt; 60 Days</v>
      </c>
      <c r="W312" s="14" t="s">
        <v>12</v>
      </c>
      <c r="X312" s="14" t="s">
        <v>1172</v>
      </c>
      <c r="Y312" s="16" t="s">
        <v>1173</v>
      </c>
      <c r="Z312" s="17" t="s">
        <v>1174</v>
      </c>
      <c r="AA312" s="17"/>
      <c r="AB312" s="116"/>
      <c r="AC312" s="116"/>
    </row>
    <row r="313" spans="1:29" x14ac:dyDescent="0.3">
      <c r="A313" s="18" t="s">
        <v>1170</v>
      </c>
      <c r="B313" s="18" t="s">
        <v>184</v>
      </c>
      <c r="C313" s="18" t="s">
        <v>1171</v>
      </c>
      <c r="D313" s="14" t="s">
        <v>545</v>
      </c>
      <c r="E313" s="18" t="s">
        <v>9</v>
      </c>
      <c r="F313" s="14" t="s">
        <v>517</v>
      </c>
      <c r="G313" s="14" t="s">
        <v>518</v>
      </c>
      <c r="H313" s="18" t="s">
        <v>5</v>
      </c>
      <c r="I313" s="14" t="s">
        <v>115</v>
      </c>
      <c r="J313" s="14"/>
      <c r="K313" s="14" t="s">
        <v>1175</v>
      </c>
      <c r="L313" s="14"/>
      <c r="M313" s="14">
        <v>58</v>
      </c>
      <c r="N313" s="15">
        <v>26271.186440000001</v>
      </c>
      <c r="O313" s="15">
        <f t="shared" si="12"/>
        <v>1523728.8135200001</v>
      </c>
      <c r="P313" s="15"/>
      <c r="Q313" s="14" t="s">
        <v>520</v>
      </c>
      <c r="R313" s="25">
        <v>45169</v>
      </c>
      <c r="S313" s="22" t="str">
        <f>TEXT(Table1[[#This Row],[End Date]],"MMMM")</f>
        <v>August</v>
      </c>
      <c r="T313" s="23" t="str">
        <f>TEXT(Table1[[#This Row],[End Date]],"YYYY")</f>
        <v>2023</v>
      </c>
      <c r="U313" s="24">
        <f t="shared" ca="1" si="13"/>
        <v>-36</v>
      </c>
      <c r="V313" s="14" t="str" cm="1">
        <f t="array" aca="1" ref="V313" ca="1">_xlfn.IFS(Table1[[#This Row],[Agreement Days]]&gt;=0,"Expired",Table1[[#This Row],[Agreement Days]]&gt;=-30,"Expires &lt; 30 Days",Table1[[#This Row],[Agreement Days]]&gt;=-60,"Expires &lt; 60 Days",Table1[[#This Row],[Agreement Days]]&lt;-60,"Valid Contract")</f>
        <v>Expires &lt; 60 Days</v>
      </c>
      <c r="W313" s="14" t="s">
        <v>12</v>
      </c>
      <c r="X313" s="14" t="s">
        <v>1172</v>
      </c>
      <c r="Y313" s="16" t="s">
        <v>1173</v>
      </c>
      <c r="Z313" s="17" t="s">
        <v>1174</v>
      </c>
      <c r="AA313" s="17"/>
      <c r="AB313" s="116"/>
      <c r="AC313" s="116"/>
    </row>
    <row r="314" spans="1:29" hidden="1" x14ac:dyDescent="0.3">
      <c r="A314" s="18" t="s">
        <v>1176</v>
      </c>
      <c r="B314" s="18" t="s">
        <v>425</v>
      </c>
      <c r="C314" s="18" t="s">
        <v>425</v>
      </c>
      <c r="D314" s="14" t="s">
        <v>545</v>
      </c>
      <c r="E314" s="18" t="s">
        <v>9</v>
      </c>
      <c r="F314" s="14" t="s">
        <v>601</v>
      </c>
      <c r="G314" s="14" t="s">
        <v>546</v>
      </c>
      <c r="H314" s="18" t="s">
        <v>5</v>
      </c>
      <c r="I314" s="14" t="s">
        <v>117</v>
      </c>
      <c r="J314" s="14">
        <v>3</v>
      </c>
      <c r="K314" s="14" t="s">
        <v>632</v>
      </c>
      <c r="L314" s="14"/>
      <c r="M314" s="14">
        <v>1</v>
      </c>
      <c r="N314" s="15">
        <v>180000</v>
      </c>
      <c r="O314" s="15">
        <f t="shared" si="12"/>
        <v>180000</v>
      </c>
      <c r="P314" s="15"/>
      <c r="Q314" s="14" t="s">
        <v>520</v>
      </c>
      <c r="R314" s="25">
        <v>45169</v>
      </c>
      <c r="S314" s="22" t="str">
        <f>TEXT(Table1[[#This Row],[End Date]],"MMMM")</f>
        <v>August</v>
      </c>
      <c r="T314" s="23" t="str">
        <f>TEXT(Table1[[#This Row],[End Date]],"YYYY")</f>
        <v>2023</v>
      </c>
      <c r="U314" s="24">
        <f t="shared" ca="1" si="13"/>
        <v>-36</v>
      </c>
      <c r="V314" s="14" t="str" cm="1">
        <f t="array" aca="1" ref="V314" ca="1">_xlfn.IFS(Table1[[#This Row],[Agreement Days]]&gt;=0,"Expired",Table1[[#This Row],[Agreement Days]]&gt;=-30,"Expires &lt; 30 Days",Table1[[#This Row],[Agreement Days]]&gt;=-60,"Expires &lt; 60 Days",Table1[[#This Row],[Agreement Days]]&lt;-60,"Valid Contract")</f>
        <v>Expires &lt; 60 Days</v>
      </c>
      <c r="W314" s="14" t="s">
        <v>13</v>
      </c>
      <c r="X314" s="14" t="s">
        <v>1177</v>
      </c>
      <c r="Y314" s="16" t="s">
        <v>1178</v>
      </c>
      <c r="Z314" s="17">
        <v>788303512</v>
      </c>
      <c r="AA314" s="17"/>
      <c r="AB314" s="116"/>
      <c r="AC314" s="116"/>
    </row>
    <row r="315" spans="1:29" hidden="1" x14ac:dyDescent="0.3">
      <c r="A315" s="18" t="s">
        <v>1179</v>
      </c>
      <c r="B315" s="18" t="s">
        <v>405</v>
      </c>
      <c r="C315" s="18" t="s">
        <v>544</v>
      </c>
      <c r="D315" s="14" t="s">
        <v>540</v>
      </c>
      <c r="E315" s="18" t="s">
        <v>9</v>
      </c>
      <c r="F315" s="14" t="s">
        <v>517</v>
      </c>
      <c r="G315" s="14" t="s">
        <v>518</v>
      </c>
      <c r="H315" s="18" t="s">
        <v>2</v>
      </c>
      <c r="I315" s="14" t="s">
        <v>126</v>
      </c>
      <c r="J315" s="14">
        <v>5</v>
      </c>
      <c r="K315" s="14" t="s">
        <v>1180</v>
      </c>
      <c r="L315" s="14"/>
      <c r="M315" s="14">
        <v>1</v>
      </c>
      <c r="N315" s="15">
        <v>245000</v>
      </c>
      <c r="O315" s="15">
        <f t="shared" si="12"/>
        <v>245000</v>
      </c>
      <c r="P315" s="15"/>
      <c r="Q315" s="14" t="s">
        <v>520</v>
      </c>
      <c r="R315" s="25">
        <v>45169</v>
      </c>
      <c r="S315" s="22" t="str">
        <f>TEXT(Table1[[#This Row],[End Date]],"MMMM")</f>
        <v>August</v>
      </c>
      <c r="T315" s="23" t="str">
        <f>TEXT(Table1[[#This Row],[End Date]],"YYYY")</f>
        <v>2023</v>
      </c>
      <c r="U315" s="24">
        <f t="shared" ca="1" si="13"/>
        <v>-36</v>
      </c>
      <c r="V315" s="14" t="str" cm="1">
        <f t="array" aca="1" ref="V315" ca="1">_xlfn.IFS(Table1[[#This Row],[Agreement Days]]&gt;=0,"Expired",Table1[[#This Row],[Agreement Days]]&gt;=-30,"Expires &lt; 30 Days",Table1[[#This Row],[Agreement Days]]&gt;=-60,"Expires &lt; 60 Days",Table1[[#This Row],[Agreement Days]]&lt;-60,"Valid Contract")</f>
        <v>Expires &lt; 60 Days</v>
      </c>
      <c r="W315" s="14" t="s">
        <v>19</v>
      </c>
      <c r="X315" s="14" t="s">
        <v>1181</v>
      </c>
      <c r="Y315" s="14" t="s">
        <v>1182</v>
      </c>
      <c r="Z315" s="17">
        <v>788411782</v>
      </c>
      <c r="AA315" s="17" t="s">
        <v>1085</v>
      </c>
      <c r="AB315" s="116"/>
      <c r="AC315" s="116"/>
    </row>
    <row r="316" spans="1:29" hidden="1" x14ac:dyDescent="0.3">
      <c r="A316" s="18" t="s">
        <v>1183</v>
      </c>
      <c r="B316" s="18" t="s">
        <v>424</v>
      </c>
      <c r="C316" s="18" t="s">
        <v>544</v>
      </c>
      <c r="D316" s="14" t="s">
        <v>653</v>
      </c>
      <c r="E316" s="18" t="s">
        <v>9</v>
      </c>
      <c r="F316" s="14" t="s">
        <v>517</v>
      </c>
      <c r="G316" s="14" t="s">
        <v>518</v>
      </c>
      <c r="H316" s="18" t="s">
        <v>5</v>
      </c>
      <c r="I316" s="14" t="s">
        <v>117</v>
      </c>
      <c r="J316" s="19">
        <v>3</v>
      </c>
      <c r="K316" s="14" t="s">
        <v>580</v>
      </c>
      <c r="L316" s="26"/>
      <c r="M316" s="19">
        <v>1</v>
      </c>
      <c r="N316" s="15">
        <v>180000</v>
      </c>
      <c r="O316" s="15">
        <f t="shared" si="12"/>
        <v>180000</v>
      </c>
      <c r="P316" s="15"/>
      <c r="Q316" s="14" t="s">
        <v>520</v>
      </c>
      <c r="R316" s="25">
        <v>45169</v>
      </c>
      <c r="S316" s="34" t="str">
        <f>TEXT(Table1[[#This Row],[End Date]],"MMMM")</f>
        <v>August</v>
      </c>
      <c r="T316" s="34" t="str">
        <f>TEXT(Table1[[#This Row],[End Date]],"YYYY")</f>
        <v>2023</v>
      </c>
      <c r="U316" s="24">
        <f t="shared" ca="1" si="13"/>
        <v>-36</v>
      </c>
      <c r="V316" s="14" t="str" cm="1">
        <f t="array" aca="1" ref="V316" ca="1">_xlfn.IFS(Table1[[#This Row],[Agreement Days]]&gt;=0,"Expired",Table1[[#This Row],[Agreement Days]]&gt;=-30,"Expires &lt; 30 Days",Table1[[#This Row],[Agreement Days]]&gt;=-60,"Expires &lt; 60 Days",Table1[[#This Row],[Agreement Days]]&lt;-60,"Valid Contract")</f>
        <v>Expires &lt; 60 Days</v>
      </c>
      <c r="W316" s="26" t="s">
        <v>17</v>
      </c>
      <c r="X316" s="26" t="s">
        <v>1184</v>
      </c>
      <c r="Y316" s="35" t="s">
        <v>1185</v>
      </c>
      <c r="Z316" s="27">
        <v>788740050</v>
      </c>
      <c r="AA316" s="27"/>
      <c r="AB316" s="116"/>
      <c r="AC316" s="116"/>
    </row>
    <row r="317" spans="1:29" hidden="1" x14ac:dyDescent="0.3">
      <c r="A317" s="18" t="s">
        <v>1139</v>
      </c>
      <c r="B317" s="18" t="s">
        <v>156</v>
      </c>
      <c r="C317" s="18" t="s">
        <v>1186</v>
      </c>
      <c r="D317" s="14" t="s">
        <v>1140</v>
      </c>
      <c r="E317" s="18" t="s">
        <v>9</v>
      </c>
      <c r="F317" s="14" t="s">
        <v>517</v>
      </c>
      <c r="G317" s="14" t="s">
        <v>518</v>
      </c>
      <c r="H317" s="18" t="s">
        <v>5</v>
      </c>
      <c r="I317" s="14" t="s">
        <v>115</v>
      </c>
      <c r="J317" s="14"/>
      <c r="K317" s="18" t="s">
        <v>651</v>
      </c>
      <c r="L317" s="14"/>
      <c r="M317" s="14">
        <v>1</v>
      </c>
      <c r="N317" s="15">
        <f t="shared" ref="N317:N335" si="14">96000/1.18</f>
        <v>81355.932203389835</v>
      </c>
      <c r="O317" s="15">
        <f t="shared" si="12"/>
        <v>81355.932203389835</v>
      </c>
      <c r="P317" s="15"/>
      <c r="Q317" s="14" t="s">
        <v>520</v>
      </c>
      <c r="R317" s="25">
        <v>45171</v>
      </c>
      <c r="S317" s="22" t="str">
        <f>TEXT(Table1[[#This Row],[End Date]],"MMMM")</f>
        <v>September</v>
      </c>
      <c r="T317" s="22" t="str">
        <f>TEXT(Table1[[#This Row],[End Date]],"YYYY")</f>
        <v>2023</v>
      </c>
      <c r="U317" s="24">
        <f t="shared" ca="1" si="13"/>
        <v>-38</v>
      </c>
      <c r="V317" s="14" t="str" cm="1">
        <f t="array" aca="1" ref="V317" ca="1">_xlfn.IFS(Table1[[#This Row],[Agreement Days]]&gt;=0,"Expired",Table1[[#This Row],[Agreement Days]]&gt;=-30,"Expires &lt; 30 Days",Table1[[#This Row],[Agreement Days]]&gt;=-60,"Expires &lt; 60 Days",Table1[[#This Row],[Agreement Days]]&lt;-60,"Valid Contract")</f>
        <v>Expires &lt; 60 Days</v>
      </c>
      <c r="W317" s="14" t="s">
        <v>20</v>
      </c>
      <c r="X317" s="26" t="s">
        <v>1141</v>
      </c>
      <c r="Y317" s="45" t="s">
        <v>1142</v>
      </c>
      <c r="Z317" s="17" t="s">
        <v>1143</v>
      </c>
      <c r="AA317" s="19"/>
      <c r="AB317" s="116"/>
      <c r="AC317" s="116"/>
    </row>
    <row r="318" spans="1:29" hidden="1" x14ac:dyDescent="0.3">
      <c r="A318" s="18" t="s">
        <v>1139</v>
      </c>
      <c r="B318" s="18" t="s">
        <v>156</v>
      </c>
      <c r="C318" s="18" t="s">
        <v>1187</v>
      </c>
      <c r="D318" s="14" t="s">
        <v>1140</v>
      </c>
      <c r="E318" s="18" t="s">
        <v>9</v>
      </c>
      <c r="F318" s="14" t="s">
        <v>517</v>
      </c>
      <c r="G318" s="14" t="s">
        <v>518</v>
      </c>
      <c r="H318" s="18" t="s">
        <v>5</v>
      </c>
      <c r="I318" s="14" t="s">
        <v>115</v>
      </c>
      <c r="J318" s="14"/>
      <c r="K318" s="18" t="s">
        <v>651</v>
      </c>
      <c r="L318" s="14"/>
      <c r="M318" s="14">
        <v>1</v>
      </c>
      <c r="N318" s="15">
        <f t="shared" si="14"/>
        <v>81355.932203389835</v>
      </c>
      <c r="O318" s="15">
        <f t="shared" si="12"/>
        <v>81355.932203389835</v>
      </c>
      <c r="P318" s="15"/>
      <c r="Q318" s="14" t="s">
        <v>520</v>
      </c>
      <c r="R318" s="25">
        <v>45171</v>
      </c>
      <c r="S318" s="22" t="str">
        <f>TEXT(Table1[[#This Row],[End Date]],"MMMM")</f>
        <v>September</v>
      </c>
      <c r="T318" s="22" t="str">
        <f>TEXT(Table1[[#This Row],[End Date]],"YYYY")</f>
        <v>2023</v>
      </c>
      <c r="U318" s="24">
        <f t="shared" ca="1" si="13"/>
        <v>-38</v>
      </c>
      <c r="V318" s="14" t="str" cm="1">
        <f t="array" aca="1" ref="V318" ca="1">_xlfn.IFS(Table1[[#This Row],[Agreement Days]]&gt;=0,"Expired",Table1[[#This Row],[Agreement Days]]&gt;=-30,"Expires &lt; 30 Days",Table1[[#This Row],[Agreement Days]]&gt;=-60,"Expires &lt; 60 Days",Table1[[#This Row],[Agreement Days]]&lt;-60,"Valid Contract")</f>
        <v>Expires &lt; 60 Days</v>
      </c>
      <c r="W318" s="14" t="s">
        <v>20</v>
      </c>
      <c r="X318" s="26" t="s">
        <v>1141</v>
      </c>
      <c r="Y318" s="45" t="s">
        <v>1142</v>
      </c>
      <c r="Z318" s="17" t="s">
        <v>1143</v>
      </c>
      <c r="AA318" s="19"/>
      <c r="AB318" s="116"/>
      <c r="AC318" s="116"/>
    </row>
    <row r="319" spans="1:29" hidden="1" x14ac:dyDescent="0.3">
      <c r="A319" s="18" t="s">
        <v>1139</v>
      </c>
      <c r="B319" s="18" t="s">
        <v>156</v>
      </c>
      <c r="C319" s="18" t="s">
        <v>1188</v>
      </c>
      <c r="D319" s="14" t="s">
        <v>1140</v>
      </c>
      <c r="E319" s="18" t="s">
        <v>9</v>
      </c>
      <c r="F319" s="14" t="s">
        <v>517</v>
      </c>
      <c r="G319" s="14" t="s">
        <v>518</v>
      </c>
      <c r="H319" s="18" t="s">
        <v>5</v>
      </c>
      <c r="I319" s="14" t="s">
        <v>115</v>
      </c>
      <c r="J319" s="14"/>
      <c r="K319" s="18" t="s">
        <v>651</v>
      </c>
      <c r="L319" s="14"/>
      <c r="M319" s="14">
        <v>1</v>
      </c>
      <c r="N319" s="15">
        <f t="shared" si="14"/>
        <v>81355.932203389835</v>
      </c>
      <c r="O319" s="15">
        <f t="shared" si="12"/>
        <v>81355.932203389835</v>
      </c>
      <c r="P319" s="15"/>
      <c r="Q319" s="14" t="s">
        <v>520</v>
      </c>
      <c r="R319" s="25">
        <v>45171</v>
      </c>
      <c r="S319" s="22" t="str">
        <f>TEXT(Table1[[#This Row],[End Date]],"MMMM")</f>
        <v>September</v>
      </c>
      <c r="T319" s="22" t="str">
        <f>TEXT(Table1[[#This Row],[End Date]],"YYYY")</f>
        <v>2023</v>
      </c>
      <c r="U319" s="24">
        <f t="shared" ca="1" si="13"/>
        <v>-38</v>
      </c>
      <c r="V319" s="14" t="str" cm="1">
        <f t="array" aca="1" ref="V319" ca="1">_xlfn.IFS(Table1[[#This Row],[Agreement Days]]&gt;=0,"Expired",Table1[[#This Row],[Agreement Days]]&gt;=-30,"Expires &lt; 30 Days",Table1[[#This Row],[Agreement Days]]&gt;=-60,"Expires &lt; 60 Days",Table1[[#This Row],[Agreement Days]]&lt;-60,"Valid Contract")</f>
        <v>Expires &lt; 60 Days</v>
      </c>
      <c r="W319" s="14" t="s">
        <v>20</v>
      </c>
      <c r="X319" s="26" t="s">
        <v>1141</v>
      </c>
      <c r="Y319" s="45" t="s">
        <v>1142</v>
      </c>
      <c r="Z319" s="17" t="s">
        <v>1143</v>
      </c>
      <c r="AA319" s="19"/>
      <c r="AB319" s="116"/>
      <c r="AC319" s="116"/>
    </row>
    <row r="320" spans="1:29" hidden="1" x14ac:dyDescent="0.3">
      <c r="A320" s="18" t="s">
        <v>1139</v>
      </c>
      <c r="B320" s="18" t="s">
        <v>156</v>
      </c>
      <c r="C320" s="18" t="s">
        <v>1189</v>
      </c>
      <c r="D320" s="14" t="s">
        <v>1140</v>
      </c>
      <c r="E320" s="18" t="s">
        <v>9</v>
      </c>
      <c r="F320" s="14" t="s">
        <v>517</v>
      </c>
      <c r="G320" s="14" t="s">
        <v>518</v>
      </c>
      <c r="H320" s="18" t="s">
        <v>5</v>
      </c>
      <c r="I320" s="14" t="s">
        <v>115</v>
      </c>
      <c r="J320" s="14"/>
      <c r="K320" s="18" t="s">
        <v>651</v>
      </c>
      <c r="L320" s="14"/>
      <c r="M320" s="14">
        <v>1</v>
      </c>
      <c r="N320" s="15">
        <f t="shared" si="14"/>
        <v>81355.932203389835</v>
      </c>
      <c r="O320" s="15">
        <f t="shared" si="12"/>
        <v>81355.932203389835</v>
      </c>
      <c r="P320" s="15"/>
      <c r="Q320" s="14" t="s">
        <v>520</v>
      </c>
      <c r="R320" s="25">
        <v>45171</v>
      </c>
      <c r="S320" s="22" t="str">
        <f>TEXT(Table1[[#This Row],[End Date]],"MMMM")</f>
        <v>September</v>
      </c>
      <c r="T320" s="22" t="str">
        <f>TEXT(Table1[[#This Row],[End Date]],"YYYY")</f>
        <v>2023</v>
      </c>
      <c r="U320" s="24">
        <f t="shared" ca="1" si="13"/>
        <v>-38</v>
      </c>
      <c r="V320" s="14" t="str" cm="1">
        <f t="array" aca="1" ref="V320" ca="1">_xlfn.IFS(Table1[[#This Row],[Agreement Days]]&gt;=0,"Expired",Table1[[#This Row],[Agreement Days]]&gt;=-30,"Expires &lt; 30 Days",Table1[[#This Row],[Agreement Days]]&gt;=-60,"Expires &lt; 60 Days",Table1[[#This Row],[Agreement Days]]&lt;-60,"Valid Contract")</f>
        <v>Expires &lt; 60 Days</v>
      </c>
      <c r="W320" s="14" t="s">
        <v>20</v>
      </c>
      <c r="X320" s="26" t="s">
        <v>1141</v>
      </c>
      <c r="Y320" s="45" t="s">
        <v>1142</v>
      </c>
      <c r="Z320" s="17" t="s">
        <v>1143</v>
      </c>
      <c r="AA320" s="19"/>
      <c r="AB320" s="116"/>
      <c r="AC320" s="116"/>
    </row>
    <row r="321" spans="1:29" hidden="1" x14ac:dyDescent="0.3">
      <c r="A321" s="18" t="s">
        <v>1139</v>
      </c>
      <c r="B321" s="18" t="s">
        <v>156</v>
      </c>
      <c r="C321" s="18" t="s">
        <v>1190</v>
      </c>
      <c r="D321" s="14" t="s">
        <v>1140</v>
      </c>
      <c r="E321" s="18" t="s">
        <v>9</v>
      </c>
      <c r="F321" s="14" t="s">
        <v>517</v>
      </c>
      <c r="G321" s="14" t="s">
        <v>518</v>
      </c>
      <c r="H321" s="18" t="s">
        <v>5</v>
      </c>
      <c r="I321" s="14" t="s">
        <v>115</v>
      </c>
      <c r="J321" s="14"/>
      <c r="K321" s="18" t="s">
        <v>651</v>
      </c>
      <c r="L321" s="14"/>
      <c r="M321" s="14">
        <v>1</v>
      </c>
      <c r="N321" s="15">
        <f t="shared" si="14"/>
        <v>81355.932203389835</v>
      </c>
      <c r="O321" s="15">
        <f t="shared" si="12"/>
        <v>81355.932203389835</v>
      </c>
      <c r="P321" s="15"/>
      <c r="Q321" s="14" t="s">
        <v>520</v>
      </c>
      <c r="R321" s="25">
        <v>45171</v>
      </c>
      <c r="S321" s="22" t="str">
        <f>TEXT(Table1[[#This Row],[End Date]],"MMMM")</f>
        <v>September</v>
      </c>
      <c r="T321" s="22" t="str">
        <f>TEXT(Table1[[#This Row],[End Date]],"YYYY")</f>
        <v>2023</v>
      </c>
      <c r="U321" s="24">
        <f t="shared" ca="1" si="13"/>
        <v>-38</v>
      </c>
      <c r="V321" s="14" t="str" cm="1">
        <f t="array" aca="1" ref="V321" ca="1">_xlfn.IFS(Table1[[#This Row],[Agreement Days]]&gt;=0,"Expired",Table1[[#This Row],[Agreement Days]]&gt;=-30,"Expires &lt; 30 Days",Table1[[#This Row],[Agreement Days]]&gt;=-60,"Expires &lt; 60 Days",Table1[[#This Row],[Agreement Days]]&lt;-60,"Valid Contract")</f>
        <v>Expires &lt; 60 Days</v>
      </c>
      <c r="W321" s="14" t="s">
        <v>20</v>
      </c>
      <c r="X321" s="26" t="s">
        <v>1141</v>
      </c>
      <c r="Y321" s="45" t="s">
        <v>1142</v>
      </c>
      <c r="Z321" s="17" t="s">
        <v>1143</v>
      </c>
      <c r="AA321" s="19"/>
      <c r="AB321" s="116"/>
      <c r="AC321" s="116"/>
    </row>
    <row r="322" spans="1:29" hidden="1" x14ac:dyDescent="0.3">
      <c r="A322" s="18" t="s">
        <v>1139</v>
      </c>
      <c r="B322" s="18" t="s">
        <v>156</v>
      </c>
      <c r="C322" s="18" t="s">
        <v>1191</v>
      </c>
      <c r="D322" s="14" t="s">
        <v>1140</v>
      </c>
      <c r="E322" s="18" t="s">
        <v>9</v>
      </c>
      <c r="F322" s="14" t="s">
        <v>517</v>
      </c>
      <c r="G322" s="14" t="s">
        <v>518</v>
      </c>
      <c r="H322" s="18" t="s">
        <v>5</v>
      </c>
      <c r="I322" s="14" t="s">
        <v>115</v>
      </c>
      <c r="J322" s="14"/>
      <c r="K322" s="18" t="s">
        <v>651</v>
      </c>
      <c r="L322" s="14"/>
      <c r="M322" s="14">
        <v>1</v>
      </c>
      <c r="N322" s="15">
        <f t="shared" si="14"/>
        <v>81355.932203389835</v>
      </c>
      <c r="O322" s="15">
        <f t="shared" si="12"/>
        <v>81355.932203389835</v>
      </c>
      <c r="P322" s="15"/>
      <c r="Q322" s="14" t="s">
        <v>520</v>
      </c>
      <c r="R322" s="25">
        <v>45171</v>
      </c>
      <c r="S322" s="22" t="str">
        <f>TEXT(Table1[[#This Row],[End Date]],"MMMM")</f>
        <v>September</v>
      </c>
      <c r="T322" s="22" t="str">
        <f>TEXT(Table1[[#This Row],[End Date]],"YYYY")</f>
        <v>2023</v>
      </c>
      <c r="U322" s="24">
        <f t="shared" ca="1" si="13"/>
        <v>-38</v>
      </c>
      <c r="V322" s="14" t="str" cm="1">
        <f t="array" aca="1" ref="V322" ca="1">_xlfn.IFS(Table1[[#This Row],[Agreement Days]]&gt;=0,"Expired",Table1[[#This Row],[Agreement Days]]&gt;=-30,"Expires &lt; 30 Days",Table1[[#This Row],[Agreement Days]]&gt;=-60,"Expires &lt; 60 Days",Table1[[#This Row],[Agreement Days]]&lt;-60,"Valid Contract")</f>
        <v>Expires &lt; 60 Days</v>
      </c>
      <c r="W322" s="14" t="s">
        <v>20</v>
      </c>
      <c r="X322" s="26" t="s">
        <v>1141</v>
      </c>
      <c r="Y322" s="45" t="s">
        <v>1142</v>
      </c>
      <c r="Z322" s="17" t="s">
        <v>1143</v>
      </c>
      <c r="AA322" s="19"/>
      <c r="AB322" s="116"/>
      <c r="AC322" s="116"/>
    </row>
    <row r="323" spans="1:29" hidden="1" x14ac:dyDescent="0.3">
      <c r="A323" s="18" t="s">
        <v>1139</v>
      </c>
      <c r="B323" s="18" t="s">
        <v>156</v>
      </c>
      <c r="C323" s="18" t="s">
        <v>1192</v>
      </c>
      <c r="D323" s="14" t="s">
        <v>1140</v>
      </c>
      <c r="E323" s="18" t="s">
        <v>9</v>
      </c>
      <c r="F323" s="14" t="s">
        <v>517</v>
      </c>
      <c r="G323" s="14" t="s">
        <v>518</v>
      </c>
      <c r="H323" s="18" t="s">
        <v>5</v>
      </c>
      <c r="I323" s="14" t="s">
        <v>115</v>
      </c>
      <c r="J323" s="14"/>
      <c r="K323" s="18" t="s">
        <v>651</v>
      </c>
      <c r="L323" s="14"/>
      <c r="M323" s="14">
        <v>1</v>
      </c>
      <c r="N323" s="15">
        <f t="shared" si="14"/>
        <v>81355.932203389835</v>
      </c>
      <c r="O323" s="15">
        <f t="shared" si="12"/>
        <v>81355.932203389835</v>
      </c>
      <c r="P323" s="15"/>
      <c r="Q323" s="14" t="s">
        <v>520</v>
      </c>
      <c r="R323" s="25">
        <v>45171</v>
      </c>
      <c r="S323" s="22" t="str">
        <f>TEXT(Table1[[#This Row],[End Date]],"MMMM")</f>
        <v>September</v>
      </c>
      <c r="T323" s="22" t="str">
        <f>TEXT(Table1[[#This Row],[End Date]],"YYYY")</f>
        <v>2023</v>
      </c>
      <c r="U323" s="24">
        <f t="shared" ca="1" si="13"/>
        <v>-38</v>
      </c>
      <c r="V323" s="14" t="str" cm="1">
        <f t="array" aca="1" ref="V323" ca="1">_xlfn.IFS(Table1[[#This Row],[Agreement Days]]&gt;=0,"Expired",Table1[[#This Row],[Agreement Days]]&gt;=-30,"Expires &lt; 30 Days",Table1[[#This Row],[Agreement Days]]&gt;=-60,"Expires &lt; 60 Days",Table1[[#This Row],[Agreement Days]]&lt;-60,"Valid Contract")</f>
        <v>Expires &lt; 60 Days</v>
      </c>
      <c r="W323" s="14" t="s">
        <v>20</v>
      </c>
      <c r="X323" s="26" t="s">
        <v>1141</v>
      </c>
      <c r="Y323" s="45" t="s">
        <v>1142</v>
      </c>
      <c r="Z323" s="17" t="s">
        <v>1143</v>
      </c>
      <c r="AA323" s="19"/>
      <c r="AB323" s="116"/>
      <c r="AC323" s="116"/>
    </row>
    <row r="324" spans="1:29" hidden="1" x14ac:dyDescent="0.3">
      <c r="A324" s="18" t="s">
        <v>1139</v>
      </c>
      <c r="B324" s="18" t="s">
        <v>156</v>
      </c>
      <c r="C324" s="18" t="s">
        <v>1193</v>
      </c>
      <c r="D324" s="14" t="s">
        <v>1140</v>
      </c>
      <c r="E324" s="18" t="s">
        <v>9</v>
      </c>
      <c r="F324" s="14" t="s">
        <v>517</v>
      </c>
      <c r="G324" s="14" t="s">
        <v>518</v>
      </c>
      <c r="H324" s="18" t="s">
        <v>5</v>
      </c>
      <c r="I324" s="14" t="s">
        <v>115</v>
      </c>
      <c r="J324" s="14"/>
      <c r="K324" s="18" t="s">
        <v>651</v>
      </c>
      <c r="L324" s="14"/>
      <c r="M324" s="14">
        <v>1</v>
      </c>
      <c r="N324" s="15">
        <f t="shared" si="14"/>
        <v>81355.932203389835</v>
      </c>
      <c r="O324" s="15">
        <f t="shared" si="12"/>
        <v>81355.932203389835</v>
      </c>
      <c r="P324" s="15"/>
      <c r="Q324" s="14" t="s">
        <v>520</v>
      </c>
      <c r="R324" s="25">
        <v>45171</v>
      </c>
      <c r="S324" s="22" t="str">
        <f>TEXT(Table1[[#This Row],[End Date]],"MMMM")</f>
        <v>September</v>
      </c>
      <c r="T324" s="22" t="str">
        <f>TEXT(Table1[[#This Row],[End Date]],"YYYY")</f>
        <v>2023</v>
      </c>
      <c r="U324" s="24">
        <f t="shared" ca="1" si="13"/>
        <v>-38</v>
      </c>
      <c r="V324" s="14" t="str" cm="1">
        <f t="array" aca="1" ref="V324" ca="1">_xlfn.IFS(Table1[[#This Row],[Agreement Days]]&gt;=0,"Expired",Table1[[#This Row],[Agreement Days]]&gt;=-30,"Expires &lt; 30 Days",Table1[[#This Row],[Agreement Days]]&gt;=-60,"Expires &lt; 60 Days",Table1[[#This Row],[Agreement Days]]&lt;-60,"Valid Contract")</f>
        <v>Expires &lt; 60 Days</v>
      </c>
      <c r="W324" s="14" t="s">
        <v>20</v>
      </c>
      <c r="X324" s="26" t="s">
        <v>1141</v>
      </c>
      <c r="Y324" s="45" t="s">
        <v>1142</v>
      </c>
      <c r="Z324" s="17" t="s">
        <v>1143</v>
      </c>
      <c r="AA324" s="19"/>
      <c r="AB324" s="116"/>
      <c r="AC324" s="116"/>
    </row>
    <row r="325" spans="1:29" hidden="1" x14ac:dyDescent="0.3">
      <c r="A325" s="18" t="s">
        <v>1139</v>
      </c>
      <c r="B325" s="18" t="s">
        <v>156</v>
      </c>
      <c r="C325" s="18" t="s">
        <v>1194</v>
      </c>
      <c r="D325" s="14" t="s">
        <v>1140</v>
      </c>
      <c r="E325" s="18" t="s">
        <v>9</v>
      </c>
      <c r="F325" s="14" t="s">
        <v>517</v>
      </c>
      <c r="G325" s="14" t="s">
        <v>518</v>
      </c>
      <c r="H325" s="18" t="s">
        <v>5</v>
      </c>
      <c r="I325" s="14" t="s">
        <v>115</v>
      </c>
      <c r="J325" s="14"/>
      <c r="K325" s="18" t="s">
        <v>651</v>
      </c>
      <c r="L325" s="14"/>
      <c r="M325" s="14">
        <v>1</v>
      </c>
      <c r="N325" s="15">
        <f t="shared" si="14"/>
        <v>81355.932203389835</v>
      </c>
      <c r="O325" s="15">
        <f t="shared" si="12"/>
        <v>81355.932203389835</v>
      </c>
      <c r="P325" s="15"/>
      <c r="Q325" s="14" t="s">
        <v>520</v>
      </c>
      <c r="R325" s="25">
        <v>45171</v>
      </c>
      <c r="S325" s="22" t="str">
        <f>TEXT(Table1[[#This Row],[End Date]],"MMMM")</f>
        <v>September</v>
      </c>
      <c r="T325" s="22" t="str">
        <f>TEXT(Table1[[#This Row],[End Date]],"YYYY")</f>
        <v>2023</v>
      </c>
      <c r="U325" s="24">
        <f t="shared" ca="1" si="13"/>
        <v>-38</v>
      </c>
      <c r="V325" s="14" t="str" cm="1">
        <f t="array" aca="1" ref="V325" ca="1">_xlfn.IFS(Table1[[#This Row],[Agreement Days]]&gt;=0,"Expired",Table1[[#This Row],[Agreement Days]]&gt;=-30,"Expires &lt; 30 Days",Table1[[#This Row],[Agreement Days]]&gt;=-60,"Expires &lt; 60 Days",Table1[[#This Row],[Agreement Days]]&lt;-60,"Valid Contract")</f>
        <v>Expires &lt; 60 Days</v>
      </c>
      <c r="W325" s="14" t="s">
        <v>20</v>
      </c>
      <c r="X325" s="26" t="s">
        <v>1141</v>
      </c>
      <c r="Y325" s="45" t="s">
        <v>1142</v>
      </c>
      <c r="Z325" s="17" t="s">
        <v>1143</v>
      </c>
      <c r="AA325" s="19"/>
      <c r="AB325" s="116"/>
      <c r="AC325" s="116"/>
    </row>
    <row r="326" spans="1:29" hidden="1" x14ac:dyDescent="0.3">
      <c r="A326" s="18" t="s">
        <v>1139</v>
      </c>
      <c r="B326" s="18" t="s">
        <v>156</v>
      </c>
      <c r="C326" s="18" t="s">
        <v>1195</v>
      </c>
      <c r="D326" s="14" t="s">
        <v>1140</v>
      </c>
      <c r="E326" s="18" t="s">
        <v>9</v>
      </c>
      <c r="F326" s="14" t="s">
        <v>517</v>
      </c>
      <c r="G326" s="14" t="s">
        <v>518</v>
      </c>
      <c r="H326" s="18" t="s">
        <v>5</v>
      </c>
      <c r="I326" s="14" t="s">
        <v>115</v>
      </c>
      <c r="J326" s="14"/>
      <c r="K326" s="18" t="s">
        <v>651</v>
      </c>
      <c r="L326" s="14"/>
      <c r="M326" s="14">
        <v>1</v>
      </c>
      <c r="N326" s="15">
        <f t="shared" si="14"/>
        <v>81355.932203389835</v>
      </c>
      <c r="O326" s="15">
        <f t="shared" si="12"/>
        <v>81355.932203389835</v>
      </c>
      <c r="P326" s="15"/>
      <c r="Q326" s="14" t="s">
        <v>520</v>
      </c>
      <c r="R326" s="25">
        <v>45171</v>
      </c>
      <c r="S326" s="22" t="str">
        <f>TEXT(Table1[[#This Row],[End Date]],"MMMM")</f>
        <v>September</v>
      </c>
      <c r="T326" s="22" t="str">
        <f>TEXT(Table1[[#This Row],[End Date]],"YYYY")</f>
        <v>2023</v>
      </c>
      <c r="U326" s="24">
        <f t="shared" ca="1" si="13"/>
        <v>-38</v>
      </c>
      <c r="V326" s="14" t="str" cm="1">
        <f t="array" aca="1" ref="V326" ca="1">_xlfn.IFS(Table1[[#This Row],[Agreement Days]]&gt;=0,"Expired",Table1[[#This Row],[Agreement Days]]&gt;=-30,"Expires &lt; 30 Days",Table1[[#This Row],[Agreement Days]]&gt;=-60,"Expires &lt; 60 Days",Table1[[#This Row],[Agreement Days]]&lt;-60,"Valid Contract")</f>
        <v>Expires &lt; 60 Days</v>
      </c>
      <c r="W326" s="14" t="s">
        <v>20</v>
      </c>
      <c r="X326" s="26" t="s">
        <v>1141</v>
      </c>
      <c r="Y326" s="45" t="s">
        <v>1142</v>
      </c>
      <c r="Z326" s="17" t="s">
        <v>1143</v>
      </c>
      <c r="AA326" s="19"/>
      <c r="AB326" s="116"/>
      <c r="AC326" s="116"/>
    </row>
    <row r="327" spans="1:29" hidden="1" x14ac:dyDescent="0.3">
      <c r="A327" s="18" t="s">
        <v>1139</v>
      </c>
      <c r="B327" s="18" t="s">
        <v>156</v>
      </c>
      <c r="C327" s="18" t="s">
        <v>1196</v>
      </c>
      <c r="D327" s="14" t="s">
        <v>1140</v>
      </c>
      <c r="E327" s="18" t="s">
        <v>9</v>
      </c>
      <c r="F327" s="14" t="s">
        <v>517</v>
      </c>
      <c r="G327" s="14" t="s">
        <v>518</v>
      </c>
      <c r="H327" s="18" t="s">
        <v>5</v>
      </c>
      <c r="I327" s="14" t="s">
        <v>115</v>
      </c>
      <c r="J327" s="14"/>
      <c r="K327" s="18" t="s">
        <v>651</v>
      </c>
      <c r="L327" s="14"/>
      <c r="M327" s="14">
        <v>1</v>
      </c>
      <c r="N327" s="15">
        <f t="shared" si="14"/>
        <v>81355.932203389835</v>
      </c>
      <c r="O327" s="15">
        <f t="shared" ref="O327:O390" si="15">N327*M327</f>
        <v>81355.932203389835</v>
      </c>
      <c r="P327" s="15"/>
      <c r="Q327" s="14" t="s">
        <v>520</v>
      </c>
      <c r="R327" s="25">
        <v>45171</v>
      </c>
      <c r="S327" s="22" t="str">
        <f>TEXT(Table1[[#This Row],[End Date]],"MMMM")</f>
        <v>September</v>
      </c>
      <c r="T327" s="22" t="str">
        <f>TEXT(Table1[[#This Row],[End Date]],"YYYY")</f>
        <v>2023</v>
      </c>
      <c r="U327" s="24">
        <f t="shared" ref="U327:U390" ca="1" si="16">TODAY()-R327</f>
        <v>-38</v>
      </c>
      <c r="V327" s="14" t="str" cm="1">
        <f t="array" aca="1" ref="V327" ca="1">_xlfn.IFS(Table1[[#This Row],[Agreement Days]]&gt;=0,"Expired",Table1[[#This Row],[Agreement Days]]&gt;=-30,"Expires &lt; 30 Days",Table1[[#This Row],[Agreement Days]]&gt;=-60,"Expires &lt; 60 Days",Table1[[#This Row],[Agreement Days]]&lt;-60,"Valid Contract")</f>
        <v>Expires &lt; 60 Days</v>
      </c>
      <c r="W327" s="14" t="s">
        <v>20</v>
      </c>
      <c r="X327" s="26" t="s">
        <v>1141</v>
      </c>
      <c r="Y327" s="45" t="s">
        <v>1142</v>
      </c>
      <c r="Z327" s="17" t="s">
        <v>1143</v>
      </c>
      <c r="AA327" s="19"/>
      <c r="AB327" s="116"/>
      <c r="AC327" s="116"/>
    </row>
    <row r="328" spans="1:29" hidden="1" x14ac:dyDescent="0.3">
      <c r="A328" s="18" t="s">
        <v>1139</v>
      </c>
      <c r="B328" s="18" t="s">
        <v>156</v>
      </c>
      <c r="C328" s="18" t="s">
        <v>1197</v>
      </c>
      <c r="D328" s="14" t="s">
        <v>1140</v>
      </c>
      <c r="E328" s="18" t="s">
        <v>9</v>
      </c>
      <c r="F328" s="14" t="s">
        <v>517</v>
      </c>
      <c r="G328" s="14" t="s">
        <v>518</v>
      </c>
      <c r="H328" s="18" t="s">
        <v>5</v>
      </c>
      <c r="I328" s="14" t="s">
        <v>115</v>
      </c>
      <c r="J328" s="14"/>
      <c r="K328" s="18" t="s">
        <v>651</v>
      </c>
      <c r="L328" s="14"/>
      <c r="M328" s="14">
        <v>1</v>
      </c>
      <c r="N328" s="15">
        <f t="shared" si="14"/>
        <v>81355.932203389835</v>
      </c>
      <c r="O328" s="15">
        <f t="shared" si="15"/>
        <v>81355.932203389835</v>
      </c>
      <c r="P328" s="15"/>
      <c r="Q328" s="14" t="s">
        <v>520</v>
      </c>
      <c r="R328" s="25">
        <v>45171</v>
      </c>
      <c r="S328" s="22" t="str">
        <f>TEXT(Table1[[#This Row],[End Date]],"MMMM")</f>
        <v>September</v>
      </c>
      <c r="T328" s="22" t="str">
        <f>TEXT(Table1[[#This Row],[End Date]],"YYYY")</f>
        <v>2023</v>
      </c>
      <c r="U328" s="24">
        <f t="shared" ca="1" si="16"/>
        <v>-38</v>
      </c>
      <c r="V328" s="14" t="str" cm="1">
        <f t="array" aca="1" ref="V328" ca="1">_xlfn.IFS(Table1[[#This Row],[Agreement Days]]&gt;=0,"Expired",Table1[[#This Row],[Agreement Days]]&gt;=-30,"Expires &lt; 30 Days",Table1[[#This Row],[Agreement Days]]&gt;=-60,"Expires &lt; 60 Days",Table1[[#This Row],[Agreement Days]]&lt;-60,"Valid Contract")</f>
        <v>Expires &lt; 60 Days</v>
      </c>
      <c r="W328" s="14" t="s">
        <v>20</v>
      </c>
      <c r="X328" s="26" t="s">
        <v>1141</v>
      </c>
      <c r="Y328" s="45" t="s">
        <v>1142</v>
      </c>
      <c r="Z328" s="17" t="s">
        <v>1143</v>
      </c>
      <c r="AA328" s="19"/>
      <c r="AB328" s="116"/>
      <c r="AC328" s="116"/>
    </row>
    <row r="329" spans="1:29" hidden="1" x14ac:dyDescent="0.3">
      <c r="A329" s="18" t="s">
        <v>1139</v>
      </c>
      <c r="B329" s="18" t="s">
        <v>156</v>
      </c>
      <c r="C329" s="18" t="s">
        <v>1198</v>
      </c>
      <c r="D329" s="14" t="s">
        <v>1140</v>
      </c>
      <c r="E329" s="18" t="s">
        <v>9</v>
      </c>
      <c r="F329" s="14" t="s">
        <v>517</v>
      </c>
      <c r="G329" s="14" t="s">
        <v>518</v>
      </c>
      <c r="H329" s="18" t="s">
        <v>5</v>
      </c>
      <c r="I329" s="14" t="s">
        <v>115</v>
      </c>
      <c r="J329" s="14"/>
      <c r="K329" s="18" t="s">
        <v>651</v>
      </c>
      <c r="L329" s="14"/>
      <c r="M329" s="14">
        <v>1</v>
      </c>
      <c r="N329" s="15">
        <f t="shared" si="14"/>
        <v>81355.932203389835</v>
      </c>
      <c r="O329" s="15">
        <f t="shared" si="15"/>
        <v>81355.932203389835</v>
      </c>
      <c r="P329" s="15"/>
      <c r="Q329" s="14" t="s">
        <v>520</v>
      </c>
      <c r="R329" s="25">
        <v>45171</v>
      </c>
      <c r="S329" s="22" t="str">
        <f>TEXT(Table1[[#This Row],[End Date]],"MMMM")</f>
        <v>September</v>
      </c>
      <c r="T329" s="22" t="str">
        <f>TEXT(Table1[[#This Row],[End Date]],"YYYY")</f>
        <v>2023</v>
      </c>
      <c r="U329" s="24">
        <f t="shared" ca="1" si="16"/>
        <v>-38</v>
      </c>
      <c r="V329" s="14" t="str" cm="1">
        <f t="array" aca="1" ref="V329" ca="1">_xlfn.IFS(Table1[[#This Row],[Agreement Days]]&gt;=0,"Expired",Table1[[#This Row],[Agreement Days]]&gt;=-30,"Expires &lt; 30 Days",Table1[[#This Row],[Agreement Days]]&gt;=-60,"Expires &lt; 60 Days",Table1[[#This Row],[Agreement Days]]&lt;-60,"Valid Contract")</f>
        <v>Expires &lt; 60 Days</v>
      </c>
      <c r="W329" s="14" t="s">
        <v>20</v>
      </c>
      <c r="X329" s="26" t="s">
        <v>1141</v>
      </c>
      <c r="Y329" s="45" t="s">
        <v>1142</v>
      </c>
      <c r="Z329" s="17" t="s">
        <v>1143</v>
      </c>
      <c r="AA329" s="19"/>
      <c r="AB329" s="116"/>
      <c r="AC329" s="116"/>
    </row>
    <row r="330" spans="1:29" hidden="1" x14ac:dyDescent="0.3">
      <c r="A330" s="18" t="s">
        <v>1139</v>
      </c>
      <c r="B330" s="18" t="s">
        <v>156</v>
      </c>
      <c r="C330" s="18" t="s">
        <v>1199</v>
      </c>
      <c r="D330" s="14" t="s">
        <v>1140</v>
      </c>
      <c r="E330" s="18" t="s">
        <v>9</v>
      </c>
      <c r="F330" s="14" t="s">
        <v>517</v>
      </c>
      <c r="G330" s="14" t="s">
        <v>518</v>
      </c>
      <c r="H330" s="18" t="s">
        <v>5</v>
      </c>
      <c r="I330" s="14" t="s">
        <v>115</v>
      </c>
      <c r="J330" s="14"/>
      <c r="K330" s="18" t="s">
        <v>651</v>
      </c>
      <c r="L330" s="14"/>
      <c r="M330" s="14">
        <v>1</v>
      </c>
      <c r="N330" s="15">
        <f t="shared" si="14"/>
        <v>81355.932203389835</v>
      </c>
      <c r="O330" s="15">
        <f t="shared" si="15"/>
        <v>81355.932203389835</v>
      </c>
      <c r="P330" s="15"/>
      <c r="Q330" s="14" t="s">
        <v>520</v>
      </c>
      <c r="R330" s="25">
        <v>45171</v>
      </c>
      <c r="S330" s="22" t="str">
        <f>TEXT(Table1[[#This Row],[End Date]],"MMMM")</f>
        <v>September</v>
      </c>
      <c r="T330" s="22" t="str">
        <f>TEXT(Table1[[#This Row],[End Date]],"YYYY")</f>
        <v>2023</v>
      </c>
      <c r="U330" s="24">
        <f t="shared" ca="1" si="16"/>
        <v>-38</v>
      </c>
      <c r="V330" s="14" t="str" cm="1">
        <f t="array" aca="1" ref="V330" ca="1">_xlfn.IFS(Table1[[#This Row],[Agreement Days]]&gt;=0,"Expired",Table1[[#This Row],[Agreement Days]]&gt;=-30,"Expires &lt; 30 Days",Table1[[#This Row],[Agreement Days]]&gt;=-60,"Expires &lt; 60 Days",Table1[[#This Row],[Agreement Days]]&lt;-60,"Valid Contract")</f>
        <v>Expires &lt; 60 Days</v>
      </c>
      <c r="W330" s="14" t="s">
        <v>20</v>
      </c>
      <c r="X330" s="26" t="s">
        <v>1141</v>
      </c>
      <c r="Y330" s="45" t="s">
        <v>1142</v>
      </c>
      <c r="Z330" s="17" t="s">
        <v>1143</v>
      </c>
      <c r="AA330" s="19"/>
      <c r="AB330" s="116"/>
      <c r="AC330" s="116"/>
    </row>
    <row r="331" spans="1:29" hidden="1" x14ac:dyDescent="0.3">
      <c r="A331" s="18" t="s">
        <v>1139</v>
      </c>
      <c r="B331" s="18" t="s">
        <v>156</v>
      </c>
      <c r="C331" s="18" t="s">
        <v>156</v>
      </c>
      <c r="D331" s="14" t="s">
        <v>1140</v>
      </c>
      <c r="E331" s="18" t="s">
        <v>9</v>
      </c>
      <c r="F331" s="14" t="s">
        <v>517</v>
      </c>
      <c r="G331" s="14" t="s">
        <v>518</v>
      </c>
      <c r="H331" s="18" t="s">
        <v>5</v>
      </c>
      <c r="I331" s="14" t="s">
        <v>115</v>
      </c>
      <c r="J331" s="14"/>
      <c r="K331" s="18" t="s">
        <v>651</v>
      </c>
      <c r="L331" s="14"/>
      <c r="M331" s="14">
        <v>1</v>
      </c>
      <c r="N331" s="15">
        <f t="shared" si="14"/>
        <v>81355.932203389835</v>
      </c>
      <c r="O331" s="15">
        <f t="shared" si="15"/>
        <v>81355.932203389835</v>
      </c>
      <c r="P331" s="15"/>
      <c r="Q331" s="14" t="s">
        <v>520</v>
      </c>
      <c r="R331" s="25">
        <v>45171</v>
      </c>
      <c r="S331" s="22" t="str">
        <f>TEXT(Table1[[#This Row],[End Date]],"MMMM")</f>
        <v>September</v>
      </c>
      <c r="T331" s="22" t="str">
        <f>TEXT(Table1[[#This Row],[End Date]],"YYYY")</f>
        <v>2023</v>
      </c>
      <c r="U331" s="24">
        <f t="shared" ca="1" si="16"/>
        <v>-38</v>
      </c>
      <c r="V331" s="14" t="str" cm="1">
        <f t="array" aca="1" ref="V331" ca="1">_xlfn.IFS(Table1[[#This Row],[Agreement Days]]&gt;=0,"Expired",Table1[[#This Row],[Agreement Days]]&gt;=-30,"Expires &lt; 30 Days",Table1[[#This Row],[Agreement Days]]&gt;=-60,"Expires &lt; 60 Days",Table1[[#This Row],[Agreement Days]]&lt;-60,"Valid Contract")</f>
        <v>Expires &lt; 60 Days</v>
      </c>
      <c r="W331" s="14" t="s">
        <v>20</v>
      </c>
      <c r="X331" s="26" t="s">
        <v>1141</v>
      </c>
      <c r="Y331" s="45" t="s">
        <v>1142</v>
      </c>
      <c r="Z331" s="17" t="s">
        <v>1143</v>
      </c>
      <c r="AA331" s="19"/>
      <c r="AB331" s="116"/>
      <c r="AC331" s="116"/>
    </row>
    <row r="332" spans="1:29" hidden="1" x14ac:dyDescent="0.3">
      <c r="A332" s="18" t="s">
        <v>1139</v>
      </c>
      <c r="B332" s="18" t="s">
        <v>156</v>
      </c>
      <c r="C332" s="18" t="s">
        <v>1200</v>
      </c>
      <c r="D332" s="14" t="s">
        <v>1140</v>
      </c>
      <c r="E332" s="18" t="s">
        <v>9</v>
      </c>
      <c r="F332" s="14" t="s">
        <v>517</v>
      </c>
      <c r="G332" s="14" t="s">
        <v>518</v>
      </c>
      <c r="H332" s="18" t="s">
        <v>5</v>
      </c>
      <c r="I332" s="14" t="s">
        <v>115</v>
      </c>
      <c r="J332" s="14"/>
      <c r="K332" s="18" t="s">
        <v>651</v>
      </c>
      <c r="L332" s="14"/>
      <c r="M332" s="14">
        <v>1</v>
      </c>
      <c r="N332" s="15">
        <f t="shared" si="14"/>
        <v>81355.932203389835</v>
      </c>
      <c r="O332" s="15">
        <f t="shared" si="15"/>
        <v>81355.932203389835</v>
      </c>
      <c r="P332" s="15"/>
      <c r="Q332" s="14" t="s">
        <v>520</v>
      </c>
      <c r="R332" s="25">
        <v>45171</v>
      </c>
      <c r="S332" s="22" t="str">
        <f>TEXT(Table1[[#This Row],[End Date]],"MMMM")</f>
        <v>September</v>
      </c>
      <c r="T332" s="22" t="str">
        <f>TEXT(Table1[[#This Row],[End Date]],"YYYY")</f>
        <v>2023</v>
      </c>
      <c r="U332" s="24">
        <f t="shared" ca="1" si="16"/>
        <v>-38</v>
      </c>
      <c r="V332" s="14" t="str" cm="1">
        <f t="array" aca="1" ref="V332" ca="1">_xlfn.IFS(Table1[[#This Row],[Agreement Days]]&gt;=0,"Expired",Table1[[#This Row],[Agreement Days]]&gt;=-30,"Expires &lt; 30 Days",Table1[[#This Row],[Agreement Days]]&gt;=-60,"Expires &lt; 60 Days",Table1[[#This Row],[Agreement Days]]&lt;-60,"Valid Contract")</f>
        <v>Expires &lt; 60 Days</v>
      </c>
      <c r="W332" s="14" t="s">
        <v>20</v>
      </c>
      <c r="X332" s="26" t="s">
        <v>1141</v>
      </c>
      <c r="Y332" s="45" t="s">
        <v>1142</v>
      </c>
      <c r="Z332" s="17" t="s">
        <v>1143</v>
      </c>
      <c r="AA332" s="19"/>
      <c r="AB332" s="116"/>
      <c r="AC332" s="116"/>
    </row>
    <row r="333" spans="1:29" hidden="1" x14ac:dyDescent="0.3">
      <c r="A333" s="18" t="s">
        <v>1139</v>
      </c>
      <c r="B333" s="18" t="s">
        <v>156</v>
      </c>
      <c r="C333" s="18" t="s">
        <v>156</v>
      </c>
      <c r="D333" s="14" t="s">
        <v>1140</v>
      </c>
      <c r="E333" s="18" t="s">
        <v>9</v>
      </c>
      <c r="F333" s="14" t="s">
        <v>517</v>
      </c>
      <c r="G333" s="14" t="s">
        <v>518</v>
      </c>
      <c r="H333" s="18" t="s">
        <v>5</v>
      </c>
      <c r="I333" s="14" t="s">
        <v>115</v>
      </c>
      <c r="J333" s="14"/>
      <c r="K333" s="18" t="s">
        <v>651</v>
      </c>
      <c r="L333" s="14"/>
      <c r="M333" s="14">
        <v>1</v>
      </c>
      <c r="N333" s="15">
        <f t="shared" si="14"/>
        <v>81355.932203389835</v>
      </c>
      <c r="O333" s="15">
        <f t="shared" si="15"/>
        <v>81355.932203389835</v>
      </c>
      <c r="P333" s="15"/>
      <c r="Q333" s="14" t="s">
        <v>520</v>
      </c>
      <c r="R333" s="25">
        <v>45171</v>
      </c>
      <c r="S333" s="22" t="str">
        <f>TEXT(Table1[[#This Row],[End Date]],"MMMM")</f>
        <v>September</v>
      </c>
      <c r="T333" s="22" t="str">
        <f>TEXT(Table1[[#This Row],[End Date]],"YYYY")</f>
        <v>2023</v>
      </c>
      <c r="U333" s="28">
        <f t="shared" ca="1" si="16"/>
        <v>-38</v>
      </c>
      <c r="V333" s="14" t="str" cm="1">
        <f t="array" aca="1" ref="V333" ca="1">_xlfn.IFS(Table1[[#This Row],[Agreement Days]]&gt;=0,"Expired",Table1[[#This Row],[Agreement Days]]&gt;=-30,"Expires &lt; 30 Days",Table1[[#This Row],[Agreement Days]]&gt;=-60,"Expires &lt; 60 Days",Table1[[#This Row],[Agreement Days]]&lt;-60,"Valid Contract")</f>
        <v>Expires &lt; 60 Days</v>
      </c>
      <c r="W333" s="14" t="s">
        <v>20</v>
      </c>
      <c r="X333" s="18" t="s">
        <v>1141</v>
      </c>
      <c r="Y333" s="45" t="s">
        <v>1142</v>
      </c>
      <c r="Z333" s="17" t="s">
        <v>1143</v>
      </c>
      <c r="AA333" s="19"/>
      <c r="AB333" s="116"/>
      <c r="AC333" s="116"/>
    </row>
    <row r="334" spans="1:29" hidden="1" x14ac:dyDescent="0.3">
      <c r="A334" s="18" t="s">
        <v>1139</v>
      </c>
      <c r="B334" s="18" t="s">
        <v>156</v>
      </c>
      <c r="C334" s="18" t="s">
        <v>156</v>
      </c>
      <c r="D334" s="14" t="s">
        <v>1140</v>
      </c>
      <c r="E334" s="18" t="s">
        <v>9</v>
      </c>
      <c r="F334" s="14" t="s">
        <v>517</v>
      </c>
      <c r="G334" s="14" t="s">
        <v>518</v>
      </c>
      <c r="H334" s="18" t="s">
        <v>5</v>
      </c>
      <c r="I334" s="14" t="s">
        <v>115</v>
      </c>
      <c r="J334" s="14"/>
      <c r="K334" s="18" t="s">
        <v>651</v>
      </c>
      <c r="L334" s="14"/>
      <c r="M334" s="14">
        <v>1</v>
      </c>
      <c r="N334" s="15">
        <f t="shared" si="14"/>
        <v>81355.932203389835</v>
      </c>
      <c r="O334" s="15">
        <f t="shared" si="15"/>
        <v>81355.932203389835</v>
      </c>
      <c r="P334" s="15"/>
      <c r="Q334" s="14" t="s">
        <v>520</v>
      </c>
      <c r="R334" s="25">
        <v>45171</v>
      </c>
      <c r="S334" s="22" t="str">
        <f>TEXT(Table1[[#This Row],[End Date]],"MMMM")</f>
        <v>September</v>
      </c>
      <c r="T334" s="22" t="str">
        <f>TEXT(Table1[[#This Row],[End Date]],"YYYY")</f>
        <v>2023</v>
      </c>
      <c r="U334" s="28">
        <f t="shared" ca="1" si="16"/>
        <v>-38</v>
      </c>
      <c r="V334" s="14" t="str" cm="1">
        <f t="array" aca="1" ref="V334" ca="1">_xlfn.IFS(Table1[[#This Row],[Agreement Days]]&gt;=0,"Expired",Table1[[#This Row],[Agreement Days]]&gt;=-30,"Expires &lt; 30 Days",Table1[[#This Row],[Agreement Days]]&gt;=-60,"Expires &lt; 60 Days",Table1[[#This Row],[Agreement Days]]&lt;-60,"Valid Contract")</f>
        <v>Expires &lt; 60 Days</v>
      </c>
      <c r="W334" s="14" t="s">
        <v>20</v>
      </c>
      <c r="X334" s="18" t="s">
        <v>1141</v>
      </c>
      <c r="Y334" s="45" t="s">
        <v>1142</v>
      </c>
      <c r="Z334" s="17" t="s">
        <v>1143</v>
      </c>
      <c r="AA334" s="19"/>
      <c r="AB334" s="116"/>
      <c r="AC334" s="116"/>
    </row>
    <row r="335" spans="1:29" hidden="1" x14ac:dyDescent="0.3">
      <c r="A335" s="18" t="s">
        <v>1139</v>
      </c>
      <c r="B335" s="18" t="s">
        <v>156</v>
      </c>
      <c r="C335" s="18" t="s">
        <v>1201</v>
      </c>
      <c r="D335" s="14" t="s">
        <v>1140</v>
      </c>
      <c r="E335" s="18" t="s">
        <v>9</v>
      </c>
      <c r="F335" s="14" t="s">
        <v>517</v>
      </c>
      <c r="G335" s="14" t="s">
        <v>518</v>
      </c>
      <c r="H335" s="18" t="s">
        <v>5</v>
      </c>
      <c r="I335" s="14" t="s">
        <v>115</v>
      </c>
      <c r="J335" s="14"/>
      <c r="K335" s="18" t="s">
        <v>651</v>
      </c>
      <c r="L335" s="14"/>
      <c r="M335" s="14">
        <v>6</v>
      </c>
      <c r="N335" s="15">
        <f t="shared" si="14"/>
        <v>81355.932203389835</v>
      </c>
      <c r="O335" s="15">
        <f t="shared" si="15"/>
        <v>488135.59322033904</v>
      </c>
      <c r="P335" s="15"/>
      <c r="Q335" s="14" t="s">
        <v>520</v>
      </c>
      <c r="R335" s="25">
        <v>45171</v>
      </c>
      <c r="S335" s="22" t="str">
        <f>TEXT(Table1[[#This Row],[End Date]],"MMMM")</f>
        <v>September</v>
      </c>
      <c r="T335" s="22" t="str">
        <f>TEXT(Table1[[#This Row],[End Date]],"YYYY")</f>
        <v>2023</v>
      </c>
      <c r="U335" s="24">
        <f t="shared" ca="1" si="16"/>
        <v>-38</v>
      </c>
      <c r="V335" s="14" t="str" cm="1">
        <f t="array" aca="1" ref="V335" ca="1">_xlfn.IFS(Table1[[#This Row],[Agreement Days]]&gt;=0,"Expired",Table1[[#This Row],[Agreement Days]]&gt;=-30,"Expires &lt; 30 Days",Table1[[#This Row],[Agreement Days]]&gt;=-60,"Expires &lt; 60 Days",Table1[[#This Row],[Agreement Days]]&lt;-60,"Valid Contract")</f>
        <v>Expires &lt; 60 Days</v>
      </c>
      <c r="W335" s="14" t="s">
        <v>20</v>
      </c>
      <c r="X335" s="26" t="s">
        <v>1141</v>
      </c>
      <c r="Y335" s="45" t="s">
        <v>1142</v>
      </c>
      <c r="Z335" s="17" t="s">
        <v>1143</v>
      </c>
      <c r="AA335" s="19"/>
      <c r="AB335" s="116"/>
      <c r="AC335" s="116"/>
    </row>
    <row r="336" spans="1:29" hidden="1" x14ac:dyDescent="0.3">
      <c r="A336" s="18" t="s">
        <v>1139</v>
      </c>
      <c r="B336" s="18" t="s">
        <v>156</v>
      </c>
      <c r="C336" s="18" t="s">
        <v>156</v>
      </c>
      <c r="D336" s="14" t="s">
        <v>1140</v>
      </c>
      <c r="E336" s="18" t="s">
        <v>9</v>
      </c>
      <c r="F336" s="14" t="s">
        <v>517</v>
      </c>
      <c r="G336" s="14" t="s">
        <v>518</v>
      </c>
      <c r="H336" s="18" t="s">
        <v>5</v>
      </c>
      <c r="I336" s="14" t="s">
        <v>115</v>
      </c>
      <c r="J336" s="14"/>
      <c r="K336" s="18" t="s">
        <v>573</v>
      </c>
      <c r="L336" s="14"/>
      <c r="M336" s="14">
        <v>27</v>
      </c>
      <c r="N336" s="15">
        <v>19491.53</v>
      </c>
      <c r="O336" s="15">
        <f t="shared" si="15"/>
        <v>526271.30999999994</v>
      </c>
      <c r="P336" s="15"/>
      <c r="Q336" s="14" t="s">
        <v>520</v>
      </c>
      <c r="R336" s="25">
        <v>45171</v>
      </c>
      <c r="S336" s="22" t="str">
        <f>TEXT(Table1[[#This Row],[End Date]],"MMMM")</f>
        <v>September</v>
      </c>
      <c r="T336" s="22" t="str">
        <f>TEXT(Table1[[#This Row],[End Date]],"YYYY")</f>
        <v>2023</v>
      </c>
      <c r="U336" s="24">
        <f t="shared" ca="1" si="16"/>
        <v>-38</v>
      </c>
      <c r="V336" s="14" t="str" cm="1">
        <f t="array" aca="1" ref="V336" ca="1">_xlfn.IFS(Table1[[#This Row],[Agreement Days]]&gt;=0,"Expired",Table1[[#This Row],[Agreement Days]]&gt;=-30,"Expires &lt; 30 Days",Table1[[#This Row],[Agreement Days]]&gt;=-60,"Expires &lt; 60 Days",Table1[[#This Row],[Agreement Days]]&lt;-60,"Valid Contract")</f>
        <v>Expires &lt; 60 Days</v>
      </c>
      <c r="W336" s="14" t="s">
        <v>20</v>
      </c>
      <c r="X336" s="26" t="s">
        <v>1141</v>
      </c>
      <c r="Y336" s="45" t="s">
        <v>1142</v>
      </c>
      <c r="Z336" s="17" t="s">
        <v>1143</v>
      </c>
      <c r="AA336" s="19"/>
      <c r="AB336" s="116"/>
      <c r="AC336" s="116"/>
    </row>
    <row r="337" spans="1:29" hidden="1" x14ac:dyDescent="0.3">
      <c r="A337" s="18" t="s">
        <v>1139</v>
      </c>
      <c r="B337" s="18" t="s">
        <v>156</v>
      </c>
      <c r="C337" s="18" t="s">
        <v>156</v>
      </c>
      <c r="D337" s="14" t="s">
        <v>1140</v>
      </c>
      <c r="E337" s="18" t="s">
        <v>9</v>
      </c>
      <c r="F337" s="14" t="s">
        <v>517</v>
      </c>
      <c r="G337" s="14" t="s">
        <v>518</v>
      </c>
      <c r="H337" s="18" t="s">
        <v>5</v>
      </c>
      <c r="I337" s="14" t="s">
        <v>115</v>
      </c>
      <c r="J337" s="14"/>
      <c r="K337" s="18" t="s">
        <v>643</v>
      </c>
      <c r="L337" s="14"/>
      <c r="M337" s="14">
        <v>98</v>
      </c>
      <c r="N337" s="15">
        <v>28305.08</v>
      </c>
      <c r="O337" s="15">
        <f t="shared" si="15"/>
        <v>2773897.8400000003</v>
      </c>
      <c r="P337" s="15"/>
      <c r="Q337" s="14" t="s">
        <v>520</v>
      </c>
      <c r="R337" s="25">
        <v>45171</v>
      </c>
      <c r="S337" s="22" t="str">
        <f>TEXT(Table1[[#This Row],[End Date]],"MMMM")</f>
        <v>September</v>
      </c>
      <c r="T337" s="22" t="str">
        <f>TEXT(Table1[[#This Row],[End Date]],"YYYY")</f>
        <v>2023</v>
      </c>
      <c r="U337" s="24">
        <f t="shared" ca="1" si="16"/>
        <v>-38</v>
      </c>
      <c r="V337" s="14" t="str" cm="1">
        <f t="array" aca="1" ref="V337" ca="1">_xlfn.IFS(Table1[[#This Row],[Agreement Days]]&gt;=0,"Expired",Table1[[#This Row],[Agreement Days]]&gt;=-30,"Expires &lt; 30 Days",Table1[[#This Row],[Agreement Days]]&gt;=-60,"Expires &lt; 60 Days",Table1[[#This Row],[Agreement Days]]&lt;-60,"Valid Contract")</f>
        <v>Expires &lt; 60 Days</v>
      </c>
      <c r="W337" s="14" t="s">
        <v>20</v>
      </c>
      <c r="X337" s="26" t="s">
        <v>1141</v>
      </c>
      <c r="Y337" s="45" t="s">
        <v>1142</v>
      </c>
      <c r="Z337" s="17" t="s">
        <v>1143</v>
      </c>
      <c r="AA337" s="19"/>
      <c r="AB337" s="116"/>
      <c r="AC337" s="116"/>
    </row>
    <row r="338" spans="1:29" x14ac:dyDescent="0.3">
      <c r="A338" s="18" t="s">
        <v>1202</v>
      </c>
      <c r="B338" s="18" t="s">
        <v>233</v>
      </c>
      <c r="C338" s="18" t="s">
        <v>610</v>
      </c>
      <c r="D338" s="14" t="s">
        <v>545</v>
      </c>
      <c r="E338" s="18" t="s">
        <v>10</v>
      </c>
      <c r="F338" s="14" t="s">
        <v>1203</v>
      </c>
      <c r="G338" s="14" t="s">
        <v>518</v>
      </c>
      <c r="H338" s="18" t="s">
        <v>2</v>
      </c>
      <c r="I338" s="14" t="s">
        <v>136</v>
      </c>
      <c r="J338" s="14"/>
      <c r="K338" s="14" t="s">
        <v>611</v>
      </c>
      <c r="L338" s="14"/>
      <c r="M338" s="14">
        <v>1</v>
      </c>
      <c r="N338" s="2">
        <v>214608</v>
      </c>
      <c r="O338" s="15">
        <f t="shared" si="15"/>
        <v>214608</v>
      </c>
      <c r="P338" s="15"/>
      <c r="Q338" s="14" t="s">
        <v>520</v>
      </c>
      <c r="R338" s="25">
        <v>45172</v>
      </c>
      <c r="S338" s="22" t="str">
        <f>TEXT(Table1[[#This Row],[End Date]],"MMMM")</f>
        <v>September</v>
      </c>
      <c r="T338" s="23" t="str">
        <f>TEXT(Table1[[#This Row],[End Date]],"YYYY")</f>
        <v>2023</v>
      </c>
      <c r="U338" s="24">
        <f t="shared" ca="1" si="16"/>
        <v>-39</v>
      </c>
      <c r="V338" s="14" t="str" cm="1">
        <f t="array" aca="1" ref="V338" ca="1">_xlfn.IFS(Table1[[#This Row],[Agreement Days]]&gt;=0,"Expired",Table1[[#This Row],[Agreement Days]]&gt;=-30,"Expires &lt; 30 Days",Table1[[#This Row],[Agreement Days]]&gt;=-60,"Expires &lt; 60 Days",Table1[[#This Row],[Agreement Days]]&lt;-60,"Valid Contract")</f>
        <v>Expires &lt; 60 Days</v>
      </c>
      <c r="W338" s="14" t="s">
        <v>12</v>
      </c>
      <c r="X338" s="14" t="s">
        <v>1204</v>
      </c>
      <c r="Y338" s="16" t="s">
        <v>1205</v>
      </c>
      <c r="Z338" s="14" t="s">
        <v>1206</v>
      </c>
      <c r="AA338" s="14"/>
      <c r="AB338" s="116"/>
      <c r="AC338" s="116"/>
    </row>
    <row r="339" spans="1:29" hidden="1" x14ac:dyDescent="0.3">
      <c r="A339" s="18" t="s">
        <v>1207</v>
      </c>
      <c r="B339" s="18" t="s">
        <v>386</v>
      </c>
      <c r="C339" s="18" t="s">
        <v>386</v>
      </c>
      <c r="D339" s="14" t="s">
        <v>653</v>
      </c>
      <c r="E339" s="18" t="s">
        <v>9</v>
      </c>
      <c r="F339" s="14" t="s">
        <v>517</v>
      </c>
      <c r="G339" s="14" t="s">
        <v>518</v>
      </c>
      <c r="H339" s="18" t="s">
        <v>5</v>
      </c>
      <c r="I339" s="14" t="s">
        <v>115</v>
      </c>
      <c r="J339" s="14"/>
      <c r="K339" s="18" t="s">
        <v>643</v>
      </c>
      <c r="L339" s="14"/>
      <c r="M339" s="14">
        <v>11</v>
      </c>
      <c r="N339" s="15">
        <v>28305.08</v>
      </c>
      <c r="O339" s="15">
        <f t="shared" si="15"/>
        <v>311355.88</v>
      </c>
      <c r="P339" s="15"/>
      <c r="Q339" s="14" t="s">
        <v>520</v>
      </c>
      <c r="R339" s="25">
        <v>45176</v>
      </c>
      <c r="S339" s="22" t="str">
        <f>TEXT(Table1[[#This Row],[End Date]],"MMMM")</f>
        <v>September</v>
      </c>
      <c r="T339" s="23" t="str">
        <f>TEXT(Table1[[#This Row],[End Date]],"YYYY")</f>
        <v>2023</v>
      </c>
      <c r="U339" s="24">
        <f t="shared" ca="1" si="16"/>
        <v>-43</v>
      </c>
      <c r="V339" s="14" t="str" cm="1">
        <f t="array" aca="1" ref="V339" ca="1">_xlfn.IFS(Table1[[#This Row],[Agreement Days]]&gt;=0,"Expired",Table1[[#This Row],[Agreement Days]]&gt;=-30,"Expires &lt; 30 Days",Table1[[#This Row],[Agreement Days]]&gt;=-60,"Expires &lt; 60 Days",Table1[[#This Row],[Agreement Days]]&lt;-60,"Valid Contract")</f>
        <v>Expires &lt; 60 Days</v>
      </c>
      <c r="W339" s="14" t="s">
        <v>20</v>
      </c>
      <c r="X339" s="26" t="s">
        <v>1208</v>
      </c>
      <c r="Y339" s="16" t="s">
        <v>1209</v>
      </c>
      <c r="Z339" s="17" t="s">
        <v>1210</v>
      </c>
      <c r="AA339" s="19"/>
      <c r="AB339" s="116"/>
      <c r="AC339" s="116"/>
    </row>
    <row r="340" spans="1:29" hidden="1" x14ac:dyDescent="0.3">
      <c r="A340" s="18" t="s">
        <v>552</v>
      </c>
      <c r="B340" s="18" t="s">
        <v>226</v>
      </c>
      <c r="C340" s="18" t="s">
        <v>553</v>
      </c>
      <c r="D340" s="14" t="s">
        <v>545</v>
      </c>
      <c r="E340" s="18" t="s">
        <v>9</v>
      </c>
      <c r="F340" s="14" t="s">
        <v>517</v>
      </c>
      <c r="G340" s="14" t="s">
        <v>518</v>
      </c>
      <c r="H340" s="18" t="s">
        <v>5</v>
      </c>
      <c r="I340" s="14" t="s">
        <v>115</v>
      </c>
      <c r="J340" s="14"/>
      <c r="K340" s="14" t="s">
        <v>1211</v>
      </c>
      <c r="L340" s="14"/>
      <c r="M340" s="14">
        <v>3</v>
      </c>
      <c r="N340" s="15">
        <v>22033.9</v>
      </c>
      <c r="O340" s="15">
        <f t="shared" si="15"/>
        <v>66101.700000000012</v>
      </c>
      <c r="P340" s="15"/>
      <c r="Q340" s="14" t="s">
        <v>520</v>
      </c>
      <c r="R340" s="25">
        <v>45176</v>
      </c>
      <c r="S340" s="22" t="str">
        <f>TEXT(Table1[[#This Row],[End Date]],"MMMM")</f>
        <v>September</v>
      </c>
      <c r="T340" s="23" t="str">
        <f>TEXT(Table1[[#This Row],[End Date]],"YYYY")</f>
        <v>2023</v>
      </c>
      <c r="U340" s="24">
        <f t="shared" ca="1" si="16"/>
        <v>-43</v>
      </c>
      <c r="V340" s="14" t="str" cm="1">
        <f t="array" aca="1" ref="V340" ca="1">_xlfn.IFS(Table1[[#This Row],[Agreement Days]]&gt;=0,"Expired",Table1[[#This Row],[Agreement Days]]&gt;=-30,"Expires &lt; 30 Days",Table1[[#This Row],[Agreement Days]]&gt;=-60,"Expires &lt; 60 Days",Table1[[#This Row],[Agreement Days]]&lt;-60,"Valid Contract")</f>
        <v>Expires &lt; 60 Days</v>
      </c>
      <c r="W340" s="14" t="s">
        <v>20</v>
      </c>
      <c r="X340" s="14" t="s">
        <v>555</v>
      </c>
      <c r="Y340" s="16" t="s">
        <v>556</v>
      </c>
      <c r="Z340" s="17" t="s">
        <v>557</v>
      </c>
      <c r="AA340" s="19"/>
      <c r="AB340" s="116"/>
      <c r="AC340" s="116"/>
    </row>
    <row r="341" spans="1:29" hidden="1" x14ac:dyDescent="0.3">
      <c r="A341" s="18" t="s">
        <v>1070</v>
      </c>
      <c r="B341" s="18" t="s">
        <v>219</v>
      </c>
      <c r="C341" s="18" t="s">
        <v>1071</v>
      </c>
      <c r="D341" s="14" t="s">
        <v>808</v>
      </c>
      <c r="E341" s="18" t="s">
        <v>9</v>
      </c>
      <c r="F341" s="14" t="s">
        <v>688</v>
      </c>
      <c r="G341" s="14" t="s">
        <v>518</v>
      </c>
      <c r="H341" s="18" t="s">
        <v>4</v>
      </c>
      <c r="I341" s="14" t="s">
        <v>118</v>
      </c>
      <c r="J341" s="18"/>
      <c r="K341" s="18" t="s">
        <v>650</v>
      </c>
      <c r="L341" s="18"/>
      <c r="M341" s="14">
        <v>1</v>
      </c>
      <c r="N341" s="15">
        <v>369325</v>
      </c>
      <c r="O341" s="15">
        <f t="shared" si="15"/>
        <v>369325</v>
      </c>
      <c r="P341" s="15"/>
      <c r="Q341" s="14" t="s">
        <v>520</v>
      </c>
      <c r="R341" s="25">
        <v>45177</v>
      </c>
      <c r="S341" s="34" t="str">
        <f>TEXT(Table1[[#This Row],[End Date]],"MMMM")</f>
        <v>September</v>
      </c>
      <c r="T341" s="34" t="str">
        <f>TEXT(Table1[[#This Row],[End Date]],"YYYY")</f>
        <v>2023</v>
      </c>
      <c r="U341" s="24">
        <f t="shared" ca="1" si="16"/>
        <v>-44</v>
      </c>
      <c r="V341" s="14" t="str" cm="1">
        <f t="array" aca="1" ref="V341" ca="1">_xlfn.IFS(Table1[[#This Row],[Agreement Days]]&gt;=0,"Expired",Table1[[#This Row],[Agreement Days]]&gt;=-30,"Expires &lt; 30 Days",Table1[[#This Row],[Agreement Days]]&gt;=-60,"Expires &lt; 60 Days",Table1[[#This Row],[Agreement Days]]&lt;-60,"Valid Contract")</f>
        <v>Expires &lt; 60 Days</v>
      </c>
      <c r="W341" s="18" t="s">
        <v>21</v>
      </c>
      <c r="X341" s="18" t="s">
        <v>1072</v>
      </c>
      <c r="Y341" s="42" t="s">
        <v>1073</v>
      </c>
      <c r="Z341" s="27">
        <v>788553158</v>
      </c>
      <c r="AA341" s="27"/>
      <c r="AB341" s="116"/>
      <c r="AC341" s="116"/>
    </row>
    <row r="342" spans="1:29" x14ac:dyDescent="0.3">
      <c r="A342" s="18" t="s">
        <v>1212</v>
      </c>
      <c r="B342" s="18" t="s">
        <v>38</v>
      </c>
      <c r="C342" s="18" t="s">
        <v>1213</v>
      </c>
      <c r="D342" s="14" t="s">
        <v>630</v>
      </c>
      <c r="E342" s="18" t="s">
        <v>9</v>
      </c>
      <c r="F342" s="14" t="s">
        <v>631</v>
      </c>
      <c r="G342" s="14" t="s">
        <v>518</v>
      </c>
      <c r="H342" s="18" t="s">
        <v>2</v>
      </c>
      <c r="I342" s="14" t="s">
        <v>118</v>
      </c>
      <c r="J342" s="14"/>
      <c r="K342" s="14" t="s">
        <v>721</v>
      </c>
      <c r="L342" s="14"/>
      <c r="M342" s="14">
        <v>1</v>
      </c>
      <c r="N342" s="15">
        <v>369325</v>
      </c>
      <c r="O342" s="15">
        <f t="shared" si="15"/>
        <v>369325</v>
      </c>
      <c r="P342" s="15"/>
      <c r="Q342" s="14" t="s">
        <v>520</v>
      </c>
      <c r="R342" s="25">
        <v>45178</v>
      </c>
      <c r="S342" s="22" t="str">
        <f>TEXT(Table1[[#This Row],[End Date]],"MMMM")</f>
        <v>September</v>
      </c>
      <c r="T342" s="23" t="str">
        <f>TEXT(Table1[[#This Row],[End Date]],"YYYY")</f>
        <v>2023</v>
      </c>
      <c r="U342" s="24">
        <f t="shared" ca="1" si="16"/>
        <v>-45</v>
      </c>
      <c r="V342" s="14" t="str" cm="1">
        <f t="array" aca="1" ref="V342" ca="1">_xlfn.IFS(Table1[[#This Row],[Agreement Days]]&gt;=0,"Expired",Table1[[#This Row],[Agreement Days]]&gt;=-30,"Expires &lt; 30 Days",Table1[[#This Row],[Agreement Days]]&gt;=-60,"Expires &lt; 60 Days",Table1[[#This Row],[Agreement Days]]&lt;-60,"Valid Contract")</f>
        <v>Expires &lt; 60 Days</v>
      </c>
      <c r="W342" s="14" t="s">
        <v>12</v>
      </c>
      <c r="X342" s="14" t="s">
        <v>1214</v>
      </c>
      <c r="Y342" s="16" t="s">
        <v>1215</v>
      </c>
      <c r="Z342" s="17" t="s">
        <v>1216</v>
      </c>
      <c r="AA342" s="17"/>
      <c r="AB342" s="116"/>
      <c r="AC342" s="116"/>
    </row>
    <row r="343" spans="1:29" x14ac:dyDescent="0.3">
      <c r="A343" s="18" t="s">
        <v>1212</v>
      </c>
      <c r="B343" s="18" t="s">
        <v>38</v>
      </c>
      <c r="C343" s="18" t="s">
        <v>1217</v>
      </c>
      <c r="D343" s="14" t="s">
        <v>653</v>
      </c>
      <c r="E343" s="18" t="s">
        <v>9</v>
      </c>
      <c r="F343" s="14" t="s">
        <v>631</v>
      </c>
      <c r="G343" s="14" t="s">
        <v>518</v>
      </c>
      <c r="H343" s="18" t="s">
        <v>2</v>
      </c>
      <c r="I343" s="14" t="s">
        <v>118</v>
      </c>
      <c r="J343" s="14"/>
      <c r="K343" s="14" t="s">
        <v>1218</v>
      </c>
      <c r="L343" s="14"/>
      <c r="M343" s="14">
        <v>1</v>
      </c>
      <c r="N343" s="15">
        <v>86130</v>
      </c>
      <c r="O343" s="15">
        <f t="shared" si="15"/>
        <v>86130</v>
      </c>
      <c r="P343" s="15"/>
      <c r="Q343" s="14" t="s">
        <v>520</v>
      </c>
      <c r="R343" s="25">
        <v>45178</v>
      </c>
      <c r="S343" s="22" t="str">
        <f>TEXT(Table1[[#This Row],[End Date]],"MMMM")</f>
        <v>September</v>
      </c>
      <c r="T343" s="23" t="str">
        <f>TEXT(Table1[[#This Row],[End Date]],"YYYY")</f>
        <v>2023</v>
      </c>
      <c r="U343" s="24">
        <f t="shared" ca="1" si="16"/>
        <v>-45</v>
      </c>
      <c r="V343" s="14" t="str" cm="1">
        <f t="array" aca="1" ref="V343" ca="1">_xlfn.IFS(Table1[[#This Row],[Agreement Days]]&gt;=0,"Expired",Table1[[#This Row],[Agreement Days]]&gt;=-30,"Expires &lt; 30 Days",Table1[[#This Row],[Agreement Days]]&gt;=-60,"Expires &lt; 60 Days",Table1[[#This Row],[Agreement Days]]&lt;-60,"Valid Contract")</f>
        <v>Expires &lt; 60 Days</v>
      </c>
      <c r="W343" s="14" t="s">
        <v>12</v>
      </c>
      <c r="X343" s="14" t="s">
        <v>1214</v>
      </c>
      <c r="Y343" s="16" t="s">
        <v>1215</v>
      </c>
      <c r="Z343" s="17" t="s">
        <v>1216</v>
      </c>
      <c r="AA343" s="17"/>
      <c r="AB343" s="116"/>
      <c r="AC343" s="116"/>
    </row>
    <row r="344" spans="1:29" hidden="1" x14ac:dyDescent="0.3">
      <c r="A344" s="18" t="s">
        <v>1219</v>
      </c>
      <c r="B344" s="18" t="s">
        <v>245</v>
      </c>
      <c r="C344" s="18" t="s">
        <v>1220</v>
      </c>
      <c r="D344" s="14" t="s">
        <v>810</v>
      </c>
      <c r="E344" s="18" t="s">
        <v>9</v>
      </c>
      <c r="F344" s="14" t="s">
        <v>693</v>
      </c>
      <c r="G344" s="14" t="s">
        <v>518</v>
      </c>
      <c r="H344" s="18" t="s">
        <v>5</v>
      </c>
      <c r="I344" s="14" t="s">
        <v>117</v>
      </c>
      <c r="J344" s="19">
        <v>5</v>
      </c>
      <c r="K344" s="26" t="s">
        <v>519</v>
      </c>
      <c r="L344" s="26"/>
      <c r="M344" s="19">
        <v>1</v>
      </c>
      <c r="N344" s="15">
        <v>270000</v>
      </c>
      <c r="O344" s="15">
        <f t="shared" si="15"/>
        <v>270000</v>
      </c>
      <c r="P344" s="15"/>
      <c r="Q344" s="14" t="s">
        <v>520</v>
      </c>
      <c r="R344" s="25">
        <v>45181</v>
      </c>
      <c r="S344" s="34" t="str">
        <f>TEXT(Table1[[#This Row],[End Date]],"MMMM")</f>
        <v>September</v>
      </c>
      <c r="T344" s="34" t="str">
        <f>TEXT(Table1[[#This Row],[End Date]],"YYYY")</f>
        <v>2023</v>
      </c>
      <c r="U344" s="24">
        <f t="shared" ca="1" si="16"/>
        <v>-48</v>
      </c>
      <c r="V344" s="14" t="str" cm="1">
        <f t="array" aca="1" ref="V344" ca="1">_xlfn.IFS(Table1[[#This Row],[Agreement Days]]&gt;=0,"Expired",Table1[[#This Row],[Agreement Days]]&gt;=-30,"Expires &lt; 30 Days",Table1[[#This Row],[Agreement Days]]&gt;=-60,"Expires &lt; 60 Days",Table1[[#This Row],[Agreement Days]]&lt;-60,"Valid Contract")</f>
        <v>Expires &lt; 60 Days</v>
      </c>
      <c r="W344" s="26" t="s">
        <v>17</v>
      </c>
      <c r="X344" s="26" t="s">
        <v>1163</v>
      </c>
      <c r="Y344" s="18" t="s">
        <v>1164</v>
      </c>
      <c r="Z344" s="27">
        <v>788807096</v>
      </c>
      <c r="AA344" s="27"/>
      <c r="AB344" s="116"/>
      <c r="AC344" s="116"/>
    </row>
    <row r="345" spans="1:29" hidden="1" x14ac:dyDescent="0.3">
      <c r="A345" s="18" t="s">
        <v>1221</v>
      </c>
      <c r="B345" s="18" t="s">
        <v>395</v>
      </c>
      <c r="C345" s="18" t="s">
        <v>544</v>
      </c>
      <c r="D345" s="14" t="s">
        <v>545</v>
      </c>
      <c r="E345" s="18" t="s">
        <v>9</v>
      </c>
      <c r="F345" s="14" t="s">
        <v>517</v>
      </c>
      <c r="G345" s="14" t="s">
        <v>518</v>
      </c>
      <c r="H345" s="18" t="s">
        <v>5</v>
      </c>
      <c r="I345" s="14" t="s">
        <v>115</v>
      </c>
      <c r="J345" s="18"/>
      <c r="K345" s="18" t="s">
        <v>642</v>
      </c>
      <c r="L345" s="18"/>
      <c r="M345" s="14">
        <v>1</v>
      </c>
      <c r="N345" s="15">
        <v>101694.92</v>
      </c>
      <c r="O345" s="15">
        <f t="shared" si="15"/>
        <v>101694.92</v>
      </c>
      <c r="P345" s="15"/>
      <c r="Q345" s="14" t="s">
        <v>520</v>
      </c>
      <c r="R345" s="25">
        <v>45184</v>
      </c>
      <c r="S345" s="34" t="str">
        <f>TEXT(Table1[[#This Row],[End Date]],"MMMM")</f>
        <v>September</v>
      </c>
      <c r="T345" s="34" t="str">
        <f>TEXT(Table1[[#This Row],[End Date]],"YYYY")</f>
        <v>2023</v>
      </c>
      <c r="U345" s="24">
        <f t="shared" ca="1" si="16"/>
        <v>-51</v>
      </c>
      <c r="V345" s="14" t="str" cm="1">
        <f t="array" aca="1" ref="V345" ca="1">_xlfn.IFS(Table1[[#This Row],[Agreement Days]]&gt;=0,"Expired",Table1[[#This Row],[Agreement Days]]&gt;=-30,"Expires &lt; 30 Days",Table1[[#This Row],[Agreement Days]]&gt;=-60,"Expires &lt; 60 Days",Table1[[#This Row],[Agreement Days]]&lt;-60,"Valid Contract")</f>
        <v>Expires &lt; 60 Days</v>
      </c>
      <c r="W345" s="18" t="s">
        <v>18</v>
      </c>
      <c r="X345" s="18" t="s">
        <v>1222</v>
      </c>
      <c r="Y345" s="35" t="s">
        <v>1223</v>
      </c>
      <c r="Z345" s="36" t="s">
        <v>1224</v>
      </c>
      <c r="AA345" s="27"/>
      <c r="AB345" s="116"/>
      <c r="AC345" s="116"/>
    </row>
    <row r="346" spans="1:29" hidden="1" x14ac:dyDescent="0.3">
      <c r="A346" s="18" t="s">
        <v>1221</v>
      </c>
      <c r="B346" s="18" t="s">
        <v>395</v>
      </c>
      <c r="C346" s="18" t="s">
        <v>544</v>
      </c>
      <c r="D346" s="14" t="s">
        <v>545</v>
      </c>
      <c r="E346" s="18" t="s">
        <v>9</v>
      </c>
      <c r="F346" s="14" t="s">
        <v>517</v>
      </c>
      <c r="G346" s="14" t="s">
        <v>518</v>
      </c>
      <c r="H346" s="18" t="s">
        <v>5</v>
      </c>
      <c r="I346" s="14" t="s">
        <v>115</v>
      </c>
      <c r="J346" s="18"/>
      <c r="K346" s="18" t="s">
        <v>573</v>
      </c>
      <c r="L346" s="18"/>
      <c r="M346" s="14">
        <v>2</v>
      </c>
      <c r="N346" s="15">
        <v>19491.53</v>
      </c>
      <c r="O346" s="15">
        <f t="shared" si="15"/>
        <v>38983.06</v>
      </c>
      <c r="P346" s="15"/>
      <c r="Q346" s="14" t="s">
        <v>520</v>
      </c>
      <c r="R346" s="25">
        <v>45184</v>
      </c>
      <c r="S346" s="34" t="str">
        <f>TEXT(Table1[[#This Row],[End Date]],"MMMM")</f>
        <v>September</v>
      </c>
      <c r="T346" s="34" t="str">
        <f>TEXT(Table1[[#This Row],[End Date]],"YYYY")</f>
        <v>2023</v>
      </c>
      <c r="U346" s="24">
        <f t="shared" ca="1" si="16"/>
        <v>-51</v>
      </c>
      <c r="V346" s="14" t="str" cm="1">
        <f t="array" aca="1" ref="V346" ca="1">_xlfn.IFS(Table1[[#This Row],[Agreement Days]]&gt;=0,"Expired",Table1[[#This Row],[Agreement Days]]&gt;=-30,"Expires &lt; 30 Days",Table1[[#This Row],[Agreement Days]]&gt;=-60,"Expires &lt; 60 Days",Table1[[#This Row],[Agreement Days]]&lt;-60,"Valid Contract")</f>
        <v>Expires &lt; 60 Days</v>
      </c>
      <c r="W346" s="18" t="s">
        <v>18</v>
      </c>
      <c r="X346" s="18" t="s">
        <v>1222</v>
      </c>
      <c r="Y346" s="35" t="s">
        <v>1223</v>
      </c>
      <c r="Z346" s="36" t="s">
        <v>1224</v>
      </c>
      <c r="AA346" s="36"/>
      <c r="AB346" s="116"/>
      <c r="AC346" s="116"/>
    </row>
    <row r="347" spans="1:29" hidden="1" x14ac:dyDescent="0.3">
      <c r="A347" s="18" t="s">
        <v>1221</v>
      </c>
      <c r="B347" s="18" t="s">
        <v>395</v>
      </c>
      <c r="C347" s="18" t="s">
        <v>544</v>
      </c>
      <c r="D347" s="14" t="s">
        <v>545</v>
      </c>
      <c r="E347" s="18" t="s">
        <v>9</v>
      </c>
      <c r="F347" s="14" t="s">
        <v>517</v>
      </c>
      <c r="G347" s="14" t="s">
        <v>518</v>
      </c>
      <c r="H347" s="18" t="s">
        <v>5</v>
      </c>
      <c r="I347" s="14" t="s">
        <v>115</v>
      </c>
      <c r="J347" s="18"/>
      <c r="K347" s="18" t="s">
        <v>643</v>
      </c>
      <c r="L347" s="18"/>
      <c r="M347" s="14">
        <v>5</v>
      </c>
      <c r="N347" s="15">
        <v>28305.08</v>
      </c>
      <c r="O347" s="15">
        <f t="shared" si="15"/>
        <v>141525.40000000002</v>
      </c>
      <c r="P347" s="15"/>
      <c r="Q347" s="14" t="s">
        <v>520</v>
      </c>
      <c r="R347" s="25">
        <v>45184</v>
      </c>
      <c r="S347" s="34" t="str">
        <f>TEXT(Table1[[#This Row],[End Date]],"MMMM")</f>
        <v>September</v>
      </c>
      <c r="T347" s="34" t="str">
        <f>TEXT(Table1[[#This Row],[End Date]],"YYYY")</f>
        <v>2023</v>
      </c>
      <c r="U347" s="24">
        <f t="shared" ca="1" si="16"/>
        <v>-51</v>
      </c>
      <c r="V347" s="14" t="str" cm="1">
        <f t="array" aca="1" ref="V347" ca="1">_xlfn.IFS(Table1[[#This Row],[Agreement Days]]&gt;=0,"Expired",Table1[[#This Row],[Agreement Days]]&gt;=-30,"Expires &lt; 30 Days",Table1[[#This Row],[Agreement Days]]&gt;=-60,"Expires &lt; 60 Days",Table1[[#This Row],[Agreement Days]]&lt;-60,"Valid Contract")</f>
        <v>Expires &lt; 60 Days</v>
      </c>
      <c r="W347" s="18" t="s">
        <v>18</v>
      </c>
      <c r="X347" s="18" t="s">
        <v>1222</v>
      </c>
      <c r="Y347" s="35" t="s">
        <v>1223</v>
      </c>
      <c r="Z347" s="36" t="s">
        <v>1224</v>
      </c>
      <c r="AA347" s="27"/>
      <c r="AB347" s="116"/>
      <c r="AC347" s="116"/>
    </row>
    <row r="348" spans="1:29" hidden="1" x14ac:dyDescent="0.3">
      <c r="A348" s="18" t="s">
        <v>1225</v>
      </c>
      <c r="B348" s="18" t="s">
        <v>191</v>
      </c>
      <c r="C348" s="18" t="s">
        <v>1226</v>
      </c>
      <c r="D348" s="14" t="s">
        <v>653</v>
      </c>
      <c r="E348" s="18" t="s">
        <v>9</v>
      </c>
      <c r="F348" s="14" t="s">
        <v>517</v>
      </c>
      <c r="G348" s="14" t="s">
        <v>518</v>
      </c>
      <c r="H348" s="18" t="s">
        <v>2</v>
      </c>
      <c r="I348" s="14" t="s">
        <v>117</v>
      </c>
      <c r="J348" s="19">
        <v>40</v>
      </c>
      <c r="K348" s="26" t="s">
        <v>962</v>
      </c>
      <c r="L348" s="26"/>
      <c r="M348" s="19">
        <v>1</v>
      </c>
      <c r="N348" s="15">
        <v>1529661.02</v>
      </c>
      <c r="O348" s="15">
        <f t="shared" si="15"/>
        <v>1529661.02</v>
      </c>
      <c r="P348" s="15"/>
      <c r="Q348" s="14" t="s">
        <v>520</v>
      </c>
      <c r="R348" s="25">
        <v>45184</v>
      </c>
      <c r="S348" s="34" t="str">
        <f>TEXT(Table1[[#This Row],[End Date]],"MMMM")</f>
        <v>September</v>
      </c>
      <c r="T348" s="34" t="str">
        <f>TEXT(Table1[[#This Row],[End Date]],"YYYY")</f>
        <v>2023</v>
      </c>
      <c r="U348" s="24">
        <f t="shared" ca="1" si="16"/>
        <v>-51</v>
      </c>
      <c r="V348" s="14" t="str" cm="1">
        <f t="array" aca="1" ref="V348" ca="1">_xlfn.IFS(Table1[[#This Row],[Agreement Days]]&gt;=0,"Expired",Table1[[#This Row],[Agreement Days]]&gt;=-30,"Expires &lt; 30 Days",Table1[[#This Row],[Agreement Days]]&gt;=-60,"Expires &lt; 60 Days",Table1[[#This Row],[Agreement Days]]&lt;-60,"Valid Contract")</f>
        <v>Expires &lt; 60 Days</v>
      </c>
      <c r="W348" s="26" t="s">
        <v>17</v>
      </c>
      <c r="X348" s="14" t="s">
        <v>1227</v>
      </c>
      <c r="Y348" s="35" t="s">
        <v>1228</v>
      </c>
      <c r="Z348" s="27">
        <v>789338380</v>
      </c>
      <c r="AA348" s="27"/>
      <c r="AB348" s="116"/>
      <c r="AC348" s="116"/>
    </row>
    <row r="349" spans="1:29" hidden="1" x14ac:dyDescent="0.3">
      <c r="A349" s="18" t="s">
        <v>1225</v>
      </c>
      <c r="B349" s="18" t="s">
        <v>191</v>
      </c>
      <c r="C349" s="18" t="s">
        <v>544</v>
      </c>
      <c r="D349" s="14" t="s">
        <v>653</v>
      </c>
      <c r="E349" s="18" t="s">
        <v>9</v>
      </c>
      <c r="F349" s="14" t="s">
        <v>517</v>
      </c>
      <c r="G349" s="14" t="s">
        <v>518</v>
      </c>
      <c r="H349" s="18" t="s">
        <v>5</v>
      </c>
      <c r="I349" s="14" t="s">
        <v>117</v>
      </c>
      <c r="J349" s="19">
        <v>40</v>
      </c>
      <c r="K349" s="26" t="s">
        <v>962</v>
      </c>
      <c r="L349" s="26"/>
      <c r="M349" s="19">
        <v>1</v>
      </c>
      <c r="N349" s="15">
        <v>1529661.02</v>
      </c>
      <c r="O349" s="15">
        <f t="shared" si="15"/>
        <v>1529661.02</v>
      </c>
      <c r="P349" s="15"/>
      <c r="Q349" s="14" t="s">
        <v>520</v>
      </c>
      <c r="R349" s="25">
        <v>45184</v>
      </c>
      <c r="S349" s="34" t="str">
        <f>TEXT(Table1[[#This Row],[End Date]],"MMMM")</f>
        <v>September</v>
      </c>
      <c r="T349" s="34" t="str">
        <f>TEXT(Table1[[#This Row],[End Date]],"YYYY")</f>
        <v>2023</v>
      </c>
      <c r="U349" s="24">
        <f t="shared" ca="1" si="16"/>
        <v>-51</v>
      </c>
      <c r="V349" s="14" t="str" cm="1">
        <f t="array" aca="1" ref="V349" ca="1">_xlfn.IFS(Table1[[#This Row],[Agreement Days]]&gt;=0,"Expired",Table1[[#This Row],[Agreement Days]]&gt;=-30,"Expires &lt; 30 Days",Table1[[#This Row],[Agreement Days]]&gt;=-60,"Expires &lt; 60 Days",Table1[[#This Row],[Agreement Days]]&lt;-60,"Valid Contract")</f>
        <v>Expires &lt; 60 Days</v>
      </c>
      <c r="W349" s="26" t="s">
        <v>17</v>
      </c>
      <c r="X349" s="14" t="s">
        <v>1227</v>
      </c>
      <c r="Y349" s="35" t="s">
        <v>1228</v>
      </c>
      <c r="Z349" s="27">
        <v>789338380</v>
      </c>
      <c r="AA349" s="27"/>
      <c r="AB349" s="116"/>
      <c r="AC349" s="116"/>
    </row>
    <row r="350" spans="1:29" hidden="1" x14ac:dyDescent="0.3">
      <c r="A350" s="18" t="s">
        <v>1225</v>
      </c>
      <c r="B350" s="18" t="s">
        <v>191</v>
      </c>
      <c r="C350" s="18" t="s">
        <v>1226</v>
      </c>
      <c r="D350" s="14" t="s">
        <v>653</v>
      </c>
      <c r="E350" s="18" t="s">
        <v>9</v>
      </c>
      <c r="F350" s="14" t="s">
        <v>517</v>
      </c>
      <c r="G350" s="14" t="s">
        <v>518</v>
      </c>
      <c r="H350" s="18" t="s">
        <v>2</v>
      </c>
      <c r="I350" s="14" t="s">
        <v>131</v>
      </c>
      <c r="J350" s="26"/>
      <c r="K350" s="26" t="s">
        <v>720</v>
      </c>
      <c r="L350" s="26"/>
      <c r="M350" s="19">
        <v>1</v>
      </c>
      <c r="N350" s="15">
        <v>60000</v>
      </c>
      <c r="O350" s="15">
        <f t="shared" si="15"/>
        <v>60000</v>
      </c>
      <c r="P350" s="15"/>
      <c r="Q350" s="14" t="s">
        <v>520</v>
      </c>
      <c r="R350" s="25">
        <v>45184</v>
      </c>
      <c r="S350" s="34" t="str">
        <f>TEXT(Table1[[#This Row],[End Date]],"MMMM")</f>
        <v>September</v>
      </c>
      <c r="T350" s="34" t="str">
        <f>TEXT(Table1[[#This Row],[End Date]],"YYYY")</f>
        <v>2023</v>
      </c>
      <c r="U350" s="24">
        <f t="shared" ca="1" si="16"/>
        <v>-51</v>
      </c>
      <c r="V350" s="14" t="str" cm="1">
        <f t="array" aca="1" ref="V350" ca="1">_xlfn.IFS(Table1[[#This Row],[Agreement Days]]&gt;=0,"Expired",Table1[[#This Row],[Agreement Days]]&gt;=-30,"Expires &lt; 30 Days",Table1[[#This Row],[Agreement Days]]&gt;=-60,"Expires &lt; 60 Days",Table1[[#This Row],[Agreement Days]]&lt;-60,"Valid Contract")</f>
        <v>Expires &lt; 60 Days</v>
      </c>
      <c r="W350" s="26" t="s">
        <v>17</v>
      </c>
      <c r="X350" s="14" t="s">
        <v>1227</v>
      </c>
      <c r="Y350" s="35" t="s">
        <v>1228</v>
      </c>
      <c r="Z350" s="27">
        <v>789338380</v>
      </c>
      <c r="AA350" s="27"/>
      <c r="AB350" s="116"/>
      <c r="AC350" s="116"/>
    </row>
    <row r="351" spans="1:29" hidden="1" x14ac:dyDescent="0.3">
      <c r="A351" s="18" t="s">
        <v>1225</v>
      </c>
      <c r="B351" s="18" t="s">
        <v>191</v>
      </c>
      <c r="C351" s="18" t="s">
        <v>544</v>
      </c>
      <c r="D351" s="14" t="s">
        <v>653</v>
      </c>
      <c r="E351" s="18" t="s">
        <v>9</v>
      </c>
      <c r="F351" s="14" t="s">
        <v>517</v>
      </c>
      <c r="G351" s="14" t="s">
        <v>518</v>
      </c>
      <c r="H351" s="18" t="s">
        <v>4</v>
      </c>
      <c r="I351" s="14" t="s">
        <v>118</v>
      </c>
      <c r="J351" s="26"/>
      <c r="K351" s="26" t="s">
        <v>650</v>
      </c>
      <c r="L351" s="26"/>
      <c r="M351" s="19">
        <v>1</v>
      </c>
      <c r="N351" s="15">
        <v>369325</v>
      </c>
      <c r="O351" s="15">
        <f t="shared" si="15"/>
        <v>369325</v>
      </c>
      <c r="P351" s="15"/>
      <c r="Q351" s="14" t="s">
        <v>520</v>
      </c>
      <c r="R351" s="25">
        <v>45184</v>
      </c>
      <c r="S351" s="34" t="str">
        <f>TEXT(Table1[[#This Row],[End Date]],"MMMM")</f>
        <v>September</v>
      </c>
      <c r="T351" s="34" t="str">
        <f>TEXT(Table1[[#This Row],[End Date]],"YYYY")</f>
        <v>2023</v>
      </c>
      <c r="U351" s="24">
        <f t="shared" ca="1" si="16"/>
        <v>-51</v>
      </c>
      <c r="V351" s="14" t="str" cm="1">
        <f t="array" aca="1" ref="V351" ca="1">_xlfn.IFS(Table1[[#This Row],[Agreement Days]]&gt;=0,"Expired",Table1[[#This Row],[Agreement Days]]&gt;=-30,"Expires &lt; 30 Days",Table1[[#This Row],[Agreement Days]]&gt;=-60,"Expires &lt; 60 Days",Table1[[#This Row],[Agreement Days]]&lt;-60,"Valid Contract")</f>
        <v>Expires &lt; 60 Days</v>
      </c>
      <c r="W351" s="26" t="s">
        <v>17</v>
      </c>
      <c r="X351" s="14" t="s">
        <v>1227</v>
      </c>
      <c r="Y351" s="35" t="s">
        <v>1228</v>
      </c>
      <c r="Z351" s="27">
        <v>789338380</v>
      </c>
      <c r="AA351" s="27"/>
      <c r="AB351" s="116"/>
      <c r="AC351" s="116"/>
    </row>
    <row r="352" spans="1:29" hidden="1" x14ac:dyDescent="0.3">
      <c r="A352" s="18" t="s">
        <v>1225</v>
      </c>
      <c r="B352" s="18" t="s">
        <v>191</v>
      </c>
      <c r="C352" s="18" t="s">
        <v>544</v>
      </c>
      <c r="D352" s="14" t="s">
        <v>653</v>
      </c>
      <c r="E352" s="18" t="s">
        <v>9</v>
      </c>
      <c r="F352" s="14" t="s">
        <v>517</v>
      </c>
      <c r="G352" s="14" t="s">
        <v>518</v>
      </c>
      <c r="H352" s="18" t="s">
        <v>5</v>
      </c>
      <c r="I352" s="14" t="s">
        <v>115</v>
      </c>
      <c r="J352" s="26"/>
      <c r="K352" s="18" t="s">
        <v>573</v>
      </c>
      <c r="L352" s="26"/>
      <c r="M352" s="19">
        <v>1</v>
      </c>
      <c r="N352" s="15">
        <v>19491.53</v>
      </c>
      <c r="O352" s="15">
        <f t="shared" si="15"/>
        <v>19491.53</v>
      </c>
      <c r="P352" s="15"/>
      <c r="Q352" s="14" t="s">
        <v>520</v>
      </c>
      <c r="R352" s="25">
        <v>45184</v>
      </c>
      <c r="S352" s="34" t="str">
        <f>TEXT(Table1[[#This Row],[End Date]],"MMMM")</f>
        <v>September</v>
      </c>
      <c r="T352" s="23" t="str">
        <f>TEXT(Table1[[#This Row],[End Date]],"YYYY")</f>
        <v>2023</v>
      </c>
      <c r="U352" s="24">
        <f t="shared" ca="1" si="16"/>
        <v>-51</v>
      </c>
      <c r="V352" s="14" t="str" cm="1">
        <f t="array" aca="1" ref="V352" ca="1">_xlfn.IFS(Table1[[#This Row],[Agreement Days]]&gt;=0,"Expired",Table1[[#This Row],[Agreement Days]]&gt;=-30,"Expires &lt; 30 Days",Table1[[#This Row],[Agreement Days]]&gt;=-60,"Expires &lt; 60 Days",Table1[[#This Row],[Agreement Days]]&lt;-60,"Valid Contract")</f>
        <v>Expires &lt; 60 Days</v>
      </c>
      <c r="W352" s="26" t="s">
        <v>17</v>
      </c>
      <c r="X352" s="14" t="s">
        <v>1227</v>
      </c>
      <c r="Y352" s="35" t="s">
        <v>1228</v>
      </c>
      <c r="Z352" s="27">
        <v>789338380</v>
      </c>
      <c r="AA352" s="27"/>
      <c r="AB352" s="116"/>
      <c r="AC352" s="116"/>
    </row>
    <row r="353" spans="1:29" hidden="1" x14ac:dyDescent="0.3">
      <c r="A353" s="18" t="s">
        <v>1225</v>
      </c>
      <c r="B353" s="18" t="s">
        <v>191</v>
      </c>
      <c r="C353" s="18" t="s">
        <v>544</v>
      </c>
      <c r="D353" s="14" t="s">
        <v>653</v>
      </c>
      <c r="E353" s="18" t="s">
        <v>9</v>
      </c>
      <c r="F353" s="14" t="s">
        <v>517</v>
      </c>
      <c r="G353" s="14" t="s">
        <v>518</v>
      </c>
      <c r="H353" s="18" t="s">
        <v>2</v>
      </c>
      <c r="I353" s="14" t="s">
        <v>120</v>
      </c>
      <c r="J353" s="26"/>
      <c r="K353" s="26" t="s">
        <v>649</v>
      </c>
      <c r="L353" s="26"/>
      <c r="M353" s="19">
        <v>2</v>
      </c>
      <c r="N353" s="15">
        <v>258044.92</v>
      </c>
      <c r="O353" s="15">
        <f t="shared" si="15"/>
        <v>516089.84</v>
      </c>
      <c r="P353" s="15"/>
      <c r="Q353" s="14" t="s">
        <v>520</v>
      </c>
      <c r="R353" s="25">
        <v>45184</v>
      </c>
      <c r="S353" s="34" t="str">
        <f>TEXT(Table1[[#This Row],[End Date]],"MMMM")</f>
        <v>September</v>
      </c>
      <c r="T353" s="34" t="str">
        <f>TEXT(Table1[[#This Row],[End Date]],"YYYY")</f>
        <v>2023</v>
      </c>
      <c r="U353" s="24">
        <f t="shared" ca="1" si="16"/>
        <v>-51</v>
      </c>
      <c r="V353" s="14" t="str" cm="1">
        <f t="array" aca="1" ref="V353" ca="1">_xlfn.IFS(Table1[[#This Row],[Agreement Days]]&gt;=0,"Expired",Table1[[#This Row],[Agreement Days]]&gt;=-30,"Expires &lt; 30 Days",Table1[[#This Row],[Agreement Days]]&gt;=-60,"Expires &lt; 60 Days",Table1[[#This Row],[Agreement Days]]&lt;-60,"Valid Contract")</f>
        <v>Expires &lt; 60 Days</v>
      </c>
      <c r="W353" s="26" t="s">
        <v>17</v>
      </c>
      <c r="X353" s="14" t="s">
        <v>1227</v>
      </c>
      <c r="Y353" s="35" t="s">
        <v>1228</v>
      </c>
      <c r="Z353" s="27">
        <v>789338380</v>
      </c>
      <c r="AA353" s="27"/>
      <c r="AB353" s="116"/>
      <c r="AC353" s="116"/>
    </row>
    <row r="354" spans="1:29" hidden="1" x14ac:dyDescent="0.3">
      <c r="A354" s="18" t="s">
        <v>1229</v>
      </c>
      <c r="B354" s="18" t="s">
        <v>343</v>
      </c>
      <c r="C354" s="18" t="s">
        <v>1230</v>
      </c>
      <c r="D354" s="14" t="s">
        <v>579</v>
      </c>
      <c r="E354" s="18" t="s">
        <v>9</v>
      </c>
      <c r="F354" s="14" t="s">
        <v>688</v>
      </c>
      <c r="G354" s="14" t="s">
        <v>518</v>
      </c>
      <c r="H354" s="18" t="s">
        <v>4</v>
      </c>
      <c r="I354" s="14" t="s">
        <v>118</v>
      </c>
      <c r="J354" s="18"/>
      <c r="K354" s="18" t="s">
        <v>594</v>
      </c>
      <c r="L354" s="18"/>
      <c r="M354" s="14">
        <v>1</v>
      </c>
      <c r="N354" s="15">
        <v>86310</v>
      </c>
      <c r="O354" s="15">
        <f t="shared" si="15"/>
        <v>86310</v>
      </c>
      <c r="P354" s="15"/>
      <c r="Q354" s="14" t="s">
        <v>520</v>
      </c>
      <c r="R354" s="25">
        <v>45188</v>
      </c>
      <c r="S354" s="34" t="str">
        <f>TEXT(Table1[[#This Row],[End Date]],"MMMM")</f>
        <v>September</v>
      </c>
      <c r="T354" s="34" t="str">
        <f>TEXT(Table1[[#This Row],[End Date]],"YYYY")</f>
        <v>2023</v>
      </c>
      <c r="U354" s="24">
        <f t="shared" ca="1" si="16"/>
        <v>-55</v>
      </c>
      <c r="V354" s="14" t="str" cm="1">
        <f t="array" aca="1" ref="V354" ca="1">_xlfn.IFS(Table1[[#This Row],[Agreement Days]]&gt;=0,"Expired",Table1[[#This Row],[Agreement Days]]&gt;=-30,"Expires &lt; 30 Days",Table1[[#This Row],[Agreement Days]]&gt;=-60,"Expires &lt; 60 Days",Table1[[#This Row],[Agreement Days]]&lt;-60,"Valid Contract")</f>
        <v>Expires &lt; 60 Days</v>
      </c>
      <c r="W354" s="18" t="s">
        <v>21</v>
      </c>
      <c r="X354" s="18" t="s">
        <v>1231</v>
      </c>
      <c r="Y354" s="42" t="s">
        <v>1232</v>
      </c>
      <c r="Z354" s="27">
        <v>782434307</v>
      </c>
      <c r="AA354" s="27"/>
      <c r="AB354" s="116"/>
      <c r="AC354" s="116"/>
    </row>
    <row r="355" spans="1:29" hidden="1" x14ac:dyDescent="0.3">
      <c r="A355" s="18" t="s">
        <v>1233</v>
      </c>
      <c r="B355" s="18" t="s">
        <v>149</v>
      </c>
      <c r="C355" s="18" t="s">
        <v>1234</v>
      </c>
      <c r="D355" s="14" t="s">
        <v>545</v>
      </c>
      <c r="E355" s="18" t="s">
        <v>9</v>
      </c>
      <c r="F355" s="14" t="s">
        <v>688</v>
      </c>
      <c r="G355" s="14" t="s">
        <v>546</v>
      </c>
      <c r="H355" s="18" t="s">
        <v>4</v>
      </c>
      <c r="I355" s="14" t="s">
        <v>118</v>
      </c>
      <c r="J355" s="18"/>
      <c r="K355" s="18" t="s">
        <v>1235</v>
      </c>
      <c r="L355" s="18"/>
      <c r="M355" s="14">
        <v>1</v>
      </c>
      <c r="N355" s="15">
        <f>1744718/1.18</f>
        <v>1478574.5762711866</v>
      </c>
      <c r="O355" s="15">
        <f t="shared" si="15"/>
        <v>1478574.5762711866</v>
      </c>
      <c r="P355" s="15"/>
      <c r="Q355" s="14" t="s">
        <v>520</v>
      </c>
      <c r="R355" s="25">
        <v>45188</v>
      </c>
      <c r="S355" s="34" t="str">
        <f>TEXT(Table1[[#This Row],[End Date]],"MMMM")</f>
        <v>September</v>
      </c>
      <c r="T355" s="34" t="str">
        <f>TEXT(Table1[[#This Row],[End Date]],"YYYY")</f>
        <v>2023</v>
      </c>
      <c r="U355" s="24">
        <f t="shared" ca="1" si="16"/>
        <v>-55</v>
      </c>
      <c r="V355" s="14" t="str" cm="1">
        <f t="array" aca="1" ref="V355" ca="1">_xlfn.IFS(Table1[[#This Row],[Agreement Days]]&gt;=0,"Expired",Table1[[#This Row],[Agreement Days]]&gt;=-30,"Expires &lt; 30 Days",Table1[[#This Row],[Agreement Days]]&gt;=-60,"Expires &lt; 60 Days",Table1[[#This Row],[Agreement Days]]&lt;-60,"Valid Contract")</f>
        <v>Expires &lt; 60 Days</v>
      </c>
      <c r="W355" s="18" t="s">
        <v>21</v>
      </c>
      <c r="X355" s="18" t="s">
        <v>1236</v>
      </c>
      <c r="Y355" s="42" t="s">
        <v>1237</v>
      </c>
      <c r="Z355" s="27">
        <v>788512162</v>
      </c>
      <c r="AA355" s="27"/>
      <c r="AB355" s="116"/>
      <c r="AC355" s="116"/>
    </row>
    <row r="356" spans="1:29" hidden="1" x14ac:dyDescent="0.3">
      <c r="A356" s="18" t="s">
        <v>1233</v>
      </c>
      <c r="B356" s="18" t="s">
        <v>149</v>
      </c>
      <c r="C356" s="18" t="s">
        <v>1238</v>
      </c>
      <c r="D356" s="14" t="s">
        <v>545</v>
      </c>
      <c r="E356" s="18" t="s">
        <v>9</v>
      </c>
      <c r="F356" s="14" t="s">
        <v>688</v>
      </c>
      <c r="G356" s="14" t="s">
        <v>546</v>
      </c>
      <c r="H356" s="18" t="s">
        <v>4</v>
      </c>
      <c r="I356" s="14" t="s">
        <v>118</v>
      </c>
      <c r="J356" s="18"/>
      <c r="K356" s="18" t="s">
        <v>594</v>
      </c>
      <c r="L356" s="18"/>
      <c r="M356" s="14">
        <v>1</v>
      </c>
      <c r="N356" s="15">
        <f>101633/1.18</f>
        <v>86129.661016949161</v>
      </c>
      <c r="O356" s="15">
        <f t="shared" si="15"/>
        <v>86129.661016949161</v>
      </c>
      <c r="P356" s="15"/>
      <c r="Q356" s="14" t="s">
        <v>520</v>
      </c>
      <c r="R356" s="25">
        <v>45188</v>
      </c>
      <c r="S356" s="34" t="str">
        <f>TEXT(Table1[[#This Row],[End Date]],"MMMM")</f>
        <v>September</v>
      </c>
      <c r="T356" s="34" t="str">
        <f>TEXT(Table1[[#This Row],[End Date]],"YYYY")</f>
        <v>2023</v>
      </c>
      <c r="U356" s="24">
        <f t="shared" ca="1" si="16"/>
        <v>-55</v>
      </c>
      <c r="V356" s="14" t="str" cm="1">
        <f t="array" aca="1" ref="V356" ca="1">_xlfn.IFS(Table1[[#This Row],[Agreement Days]]&gt;=0,"Expired",Table1[[#This Row],[Agreement Days]]&gt;=-30,"Expires &lt; 30 Days",Table1[[#This Row],[Agreement Days]]&gt;=-60,"Expires &lt; 60 Days",Table1[[#This Row],[Agreement Days]]&lt;-60,"Valid Contract")</f>
        <v>Expires &lt; 60 Days</v>
      </c>
      <c r="W356" s="18" t="s">
        <v>21</v>
      </c>
      <c r="X356" s="18" t="s">
        <v>1236</v>
      </c>
      <c r="Y356" s="42" t="s">
        <v>1237</v>
      </c>
      <c r="Z356" s="27">
        <v>788512162</v>
      </c>
      <c r="AA356" s="27"/>
      <c r="AB356" s="116"/>
      <c r="AC356" s="116"/>
    </row>
    <row r="357" spans="1:29" hidden="1" x14ac:dyDescent="0.3">
      <c r="A357" s="18" t="s">
        <v>1233</v>
      </c>
      <c r="B357" s="18" t="s">
        <v>149</v>
      </c>
      <c r="C357" s="18" t="s">
        <v>1239</v>
      </c>
      <c r="D357" s="14" t="s">
        <v>808</v>
      </c>
      <c r="E357" s="18" t="s">
        <v>9</v>
      </c>
      <c r="F357" s="14" t="s">
        <v>688</v>
      </c>
      <c r="G357" s="14" t="s">
        <v>546</v>
      </c>
      <c r="H357" s="18" t="s">
        <v>4</v>
      </c>
      <c r="I357" s="14" t="s">
        <v>118</v>
      </c>
      <c r="J357" s="18"/>
      <c r="K357" s="18" t="s">
        <v>594</v>
      </c>
      <c r="L357" s="18"/>
      <c r="M357" s="14">
        <v>1</v>
      </c>
      <c r="N357" s="15">
        <f>101633/1.18</f>
        <v>86129.661016949161</v>
      </c>
      <c r="O357" s="15">
        <f t="shared" si="15"/>
        <v>86129.661016949161</v>
      </c>
      <c r="P357" s="15"/>
      <c r="Q357" s="14" t="s">
        <v>520</v>
      </c>
      <c r="R357" s="25">
        <v>45188</v>
      </c>
      <c r="S357" s="34" t="str">
        <f>TEXT(Table1[[#This Row],[End Date]],"MMMM")</f>
        <v>September</v>
      </c>
      <c r="T357" s="34" t="str">
        <f>TEXT(Table1[[#This Row],[End Date]],"YYYY")</f>
        <v>2023</v>
      </c>
      <c r="U357" s="24">
        <f t="shared" ca="1" si="16"/>
        <v>-55</v>
      </c>
      <c r="V357" s="14" t="str" cm="1">
        <f t="array" aca="1" ref="V357" ca="1">_xlfn.IFS(Table1[[#This Row],[Agreement Days]]&gt;=0,"Expired",Table1[[#This Row],[Agreement Days]]&gt;=-30,"Expires &lt; 30 Days",Table1[[#This Row],[Agreement Days]]&gt;=-60,"Expires &lt; 60 Days",Table1[[#This Row],[Agreement Days]]&lt;-60,"Valid Contract")</f>
        <v>Expires &lt; 60 Days</v>
      </c>
      <c r="W357" s="18" t="s">
        <v>21</v>
      </c>
      <c r="X357" s="18" t="s">
        <v>1236</v>
      </c>
      <c r="Y357" s="42" t="s">
        <v>1237</v>
      </c>
      <c r="Z357" s="27">
        <v>788512162</v>
      </c>
      <c r="AA357" s="27"/>
      <c r="AB357" s="116"/>
      <c r="AC357" s="116"/>
    </row>
    <row r="358" spans="1:29" hidden="1" x14ac:dyDescent="0.3">
      <c r="A358" s="18" t="s">
        <v>1233</v>
      </c>
      <c r="B358" s="18" t="s">
        <v>149</v>
      </c>
      <c r="C358" s="18" t="s">
        <v>1240</v>
      </c>
      <c r="D358" s="14" t="s">
        <v>616</v>
      </c>
      <c r="E358" s="18" t="s">
        <v>9</v>
      </c>
      <c r="F358" s="14" t="s">
        <v>688</v>
      </c>
      <c r="G358" s="14" t="s">
        <v>546</v>
      </c>
      <c r="H358" s="18" t="s">
        <v>4</v>
      </c>
      <c r="I358" s="14" t="s">
        <v>118</v>
      </c>
      <c r="J358" s="18"/>
      <c r="K358" s="18" t="s">
        <v>594</v>
      </c>
      <c r="L358" s="18"/>
      <c r="M358" s="14">
        <v>1</v>
      </c>
      <c r="N358" s="15">
        <f>101633/1.18</f>
        <v>86129.661016949161</v>
      </c>
      <c r="O358" s="15">
        <f t="shared" si="15"/>
        <v>86129.661016949161</v>
      </c>
      <c r="P358" s="15"/>
      <c r="Q358" s="14" t="s">
        <v>520</v>
      </c>
      <c r="R358" s="25">
        <v>45188</v>
      </c>
      <c r="S358" s="34" t="str">
        <f>TEXT(Table1[[#This Row],[End Date]],"MMMM")</f>
        <v>September</v>
      </c>
      <c r="T358" s="34" t="str">
        <f>TEXT(Table1[[#This Row],[End Date]],"YYYY")</f>
        <v>2023</v>
      </c>
      <c r="U358" s="24">
        <f t="shared" ca="1" si="16"/>
        <v>-55</v>
      </c>
      <c r="V358" s="14" t="str" cm="1">
        <f t="array" aca="1" ref="V358" ca="1">_xlfn.IFS(Table1[[#This Row],[Agreement Days]]&gt;=0,"Expired",Table1[[#This Row],[Agreement Days]]&gt;=-30,"Expires &lt; 30 Days",Table1[[#This Row],[Agreement Days]]&gt;=-60,"Expires &lt; 60 Days",Table1[[#This Row],[Agreement Days]]&lt;-60,"Valid Contract")</f>
        <v>Expires &lt; 60 Days</v>
      </c>
      <c r="W358" s="18" t="s">
        <v>21</v>
      </c>
      <c r="X358" s="18" t="s">
        <v>1236</v>
      </c>
      <c r="Y358" s="42" t="s">
        <v>1237</v>
      </c>
      <c r="Z358" s="27">
        <v>788512162</v>
      </c>
      <c r="AA358" s="27"/>
      <c r="AB358" s="116"/>
      <c r="AC358" s="116"/>
    </row>
    <row r="359" spans="1:29" hidden="1" x14ac:dyDescent="0.3">
      <c r="A359" s="18" t="s">
        <v>1233</v>
      </c>
      <c r="B359" s="18" t="s">
        <v>149</v>
      </c>
      <c r="C359" s="18" t="s">
        <v>1241</v>
      </c>
      <c r="D359" s="14" t="s">
        <v>540</v>
      </c>
      <c r="E359" s="18" t="s">
        <v>9</v>
      </c>
      <c r="F359" s="14" t="s">
        <v>688</v>
      </c>
      <c r="G359" s="14" t="s">
        <v>546</v>
      </c>
      <c r="H359" s="18" t="s">
        <v>4</v>
      </c>
      <c r="I359" s="14" t="s">
        <v>118</v>
      </c>
      <c r="J359" s="18"/>
      <c r="K359" s="18" t="s">
        <v>594</v>
      </c>
      <c r="L359" s="18"/>
      <c r="M359" s="14">
        <v>1</v>
      </c>
      <c r="N359" s="15">
        <f>101633/1.18</f>
        <v>86129.661016949161</v>
      </c>
      <c r="O359" s="15">
        <f t="shared" si="15"/>
        <v>86129.661016949161</v>
      </c>
      <c r="P359" s="15"/>
      <c r="Q359" s="14" t="s">
        <v>520</v>
      </c>
      <c r="R359" s="25">
        <v>45188</v>
      </c>
      <c r="S359" s="34" t="str">
        <f>TEXT(Table1[[#This Row],[End Date]],"MMMM")</f>
        <v>September</v>
      </c>
      <c r="T359" s="34" t="str">
        <f>TEXT(Table1[[#This Row],[End Date]],"YYYY")</f>
        <v>2023</v>
      </c>
      <c r="U359" s="24">
        <f t="shared" ca="1" si="16"/>
        <v>-55</v>
      </c>
      <c r="V359" s="14" t="str" cm="1">
        <f t="array" aca="1" ref="V359" ca="1">_xlfn.IFS(Table1[[#This Row],[Agreement Days]]&gt;=0,"Expired",Table1[[#This Row],[Agreement Days]]&gt;=-30,"Expires &lt; 30 Days",Table1[[#This Row],[Agreement Days]]&gt;=-60,"Expires &lt; 60 Days",Table1[[#This Row],[Agreement Days]]&lt;-60,"Valid Contract")</f>
        <v>Expires &lt; 60 Days</v>
      </c>
      <c r="W359" s="18" t="s">
        <v>21</v>
      </c>
      <c r="X359" s="18" t="s">
        <v>1236</v>
      </c>
      <c r="Y359" s="42" t="s">
        <v>1237</v>
      </c>
      <c r="Z359" s="27">
        <v>788512162</v>
      </c>
      <c r="AA359" s="27"/>
      <c r="AB359" s="116"/>
      <c r="AC359" s="116"/>
    </row>
    <row r="360" spans="1:29" hidden="1" x14ac:dyDescent="0.3">
      <c r="A360" s="18" t="s">
        <v>1233</v>
      </c>
      <c r="B360" s="18" t="s">
        <v>149</v>
      </c>
      <c r="C360" s="18" t="s">
        <v>1242</v>
      </c>
      <c r="D360" s="14" t="s">
        <v>735</v>
      </c>
      <c r="E360" s="18" t="s">
        <v>9</v>
      </c>
      <c r="F360" s="14" t="s">
        <v>688</v>
      </c>
      <c r="G360" s="14" t="s">
        <v>546</v>
      </c>
      <c r="H360" s="18" t="s">
        <v>4</v>
      </c>
      <c r="I360" s="14" t="s">
        <v>118</v>
      </c>
      <c r="J360" s="18"/>
      <c r="K360" s="18" t="s">
        <v>594</v>
      </c>
      <c r="L360" s="18"/>
      <c r="M360" s="14">
        <v>1</v>
      </c>
      <c r="N360" s="15">
        <f>101633/1.18</f>
        <v>86129.661016949161</v>
      </c>
      <c r="O360" s="15">
        <f t="shared" si="15"/>
        <v>86129.661016949161</v>
      </c>
      <c r="P360" s="15"/>
      <c r="Q360" s="14" t="s">
        <v>520</v>
      </c>
      <c r="R360" s="25">
        <v>45188</v>
      </c>
      <c r="S360" s="34" t="str">
        <f>TEXT(Table1[[#This Row],[End Date]],"MMMM")</f>
        <v>September</v>
      </c>
      <c r="T360" s="34" t="str">
        <f>TEXT(Table1[[#This Row],[End Date]],"YYYY")</f>
        <v>2023</v>
      </c>
      <c r="U360" s="24">
        <f t="shared" ca="1" si="16"/>
        <v>-55</v>
      </c>
      <c r="V360" s="14" t="str" cm="1">
        <f t="array" aca="1" ref="V360" ca="1">_xlfn.IFS(Table1[[#This Row],[Agreement Days]]&gt;=0,"Expired",Table1[[#This Row],[Agreement Days]]&gt;=-30,"Expires &lt; 30 Days",Table1[[#This Row],[Agreement Days]]&gt;=-60,"Expires &lt; 60 Days",Table1[[#This Row],[Agreement Days]]&lt;-60,"Valid Contract")</f>
        <v>Expires &lt; 60 Days</v>
      </c>
      <c r="W360" s="18" t="s">
        <v>21</v>
      </c>
      <c r="X360" s="18" t="s">
        <v>1236</v>
      </c>
      <c r="Y360" s="42" t="s">
        <v>1237</v>
      </c>
      <c r="Z360" s="27">
        <v>788512162</v>
      </c>
      <c r="AA360" s="27"/>
      <c r="AB360" s="116"/>
      <c r="AC360" s="116"/>
    </row>
    <row r="361" spans="1:29" hidden="1" x14ac:dyDescent="0.3">
      <c r="A361" s="18" t="s">
        <v>1233</v>
      </c>
      <c r="B361" s="18" t="s">
        <v>149</v>
      </c>
      <c r="C361" s="18" t="s">
        <v>1243</v>
      </c>
      <c r="D361" s="14" t="s">
        <v>653</v>
      </c>
      <c r="E361" s="18" t="s">
        <v>9</v>
      </c>
      <c r="F361" s="14" t="s">
        <v>688</v>
      </c>
      <c r="G361" s="14" t="s">
        <v>546</v>
      </c>
      <c r="H361" s="18" t="s">
        <v>4</v>
      </c>
      <c r="I361" s="14" t="s">
        <v>118</v>
      </c>
      <c r="J361" s="18"/>
      <c r="K361" s="18" t="s">
        <v>650</v>
      </c>
      <c r="L361" s="18"/>
      <c r="M361" s="14">
        <v>1</v>
      </c>
      <c r="N361" s="15">
        <v>369325</v>
      </c>
      <c r="O361" s="15">
        <f t="shared" si="15"/>
        <v>369325</v>
      </c>
      <c r="P361" s="15"/>
      <c r="Q361" s="14" t="s">
        <v>520</v>
      </c>
      <c r="R361" s="25">
        <v>45188</v>
      </c>
      <c r="S361" s="34" t="str">
        <f>TEXT(Table1[[#This Row],[End Date]],"MMMM")</f>
        <v>September</v>
      </c>
      <c r="T361" s="34" t="str">
        <f>TEXT(Table1[[#This Row],[End Date]],"YYYY")</f>
        <v>2023</v>
      </c>
      <c r="U361" s="24">
        <f t="shared" ca="1" si="16"/>
        <v>-55</v>
      </c>
      <c r="V361" s="14" t="str" cm="1">
        <f t="array" aca="1" ref="V361" ca="1">_xlfn.IFS(Table1[[#This Row],[Agreement Days]]&gt;=0,"Expired",Table1[[#This Row],[Agreement Days]]&gt;=-30,"Expires &lt; 30 Days",Table1[[#This Row],[Agreement Days]]&gt;=-60,"Expires &lt; 60 Days",Table1[[#This Row],[Agreement Days]]&lt;-60,"Valid Contract")</f>
        <v>Expires &lt; 60 Days</v>
      </c>
      <c r="W361" s="18" t="s">
        <v>21</v>
      </c>
      <c r="X361" s="18" t="s">
        <v>1236</v>
      </c>
      <c r="Y361" s="42" t="s">
        <v>1237</v>
      </c>
      <c r="Z361" s="27">
        <v>788512162</v>
      </c>
      <c r="AA361" s="27"/>
      <c r="AB361" s="116"/>
      <c r="AC361" s="116"/>
    </row>
    <row r="362" spans="1:29" hidden="1" x14ac:dyDescent="0.3">
      <c r="A362" s="18" t="s">
        <v>1233</v>
      </c>
      <c r="B362" s="18" t="s">
        <v>149</v>
      </c>
      <c r="C362" s="18" t="s">
        <v>1244</v>
      </c>
      <c r="D362" s="14" t="s">
        <v>516</v>
      </c>
      <c r="E362" s="18" t="s">
        <v>9</v>
      </c>
      <c r="F362" s="14" t="s">
        <v>688</v>
      </c>
      <c r="G362" s="14" t="s">
        <v>546</v>
      </c>
      <c r="H362" s="18" t="s">
        <v>4</v>
      </c>
      <c r="I362" s="14" t="s">
        <v>118</v>
      </c>
      <c r="J362" s="18"/>
      <c r="K362" s="18" t="s">
        <v>594</v>
      </c>
      <c r="L362" s="18"/>
      <c r="M362" s="14">
        <v>1</v>
      </c>
      <c r="N362" s="15">
        <f>101633/1.18</f>
        <v>86129.661016949161</v>
      </c>
      <c r="O362" s="15">
        <f t="shared" si="15"/>
        <v>86129.661016949161</v>
      </c>
      <c r="P362" s="15"/>
      <c r="Q362" s="14" t="s">
        <v>520</v>
      </c>
      <c r="R362" s="25">
        <v>45188</v>
      </c>
      <c r="S362" s="34" t="str">
        <f>TEXT(Table1[[#This Row],[End Date]],"MMMM")</f>
        <v>September</v>
      </c>
      <c r="T362" s="34" t="str">
        <f>TEXT(Table1[[#This Row],[End Date]],"YYYY")</f>
        <v>2023</v>
      </c>
      <c r="U362" s="24">
        <f t="shared" ca="1" si="16"/>
        <v>-55</v>
      </c>
      <c r="V362" s="14" t="str" cm="1">
        <f t="array" aca="1" ref="V362" ca="1">_xlfn.IFS(Table1[[#This Row],[Agreement Days]]&gt;=0,"Expired",Table1[[#This Row],[Agreement Days]]&gt;=-30,"Expires &lt; 30 Days",Table1[[#This Row],[Agreement Days]]&gt;=-60,"Expires &lt; 60 Days",Table1[[#This Row],[Agreement Days]]&lt;-60,"Valid Contract")</f>
        <v>Expires &lt; 60 Days</v>
      </c>
      <c r="W362" s="18" t="s">
        <v>21</v>
      </c>
      <c r="X362" s="18" t="s">
        <v>1236</v>
      </c>
      <c r="Y362" s="42" t="s">
        <v>1237</v>
      </c>
      <c r="Z362" s="27">
        <v>788512162</v>
      </c>
      <c r="AA362" s="27"/>
      <c r="AB362" s="116"/>
      <c r="AC362" s="116"/>
    </row>
    <row r="363" spans="1:29" hidden="1" x14ac:dyDescent="0.3">
      <c r="A363" s="18" t="s">
        <v>698</v>
      </c>
      <c r="B363" s="18" t="s">
        <v>122</v>
      </c>
      <c r="C363" s="18" t="s">
        <v>122</v>
      </c>
      <c r="D363" s="14" t="s">
        <v>545</v>
      </c>
      <c r="E363" s="18" t="s">
        <v>9</v>
      </c>
      <c r="F363" s="14" t="s">
        <v>517</v>
      </c>
      <c r="G363" s="14" t="s">
        <v>546</v>
      </c>
      <c r="H363" s="18" t="s">
        <v>5</v>
      </c>
      <c r="I363" s="14" t="s">
        <v>115</v>
      </c>
      <c r="J363" s="14"/>
      <c r="K363" s="26" t="s">
        <v>1245</v>
      </c>
      <c r="L363" s="14"/>
      <c r="M363" s="14">
        <v>1</v>
      </c>
      <c r="N363" s="15">
        <f>53500/1.18</f>
        <v>45338.983050847462</v>
      </c>
      <c r="O363" s="2">
        <f t="shared" si="15"/>
        <v>45338.983050847462</v>
      </c>
      <c r="P363" s="2"/>
      <c r="Q363" s="14" t="s">
        <v>520</v>
      </c>
      <c r="R363" s="25">
        <v>45189</v>
      </c>
      <c r="S363" s="57" t="str">
        <f>TEXT(Table1[[#This Row],[End Date]],"MMMM")</f>
        <v>September</v>
      </c>
      <c r="T363" s="57" t="str">
        <f>TEXT(Table1[[#This Row],[End Date]],"YYYY")</f>
        <v>2023</v>
      </c>
      <c r="U363" s="58">
        <f t="shared" ca="1" si="16"/>
        <v>-56</v>
      </c>
      <c r="V363" s="14" t="str" cm="1">
        <f t="array" aca="1" ref="V363" ca="1">_xlfn.IFS(Table1[[#This Row],[Agreement Days]]&gt;=0,"Expired",Table1[[#This Row],[Agreement Days]]&gt;=-30,"Expires &lt; 30 Days",Table1[[#This Row],[Agreement Days]]&gt;=-60,"Expires &lt; 60 Days",Table1[[#This Row],[Agreement Days]]&lt;-60,"Valid Contract")</f>
        <v>Expires &lt; 60 Days</v>
      </c>
      <c r="W363" s="14" t="s">
        <v>16</v>
      </c>
      <c r="X363" s="14" t="s">
        <v>701</v>
      </c>
      <c r="Y363" s="16" t="s">
        <v>702</v>
      </c>
      <c r="Z363" s="17" t="s">
        <v>703</v>
      </c>
      <c r="AA363" s="17"/>
      <c r="AB363" s="116"/>
      <c r="AC363" s="116"/>
    </row>
    <row r="364" spans="1:29" hidden="1" x14ac:dyDescent="0.3">
      <c r="A364" s="18" t="s">
        <v>698</v>
      </c>
      <c r="B364" s="18" t="s">
        <v>122</v>
      </c>
      <c r="C364" s="18" t="s">
        <v>122</v>
      </c>
      <c r="D364" s="14" t="s">
        <v>545</v>
      </c>
      <c r="E364" s="18" t="s">
        <v>9</v>
      </c>
      <c r="F364" s="14" t="s">
        <v>517</v>
      </c>
      <c r="G364" s="14" t="s">
        <v>546</v>
      </c>
      <c r="H364" s="18" t="s">
        <v>5</v>
      </c>
      <c r="I364" s="14" t="s">
        <v>115</v>
      </c>
      <c r="J364" s="14"/>
      <c r="K364" s="26" t="s">
        <v>1246</v>
      </c>
      <c r="L364" s="14"/>
      <c r="M364" s="20">
        <v>9</v>
      </c>
      <c r="N364" s="15">
        <v>54237.29</v>
      </c>
      <c r="O364" s="15">
        <f t="shared" si="15"/>
        <v>488135.61</v>
      </c>
      <c r="P364" s="15"/>
      <c r="Q364" s="14" t="s">
        <v>520</v>
      </c>
      <c r="R364" s="25">
        <v>45189</v>
      </c>
      <c r="S364" s="22" t="str">
        <f>TEXT(Table1[[#This Row],[End Date]],"MMMM")</f>
        <v>September</v>
      </c>
      <c r="T364" s="23" t="str">
        <f>TEXT(Table1[[#This Row],[End Date]],"YYYY")</f>
        <v>2023</v>
      </c>
      <c r="U364" s="24">
        <f t="shared" ca="1" si="16"/>
        <v>-56</v>
      </c>
      <c r="V364" s="14" t="str" cm="1">
        <f t="array" aca="1" ref="V364" ca="1">_xlfn.IFS(Table1[[#This Row],[Agreement Days]]&gt;=0,"Expired",Table1[[#This Row],[Agreement Days]]&gt;=-30,"Expires &lt; 30 Days",Table1[[#This Row],[Agreement Days]]&gt;=-60,"Expires &lt; 60 Days",Table1[[#This Row],[Agreement Days]]&lt;-60,"Valid Contract")</f>
        <v>Expires &lt; 60 Days</v>
      </c>
      <c r="W364" s="14" t="s">
        <v>16</v>
      </c>
      <c r="X364" s="20" t="s">
        <v>701</v>
      </c>
      <c r="Y364" s="16" t="s">
        <v>702</v>
      </c>
      <c r="Z364" s="17" t="s">
        <v>703</v>
      </c>
      <c r="AA364" s="17"/>
      <c r="AB364" s="116"/>
      <c r="AC364" s="116"/>
    </row>
    <row r="365" spans="1:29" x14ac:dyDescent="0.3">
      <c r="A365" s="18" t="s">
        <v>1247</v>
      </c>
      <c r="B365" s="18" t="s">
        <v>450</v>
      </c>
      <c r="C365" s="18" t="s">
        <v>1248</v>
      </c>
      <c r="D365" s="14" t="s">
        <v>545</v>
      </c>
      <c r="E365" s="18" t="s">
        <v>10</v>
      </c>
      <c r="F365" s="14" t="s">
        <v>560</v>
      </c>
      <c r="G365" s="14" t="s">
        <v>518</v>
      </c>
      <c r="H365" s="18" t="s">
        <v>5</v>
      </c>
      <c r="I365" s="14" t="s">
        <v>115</v>
      </c>
      <c r="J365" s="14"/>
      <c r="K365" s="18" t="s">
        <v>1249</v>
      </c>
      <c r="L365" s="14"/>
      <c r="M365" s="14">
        <v>1</v>
      </c>
      <c r="N365" s="15">
        <v>89322.033897999994</v>
      </c>
      <c r="O365" s="15">
        <f t="shared" si="15"/>
        <v>89322.033897999994</v>
      </c>
      <c r="P365" s="15"/>
      <c r="Q365" s="14" t="s">
        <v>520</v>
      </c>
      <c r="R365" s="25">
        <v>45197</v>
      </c>
      <c r="S365" s="22" t="str">
        <f>TEXT(Table1[[#This Row],[End Date]],"MMMM")</f>
        <v>September</v>
      </c>
      <c r="T365" s="23" t="str">
        <f>TEXT(Table1[[#This Row],[End Date]],"YYYY")</f>
        <v>2023</v>
      </c>
      <c r="U365" s="24">
        <f t="shared" ca="1" si="16"/>
        <v>-64</v>
      </c>
      <c r="V365" s="14" t="str" cm="1">
        <f t="array" aca="1" ref="V365" ca="1">_xlfn.IFS(Table1[[#This Row],[Agreement Days]]&gt;=0,"Expired",Table1[[#This Row],[Agreement Days]]&gt;=-30,"Expires &lt; 30 Days",Table1[[#This Row],[Agreement Days]]&gt;=-60,"Expires &lt; 60 Days",Table1[[#This Row],[Agreement Days]]&lt;-60,"Valid Contract")</f>
        <v>Valid Contract</v>
      </c>
      <c r="W365" s="14" t="s">
        <v>12</v>
      </c>
      <c r="X365" s="14" t="s">
        <v>1250</v>
      </c>
      <c r="Y365" s="16" t="s">
        <v>1251</v>
      </c>
      <c r="Z365" s="17" t="s">
        <v>1252</v>
      </c>
      <c r="AA365" s="17"/>
      <c r="AB365" s="116"/>
      <c r="AC365" s="116"/>
    </row>
    <row r="366" spans="1:29" hidden="1" x14ac:dyDescent="0.3">
      <c r="A366" s="18" t="s">
        <v>1253</v>
      </c>
      <c r="B366" s="18" t="s">
        <v>304</v>
      </c>
      <c r="C366" s="18" t="s">
        <v>544</v>
      </c>
      <c r="D366" s="14" t="s">
        <v>653</v>
      </c>
      <c r="E366" s="18" t="s">
        <v>9</v>
      </c>
      <c r="F366" s="14" t="s">
        <v>517</v>
      </c>
      <c r="G366" s="14" t="s">
        <v>518</v>
      </c>
      <c r="H366" s="18" t="s">
        <v>5</v>
      </c>
      <c r="I366" s="14" t="s">
        <v>117</v>
      </c>
      <c r="J366" s="19">
        <v>20</v>
      </c>
      <c r="K366" s="26" t="s">
        <v>689</v>
      </c>
      <c r="L366" s="26"/>
      <c r="M366" s="19">
        <v>1</v>
      </c>
      <c r="N366" s="15">
        <v>900000</v>
      </c>
      <c r="O366" s="15">
        <f t="shared" si="15"/>
        <v>900000</v>
      </c>
      <c r="P366" s="15"/>
      <c r="Q366" s="14" t="s">
        <v>520</v>
      </c>
      <c r="R366" s="25">
        <v>45199</v>
      </c>
      <c r="S366" s="34" t="str">
        <f>TEXT(Table1[[#This Row],[End Date]],"MMMM")</f>
        <v>September</v>
      </c>
      <c r="T366" s="34" t="str">
        <f>TEXT(Table1[[#This Row],[End Date]],"YYYY")</f>
        <v>2023</v>
      </c>
      <c r="U366" s="24">
        <f t="shared" ca="1" si="16"/>
        <v>-66</v>
      </c>
      <c r="V366" s="14" t="str" cm="1">
        <f t="array" aca="1" ref="V366" ca="1">_xlfn.IFS(Table1[[#This Row],[Agreement Days]]&gt;=0,"Expired",Table1[[#This Row],[Agreement Days]]&gt;=-30,"Expires &lt; 30 Days",Table1[[#This Row],[Agreement Days]]&gt;=-60,"Expires &lt; 60 Days",Table1[[#This Row],[Agreement Days]]&lt;-60,"Valid Contract")</f>
        <v>Valid Contract</v>
      </c>
      <c r="W366" s="26" t="s">
        <v>17</v>
      </c>
      <c r="X366" s="26" t="s">
        <v>1254</v>
      </c>
      <c r="Y366" s="35" t="s">
        <v>1255</v>
      </c>
      <c r="Z366" s="27">
        <v>788845290</v>
      </c>
      <c r="AA366" s="27"/>
      <c r="AB366" s="116"/>
      <c r="AC366" s="116"/>
    </row>
    <row r="367" spans="1:29" hidden="1" x14ac:dyDescent="0.3">
      <c r="A367" s="18" t="s">
        <v>1253</v>
      </c>
      <c r="B367" s="18" t="s">
        <v>304</v>
      </c>
      <c r="C367" s="18" t="s">
        <v>544</v>
      </c>
      <c r="D367" s="14" t="s">
        <v>653</v>
      </c>
      <c r="E367" s="18" t="s">
        <v>9</v>
      </c>
      <c r="F367" s="14" t="s">
        <v>517</v>
      </c>
      <c r="G367" s="14" t="s">
        <v>518</v>
      </c>
      <c r="H367" s="18" t="s">
        <v>5</v>
      </c>
      <c r="I367" s="14" t="s">
        <v>115</v>
      </c>
      <c r="J367" s="26"/>
      <c r="K367" s="18" t="s">
        <v>573</v>
      </c>
      <c r="L367" s="26"/>
      <c r="M367" s="19">
        <v>1</v>
      </c>
      <c r="N367" s="15">
        <v>19491.53</v>
      </c>
      <c r="O367" s="15">
        <f t="shared" si="15"/>
        <v>19491.53</v>
      </c>
      <c r="P367" s="15"/>
      <c r="Q367" s="14" t="s">
        <v>520</v>
      </c>
      <c r="R367" s="25">
        <v>45199</v>
      </c>
      <c r="S367" s="34" t="str">
        <f>TEXT(Table1[[#This Row],[End Date]],"MMMM")</f>
        <v>September</v>
      </c>
      <c r="T367" s="23" t="str">
        <f>TEXT(Table1[[#This Row],[End Date]],"YYYY")</f>
        <v>2023</v>
      </c>
      <c r="U367" s="24">
        <f t="shared" ca="1" si="16"/>
        <v>-66</v>
      </c>
      <c r="V367" s="14" t="str" cm="1">
        <f t="array" aca="1" ref="V367" ca="1">_xlfn.IFS(Table1[[#This Row],[Agreement Days]]&gt;=0,"Expired",Table1[[#This Row],[Agreement Days]]&gt;=-30,"Expires &lt; 30 Days",Table1[[#This Row],[Agreement Days]]&gt;=-60,"Expires &lt; 60 Days",Table1[[#This Row],[Agreement Days]]&lt;-60,"Valid Contract")</f>
        <v>Valid Contract</v>
      </c>
      <c r="W367" s="26" t="s">
        <v>17</v>
      </c>
      <c r="X367" s="26" t="s">
        <v>1254</v>
      </c>
      <c r="Y367" s="35" t="s">
        <v>1255</v>
      </c>
      <c r="Z367" s="27">
        <v>788845290</v>
      </c>
      <c r="AA367" s="27"/>
      <c r="AB367" s="116"/>
      <c r="AC367" s="116"/>
    </row>
    <row r="368" spans="1:29" hidden="1" x14ac:dyDescent="0.3">
      <c r="A368" s="18" t="s">
        <v>851</v>
      </c>
      <c r="B368" s="18" t="s">
        <v>260</v>
      </c>
      <c r="C368" s="18" t="s">
        <v>852</v>
      </c>
      <c r="D368" s="14" t="s">
        <v>769</v>
      </c>
      <c r="E368" s="18" t="s">
        <v>9</v>
      </c>
      <c r="F368" s="14" t="s">
        <v>688</v>
      </c>
      <c r="G368" s="14" t="s">
        <v>518</v>
      </c>
      <c r="H368" s="18" t="s">
        <v>5</v>
      </c>
      <c r="I368" s="14" t="s">
        <v>117</v>
      </c>
      <c r="J368" s="14">
        <v>5</v>
      </c>
      <c r="K368" s="18" t="s">
        <v>519</v>
      </c>
      <c r="L368" s="18"/>
      <c r="M368" s="14">
        <v>1</v>
      </c>
      <c r="N368" s="15">
        <v>270000</v>
      </c>
      <c r="O368" s="15">
        <f t="shared" si="15"/>
        <v>270000</v>
      </c>
      <c r="P368" s="15"/>
      <c r="Q368" s="14" t="s">
        <v>520</v>
      </c>
      <c r="R368" s="25">
        <v>45199</v>
      </c>
      <c r="S368" s="34" t="str">
        <f>TEXT(Table1[[#This Row],[End Date]],"MMMM")</f>
        <v>September</v>
      </c>
      <c r="T368" s="34" t="str">
        <f>TEXT(Table1[[#This Row],[End Date]],"YYYY")</f>
        <v>2023</v>
      </c>
      <c r="U368" s="24">
        <f t="shared" ca="1" si="16"/>
        <v>-66</v>
      </c>
      <c r="V368" s="14" t="str" cm="1">
        <f t="array" aca="1" ref="V368" ca="1">_xlfn.IFS(Table1[[#This Row],[Agreement Days]]&gt;=0,"Expired",Table1[[#This Row],[Agreement Days]]&gt;=-30,"Expires &lt; 30 Days",Table1[[#This Row],[Agreement Days]]&gt;=-60,"Expires &lt; 60 Days",Table1[[#This Row],[Agreement Days]]&lt;-60,"Valid Contract")</f>
        <v>Valid Contract</v>
      </c>
      <c r="W368" s="18" t="s">
        <v>21</v>
      </c>
      <c r="X368" s="18" t="s">
        <v>853</v>
      </c>
      <c r="Y368" s="42" t="s">
        <v>854</v>
      </c>
      <c r="Z368" s="27">
        <v>788823232</v>
      </c>
      <c r="AA368" s="27"/>
      <c r="AB368" s="116"/>
      <c r="AC368" s="116"/>
    </row>
    <row r="369" spans="1:29" hidden="1" x14ac:dyDescent="0.3">
      <c r="A369" s="18" t="s">
        <v>1256</v>
      </c>
      <c r="B369" s="18" t="s">
        <v>356</v>
      </c>
      <c r="C369" s="18" t="s">
        <v>356</v>
      </c>
      <c r="D369" s="14" t="s">
        <v>545</v>
      </c>
      <c r="E369" s="18" t="s">
        <v>10</v>
      </c>
      <c r="F369" s="14" t="s">
        <v>688</v>
      </c>
      <c r="G369" s="14" t="s">
        <v>518</v>
      </c>
      <c r="H369" s="18" t="s">
        <v>2</v>
      </c>
      <c r="I369" s="14" t="s">
        <v>134</v>
      </c>
      <c r="J369" s="14">
        <v>10</v>
      </c>
      <c r="K369" s="14" t="s">
        <v>1257</v>
      </c>
      <c r="L369" s="14"/>
      <c r="M369" s="14">
        <v>1</v>
      </c>
      <c r="N369" s="15">
        <v>510000</v>
      </c>
      <c r="O369" s="15">
        <f t="shared" si="15"/>
        <v>510000</v>
      </c>
      <c r="P369" s="15"/>
      <c r="Q369" s="14" t="s">
        <v>520</v>
      </c>
      <c r="R369" s="25">
        <v>45199</v>
      </c>
      <c r="S369" s="22" t="str">
        <f>TEXT(Table1[[#This Row],[End Date]],"MMMM")</f>
        <v>September</v>
      </c>
      <c r="T369" s="23" t="str">
        <f>TEXT(Table1[[#This Row],[End Date]],"YYYY")</f>
        <v>2023</v>
      </c>
      <c r="U369" s="24">
        <f t="shared" ca="1" si="16"/>
        <v>-66</v>
      </c>
      <c r="V369" s="14" t="str" cm="1">
        <f t="array" aca="1" ref="V369" ca="1">_xlfn.IFS(Table1[[#This Row],[Agreement Days]]&gt;=0,"Expired",Table1[[#This Row],[Agreement Days]]&gt;=-30,"Expires &lt; 30 Days",Table1[[#This Row],[Agreement Days]]&gt;=-60,"Expires &lt; 60 Days",Table1[[#This Row],[Agreement Days]]&lt;-60,"Valid Contract")</f>
        <v>Valid Contract</v>
      </c>
      <c r="W369" s="14" t="s">
        <v>20</v>
      </c>
      <c r="X369" s="14" t="s">
        <v>1258</v>
      </c>
      <c r="Y369" s="16" t="s">
        <v>1259</v>
      </c>
      <c r="Z369" s="17" t="s">
        <v>1260</v>
      </c>
      <c r="AA369" s="19"/>
      <c r="AB369" s="116"/>
      <c r="AC369" s="116"/>
    </row>
    <row r="370" spans="1:29" hidden="1" x14ac:dyDescent="0.3">
      <c r="A370" s="18" t="s">
        <v>552</v>
      </c>
      <c r="B370" s="18" t="s">
        <v>226</v>
      </c>
      <c r="C370" s="18" t="s">
        <v>553</v>
      </c>
      <c r="D370" s="14" t="s">
        <v>545</v>
      </c>
      <c r="E370" s="18" t="s">
        <v>9</v>
      </c>
      <c r="F370" s="14" t="s">
        <v>517</v>
      </c>
      <c r="G370" s="14" t="s">
        <v>518</v>
      </c>
      <c r="H370" s="18" t="s">
        <v>5</v>
      </c>
      <c r="I370" s="14" t="s">
        <v>117</v>
      </c>
      <c r="J370" s="14">
        <v>50</v>
      </c>
      <c r="K370" s="14" t="s">
        <v>673</v>
      </c>
      <c r="L370" s="14"/>
      <c r="M370" s="14">
        <v>1</v>
      </c>
      <c r="N370" s="15">
        <v>1800000</v>
      </c>
      <c r="O370" s="15">
        <f t="shared" si="15"/>
        <v>1800000</v>
      </c>
      <c r="P370" s="15"/>
      <c r="Q370" s="14" t="s">
        <v>520</v>
      </c>
      <c r="R370" s="25">
        <v>45199</v>
      </c>
      <c r="S370" s="22" t="str">
        <f>TEXT(Table1[[#This Row],[End Date]],"MMMM")</f>
        <v>September</v>
      </c>
      <c r="T370" s="23" t="str">
        <f>TEXT(Table1[[#This Row],[End Date]],"YYYY")</f>
        <v>2023</v>
      </c>
      <c r="U370" s="24">
        <f t="shared" ca="1" si="16"/>
        <v>-66</v>
      </c>
      <c r="V370" s="14" t="str" cm="1">
        <f t="array" aca="1" ref="V370" ca="1">_xlfn.IFS(Table1[[#This Row],[Agreement Days]]&gt;=0,"Expired",Table1[[#This Row],[Agreement Days]]&gt;=-30,"Expires &lt; 30 Days",Table1[[#This Row],[Agreement Days]]&gt;=-60,"Expires &lt; 60 Days",Table1[[#This Row],[Agreement Days]]&lt;-60,"Valid Contract")</f>
        <v>Valid Contract</v>
      </c>
      <c r="W370" s="14" t="s">
        <v>20</v>
      </c>
      <c r="X370" s="14" t="s">
        <v>555</v>
      </c>
      <c r="Y370" s="16" t="s">
        <v>556</v>
      </c>
      <c r="Z370" s="17" t="s">
        <v>557</v>
      </c>
      <c r="AA370" s="19"/>
      <c r="AB370" s="116"/>
      <c r="AC370" s="116"/>
    </row>
    <row r="371" spans="1:29" hidden="1" x14ac:dyDescent="0.3">
      <c r="A371" s="18" t="s">
        <v>552</v>
      </c>
      <c r="B371" s="18" t="s">
        <v>226</v>
      </c>
      <c r="C371" s="18" t="s">
        <v>553</v>
      </c>
      <c r="D371" s="14" t="s">
        <v>545</v>
      </c>
      <c r="E371" s="18" t="s">
        <v>9</v>
      </c>
      <c r="F371" s="14" t="s">
        <v>517</v>
      </c>
      <c r="G371" s="14" t="s">
        <v>518</v>
      </c>
      <c r="H371" s="18" t="s">
        <v>4</v>
      </c>
      <c r="I371" s="14" t="s">
        <v>118</v>
      </c>
      <c r="J371" s="14"/>
      <c r="K371" s="14" t="s">
        <v>650</v>
      </c>
      <c r="L371" s="14"/>
      <c r="M371" s="14">
        <v>1</v>
      </c>
      <c r="N371" s="15">
        <v>369325.42</v>
      </c>
      <c r="O371" s="15">
        <f t="shared" si="15"/>
        <v>369325.42</v>
      </c>
      <c r="P371" s="15"/>
      <c r="Q371" s="14" t="s">
        <v>520</v>
      </c>
      <c r="R371" s="25">
        <v>45199</v>
      </c>
      <c r="S371" s="22" t="str">
        <f>TEXT(Table1[[#This Row],[End Date]],"MMMM")</f>
        <v>September</v>
      </c>
      <c r="T371" s="23" t="str">
        <f>TEXT(Table1[[#This Row],[End Date]],"YYYY")</f>
        <v>2023</v>
      </c>
      <c r="U371" s="24">
        <f t="shared" ca="1" si="16"/>
        <v>-66</v>
      </c>
      <c r="V371" s="14" t="str" cm="1">
        <f t="array" aca="1" ref="V371" ca="1">_xlfn.IFS(Table1[[#This Row],[Agreement Days]]&gt;=0,"Expired",Table1[[#This Row],[Agreement Days]]&gt;=-30,"Expires &lt; 30 Days",Table1[[#This Row],[Agreement Days]]&gt;=-60,"Expires &lt; 60 Days",Table1[[#This Row],[Agreement Days]]&lt;-60,"Valid Contract")</f>
        <v>Valid Contract</v>
      </c>
      <c r="W371" s="14" t="s">
        <v>20</v>
      </c>
      <c r="X371" s="14" t="s">
        <v>555</v>
      </c>
      <c r="Y371" s="16" t="s">
        <v>556</v>
      </c>
      <c r="Z371" s="17" t="s">
        <v>557</v>
      </c>
      <c r="AA371" s="19"/>
      <c r="AB371" s="116"/>
      <c r="AC371" s="116"/>
    </row>
    <row r="372" spans="1:29" hidden="1" x14ac:dyDescent="0.3">
      <c r="A372" s="18" t="s">
        <v>1261</v>
      </c>
      <c r="B372" s="18" t="s">
        <v>218</v>
      </c>
      <c r="C372" s="18" t="s">
        <v>544</v>
      </c>
      <c r="D372" s="14" t="s">
        <v>810</v>
      </c>
      <c r="E372" s="18" t="s">
        <v>9</v>
      </c>
      <c r="F372" s="14" t="s">
        <v>517</v>
      </c>
      <c r="G372" s="14" t="s">
        <v>518</v>
      </c>
      <c r="H372" s="18" t="s">
        <v>5</v>
      </c>
      <c r="I372" s="14" t="s">
        <v>117</v>
      </c>
      <c r="J372" s="14">
        <v>3</v>
      </c>
      <c r="K372" s="14" t="s">
        <v>646</v>
      </c>
      <c r="L372" s="14"/>
      <c r="M372" s="14">
        <v>1</v>
      </c>
      <c r="N372" s="15">
        <v>180000</v>
      </c>
      <c r="O372" s="15">
        <f t="shared" si="15"/>
        <v>180000</v>
      </c>
      <c r="P372" s="15"/>
      <c r="Q372" s="14" t="s">
        <v>520</v>
      </c>
      <c r="R372" s="25">
        <v>45199</v>
      </c>
      <c r="S372" s="22" t="str">
        <f>TEXT(Table1[[#This Row],[End Date]],"MMMM")</f>
        <v>September</v>
      </c>
      <c r="T372" s="23" t="str">
        <f>TEXT(Table1[[#This Row],[End Date]],"YYYY")</f>
        <v>2023</v>
      </c>
      <c r="U372" s="24">
        <f t="shared" ca="1" si="16"/>
        <v>-66</v>
      </c>
      <c r="V372" s="14" t="str" cm="1">
        <f t="array" aca="1" ref="V372" ca="1">_xlfn.IFS(Table1[[#This Row],[Agreement Days]]&gt;=0,"Expired",Table1[[#This Row],[Agreement Days]]&gt;=-30,"Expires &lt; 30 Days",Table1[[#This Row],[Agreement Days]]&gt;=-60,"Expires &lt; 60 Days",Table1[[#This Row],[Agreement Days]]&lt;-60,"Valid Contract")</f>
        <v>Valid Contract</v>
      </c>
      <c r="W372" s="14" t="s">
        <v>19</v>
      </c>
      <c r="X372" s="14" t="s">
        <v>1262</v>
      </c>
      <c r="Y372" s="43" t="s">
        <v>1263</v>
      </c>
      <c r="Z372" s="17">
        <v>785164119</v>
      </c>
      <c r="AA372" s="17"/>
      <c r="AB372" s="116"/>
      <c r="AC372" s="116"/>
    </row>
    <row r="373" spans="1:29" hidden="1" x14ac:dyDescent="0.3">
      <c r="A373" s="18" t="s">
        <v>1261</v>
      </c>
      <c r="B373" s="18" t="s">
        <v>218</v>
      </c>
      <c r="C373" s="18" t="s">
        <v>544</v>
      </c>
      <c r="D373" s="14" t="s">
        <v>810</v>
      </c>
      <c r="E373" s="18" t="s">
        <v>9</v>
      </c>
      <c r="F373" s="14" t="s">
        <v>517</v>
      </c>
      <c r="G373" s="14" t="s">
        <v>518</v>
      </c>
      <c r="H373" s="18" t="s">
        <v>5</v>
      </c>
      <c r="I373" s="14" t="s">
        <v>117</v>
      </c>
      <c r="J373" s="14">
        <v>5</v>
      </c>
      <c r="K373" s="14" t="s">
        <v>519</v>
      </c>
      <c r="L373" s="14"/>
      <c r="M373" s="14">
        <v>1</v>
      </c>
      <c r="N373" s="15">
        <v>270000</v>
      </c>
      <c r="O373" s="15">
        <f t="shared" si="15"/>
        <v>270000</v>
      </c>
      <c r="P373" s="15"/>
      <c r="Q373" s="14" t="s">
        <v>520</v>
      </c>
      <c r="R373" s="25">
        <v>45199</v>
      </c>
      <c r="S373" s="22" t="str">
        <f>TEXT(Table1[[#This Row],[End Date]],"MMMM")</f>
        <v>September</v>
      </c>
      <c r="T373" s="23" t="str">
        <f>TEXT(Table1[[#This Row],[End Date]],"YYYY")</f>
        <v>2023</v>
      </c>
      <c r="U373" s="24">
        <f t="shared" ca="1" si="16"/>
        <v>-66</v>
      </c>
      <c r="V373" s="14" t="str" cm="1">
        <f t="array" aca="1" ref="V373" ca="1">_xlfn.IFS(Table1[[#This Row],[Agreement Days]]&gt;=0,"Expired",Table1[[#This Row],[Agreement Days]]&gt;=-30,"Expires &lt; 30 Days",Table1[[#This Row],[Agreement Days]]&gt;=-60,"Expires &lt; 60 Days",Table1[[#This Row],[Agreement Days]]&lt;-60,"Valid Contract")</f>
        <v>Valid Contract</v>
      </c>
      <c r="W373" s="14" t="s">
        <v>19</v>
      </c>
      <c r="X373" s="14" t="s">
        <v>1262</v>
      </c>
      <c r="Y373" s="43" t="s">
        <v>1263</v>
      </c>
      <c r="Z373" s="17">
        <v>785164119</v>
      </c>
      <c r="AA373" s="17"/>
      <c r="AB373" s="116"/>
      <c r="AC373" s="116"/>
    </row>
    <row r="374" spans="1:29" hidden="1" x14ac:dyDescent="0.3">
      <c r="A374" s="18" t="s">
        <v>1261</v>
      </c>
      <c r="B374" s="18" t="s">
        <v>218</v>
      </c>
      <c r="C374" s="18" t="s">
        <v>544</v>
      </c>
      <c r="D374" s="14" t="s">
        <v>810</v>
      </c>
      <c r="E374" s="18" t="s">
        <v>9</v>
      </c>
      <c r="F374" s="14" t="s">
        <v>517</v>
      </c>
      <c r="G374" s="14" t="s">
        <v>518</v>
      </c>
      <c r="H374" s="18" t="s">
        <v>2</v>
      </c>
      <c r="I374" s="14" t="s">
        <v>120</v>
      </c>
      <c r="J374" s="14"/>
      <c r="K374" s="14" t="s">
        <v>649</v>
      </c>
      <c r="L374" s="14"/>
      <c r="M374" s="14">
        <v>1</v>
      </c>
      <c r="N374" s="15">
        <v>258044.92</v>
      </c>
      <c r="O374" s="15">
        <f t="shared" si="15"/>
        <v>258044.92</v>
      </c>
      <c r="P374" s="15"/>
      <c r="Q374" s="14" t="s">
        <v>520</v>
      </c>
      <c r="R374" s="25">
        <v>45199</v>
      </c>
      <c r="S374" s="22" t="str">
        <f>TEXT(Table1[[#This Row],[End Date]],"MMMM")</f>
        <v>September</v>
      </c>
      <c r="T374" s="23" t="str">
        <f>TEXT(Table1[[#This Row],[End Date]],"YYYY")</f>
        <v>2023</v>
      </c>
      <c r="U374" s="24">
        <f t="shared" ca="1" si="16"/>
        <v>-66</v>
      </c>
      <c r="V374" s="14" t="str" cm="1">
        <f t="array" aca="1" ref="V374" ca="1">_xlfn.IFS(Table1[[#This Row],[Agreement Days]]&gt;=0,"Expired",Table1[[#This Row],[Agreement Days]]&gt;=-30,"Expires &lt; 30 Days",Table1[[#This Row],[Agreement Days]]&gt;=-60,"Expires &lt; 60 Days",Table1[[#This Row],[Agreement Days]]&lt;-60,"Valid Contract")</f>
        <v>Valid Contract</v>
      </c>
      <c r="W374" s="14" t="s">
        <v>19</v>
      </c>
      <c r="X374" s="14" t="s">
        <v>1262</v>
      </c>
      <c r="Y374" s="43" t="s">
        <v>1263</v>
      </c>
      <c r="Z374" s="17">
        <v>785164119</v>
      </c>
      <c r="AA374" s="17"/>
      <c r="AB374" s="116"/>
      <c r="AC374" s="116"/>
    </row>
    <row r="375" spans="1:29" hidden="1" x14ac:dyDescent="0.3">
      <c r="A375" s="18" t="s">
        <v>1261</v>
      </c>
      <c r="B375" s="18" t="s">
        <v>218</v>
      </c>
      <c r="C375" s="18" t="s">
        <v>544</v>
      </c>
      <c r="D375" s="14" t="s">
        <v>810</v>
      </c>
      <c r="E375" s="18" t="s">
        <v>9</v>
      </c>
      <c r="F375" s="14" t="s">
        <v>517</v>
      </c>
      <c r="G375" s="14" t="s">
        <v>518</v>
      </c>
      <c r="H375" s="18" t="s">
        <v>4</v>
      </c>
      <c r="I375" s="14" t="s">
        <v>118</v>
      </c>
      <c r="J375" s="14"/>
      <c r="K375" s="14" t="s">
        <v>650</v>
      </c>
      <c r="L375" s="14"/>
      <c r="M375" s="14">
        <v>1</v>
      </c>
      <c r="N375" s="15">
        <v>369325.42</v>
      </c>
      <c r="O375" s="15">
        <f t="shared" si="15"/>
        <v>369325.42</v>
      </c>
      <c r="P375" s="15"/>
      <c r="Q375" s="14" t="s">
        <v>520</v>
      </c>
      <c r="R375" s="25">
        <v>45199</v>
      </c>
      <c r="S375" s="22" t="str">
        <f>TEXT(Table1[[#This Row],[End Date]],"MMMM")</f>
        <v>September</v>
      </c>
      <c r="T375" s="23" t="str">
        <f>TEXT(Table1[[#This Row],[End Date]],"YYYY")</f>
        <v>2023</v>
      </c>
      <c r="U375" s="24">
        <f t="shared" ca="1" si="16"/>
        <v>-66</v>
      </c>
      <c r="V375" s="14" t="str" cm="1">
        <f t="array" aca="1" ref="V375" ca="1">_xlfn.IFS(Table1[[#This Row],[Agreement Days]]&gt;=0,"Expired",Table1[[#This Row],[Agreement Days]]&gt;=-30,"Expires &lt; 30 Days",Table1[[#This Row],[Agreement Days]]&gt;=-60,"Expires &lt; 60 Days",Table1[[#This Row],[Agreement Days]]&lt;-60,"Valid Contract")</f>
        <v>Valid Contract</v>
      </c>
      <c r="W375" s="14" t="s">
        <v>19</v>
      </c>
      <c r="X375" s="14" t="s">
        <v>1262</v>
      </c>
      <c r="Y375" s="43" t="s">
        <v>1263</v>
      </c>
      <c r="Z375" s="17">
        <v>785164119</v>
      </c>
      <c r="AA375" s="17"/>
      <c r="AB375" s="116"/>
      <c r="AC375" s="116"/>
    </row>
    <row r="376" spans="1:29" hidden="1" x14ac:dyDescent="0.3">
      <c r="A376" s="18" t="s">
        <v>1261</v>
      </c>
      <c r="B376" s="18" t="s">
        <v>218</v>
      </c>
      <c r="C376" s="18" t="s">
        <v>909</v>
      </c>
      <c r="D376" s="14" t="s">
        <v>810</v>
      </c>
      <c r="E376" s="18" t="s">
        <v>9</v>
      </c>
      <c r="F376" s="14" t="s">
        <v>517</v>
      </c>
      <c r="G376" s="14" t="s">
        <v>518</v>
      </c>
      <c r="H376" s="18" t="s">
        <v>5</v>
      </c>
      <c r="I376" s="14" t="s">
        <v>115</v>
      </c>
      <c r="J376" s="14"/>
      <c r="K376" s="18" t="s">
        <v>573</v>
      </c>
      <c r="L376" s="14"/>
      <c r="M376" s="14">
        <v>1</v>
      </c>
      <c r="N376" s="15">
        <v>19491.53</v>
      </c>
      <c r="O376" s="15">
        <f t="shared" si="15"/>
        <v>19491.53</v>
      </c>
      <c r="P376" s="15"/>
      <c r="Q376" s="14" t="s">
        <v>520</v>
      </c>
      <c r="R376" s="25">
        <v>45199</v>
      </c>
      <c r="S376" s="22" t="str">
        <f>TEXT(Table1[[#This Row],[End Date]],"MMMM")</f>
        <v>September</v>
      </c>
      <c r="T376" s="23" t="str">
        <f>TEXT(Table1[[#This Row],[End Date]],"YYYY")</f>
        <v>2023</v>
      </c>
      <c r="U376" s="24">
        <f t="shared" ca="1" si="16"/>
        <v>-66</v>
      </c>
      <c r="V376" s="14" t="str" cm="1">
        <f t="array" aca="1" ref="V376" ca="1">_xlfn.IFS(Table1[[#This Row],[Agreement Days]]&gt;=0,"Expired",Table1[[#This Row],[Agreement Days]]&gt;=-30,"Expires &lt; 30 Days",Table1[[#This Row],[Agreement Days]]&gt;=-60,"Expires &lt; 60 Days",Table1[[#This Row],[Agreement Days]]&lt;-60,"Valid Contract")</f>
        <v>Valid Contract</v>
      </c>
      <c r="W376" s="14" t="s">
        <v>19</v>
      </c>
      <c r="X376" s="14" t="s">
        <v>1262</v>
      </c>
      <c r="Y376" s="43" t="s">
        <v>1263</v>
      </c>
      <c r="Z376" s="17">
        <v>785164119</v>
      </c>
      <c r="AA376" s="17"/>
      <c r="AB376" s="116"/>
      <c r="AC376" s="116"/>
    </row>
    <row r="377" spans="1:29" hidden="1" x14ac:dyDescent="0.3">
      <c r="A377" s="18" t="s">
        <v>1261</v>
      </c>
      <c r="B377" s="18" t="s">
        <v>218</v>
      </c>
      <c r="C377" s="18" t="s">
        <v>909</v>
      </c>
      <c r="D377" s="14" t="s">
        <v>810</v>
      </c>
      <c r="E377" s="18" t="s">
        <v>9</v>
      </c>
      <c r="F377" s="14" t="s">
        <v>517</v>
      </c>
      <c r="G377" s="14" t="s">
        <v>518</v>
      </c>
      <c r="H377" s="18" t="s">
        <v>5</v>
      </c>
      <c r="I377" s="14" t="s">
        <v>115</v>
      </c>
      <c r="J377" s="14"/>
      <c r="K377" s="18" t="s">
        <v>651</v>
      </c>
      <c r="L377" s="14"/>
      <c r="M377" s="14">
        <v>13</v>
      </c>
      <c r="N377" s="15">
        <f>96000/1.18</f>
        <v>81355.932203389835</v>
      </c>
      <c r="O377" s="15">
        <f t="shared" si="15"/>
        <v>1057627.1186440678</v>
      </c>
      <c r="P377" s="15"/>
      <c r="Q377" s="14" t="s">
        <v>520</v>
      </c>
      <c r="R377" s="25">
        <v>45199</v>
      </c>
      <c r="S377" s="22" t="str">
        <f>TEXT(Table1[[#This Row],[End Date]],"MMMM")</f>
        <v>September</v>
      </c>
      <c r="T377" s="23" t="str">
        <f>TEXT(Table1[[#This Row],[End Date]],"YYYY")</f>
        <v>2023</v>
      </c>
      <c r="U377" s="24">
        <f t="shared" ca="1" si="16"/>
        <v>-66</v>
      </c>
      <c r="V377" s="14" t="str" cm="1">
        <f t="array" aca="1" ref="V377" ca="1">_xlfn.IFS(Table1[[#This Row],[Agreement Days]]&gt;=0,"Expired",Table1[[#This Row],[Agreement Days]]&gt;=-30,"Expires &lt; 30 Days",Table1[[#This Row],[Agreement Days]]&gt;=-60,"Expires &lt; 60 Days",Table1[[#This Row],[Agreement Days]]&lt;-60,"Valid Contract")</f>
        <v>Valid Contract</v>
      </c>
      <c r="W377" s="14" t="s">
        <v>19</v>
      </c>
      <c r="X377" s="14" t="s">
        <v>1262</v>
      </c>
      <c r="Y377" s="43" t="s">
        <v>1263</v>
      </c>
      <c r="Z377" s="17">
        <v>785164119</v>
      </c>
      <c r="AA377" s="17"/>
      <c r="AB377" s="116"/>
      <c r="AC377" s="116"/>
    </row>
    <row r="378" spans="1:29" hidden="1" x14ac:dyDescent="0.3">
      <c r="A378" s="18" t="s">
        <v>1261</v>
      </c>
      <c r="B378" s="18" t="s">
        <v>218</v>
      </c>
      <c r="C378" s="18" t="s">
        <v>909</v>
      </c>
      <c r="D378" s="14" t="s">
        <v>810</v>
      </c>
      <c r="E378" s="18" t="s">
        <v>9</v>
      </c>
      <c r="F378" s="14" t="s">
        <v>517</v>
      </c>
      <c r="G378" s="14" t="s">
        <v>518</v>
      </c>
      <c r="H378" s="18" t="s">
        <v>5</v>
      </c>
      <c r="I378" s="14" t="s">
        <v>115</v>
      </c>
      <c r="J378" s="14"/>
      <c r="K378" s="18" t="s">
        <v>643</v>
      </c>
      <c r="L378" s="14"/>
      <c r="M378" s="14">
        <v>15</v>
      </c>
      <c r="N378" s="15">
        <v>28305.08</v>
      </c>
      <c r="O378" s="15">
        <f t="shared" si="15"/>
        <v>424576.2</v>
      </c>
      <c r="P378" s="15"/>
      <c r="Q378" s="14" t="s">
        <v>520</v>
      </c>
      <c r="R378" s="25">
        <v>45199</v>
      </c>
      <c r="S378" s="22" t="str">
        <f>TEXT(Table1[[#This Row],[End Date]],"MMMM")</f>
        <v>September</v>
      </c>
      <c r="T378" s="23" t="str">
        <f>TEXT(Table1[[#This Row],[End Date]],"YYYY")</f>
        <v>2023</v>
      </c>
      <c r="U378" s="24">
        <f t="shared" ca="1" si="16"/>
        <v>-66</v>
      </c>
      <c r="V378" s="14" t="str" cm="1">
        <f t="array" aca="1" ref="V378" ca="1">_xlfn.IFS(Table1[[#This Row],[Agreement Days]]&gt;=0,"Expired",Table1[[#This Row],[Agreement Days]]&gt;=-30,"Expires &lt; 30 Days",Table1[[#This Row],[Agreement Days]]&gt;=-60,"Expires &lt; 60 Days",Table1[[#This Row],[Agreement Days]]&lt;-60,"Valid Contract")</f>
        <v>Valid Contract</v>
      </c>
      <c r="W378" s="14" t="s">
        <v>19</v>
      </c>
      <c r="X378" s="14" t="s">
        <v>1262</v>
      </c>
      <c r="Y378" s="43" t="s">
        <v>1263</v>
      </c>
      <c r="Z378" s="17">
        <v>785164119</v>
      </c>
      <c r="AA378" s="17"/>
      <c r="AB378" s="116"/>
      <c r="AC378" s="116"/>
    </row>
    <row r="379" spans="1:29" hidden="1" x14ac:dyDescent="0.3">
      <c r="A379" s="18" t="s">
        <v>1264</v>
      </c>
      <c r="B379" s="18" t="s">
        <v>459</v>
      </c>
      <c r="C379" s="18" t="s">
        <v>544</v>
      </c>
      <c r="D379" s="14" t="s">
        <v>540</v>
      </c>
      <c r="E379" s="18" t="s">
        <v>9</v>
      </c>
      <c r="F379" s="14" t="s">
        <v>517</v>
      </c>
      <c r="G379" s="14" t="s">
        <v>518</v>
      </c>
      <c r="H379" s="18" t="s">
        <v>5</v>
      </c>
      <c r="I379" s="14" t="s">
        <v>115</v>
      </c>
      <c r="J379" s="18"/>
      <c r="K379" s="14" t="s">
        <v>722</v>
      </c>
      <c r="L379" s="18"/>
      <c r="M379" s="14">
        <v>1</v>
      </c>
      <c r="N379" s="15">
        <v>77711.86</v>
      </c>
      <c r="O379" s="15">
        <f t="shared" si="15"/>
        <v>77711.86</v>
      </c>
      <c r="P379" s="15"/>
      <c r="Q379" s="14" t="s">
        <v>520</v>
      </c>
      <c r="R379" s="25">
        <v>45199</v>
      </c>
      <c r="S379" s="34" t="str">
        <f>TEXT(Table1[[#This Row],[End Date]],"MMMM")</f>
        <v>September</v>
      </c>
      <c r="T379" s="34" t="str">
        <f>TEXT(Table1[[#This Row],[End Date]],"YYYY")</f>
        <v>2023</v>
      </c>
      <c r="U379" s="24">
        <f t="shared" ca="1" si="16"/>
        <v>-66</v>
      </c>
      <c r="V379" s="14" t="str" cm="1">
        <f t="array" aca="1" ref="V379" ca="1">_xlfn.IFS(Table1[[#This Row],[Agreement Days]]&gt;=0,"Expired",Table1[[#This Row],[Agreement Days]]&gt;=-30,"Expires &lt; 30 Days",Table1[[#This Row],[Agreement Days]]&gt;=-60,"Expires &lt; 60 Days",Table1[[#This Row],[Agreement Days]]&lt;-60,"Valid Contract")</f>
        <v>Valid Contract</v>
      </c>
      <c r="W379" s="18" t="s">
        <v>18</v>
      </c>
      <c r="X379" s="18" t="s">
        <v>1265</v>
      </c>
      <c r="Y379" s="35" t="s">
        <v>1266</v>
      </c>
      <c r="Z379" s="36" t="s">
        <v>1267</v>
      </c>
      <c r="AA379" s="36"/>
      <c r="AB379" s="116"/>
      <c r="AC379" s="116"/>
    </row>
    <row r="380" spans="1:29" x14ac:dyDescent="0.3">
      <c r="A380" s="18" t="s">
        <v>1268</v>
      </c>
      <c r="B380" s="18" t="s">
        <v>471</v>
      </c>
      <c r="C380" s="18" t="s">
        <v>1269</v>
      </c>
      <c r="D380" s="14" t="s">
        <v>875</v>
      </c>
      <c r="E380" s="18" t="s">
        <v>9</v>
      </c>
      <c r="F380" s="14" t="s">
        <v>969</v>
      </c>
      <c r="G380" s="14" t="s">
        <v>518</v>
      </c>
      <c r="H380" s="18" t="s">
        <v>5</v>
      </c>
      <c r="I380" s="14" t="s">
        <v>115</v>
      </c>
      <c r="J380" s="14"/>
      <c r="K380" s="18" t="s">
        <v>643</v>
      </c>
      <c r="L380" s="14"/>
      <c r="M380" s="14">
        <v>1</v>
      </c>
      <c r="N380" s="15">
        <f>33400/1.18</f>
        <v>28305.084745762713</v>
      </c>
      <c r="O380" s="15">
        <f t="shared" si="15"/>
        <v>28305.084745762713</v>
      </c>
      <c r="P380" s="15"/>
      <c r="Q380" s="14" t="s">
        <v>520</v>
      </c>
      <c r="R380" s="25">
        <v>45199</v>
      </c>
      <c r="S380" s="22" t="str">
        <f>TEXT(Table1[[#This Row],[End Date]],"MMMM")</f>
        <v>September</v>
      </c>
      <c r="T380" s="23" t="str">
        <f>TEXT(Table1[[#This Row],[End Date]],"YYYY")</f>
        <v>2023</v>
      </c>
      <c r="U380" s="24">
        <f t="shared" ca="1" si="16"/>
        <v>-66</v>
      </c>
      <c r="V380" s="14" t="str" cm="1">
        <f t="array" aca="1" ref="V380" ca="1">_xlfn.IFS(Table1[[#This Row],[Agreement Days]]&gt;=0,"Expired",Table1[[#This Row],[Agreement Days]]&gt;=-30,"Expires &lt; 30 Days",Table1[[#This Row],[Agreement Days]]&gt;=-60,"Expires &lt; 60 Days",Table1[[#This Row],[Agreement Days]]&lt;-60,"Valid Contract")</f>
        <v>Valid Contract</v>
      </c>
      <c r="W380" s="14" t="s">
        <v>12</v>
      </c>
      <c r="X380" s="14" t="s">
        <v>1270</v>
      </c>
      <c r="Y380" s="16" t="s">
        <v>1271</v>
      </c>
      <c r="Z380" s="17" t="s">
        <v>1272</v>
      </c>
      <c r="AA380" s="17"/>
      <c r="AB380" s="116"/>
      <c r="AC380" s="116"/>
    </row>
    <row r="381" spans="1:29" hidden="1" x14ac:dyDescent="0.3">
      <c r="A381" s="18" t="s">
        <v>1273</v>
      </c>
      <c r="B381" s="18" t="s">
        <v>342</v>
      </c>
      <c r="C381" s="18" t="s">
        <v>1274</v>
      </c>
      <c r="D381" s="14" t="s">
        <v>545</v>
      </c>
      <c r="E381" s="18" t="s">
        <v>9</v>
      </c>
      <c r="F381" s="14" t="s">
        <v>517</v>
      </c>
      <c r="G381" s="14" t="s">
        <v>518</v>
      </c>
      <c r="H381" s="18" t="s">
        <v>5</v>
      </c>
      <c r="I381" s="14" t="s">
        <v>117</v>
      </c>
      <c r="J381" s="14">
        <v>1</v>
      </c>
      <c r="K381" s="14" t="s">
        <v>864</v>
      </c>
      <c r="L381" s="14"/>
      <c r="M381" s="14">
        <v>1</v>
      </c>
      <c r="N381" s="15">
        <v>90000</v>
      </c>
      <c r="O381" s="15">
        <f t="shared" si="15"/>
        <v>90000</v>
      </c>
      <c r="P381" s="15"/>
      <c r="Q381" s="14" t="s">
        <v>520</v>
      </c>
      <c r="R381" s="25">
        <v>45199</v>
      </c>
      <c r="S381" s="22" t="str">
        <f>TEXT(Table1[[#This Row],[End Date]],"MMMM")</f>
        <v>September</v>
      </c>
      <c r="T381" s="23" t="str">
        <f>TEXT(Table1[[#This Row],[End Date]],"YYYY")</f>
        <v>2023</v>
      </c>
      <c r="U381" s="24">
        <f t="shared" ca="1" si="16"/>
        <v>-66</v>
      </c>
      <c r="V381" s="14" t="str" cm="1">
        <f t="array" aca="1" ref="V381" ca="1">_xlfn.IFS(Table1[[#This Row],[Agreement Days]]&gt;=0,"Expired",Table1[[#This Row],[Agreement Days]]&gt;=-30,"Expires &lt; 30 Days",Table1[[#This Row],[Agreement Days]]&gt;=-60,"Expires &lt; 60 Days",Table1[[#This Row],[Agreement Days]]&lt;-60,"Valid Contract")</f>
        <v>Valid Contract</v>
      </c>
      <c r="W381" s="14" t="s">
        <v>19</v>
      </c>
      <c r="X381" s="14" t="s">
        <v>1275</v>
      </c>
      <c r="Y381" s="43" t="s">
        <v>1276</v>
      </c>
      <c r="Z381" s="17">
        <v>788530212</v>
      </c>
      <c r="AA381" s="17"/>
      <c r="AB381" s="116"/>
      <c r="AC381" s="116"/>
    </row>
    <row r="382" spans="1:29" hidden="1" x14ac:dyDescent="0.3">
      <c r="A382" s="18" t="s">
        <v>1273</v>
      </c>
      <c r="B382" s="18" t="s">
        <v>342</v>
      </c>
      <c r="C382" s="18" t="s">
        <v>1274</v>
      </c>
      <c r="D382" s="14" t="s">
        <v>545</v>
      </c>
      <c r="E382" s="18" t="s">
        <v>9</v>
      </c>
      <c r="F382" s="14" t="s">
        <v>517</v>
      </c>
      <c r="G382" s="14" t="s">
        <v>518</v>
      </c>
      <c r="H382" s="18" t="s">
        <v>5</v>
      </c>
      <c r="I382" s="14" t="s">
        <v>117</v>
      </c>
      <c r="J382" s="14">
        <v>10</v>
      </c>
      <c r="K382" s="14" t="s">
        <v>1277</v>
      </c>
      <c r="L382" s="14"/>
      <c r="M382" s="14">
        <v>1</v>
      </c>
      <c r="N382" s="15">
        <v>510000</v>
      </c>
      <c r="O382" s="15">
        <f t="shared" si="15"/>
        <v>510000</v>
      </c>
      <c r="P382" s="15"/>
      <c r="Q382" s="14" t="s">
        <v>520</v>
      </c>
      <c r="R382" s="25">
        <v>45199</v>
      </c>
      <c r="S382" s="22" t="str">
        <f>TEXT(Table1[[#This Row],[End Date]],"MMMM")</f>
        <v>September</v>
      </c>
      <c r="T382" s="23" t="str">
        <f>TEXT(Table1[[#This Row],[End Date]],"YYYY")</f>
        <v>2023</v>
      </c>
      <c r="U382" s="24">
        <f t="shared" ca="1" si="16"/>
        <v>-66</v>
      </c>
      <c r="V382" s="14" t="str" cm="1">
        <f t="array" aca="1" ref="V382" ca="1">_xlfn.IFS(Table1[[#This Row],[Agreement Days]]&gt;=0,"Expired",Table1[[#This Row],[Agreement Days]]&gt;=-30,"Expires &lt; 30 Days",Table1[[#This Row],[Agreement Days]]&gt;=-60,"Expires &lt; 60 Days",Table1[[#This Row],[Agreement Days]]&lt;-60,"Valid Contract")</f>
        <v>Valid Contract</v>
      </c>
      <c r="W382" s="14" t="s">
        <v>19</v>
      </c>
      <c r="X382" s="14" t="s">
        <v>1275</v>
      </c>
      <c r="Y382" s="43" t="s">
        <v>1276</v>
      </c>
      <c r="Z382" s="17">
        <v>788530212</v>
      </c>
      <c r="AA382" s="17"/>
      <c r="AB382" s="116"/>
      <c r="AC382" s="116"/>
    </row>
    <row r="383" spans="1:29" hidden="1" x14ac:dyDescent="0.3">
      <c r="A383" s="18" t="s">
        <v>1278</v>
      </c>
      <c r="B383" s="18" t="s">
        <v>295</v>
      </c>
      <c r="C383" s="18" t="s">
        <v>1279</v>
      </c>
      <c r="D383" s="14" t="s">
        <v>1280</v>
      </c>
      <c r="E383" s="18" t="s">
        <v>9</v>
      </c>
      <c r="F383" s="14" t="s">
        <v>688</v>
      </c>
      <c r="G383" s="14" t="s">
        <v>518</v>
      </c>
      <c r="H383" s="18" t="s">
        <v>5</v>
      </c>
      <c r="I383" s="14" t="s">
        <v>117</v>
      </c>
      <c r="J383" s="14">
        <v>15</v>
      </c>
      <c r="K383" s="18" t="s">
        <v>899</v>
      </c>
      <c r="L383" s="18"/>
      <c r="M383" s="14">
        <v>1</v>
      </c>
      <c r="N383" s="15">
        <v>720000</v>
      </c>
      <c r="O383" s="15">
        <f t="shared" si="15"/>
        <v>720000</v>
      </c>
      <c r="P383" s="15"/>
      <c r="Q383" s="14" t="s">
        <v>520</v>
      </c>
      <c r="R383" s="25">
        <v>45199</v>
      </c>
      <c r="S383" s="34" t="str">
        <f>TEXT(Table1[[#This Row],[End Date]],"MMMM")</f>
        <v>September</v>
      </c>
      <c r="T383" s="34" t="str">
        <f>TEXT(Table1[[#This Row],[End Date]],"YYYY")</f>
        <v>2023</v>
      </c>
      <c r="U383" s="24">
        <f t="shared" ca="1" si="16"/>
        <v>-66</v>
      </c>
      <c r="V383" s="14" t="str" cm="1">
        <f t="array" aca="1" ref="V383" ca="1">_xlfn.IFS(Table1[[#This Row],[Agreement Days]]&gt;=0,"Expired",Table1[[#This Row],[Agreement Days]]&gt;=-30,"Expires &lt; 30 Days",Table1[[#This Row],[Agreement Days]]&gt;=-60,"Expires &lt; 60 Days",Table1[[#This Row],[Agreement Days]]&lt;-60,"Valid Contract")</f>
        <v>Valid Contract</v>
      </c>
      <c r="W383" s="18" t="s">
        <v>21</v>
      </c>
      <c r="X383" s="18" t="s">
        <v>1281</v>
      </c>
      <c r="Y383" s="42" t="s">
        <v>1282</v>
      </c>
      <c r="Z383" s="27">
        <v>788511312</v>
      </c>
      <c r="AA383" s="27"/>
      <c r="AB383" s="116"/>
      <c r="AC383" s="116"/>
    </row>
    <row r="384" spans="1:29" hidden="1" x14ac:dyDescent="0.3">
      <c r="A384" s="18" t="s">
        <v>1278</v>
      </c>
      <c r="B384" s="18" t="s">
        <v>295</v>
      </c>
      <c r="C384" s="18" t="s">
        <v>1279</v>
      </c>
      <c r="D384" s="14" t="s">
        <v>1280</v>
      </c>
      <c r="E384" s="18" t="s">
        <v>9</v>
      </c>
      <c r="F384" s="14" t="s">
        <v>688</v>
      </c>
      <c r="G384" s="14" t="s">
        <v>518</v>
      </c>
      <c r="H384" s="18" t="s">
        <v>4</v>
      </c>
      <c r="I384" s="14" t="s">
        <v>118</v>
      </c>
      <c r="J384" s="18"/>
      <c r="K384" s="18" t="s">
        <v>650</v>
      </c>
      <c r="L384" s="18"/>
      <c r="M384" s="14">
        <v>1</v>
      </c>
      <c r="N384" s="15">
        <v>369325</v>
      </c>
      <c r="O384" s="15">
        <f t="shared" si="15"/>
        <v>369325</v>
      </c>
      <c r="P384" s="15"/>
      <c r="Q384" s="14" t="s">
        <v>520</v>
      </c>
      <c r="R384" s="25">
        <v>45199</v>
      </c>
      <c r="S384" s="34" t="str">
        <f>TEXT(Table1[[#This Row],[End Date]],"MMMM")</f>
        <v>September</v>
      </c>
      <c r="T384" s="34" t="str">
        <f>TEXT(Table1[[#This Row],[End Date]],"YYYY")</f>
        <v>2023</v>
      </c>
      <c r="U384" s="24">
        <f t="shared" ca="1" si="16"/>
        <v>-66</v>
      </c>
      <c r="V384" s="14" t="str" cm="1">
        <f t="array" aca="1" ref="V384" ca="1">_xlfn.IFS(Table1[[#This Row],[Agreement Days]]&gt;=0,"Expired",Table1[[#This Row],[Agreement Days]]&gt;=-30,"Expires &lt; 30 Days",Table1[[#This Row],[Agreement Days]]&gt;=-60,"Expires &lt; 60 Days",Table1[[#This Row],[Agreement Days]]&lt;-60,"Valid Contract")</f>
        <v>Valid Contract</v>
      </c>
      <c r="W384" s="18" t="s">
        <v>21</v>
      </c>
      <c r="X384" s="18" t="s">
        <v>1281</v>
      </c>
      <c r="Y384" s="42" t="s">
        <v>1282</v>
      </c>
      <c r="Z384" s="27">
        <v>788511312</v>
      </c>
      <c r="AA384" s="27"/>
      <c r="AB384" s="116"/>
      <c r="AC384" s="116"/>
    </row>
    <row r="385" spans="1:29" hidden="1" x14ac:dyDescent="0.3">
      <c r="A385" s="18" t="s">
        <v>1283</v>
      </c>
      <c r="B385" s="18" t="s">
        <v>281</v>
      </c>
      <c r="C385" s="18" t="s">
        <v>1284</v>
      </c>
      <c r="D385" s="14" t="s">
        <v>540</v>
      </c>
      <c r="E385" s="18" t="s">
        <v>9</v>
      </c>
      <c r="F385" s="14" t="s">
        <v>517</v>
      </c>
      <c r="G385" s="14" t="s">
        <v>518</v>
      </c>
      <c r="H385" s="18" t="s">
        <v>5</v>
      </c>
      <c r="I385" s="14" t="s">
        <v>117</v>
      </c>
      <c r="J385" s="14">
        <v>15</v>
      </c>
      <c r="K385" s="14" t="s">
        <v>899</v>
      </c>
      <c r="L385" s="14"/>
      <c r="M385" s="14">
        <v>1</v>
      </c>
      <c r="N385" s="15">
        <v>720000</v>
      </c>
      <c r="O385" s="15">
        <f t="shared" si="15"/>
        <v>720000</v>
      </c>
      <c r="P385" s="15"/>
      <c r="Q385" s="14" t="s">
        <v>520</v>
      </c>
      <c r="R385" s="25">
        <v>45199</v>
      </c>
      <c r="S385" s="22" t="str">
        <f>TEXT(Table1[[#This Row],[End Date]],"MMMM")</f>
        <v>September</v>
      </c>
      <c r="T385" s="23" t="str">
        <f>TEXT(Table1[[#This Row],[End Date]],"YYYY")</f>
        <v>2023</v>
      </c>
      <c r="U385" s="24">
        <f t="shared" ca="1" si="16"/>
        <v>-66</v>
      </c>
      <c r="V385" s="14" t="str" cm="1">
        <f t="array" aca="1" ref="V385" ca="1">_xlfn.IFS(Table1[[#This Row],[Agreement Days]]&gt;=0,"Expired",Table1[[#This Row],[Agreement Days]]&gt;=-30,"Expires &lt; 30 Days",Table1[[#This Row],[Agreement Days]]&gt;=-60,"Expires &lt; 60 Days",Table1[[#This Row],[Agreement Days]]&lt;-60,"Valid Contract")</f>
        <v>Valid Contract</v>
      </c>
      <c r="W385" s="14" t="s">
        <v>20</v>
      </c>
      <c r="X385" s="14" t="s">
        <v>1285</v>
      </c>
      <c r="Y385" s="59" t="s">
        <v>1286</v>
      </c>
      <c r="Z385" s="17" t="s">
        <v>1287</v>
      </c>
      <c r="AA385" s="19"/>
      <c r="AB385" s="116"/>
      <c r="AC385" s="116"/>
    </row>
    <row r="386" spans="1:29" hidden="1" x14ac:dyDescent="0.3">
      <c r="A386" s="18" t="s">
        <v>1283</v>
      </c>
      <c r="B386" s="18" t="s">
        <v>281</v>
      </c>
      <c r="C386" s="18" t="s">
        <v>1284</v>
      </c>
      <c r="D386" s="14" t="s">
        <v>540</v>
      </c>
      <c r="E386" s="18" t="s">
        <v>9</v>
      </c>
      <c r="F386" s="14" t="s">
        <v>517</v>
      </c>
      <c r="G386" s="14" t="s">
        <v>518</v>
      </c>
      <c r="H386" s="18" t="s">
        <v>4</v>
      </c>
      <c r="I386" s="14" t="s">
        <v>118</v>
      </c>
      <c r="J386" s="14"/>
      <c r="K386" s="14" t="s">
        <v>650</v>
      </c>
      <c r="L386" s="14"/>
      <c r="M386" s="14">
        <v>1</v>
      </c>
      <c r="N386" s="15">
        <v>369325</v>
      </c>
      <c r="O386" s="15">
        <f t="shared" si="15"/>
        <v>369325</v>
      </c>
      <c r="P386" s="15"/>
      <c r="Q386" s="14" t="s">
        <v>520</v>
      </c>
      <c r="R386" s="25">
        <v>45199</v>
      </c>
      <c r="S386" s="22" t="str">
        <f>TEXT(Table1[[#This Row],[End Date]],"MMMM")</f>
        <v>September</v>
      </c>
      <c r="T386" s="23" t="str">
        <f>TEXT(Table1[[#This Row],[End Date]],"YYYY")</f>
        <v>2023</v>
      </c>
      <c r="U386" s="24">
        <f t="shared" ca="1" si="16"/>
        <v>-66</v>
      </c>
      <c r="V386" s="14" t="str" cm="1">
        <f t="array" aca="1" ref="V386" ca="1">_xlfn.IFS(Table1[[#This Row],[Agreement Days]]&gt;=0,"Expired",Table1[[#This Row],[Agreement Days]]&gt;=-30,"Expires &lt; 30 Days",Table1[[#This Row],[Agreement Days]]&gt;=-60,"Expires &lt; 60 Days",Table1[[#This Row],[Agreement Days]]&lt;-60,"Valid Contract")</f>
        <v>Valid Contract</v>
      </c>
      <c r="W386" s="14" t="s">
        <v>20</v>
      </c>
      <c r="X386" s="14" t="s">
        <v>1285</v>
      </c>
      <c r="Y386" s="59" t="s">
        <v>1286</v>
      </c>
      <c r="Z386" s="17" t="s">
        <v>1287</v>
      </c>
      <c r="AA386" s="19"/>
      <c r="AB386" s="116"/>
      <c r="AC386" s="116"/>
    </row>
    <row r="387" spans="1:29" hidden="1" x14ac:dyDescent="0.3">
      <c r="A387" s="18" t="s">
        <v>1283</v>
      </c>
      <c r="B387" s="18" t="s">
        <v>281</v>
      </c>
      <c r="C387" s="18" t="s">
        <v>1284</v>
      </c>
      <c r="D387" s="14" t="s">
        <v>540</v>
      </c>
      <c r="E387" s="18" t="s">
        <v>9</v>
      </c>
      <c r="F387" s="14" t="s">
        <v>517</v>
      </c>
      <c r="G387" s="14" t="s">
        <v>518</v>
      </c>
      <c r="H387" s="18" t="s">
        <v>5</v>
      </c>
      <c r="I387" s="14" t="s">
        <v>115</v>
      </c>
      <c r="J387" s="14"/>
      <c r="K387" s="18" t="s">
        <v>643</v>
      </c>
      <c r="L387" s="14"/>
      <c r="M387" s="14">
        <v>4</v>
      </c>
      <c r="N387" s="15">
        <v>28305.08</v>
      </c>
      <c r="O387" s="15">
        <f t="shared" si="15"/>
        <v>113220.32</v>
      </c>
      <c r="P387" s="15"/>
      <c r="Q387" s="14" t="s">
        <v>520</v>
      </c>
      <c r="R387" s="25">
        <v>45199</v>
      </c>
      <c r="S387" s="22" t="str">
        <f>TEXT(Table1[[#This Row],[End Date]],"MMMM")</f>
        <v>September</v>
      </c>
      <c r="T387" s="23" t="str">
        <f>TEXT(Table1[[#This Row],[End Date]],"YYYY")</f>
        <v>2023</v>
      </c>
      <c r="U387" s="24">
        <f t="shared" ca="1" si="16"/>
        <v>-66</v>
      </c>
      <c r="V387" s="14" t="str" cm="1">
        <f t="array" aca="1" ref="V387" ca="1">_xlfn.IFS(Table1[[#This Row],[Agreement Days]]&gt;=0,"Expired",Table1[[#This Row],[Agreement Days]]&gt;=-30,"Expires &lt; 30 Days",Table1[[#This Row],[Agreement Days]]&gt;=-60,"Expires &lt; 60 Days",Table1[[#This Row],[Agreement Days]]&lt;-60,"Valid Contract")</f>
        <v>Valid Contract</v>
      </c>
      <c r="W387" s="14" t="s">
        <v>20</v>
      </c>
      <c r="X387" s="14" t="s">
        <v>1285</v>
      </c>
      <c r="Y387" s="59" t="s">
        <v>1286</v>
      </c>
      <c r="Z387" s="17" t="s">
        <v>1287</v>
      </c>
      <c r="AA387" s="19"/>
      <c r="AB387" s="116"/>
      <c r="AC387" s="116"/>
    </row>
    <row r="388" spans="1:29" hidden="1" x14ac:dyDescent="0.3">
      <c r="A388" s="18" t="s">
        <v>1065</v>
      </c>
      <c r="B388" s="18" t="s">
        <v>198</v>
      </c>
      <c r="C388" s="18" t="s">
        <v>1288</v>
      </c>
      <c r="D388" s="14" t="s">
        <v>545</v>
      </c>
      <c r="E388" s="18" t="s">
        <v>9</v>
      </c>
      <c r="F388" s="14" t="s">
        <v>688</v>
      </c>
      <c r="G388" s="14" t="s">
        <v>518</v>
      </c>
      <c r="H388" s="18" t="s">
        <v>2</v>
      </c>
      <c r="I388" s="14" t="s">
        <v>117</v>
      </c>
      <c r="J388" s="14">
        <v>15</v>
      </c>
      <c r="K388" s="18" t="s">
        <v>899</v>
      </c>
      <c r="L388" s="18"/>
      <c r="M388" s="14">
        <v>1</v>
      </c>
      <c r="N388" s="15">
        <v>720000</v>
      </c>
      <c r="O388" s="15">
        <f t="shared" si="15"/>
        <v>720000</v>
      </c>
      <c r="P388" s="15"/>
      <c r="Q388" s="14" t="s">
        <v>520</v>
      </c>
      <c r="R388" s="25">
        <v>45202</v>
      </c>
      <c r="S388" s="34" t="str">
        <f>TEXT(Table1[[#This Row],[End Date]],"MMMM")</f>
        <v>October</v>
      </c>
      <c r="T388" s="34" t="str">
        <f>TEXT(Table1[[#This Row],[End Date]],"YYYY")</f>
        <v>2023</v>
      </c>
      <c r="U388" s="24">
        <f t="shared" ca="1" si="16"/>
        <v>-69</v>
      </c>
      <c r="V388" s="14" t="str" cm="1">
        <f t="array" aca="1" ref="V388" ca="1">_xlfn.IFS(Table1[[#This Row],[Agreement Days]]&gt;=0,"Expired",Table1[[#This Row],[Agreement Days]]&gt;=-30,"Expires &lt; 30 Days",Table1[[#This Row],[Agreement Days]]&gt;=-60,"Expires &lt; 60 Days",Table1[[#This Row],[Agreement Days]]&lt;-60,"Valid Contract")</f>
        <v>Valid Contract</v>
      </c>
      <c r="W388" s="18" t="s">
        <v>21</v>
      </c>
      <c r="X388" s="18" t="s">
        <v>1289</v>
      </c>
      <c r="Y388" s="42" t="s">
        <v>1069</v>
      </c>
      <c r="Z388" s="27">
        <v>788564246</v>
      </c>
      <c r="AA388" s="27"/>
      <c r="AB388" s="116"/>
      <c r="AC388" s="116"/>
    </row>
    <row r="389" spans="1:29" hidden="1" x14ac:dyDescent="0.3">
      <c r="A389" s="18" t="s">
        <v>1065</v>
      </c>
      <c r="B389" s="18" t="s">
        <v>198</v>
      </c>
      <c r="C389" s="18" t="s">
        <v>1288</v>
      </c>
      <c r="D389" s="14" t="s">
        <v>545</v>
      </c>
      <c r="E389" s="18" t="s">
        <v>9</v>
      </c>
      <c r="F389" s="14" t="s">
        <v>688</v>
      </c>
      <c r="G389" s="14" t="s">
        <v>518</v>
      </c>
      <c r="H389" s="18" t="s">
        <v>4</v>
      </c>
      <c r="I389" s="14" t="s">
        <v>118</v>
      </c>
      <c r="J389" s="18"/>
      <c r="K389" s="18" t="s">
        <v>650</v>
      </c>
      <c r="L389" s="18"/>
      <c r="M389" s="14">
        <v>1</v>
      </c>
      <c r="N389" s="15">
        <v>369325</v>
      </c>
      <c r="O389" s="15">
        <f t="shared" si="15"/>
        <v>369325</v>
      </c>
      <c r="P389" s="15"/>
      <c r="Q389" s="14" t="s">
        <v>520</v>
      </c>
      <c r="R389" s="25">
        <v>45202</v>
      </c>
      <c r="S389" s="34" t="str">
        <f>TEXT(Table1[[#This Row],[End Date]],"MMMM")</f>
        <v>October</v>
      </c>
      <c r="T389" s="34" t="str">
        <f>TEXT(Table1[[#This Row],[End Date]],"YYYY")</f>
        <v>2023</v>
      </c>
      <c r="U389" s="24">
        <f t="shared" ca="1" si="16"/>
        <v>-69</v>
      </c>
      <c r="V389" s="14" t="str" cm="1">
        <f t="array" aca="1" ref="V389" ca="1">_xlfn.IFS(Table1[[#This Row],[Agreement Days]]&gt;=0,"Expired",Table1[[#This Row],[Agreement Days]]&gt;=-30,"Expires &lt; 30 Days",Table1[[#This Row],[Agreement Days]]&gt;=-60,"Expires &lt; 60 Days",Table1[[#This Row],[Agreement Days]]&lt;-60,"Valid Contract")</f>
        <v>Valid Contract</v>
      </c>
      <c r="W389" s="18" t="s">
        <v>21</v>
      </c>
      <c r="X389" s="18" t="s">
        <v>1068</v>
      </c>
      <c r="Y389" s="42" t="s">
        <v>1069</v>
      </c>
      <c r="Z389" s="27">
        <v>788470200</v>
      </c>
      <c r="AA389" s="27"/>
      <c r="AB389" s="116"/>
      <c r="AC389" s="116"/>
    </row>
    <row r="390" spans="1:29" hidden="1" x14ac:dyDescent="0.3">
      <c r="A390" s="18" t="s">
        <v>1290</v>
      </c>
      <c r="B390" s="18" t="s">
        <v>125</v>
      </c>
      <c r="C390" s="18" t="s">
        <v>1291</v>
      </c>
      <c r="D390" s="14" t="s">
        <v>739</v>
      </c>
      <c r="E390" s="18" t="s">
        <v>10</v>
      </c>
      <c r="F390" s="14" t="s">
        <v>631</v>
      </c>
      <c r="G390" s="14" t="s">
        <v>546</v>
      </c>
      <c r="H390" s="18" t="s">
        <v>2</v>
      </c>
      <c r="I390" s="14" t="s">
        <v>126</v>
      </c>
      <c r="J390" s="60">
        <v>25</v>
      </c>
      <c r="K390" s="18" t="s">
        <v>1292</v>
      </c>
      <c r="L390" s="18"/>
      <c r="M390" s="14">
        <v>1</v>
      </c>
      <c r="N390" s="15">
        <v>296610</v>
      </c>
      <c r="O390" s="15">
        <f t="shared" si="15"/>
        <v>296610</v>
      </c>
      <c r="P390" s="15"/>
      <c r="Q390" s="14" t="s">
        <v>520</v>
      </c>
      <c r="R390" s="25">
        <v>45208</v>
      </c>
      <c r="S390" s="34" t="str">
        <f>TEXT(Table1[[#This Row],[End Date]],"MMMM")</f>
        <v>October</v>
      </c>
      <c r="T390" s="34" t="str">
        <f>TEXT(Table1[[#This Row],[End Date]],"YYYY")</f>
        <v>2023</v>
      </c>
      <c r="U390" s="24">
        <f t="shared" ca="1" si="16"/>
        <v>-75</v>
      </c>
      <c r="V390" s="14" t="str" cm="1">
        <f t="array" aca="1" ref="V390" ca="1">_xlfn.IFS(Table1[[#This Row],[Agreement Days]]&gt;=0,"Expired",Table1[[#This Row],[Agreement Days]]&gt;=-30,"Expires &lt; 30 Days",Table1[[#This Row],[Agreement Days]]&gt;=-60,"Expires &lt; 60 Days",Table1[[#This Row],[Agreement Days]]&lt;-60,"Valid Contract")</f>
        <v>Valid Contract</v>
      </c>
      <c r="W390" s="18" t="s">
        <v>21</v>
      </c>
      <c r="X390" s="18" t="s">
        <v>1293</v>
      </c>
      <c r="Y390" s="42" t="s">
        <v>1294</v>
      </c>
      <c r="Z390" s="27">
        <v>788484961</v>
      </c>
      <c r="AA390" s="27"/>
      <c r="AB390" s="116"/>
      <c r="AC390" s="116"/>
    </row>
    <row r="391" spans="1:29" hidden="1" x14ac:dyDescent="0.3">
      <c r="A391" s="18" t="s">
        <v>1290</v>
      </c>
      <c r="B391" s="18" t="s">
        <v>125</v>
      </c>
      <c r="C391" s="18" t="s">
        <v>1295</v>
      </c>
      <c r="D391" s="14" t="s">
        <v>739</v>
      </c>
      <c r="E391" s="18" t="s">
        <v>10</v>
      </c>
      <c r="F391" s="14" t="s">
        <v>631</v>
      </c>
      <c r="G391" s="14" t="s">
        <v>546</v>
      </c>
      <c r="H391" s="18" t="s">
        <v>2</v>
      </c>
      <c r="I391" s="14" t="s">
        <v>126</v>
      </c>
      <c r="J391" s="60">
        <v>25</v>
      </c>
      <c r="K391" s="18" t="s">
        <v>1292</v>
      </c>
      <c r="L391" s="18"/>
      <c r="M391" s="14">
        <v>1</v>
      </c>
      <c r="N391" s="15">
        <v>296610</v>
      </c>
      <c r="O391" s="15">
        <f t="shared" ref="O391:O454" si="17">N391*M391</f>
        <v>296610</v>
      </c>
      <c r="P391" s="15"/>
      <c r="Q391" s="14" t="s">
        <v>520</v>
      </c>
      <c r="R391" s="25">
        <v>45208</v>
      </c>
      <c r="S391" s="34" t="str">
        <f>TEXT(Table1[[#This Row],[End Date]],"MMMM")</f>
        <v>October</v>
      </c>
      <c r="T391" s="34" t="str">
        <f>TEXT(Table1[[#This Row],[End Date]],"YYYY")</f>
        <v>2023</v>
      </c>
      <c r="U391" s="24">
        <f t="shared" ref="U391:U454" ca="1" si="18">TODAY()-R391</f>
        <v>-75</v>
      </c>
      <c r="V391" s="14" t="str" cm="1">
        <f t="array" aca="1" ref="V391" ca="1">_xlfn.IFS(Table1[[#This Row],[Agreement Days]]&gt;=0,"Expired",Table1[[#This Row],[Agreement Days]]&gt;=-30,"Expires &lt; 30 Days",Table1[[#This Row],[Agreement Days]]&gt;=-60,"Expires &lt; 60 Days",Table1[[#This Row],[Agreement Days]]&lt;-60,"Valid Contract")</f>
        <v>Valid Contract</v>
      </c>
      <c r="W391" s="18" t="s">
        <v>21</v>
      </c>
      <c r="X391" s="18" t="s">
        <v>1293</v>
      </c>
      <c r="Y391" s="42" t="s">
        <v>1294</v>
      </c>
      <c r="Z391" s="27">
        <v>788484961</v>
      </c>
      <c r="AA391" s="27"/>
      <c r="AB391" s="116"/>
      <c r="AC391" s="116"/>
    </row>
    <row r="392" spans="1:29" hidden="1" x14ac:dyDescent="0.3">
      <c r="A392" s="18" t="s">
        <v>1290</v>
      </c>
      <c r="B392" s="18" t="s">
        <v>125</v>
      </c>
      <c r="C392" s="18" t="s">
        <v>1296</v>
      </c>
      <c r="D392" s="14" t="s">
        <v>739</v>
      </c>
      <c r="E392" s="18" t="s">
        <v>10</v>
      </c>
      <c r="F392" s="14" t="s">
        <v>631</v>
      </c>
      <c r="G392" s="14" t="s">
        <v>546</v>
      </c>
      <c r="H392" s="18" t="s">
        <v>2</v>
      </c>
      <c r="I392" s="14" t="s">
        <v>126</v>
      </c>
      <c r="J392" s="60">
        <v>25</v>
      </c>
      <c r="K392" s="18" t="s">
        <v>1292</v>
      </c>
      <c r="L392" s="18"/>
      <c r="M392" s="14">
        <v>1</v>
      </c>
      <c r="N392" s="15">
        <v>296610</v>
      </c>
      <c r="O392" s="15">
        <f t="shared" si="17"/>
        <v>296610</v>
      </c>
      <c r="P392" s="15"/>
      <c r="Q392" s="14" t="s">
        <v>520</v>
      </c>
      <c r="R392" s="25">
        <v>45208</v>
      </c>
      <c r="S392" s="34" t="str">
        <f>TEXT(Table1[[#This Row],[End Date]],"MMMM")</f>
        <v>October</v>
      </c>
      <c r="T392" s="34" t="str">
        <f>TEXT(Table1[[#This Row],[End Date]],"YYYY")</f>
        <v>2023</v>
      </c>
      <c r="U392" s="24">
        <f t="shared" ca="1" si="18"/>
        <v>-75</v>
      </c>
      <c r="V392" s="14" t="str" cm="1">
        <f t="array" aca="1" ref="V392" ca="1">_xlfn.IFS(Table1[[#This Row],[Agreement Days]]&gt;=0,"Expired",Table1[[#This Row],[Agreement Days]]&gt;=-30,"Expires &lt; 30 Days",Table1[[#This Row],[Agreement Days]]&gt;=-60,"Expires &lt; 60 Days",Table1[[#This Row],[Agreement Days]]&lt;-60,"Valid Contract")</f>
        <v>Valid Contract</v>
      </c>
      <c r="W392" s="18" t="s">
        <v>21</v>
      </c>
      <c r="X392" s="18" t="s">
        <v>1293</v>
      </c>
      <c r="Y392" s="42" t="s">
        <v>1294</v>
      </c>
      <c r="Z392" s="27">
        <v>788484961</v>
      </c>
      <c r="AA392" s="27"/>
      <c r="AB392" s="116"/>
      <c r="AC392" s="116"/>
    </row>
    <row r="393" spans="1:29" hidden="1" x14ac:dyDescent="0.3">
      <c r="A393" s="18" t="s">
        <v>1290</v>
      </c>
      <c r="B393" s="18" t="s">
        <v>125</v>
      </c>
      <c r="C393" s="18" t="s">
        <v>1297</v>
      </c>
      <c r="D393" s="14" t="s">
        <v>739</v>
      </c>
      <c r="E393" s="18" t="s">
        <v>10</v>
      </c>
      <c r="F393" s="14" t="s">
        <v>631</v>
      </c>
      <c r="G393" s="14" t="s">
        <v>546</v>
      </c>
      <c r="H393" s="18" t="s">
        <v>2</v>
      </c>
      <c r="I393" s="14" t="s">
        <v>126</v>
      </c>
      <c r="J393" s="60">
        <v>25</v>
      </c>
      <c r="K393" s="18" t="s">
        <v>1292</v>
      </c>
      <c r="L393" s="18"/>
      <c r="M393" s="14">
        <v>1</v>
      </c>
      <c r="N393" s="15">
        <v>296610</v>
      </c>
      <c r="O393" s="15">
        <f t="shared" si="17"/>
        <v>296610</v>
      </c>
      <c r="P393" s="15"/>
      <c r="Q393" s="14" t="s">
        <v>520</v>
      </c>
      <c r="R393" s="25">
        <v>45208</v>
      </c>
      <c r="S393" s="34" t="str">
        <f>TEXT(Table1[[#This Row],[End Date]],"MMMM")</f>
        <v>October</v>
      </c>
      <c r="T393" s="34" t="str">
        <f>TEXT(Table1[[#This Row],[End Date]],"YYYY")</f>
        <v>2023</v>
      </c>
      <c r="U393" s="24">
        <f t="shared" ca="1" si="18"/>
        <v>-75</v>
      </c>
      <c r="V393" s="14" t="str" cm="1">
        <f t="array" aca="1" ref="V393" ca="1">_xlfn.IFS(Table1[[#This Row],[Agreement Days]]&gt;=0,"Expired",Table1[[#This Row],[Agreement Days]]&gt;=-30,"Expires &lt; 30 Days",Table1[[#This Row],[Agreement Days]]&gt;=-60,"Expires &lt; 60 Days",Table1[[#This Row],[Agreement Days]]&lt;-60,"Valid Contract")</f>
        <v>Valid Contract</v>
      </c>
      <c r="W393" s="18" t="s">
        <v>21</v>
      </c>
      <c r="X393" s="18" t="s">
        <v>1293</v>
      </c>
      <c r="Y393" s="42" t="s">
        <v>1294</v>
      </c>
      <c r="Z393" s="27">
        <v>788484961</v>
      </c>
      <c r="AA393" s="27"/>
      <c r="AB393" s="116"/>
      <c r="AC393" s="116"/>
    </row>
    <row r="394" spans="1:29" hidden="1" x14ac:dyDescent="0.3">
      <c r="A394" s="18" t="s">
        <v>1290</v>
      </c>
      <c r="B394" s="18" t="s">
        <v>125</v>
      </c>
      <c r="C394" s="18" t="s">
        <v>1298</v>
      </c>
      <c r="D394" s="14" t="s">
        <v>739</v>
      </c>
      <c r="E394" s="18" t="s">
        <v>10</v>
      </c>
      <c r="F394" s="14" t="s">
        <v>631</v>
      </c>
      <c r="G394" s="14" t="s">
        <v>546</v>
      </c>
      <c r="H394" s="18" t="s">
        <v>2</v>
      </c>
      <c r="I394" s="14" t="s">
        <v>126</v>
      </c>
      <c r="J394" s="60">
        <v>25</v>
      </c>
      <c r="K394" s="18" t="s">
        <v>1292</v>
      </c>
      <c r="L394" s="18"/>
      <c r="M394" s="14">
        <v>1</v>
      </c>
      <c r="N394" s="15">
        <v>296610</v>
      </c>
      <c r="O394" s="15">
        <f t="shared" si="17"/>
        <v>296610</v>
      </c>
      <c r="P394" s="15"/>
      <c r="Q394" s="14" t="s">
        <v>520</v>
      </c>
      <c r="R394" s="25">
        <v>45208</v>
      </c>
      <c r="S394" s="34" t="str">
        <f>TEXT(Table1[[#This Row],[End Date]],"MMMM")</f>
        <v>October</v>
      </c>
      <c r="T394" s="34" t="str">
        <f>TEXT(Table1[[#This Row],[End Date]],"YYYY")</f>
        <v>2023</v>
      </c>
      <c r="U394" s="24">
        <f t="shared" ca="1" si="18"/>
        <v>-75</v>
      </c>
      <c r="V394" s="14" t="str" cm="1">
        <f t="array" aca="1" ref="V394" ca="1">_xlfn.IFS(Table1[[#This Row],[Agreement Days]]&gt;=0,"Expired",Table1[[#This Row],[Agreement Days]]&gt;=-30,"Expires &lt; 30 Days",Table1[[#This Row],[Agreement Days]]&gt;=-60,"Expires &lt; 60 Days",Table1[[#This Row],[Agreement Days]]&lt;-60,"Valid Contract")</f>
        <v>Valid Contract</v>
      </c>
      <c r="W394" s="18" t="s">
        <v>21</v>
      </c>
      <c r="X394" s="18" t="s">
        <v>1293</v>
      </c>
      <c r="Y394" s="42" t="s">
        <v>1294</v>
      </c>
      <c r="Z394" s="27">
        <v>788484961</v>
      </c>
      <c r="AA394" s="27"/>
      <c r="AB394" s="116"/>
      <c r="AC394" s="116"/>
    </row>
    <row r="395" spans="1:29" hidden="1" x14ac:dyDescent="0.3">
      <c r="A395" s="18" t="s">
        <v>1290</v>
      </c>
      <c r="B395" s="18" t="s">
        <v>125</v>
      </c>
      <c r="C395" s="18" t="s">
        <v>1299</v>
      </c>
      <c r="D395" s="14" t="s">
        <v>739</v>
      </c>
      <c r="E395" s="18" t="s">
        <v>10</v>
      </c>
      <c r="F395" s="14" t="s">
        <v>631</v>
      </c>
      <c r="G395" s="14" t="s">
        <v>546</v>
      </c>
      <c r="H395" s="18" t="s">
        <v>2</v>
      </c>
      <c r="I395" s="14" t="s">
        <v>126</v>
      </c>
      <c r="J395" s="60">
        <v>25</v>
      </c>
      <c r="K395" s="18" t="s">
        <v>1292</v>
      </c>
      <c r="L395" s="18"/>
      <c r="M395" s="14">
        <v>1</v>
      </c>
      <c r="N395" s="15">
        <v>296610</v>
      </c>
      <c r="O395" s="15">
        <f t="shared" si="17"/>
        <v>296610</v>
      </c>
      <c r="P395" s="15"/>
      <c r="Q395" s="14" t="s">
        <v>520</v>
      </c>
      <c r="R395" s="25">
        <v>45208</v>
      </c>
      <c r="S395" s="34" t="str">
        <f>TEXT(Table1[[#This Row],[End Date]],"MMMM")</f>
        <v>October</v>
      </c>
      <c r="T395" s="34" t="str">
        <f>TEXT(Table1[[#This Row],[End Date]],"YYYY")</f>
        <v>2023</v>
      </c>
      <c r="U395" s="24">
        <f t="shared" ca="1" si="18"/>
        <v>-75</v>
      </c>
      <c r="V395" s="14" t="str" cm="1">
        <f t="array" aca="1" ref="V395" ca="1">_xlfn.IFS(Table1[[#This Row],[Agreement Days]]&gt;=0,"Expired",Table1[[#This Row],[Agreement Days]]&gt;=-30,"Expires &lt; 30 Days",Table1[[#This Row],[Agreement Days]]&gt;=-60,"Expires &lt; 60 Days",Table1[[#This Row],[Agreement Days]]&lt;-60,"Valid Contract")</f>
        <v>Valid Contract</v>
      </c>
      <c r="W395" s="18" t="s">
        <v>21</v>
      </c>
      <c r="X395" s="18" t="s">
        <v>1293</v>
      </c>
      <c r="Y395" s="42" t="s">
        <v>1294</v>
      </c>
      <c r="Z395" s="27">
        <v>788484961</v>
      </c>
      <c r="AA395" s="27"/>
      <c r="AB395" s="116"/>
      <c r="AC395" s="116"/>
    </row>
    <row r="396" spans="1:29" hidden="1" x14ac:dyDescent="0.3">
      <c r="A396" s="18" t="s">
        <v>1290</v>
      </c>
      <c r="B396" s="18" t="s">
        <v>125</v>
      </c>
      <c r="C396" s="18" t="s">
        <v>1300</v>
      </c>
      <c r="D396" s="14" t="s">
        <v>739</v>
      </c>
      <c r="E396" s="18" t="s">
        <v>10</v>
      </c>
      <c r="F396" s="14" t="s">
        <v>631</v>
      </c>
      <c r="G396" s="14" t="s">
        <v>546</v>
      </c>
      <c r="H396" s="18" t="s">
        <v>2</v>
      </c>
      <c r="I396" s="14" t="s">
        <v>126</v>
      </c>
      <c r="J396" s="60">
        <v>25</v>
      </c>
      <c r="K396" s="18" t="s">
        <v>1292</v>
      </c>
      <c r="L396" s="18"/>
      <c r="M396" s="14">
        <v>1</v>
      </c>
      <c r="N396" s="15">
        <v>296610</v>
      </c>
      <c r="O396" s="15">
        <f t="shared" si="17"/>
        <v>296610</v>
      </c>
      <c r="P396" s="15"/>
      <c r="Q396" s="14" t="s">
        <v>520</v>
      </c>
      <c r="R396" s="25">
        <v>45208</v>
      </c>
      <c r="S396" s="34" t="str">
        <f>TEXT(Table1[[#This Row],[End Date]],"MMMM")</f>
        <v>October</v>
      </c>
      <c r="T396" s="34" t="str">
        <f>TEXT(Table1[[#This Row],[End Date]],"YYYY")</f>
        <v>2023</v>
      </c>
      <c r="U396" s="24">
        <f t="shared" ca="1" si="18"/>
        <v>-75</v>
      </c>
      <c r="V396" s="14" t="str" cm="1">
        <f t="array" aca="1" ref="V396" ca="1">_xlfn.IFS(Table1[[#This Row],[Agreement Days]]&gt;=0,"Expired",Table1[[#This Row],[Agreement Days]]&gt;=-30,"Expires &lt; 30 Days",Table1[[#This Row],[Agreement Days]]&gt;=-60,"Expires &lt; 60 Days",Table1[[#This Row],[Agreement Days]]&lt;-60,"Valid Contract")</f>
        <v>Valid Contract</v>
      </c>
      <c r="W396" s="18" t="s">
        <v>21</v>
      </c>
      <c r="X396" s="18" t="s">
        <v>1293</v>
      </c>
      <c r="Y396" s="42" t="s">
        <v>1294</v>
      </c>
      <c r="Z396" s="27">
        <v>788484961</v>
      </c>
      <c r="AA396" s="27"/>
      <c r="AB396" s="116"/>
      <c r="AC396" s="116"/>
    </row>
    <row r="397" spans="1:29" hidden="1" x14ac:dyDescent="0.3">
      <c r="A397" s="18" t="s">
        <v>1290</v>
      </c>
      <c r="B397" s="18" t="s">
        <v>125</v>
      </c>
      <c r="C397" s="18" t="s">
        <v>1301</v>
      </c>
      <c r="D397" s="14" t="s">
        <v>739</v>
      </c>
      <c r="E397" s="18" t="s">
        <v>10</v>
      </c>
      <c r="F397" s="14" t="s">
        <v>631</v>
      </c>
      <c r="G397" s="14" t="s">
        <v>546</v>
      </c>
      <c r="H397" s="18" t="s">
        <v>2</v>
      </c>
      <c r="I397" s="14" t="s">
        <v>126</v>
      </c>
      <c r="J397" s="60">
        <v>25</v>
      </c>
      <c r="K397" s="18" t="s">
        <v>1292</v>
      </c>
      <c r="L397" s="18"/>
      <c r="M397" s="14">
        <v>1</v>
      </c>
      <c r="N397" s="15">
        <v>296610</v>
      </c>
      <c r="O397" s="15">
        <f t="shared" si="17"/>
        <v>296610</v>
      </c>
      <c r="P397" s="15"/>
      <c r="Q397" s="14" t="s">
        <v>520</v>
      </c>
      <c r="R397" s="25">
        <v>45208</v>
      </c>
      <c r="S397" s="34" t="str">
        <f>TEXT(Table1[[#This Row],[End Date]],"MMMM")</f>
        <v>October</v>
      </c>
      <c r="T397" s="34" t="str">
        <f>TEXT(Table1[[#This Row],[End Date]],"YYYY")</f>
        <v>2023</v>
      </c>
      <c r="U397" s="24">
        <f t="shared" ca="1" si="18"/>
        <v>-75</v>
      </c>
      <c r="V397" s="14" t="str" cm="1">
        <f t="array" aca="1" ref="V397" ca="1">_xlfn.IFS(Table1[[#This Row],[Agreement Days]]&gt;=0,"Expired",Table1[[#This Row],[Agreement Days]]&gt;=-30,"Expires &lt; 30 Days",Table1[[#This Row],[Agreement Days]]&gt;=-60,"Expires &lt; 60 Days",Table1[[#This Row],[Agreement Days]]&lt;-60,"Valid Contract")</f>
        <v>Valid Contract</v>
      </c>
      <c r="W397" s="18" t="s">
        <v>21</v>
      </c>
      <c r="X397" s="18" t="s">
        <v>1293</v>
      </c>
      <c r="Y397" s="42" t="s">
        <v>1294</v>
      </c>
      <c r="Z397" s="27">
        <v>788484961</v>
      </c>
      <c r="AA397" s="27"/>
      <c r="AB397" s="116"/>
      <c r="AC397" s="116"/>
    </row>
    <row r="398" spans="1:29" hidden="1" x14ac:dyDescent="0.3">
      <c r="A398" s="18" t="s">
        <v>1290</v>
      </c>
      <c r="B398" s="18" t="s">
        <v>125</v>
      </c>
      <c r="C398" s="18" t="s">
        <v>1302</v>
      </c>
      <c r="D398" s="14" t="s">
        <v>739</v>
      </c>
      <c r="E398" s="18" t="s">
        <v>10</v>
      </c>
      <c r="F398" s="14" t="s">
        <v>631</v>
      </c>
      <c r="G398" s="14" t="s">
        <v>546</v>
      </c>
      <c r="H398" s="18" t="s">
        <v>2</v>
      </c>
      <c r="I398" s="14" t="s">
        <v>126</v>
      </c>
      <c r="J398" s="60">
        <v>25</v>
      </c>
      <c r="K398" s="18" t="s">
        <v>1292</v>
      </c>
      <c r="L398" s="18"/>
      <c r="M398" s="14">
        <v>1</v>
      </c>
      <c r="N398" s="15">
        <v>296610</v>
      </c>
      <c r="O398" s="15">
        <f t="shared" si="17"/>
        <v>296610</v>
      </c>
      <c r="P398" s="15"/>
      <c r="Q398" s="14" t="s">
        <v>520</v>
      </c>
      <c r="R398" s="25">
        <v>45208</v>
      </c>
      <c r="S398" s="34" t="str">
        <f>TEXT(Table1[[#This Row],[End Date]],"MMMM")</f>
        <v>October</v>
      </c>
      <c r="T398" s="34" t="str">
        <f>TEXT(Table1[[#This Row],[End Date]],"YYYY")</f>
        <v>2023</v>
      </c>
      <c r="U398" s="24">
        <f t="shared" ca="1" si="18"/>
        <v>-75</v>
      </c>
      <c r="V398" s="14" t="str" cm="1">
        <f t="array" aca="1" ref="V398" ca="1">_xlfn.IFS(Table1[[#This Row],[Agreement Days]]&gt;=0,"Expired",Table1[[#This Row],[Agreement Days]]&gt;=-30,"Expires &lt; 30 Days",Table1[[#This Row],[Agreement Days]]&gt;=-60,"Expires &lt; 60 Days",Table1[[#This Row],[Agreement Days]]&lt;-60,"Valid Contract")</f>
        <v>Valid Contract</v>
      </c>
      <c r="W398" s="18" t="s">
        <v>21</v>
      </c>
      <c r="X398" s="18" t="s">
        <v>1293</v>
      </c>
      <c r="Y398" s="42" t="s">
        <v>1294</v>
      </c>
      <c r="Z398" s="27">
        <v>788484961</v>
      </c>
      <c r="AA398" s="27"/>
      <c r="AB398" s="116"/>
      <c r="AC398" s="116"/>
    </row>
    <row r="399" spans="1:29" hidden="1" x14ac:dyDescent="0.3">
      <c r="A399" s="18" t="s">
        <v>1290</v>
      </c>
      <c r="B399" s="18" t="s">
        <v>125</v>
      </c>
      <c r="C399" s="18" t="s">
        <v>1303</v>
      </c>
      <c r="D399" s="14" t="s">
        <v>739</v>
      </c>
      <c r="E399" s="18" t="s">
        <v>10</v>
      </c>
      <c r="F399" s="14" t="s">
        <v>631</v>
      </c>
      <c r="G399" s="14" t="s">
        <v>546</v>
      </c>
      <c r="H399" s="18" t="s">
        <v>2</v>
      </c>
      <c r="I399" s="14" t="s">
        <v>126</v>
      </c>
      <c r="J399" s="60">
        <v>25</v>
      </c>
      <c r="K399" s="18" t="s">
        <v>1292</v>
      </c>
      <c r="L399" s="18"/>
      <c r="M399" s="14">
        <v>1</v>
      </c>
      <c r="N399" s="15">
        <v>296610</v>
      </c>
      <c r="O399" s="15">
        <f t="shared" si="17"/>
        <v>296610</v>
      </c>
      <c r="P399" s="15"/>
      <c r="Q399" s="14" t="s">
        <v>520</v>
      </c>
      <c r="R399" s="25">
        <v>45208</v>
      </c>
      <c r="S399" s="34" t="str">
        <f>TEXT(Table1[[#This Row],[End Date]],"MMMM")</f>
        <v>October</v>
      </c>
      <c r="T399" s="34" t="str">
        <f>TEXT(Table1[[#This Row],[End Date]],"YYYY")</f>
        <v>2023</v>
      </c>
      <c r="U399" s="24">
        <f t="shared" ca="1" si="18"/>
        <v>-75</v>
      </c>
      <c r="V399" s="14" t="str" cm="1">
        <f t="array" aca="1" ref="V399" ca="1">_xlfn.IFS(Table1[[#This Row],[Agreement Days]]&gt;=0,"Expired",Table1[[#This Row],[Agreement Days]]&gt;=-30,"Expires &lt; 30 Days",Table1[[#This Row],[Agreement Days]]&gt;=-60,"Expires &lt; 60 Days",Table1[[#This Row],[Agreement Days]]&lt;-60,"Valid Contract")</f>
        <v>Valid Contract</v>
      </c>
      <c r="W399" s="18" t="s">
        <v>21</v>
      </c>
      <c r="X399" s="18" t="s">
        <v>1293</v>
      </c>
      <c r="Y399" s="42" t="s">
        <v>1294</v>
      </c>
      <c r="Z399" s="27">
        <v>788484961</v>
      </c>
      <c r="AA399" s="27"/>
      <c r="AB399" s="116"/>
      <c r="AC399" s="116"/>
    </row>
    <row r="400" spans="1:29" hidden="1" x14ac:dyDescent="0.3">
      <c r="A400" s="18" t="s">
        <v>1290</v>
      </c>
      <c r="B400" s="18" t="s">
        <v>125</v>
      </c>
      <c r="C400" s="18" t="s">
        <v>1304</v>
      </c>
      <c r="D400" s="14" t="s">
        <v>739</v>
      </c>
      <c r="E400" s="18" t="s">
        <v>10</v>
      </c>
      <c r="F400" s="14" t="s">
        <v>631</v>
      </c>
      <c r="G400" s="14" t="s">
        <v>546</v>
      </c>
      <c r="H400" s="18" t="s">
        <v>2</v>
      </c>
      <c r="I400" s="14" t="s">
        <v>126</v>
      </c>
      <c r="J400" s="60">
        <v>25</v>
      </c>
      <c r="K400" s="18" t="s">
        <v>1292</v>
      </c>
      <c r="L400" s="18"/>
      <c r="M400" s="14">
        <v>1</v>
      </c>
      <c r="N400" s="15">
        <v>296610</v>
      </c>
      <c r="O400" s="15">
        <f t="shared" si="17"/>
        <v>296610</v>
      </c>
      <c r="P400" s="15"/>
      <c r="Q400" s="14" t="s">
        <v>520</v>
      </c>
      <c r="R400" s="25">
        <v>45208</v>
      </c>
      <c r="S400" s="34" t="str">
        <f>TEXT(Table1[[#This Row],[End Date]],"MMMM")</f>
        <v>October</v>
      </c>
      <c r="T400" s="34" t="str">
        <f>TEXT(Table1[[#This Row],[End Date]],"YYYY")</f>
        <v>2023</v>
      </c>
      <c r="U400" s="24">
        <f t="shared" ca="1" si="18"/>
        <v>-75</v>
      </c>
      <c r="V400" s="14" t="str" cm="1">
        <f t="array" aca="1" ref="V400" ca="1">_xlfn.IFS(Table1[[#This Row],[Agreement Days]]&gt;=0,"Expired",Table1[[#This Row],[Agreement Days]]&gt;=-30,"Expires &lt; 30 Days",Table1[[#This Row],[Agreement Days]]&gt;=-60,"Expires &lt; 60 Days",Table1[[#This Row],[Agreement Days]]&lt;-60,"Valid Contract")</f>
        <v>Valid Contract</v>
      </c>
      <c r="W400" s="18" t="s">
        <v>21</v>
      </c>
      <c r="X400" s="18" t="s">
        <v>1293</v>
      </c>
      <c r="Y400" s="42" t="s">
        <v>1294</v>
      </c>
      <c r="Z400" s="27">
        <v>788484961</v>
      </c>
      <c r="AA400" s="27"/>
      <c r="AB400" s="116"/>
      <c r="AC400" s="116"/>
    </row>
    <row r="401" spans="1:29" hidden="1" x14ac:dyDescent="0.3">
      <c r="A401" s="18" t="s">
        <v>1290</v>
      </c>
      <c r="B401" s="18" t="s">
        <v>125</v>
      </c>
      <c r="C401" s="18" t="s">
        <v>1305</v>
      </c>
      <c r="D401" s="14" t="s">
        <v>739</v>
      </c>
      <c r="E401" s="18" t="s">
        <v>10</v>
      </c>
      <c r="F401" s="14" t="s">
        <v>631</v>
      </c>
      <c r="G401" s="14" t="s">
        <v>546</v>
      </c>
      <c r="H401" s="18" t="s">
        <v>2</v>
      </c>
      <c r="I401" s="14" t="s">
        <v>126</v>
      </c>
      <c r="J401" s="14">
        <v>25</v>
      </c>
      <c r="K401" s="18" t="s">
        <v>1292</v>
      </c>
      <c r="L401" s="14"/>
      <c r="M401" s="14">
        <v>1</v>
      </c>
      <c r="N401" s="15">
        <v>296610</v>
      </c>
      <c r="O401" s="15">
        <f t="shared" si="17"/>
        <v>296610</v>
      </c>
      <c r="P401" s="15"/>
      <c r="Q401" s="14" t="s">
        <v>520</v>
      </c>
      <c r="R401" s="25">
        <v>45208</v>
      </c>
      <c r="S401" s="22" t="str">
        <f>TEXT(Table1[[#This Row],[End Date]],"MMMM")</f>
        <v>October</v>
      </c>
      <c r="T401" s="34" t="str">
        <f>TEXT(Table1[[#This Row],[End Date]],"YYYY")</f>
        <v>2023</v>
      </c>
      <c r="U401" s="24">
        <f t="shared" ca="1" si="18"/>
        <v>-75</v>
      </c>
      <c r="V401" s="14" t="str" cm="1">
        <f t="array" aca="1" ref="V401" ca="1">_xlfn.IFS(Table1[[#This Row],[Agreement Days]]&gt;=0,"Expired",Table1[[#This Row],[Agreement Days]]&gt;=-30,"Expires &lt; 30 Days",Table1[[#This Row],[Agreement Days]]&gt;=-60,"Expires &lt; 60 Days",Table1[[#This Row],[Agreement Days]]&lt;-60,"Valid Contract")</f>
        <v>Valid Contract</v>
      </c>
      <c r="W401" s="18" t="s">
        <v>21</v>
      </c>
      <c r="X401" s="18" t="s">
        <v>1293</v>
      </c>
      <c r="Y401" s="42" t="s">
        <v>1294</v>
      </c>
      <c r="Z401" s="27">
        <v>788484961</v>
      </c>
      <c r="AA401" s="19"/>
      <c r="AB401" s="116"/>
      <c r="AC401" s="116"/>
    </row>
    <row r="402" spans="1:29" hidden="1" x14ac:dyDescent="0.3">
      <c r="A402" s="18" t="s">
        <v>1290</v>
      </c>
      <c r="B402" s="18" t="s">
        <v>125</v>
      </c>
      <c r="C402" s="18" t="s">
        <v>1306</v>
      </c>
      <c r="D402" s="14" t="s">
        <v>739</v>
      </c>
      <c r="E402" s="18" t="s">
        <v>10</v>
      </c>
      <c r="F402" s="14" t="s">
        <v>631</v>
      </c>
      <c r="G402" s="14" t="s">
        <v>546</v>
      </c>
      <c r="H402" s="18" t="s">
        <v>2</v>
      </c>
      <c r="I402" s="14" t="s">
        <v>126</v>
      </c>
      <c r="J402" s="14">
        <v>25</v>
      </c>
      <c r="K402" s="18" t="s">
        <v>1292</v>
      </c>
      <c r="L402" s="14"/>
      <c r="M402" s="14">
        <v>1</v>
      </c>
      <c r="N402" s="15">
        <v>296610</v>
      </c>
      <c r="O402" s="15">
        <f t="shared" si="17"/>
        <v>296610</v>
      </c>
      <c r="P402" s="15"/>
      <c r="Q402" s="14" t="s">
        <v>520</v>
      </c>
      <c r="R402" s="25">
        <v>45208</v>
      </c>
      <c r="S402" s="22" t="str">
        <f>TEXT(Table1[[#This Row],[End Date]],"MMMM")</f>
        <v>October</v>
      </c>
      <c r="T402" s="34" t="str">
        <f>TEXT(Table1[[#This Row],[End Date]],"YYYY")</f>
        <v>2023</v>
      </c>
      <c r="U402" s="24">
        <f t="shared" ca="1" si="18"/>
        <v>-75</v>
      </c>
      <c r="V402" s="14" t="str" cm="1">
        <f t="array" aca="1" ref="V402" ca="1">_xlfn.IFS(Table1[[#This Row],[Agreement Days]]&gt;=0,"Expired",Table1[[#This Row],[Agreement Days]]&gt;=-30,"Expires &lt; 30 Days",Table1[[#This Row],[Agreement Days]]&gt;=-60,"Expires &lt; 60 Days",Table1[[#This Row],[Agreement Days]]&lt;-60,"Valid Contract")</f>
        <v>Valid Contract</v>
      </c>
      <c r="W402" s="18" t="s">
        <v>21</v>
      </c>
      <c r="X402" s="18" t="s">
        <v>1293</v>
      </c>
      <c r="Y402" s="42" t="s">
        <v>1294</v>
      </c>
      <c r="Z402" s="27">
        <v>788484961</v>
      </c>
      <c r="AA402" s="19"/>
      <c r="AB402" s="116"/>
      <c r="AC402" s="116"/>
    </row>
    <row r="403" spans="1:29" hidden="1" x14ac:dyDescent="0.3">
      <c r="A403" s="18" t="s">
        <v>1290</v>
      </c>
      <c r="B403" s="18" t="s">
        <v>125</v>
      </c>
      <c r="C403" s="18" t="s">
        <v>1307</v>
      </c>
      <c r="D403" s="14" t="s">
        <v>739</v>
      </c>
      <c r="E403" s="18" t="s">
        <v>10</v>
      </c>
      <c r="F403" s="14" t="s">
        <v>631</v>
      </c>
      <c r="G403" s="14" t="s">
        <v>546</v>
      </c>
      <c r="H403" s="18" t="s">
        <v>2</v>
      </c>
      <c r="I403" s="14" t="s">
        <v>126</v>
      </c>
      <c r="J403" s="14">
        <v>25</v>
      </c>
      <c r="K403" s="18" t="s">
        <v>1292</v>
      </c>
      <c r="L403" s="14"/>
      <c r="M403" s="14">
        <v>1</v>
      </c>
      <c r="N403" s="15">
        <v>296610</v>
      </c>
      <c r="O403" s="15">
        <f t="shared" si="17"/>
        <v>296610</v>
      </c>
      <c r="P403" s="15"/>
      <c r="Q403" s="14" t="s">
        <v>520</v>
      </c>
      <c r="R403" s="25">
        <v>45208</v>
      </c>
      <c r="S403" s="22" t="str">
        <f>TEXT(Table1[[#This Row],[End Date]],"MMMM")</f>
        <v>October</v>
      </c>
      <c r="T403" s="34" t="str">
        <f>TEXT(Table1[[#This Row],[End Date]],"YYYY")</f>
        <v>2023</v>
      </c>
      <c r="U403" s="24">
        <f t="shared" ca="1" si="18"/>
        <v>-75</v>
      </c>
      <c r="V403" s="14" t="str" cm="1">
        <f t="array" aca="1" ref="V403" ca="1">_xlfn.IFS(Table1[[#This Row],[Agreement Days]]&gt;=0,"Expired",Table1[[#This Row],[Agreement Days]]&gt;=-30,"Expires &lt; 30 Days",Table1[[#This Row],[Agreement Days]]&gt;=-60,"Expires &lt; 60 Days",Table1[[#This Row],[Agreement Days]]&lt;-60,"Valid Contract")</f>
        <v>Valid Contract</v>
      </c>
      <c r="W403" s="18" t="s">
        <v>21</v>
      </c>
      <c r="X403" s="18" t="s">
        <v>1293</v>
      </c>
      <c r="Y403" s="42" t="s">
        <v>1294</v>
      </c>
      <c r="Z403" s="27">
        <v>788484961</v>
      </c>
      <c r="AA403" s="19"/>
      <c r="AB403" s="116"/>
      <c r="AC403" s="116"/>
    </row>
    <row r="404" spans="1:29" hidden="1" x14ac:dyDescent="0.3">
      <c r="A404" s="18" t="s">
        <v>1290</v>
      </c>
      <c r="B404" s="18" t="s">
        <v>125</v>
      </c>
      <c r="C404" s="18" t="s">
        <v>1308</v>
      </c>
      <c r="D404" s="14" t="s">
        <v>739</v>
      </c>
      <c r="E404" s="18" t="s">
        <v>10</v>
      </c>
      <c r="F404" s="14" t="s">
        <v>631</v>
      </c>
      <c r="G404" s="14" t="s">
        <v>546</v>
      </c>
      <c r="H404" s="18" t="s">
        <v>2</v>
      </c>
      <c r="I404" s="14" t="s">
        <v>126</v>
      </c>
      <c r="J404" s="14">
        <v>25</v>
      </c>
      <c r="K404" s="18" t="s">
        <v>1292</v>
      </c>
      <c r="L404" s="14"/>
      <c r="M404" s="14">
        <v>1</v>
      </c>
      <c r="N404" s="15">
        <v>296610</v>
      </c>
      <c r="O404" s="15">
        <f t="shared" si="17"/>
        <v>296610</v>
      </c>
      <c r="P404" s="15"/>
      <c r="Q404" s="14" t="s">
        <v>520</v>
      </c>
      <c r="R404" s="25">
        <v>45208</v>
      </c>
      <c r="S404" s="22" t="str">
        <f>TEXT(Table1[[#This Row],[End Date]],"MMMM")</f>
        <v>October</v>
      </c>
      <c r="T404" s="34" t="str">
        <f>TEXT(Table1[[#This Row],[End Date]],"YYYY")</f>
        <v>2023</v>
      </c>
      <c r="U404" s="24">
        <f t="shared" ca="1" si="18"/>
        <v>-75</v>
      </c>
      <c r="V404" s="14" t="str" cm="1">
        <f t="array" aca="1" ref="V404" ca="1">_xlfn.IFS(Table1[[#This Row],[Agreement Days]]&gt;=0,"Expired",Table1[[#This Row],[Agreement Days]]&gt;=-30,"Expires &lt; 30 Days",Table1[[#This Row],[Agreement Days]]&gt;=-60,"Expires &lt; 60 Days",Table1[[#This Row],[Agreement Days]]&lt;-60,"Valid Contract")</f>
        <v>Valid Contract</v>
      </c>
      <c r="W404" s="18" t="s">
        <v>21</v>
      </c>
      <c r="X404" s="18" t="s">
        <v>1293</v>
      </c>
      <c r="Y404" s="42" t="s">
        <v>1294</v>
      </c>
      <c r="Z404" s="27">
        <v>788484961</v>
      </c>
      <c r="AA404" s="19"/>
      <c r="AB404" s="116"/>
      <c r="AC404" s="116"/>
    </row>
    <row r="405" spans="1:29" hidden="1" x14ac:dyDescent="0.3">
      <c r="A405" s="18" t="s">
        <v>1290</v>
      </c>
      <c r="B405" s="18" t="s">
        <v>125</v>
      </c>
      <c r="C405" s="18" t="s">
        <v>1309</v>
      </c>
      <c r="D405" s="14" t="s">
        <v>739</v>
      </c>
      <c r="E405" s="18" t="s">
        <v>10</v>
      </c>
      <c r="F405" s="14" t="s">
        <v>631</v>
      </c>
      <c r="G405" s="14" t="s">
        <v>546</v>
      </c>
      <c r="H405" s="18" t="s">
        <v>2</v>
      </c>
      <c r="I405" s="14" t="s">
        <v>126</v>
      </c>
      <c r="J405" s="14">
        <v>25</v>
      </c>
      <c r="K405" s="18" t="s">
        <v>1292</v>
      </c>
      <c r="L405" s="14"/>
      <c r="M405" s="14">
        <v>1</v>
      </c>
      <c r="N405" s="15">
        <v>296610</v>
      </c>
      <c r="O405" s="15">
        <f t="shared" si="17"/>
        <v>296610</v>
      </c>
      <c r="P405" s="15"/>
      <c r="Q405" s="14" t="s">
        <v>520</v>
      </c>
      <c r="R405" s="25">
        <v>45208</v>
      </c>
      <c r="S405" s="22" t="str">
        <f>TEXT(Table1[[#This Row],[End Date]],"MMMM")</f>
        <v>October</v>
      </c>
      <c r="T405" s="34" t="str">
        <f>TEXT(Table1[[#This Row],[End Date]],"YYYY")</f>
        <v>2023</v>
      </c>
      <c r="U405" s="24">
        <f t="shared" ca="1" si="18"/>
        <v>-75</v>
      </c>
      <c r="V405" s="14" t="str" cm="1">
        <f t="array" aca="1" ref="V405" ca="1">_xlfn.IFS(Table1[[#This Row],[Agreement Days]]&gt;=0,"Expired",Table1[[#This Row],[Agreement Days]]&gt;=-30,"Expires &lt; 30 Days",Table1[[#This Row],[Agreement Days]]&gt;=-60,"Expires &lt; 60 Days",Table1[[#This Row],[Agreement Days]]&lt;-60,"Valid Contract")</f>
        <v>Valid Contract</v>
      </c>
      <c r="W405" s="18" t="s">
        <v>21</v>
      </c>
      <c r="X405" s="18" t="s">
        <v>1293</v>
      </c>
      <c r="Y405" s="42" t="s">
        <v>1294</v>
      </c>
      <c r="Z405" s="27">
        <v>788484961</v>
      </c>
      <c r="AA405" s="19"/>
      <c r="AB405" s="116"/>
      <c r="AC405" s="116"/>
    </row>
    <row r="406" spans="1:29" hidden="1" x14ac:dyDescent="0.3">
      <c r="A406" s="18" t="s">
        <v>1290</v>
      </c>
      <c r="B406" s="18" t="s">
        <v>125</v>
      </c>
      <c r="C406" s="18" t="s">
        <v>1310</v>
      </c>
      <c r="D406" s="14" t="s">
        <v>739</v>
      </c>
      <c r="E406" s="18" t="s">
        <v>10</v>
      </c>
      <c r="F406" s="14" t="s">
        <v>631</v>
      </c>
      <c r="G406" s="14" t="s">
        <v>546</v>
      </c>
      <c r="H406" s="18" t="s">
        <v>2</v>
      </c>
      <c r="I406" s="14" t="s">
        <v>126</v>
      </c>
      <c r="J406" s="14">
        <v>25</v>
      </c>
      <c r="K406" s="18" t="s">
        <v>1292</v>
      </c>
      <c r="L406" s="14"/>
      <c r="M406" s="14">
        <v>1</v>
      </c>
      <c r="N406" s="15">
        <v>296610</v>
      </c>
      <c r="O406" s="15">
        <f t="shared" si="17"/>
        <v>296610</v>
      </c>
      <c r="P406" s="15"/>
      <c r="Q406" s="14" t="s">
        <v>520</v>
      </c>
      <c r="R406" s="25">
        <v>45208</v>
      </c>
      <c r="S406" s="22" t="str">
        <f>TEXT(Table1[[#This Row],[End Date]],"MMMM")</f>
        <v>October</v>
      </c>
      <c r="T406" s="34" t="str">
        <f>TEXT(Table1[[#This Row],[End Date]],"YYYY")</f>
        <v>2023</v>
      </c>
      <c r="U406" s="24">
        <f t="shared" ca="1" si="18"/>
        <v>-75</v>
      </c>
      <c r="V406" s="14" t="str" cm="1">
        <f t="array" aca="1" ref="V406" ca="1">_xlfn.IFS(Table1[[#This Row],[Agreement Days]]&gt;=0,"Expired",Table1[[#This Row],[Agreement Days]]&gt;=-30,"Expires &lt; 30 Days",Table1[[#This Row],[Agreement Days]]&gt;=-60,"Expires &lt; 60 Days",Table1[[#This Row],[Agreement Days]]&lt;-60,"Valid Contract")</f>
        <v>Valid Contract</v>
      </c>
      <c r="W406" s="18" t="s">
        <v>21</v>
      </c>
      <c r="X406" s="18" t="s">
        <v>1293</v>
      </c>
      <c r="Y406" s="42" t="s">
        <v>1294</v>
      </c>
      <c r="Z406" s="27">
        <v>788484961</v>
      </c>
      <c r="AA406" s="19"/>
      <c r="AB406" s="116"/>
      <c r="AC406" s="116"/>
    </row>
    <row r="407" spans="1:29" hidden="1" x14ac:dyDescent="0.3">
      <c r="A407" s="18" t="s">
        <v>1290</v>
      </c>
      <c r="B407" s="18" t="s">
        <v>125</v>
      </c>
      <c r="C407" s="18" t="s">
        <v>1311</v>
      </c>
      <c r="D407" s="14" t="s">
        <v>739</v>
      </c>
      <c r="E407" s="18" t="s">
        <v>10</v>
      </c>
      <c r="F407" s="14" t="s">
        <v>631</v>
      </c>
      <c r="G407" s="14" t="s">
        <v>546</v>
      </c>
      <c r="H407" s="18" t="s">
        <v>2</v>
      </c>
      <c r="I407" s="14" t="s">
        <v>126</v>
      </c>
      <c r="J407" s="14">
        <v>25</v>
      </c>
      <c r="K407" s="18" t="s">
        <v>1292</v>
      </c>
      <c r="L407" s="14"/>
      <c r="M407" s="14">
        <v>1</v>
      </c>
      <c r="N407" s="15">
        <v>296610</v>
      </c>
      <c r="O407" s="15">
        <f t="shared" si="17"/>
        <v>296610</v>
      </c>
      <c r="P407" s="15"/>
      <c r="Q407" s="14" t="s">
        <v>520</v>
      </c>
      <c r="R407" s="25">
        <v>45208</v>
      </c>
      <c r="S407" s="22" t="str">
        <f>TEXT(Table1[[#This Row],[End Date]],"MMMM")</f>
        <v>October</v>
      </c>
      <c r="T407" s="34" t="str">
        <f>TEXT(Table1[[#This Row],[End Date]],"YYYY")</f>
        <v>2023</v>
      </c>
      <c r="U407" s="24">
        <f t="shared" ca="1" si="18"/>
        <v>-75</v>
      </c>
      <c r="V407" s="14" t="str" cm="1">
        <f t="array" aca="1" ref="V407" ca="1">_xlfn.IFS(Table1[[#This Row],[Agreement Days]]&gt;=0,"Expired",Table1[[#This Row],[Agreement Days]]&gt;=-30,"Expires &lt; 30 Days",Table1[[#This Row],[Agreement Days]]&gt;=-60,"Expires &lt; 60 Days",Table1[[#This Row],[Agreement Days]]&lt;-60,"Valid Contract")</f>
        <v>Valid Contract</v>
      </c>
      <c r="W407" s="18" t="s">
        <v>21</v>
      </c>
      <c r="X407" s="18" t="s">
        <v>1293</v>
      </c>
      <c r="Y407" s="42" t="s">
        <v>1294</v>
      </c>
      <c r="Z407" s="27">
        <v>788484961</v>
      </c>
      <c r="AA407" s="19"/>
      <c r="AB407" s="116"/>
      <c r="AC407" s="116"/>
    </row>
    <row r="408" spans="1:29" hidden="1" x14ac:dyDescent="0.3">
      <c r="A408" s="18" t="s">
        <v>1290</v>
      </c>
      <c r="B408" s="18" t="s">
        <v>125</v>
      </c>
      <c r="C408" s="18" t="s">
        <v>1312</v>
      </c>
      <c r="D408" s="14" t="s">
        <v>739</v>
      </c>
      <c r="E408" s="18" t="s">
        <v>10</v>
      </c>
      <c r="F408" s="14" t="s">
        <v>631</v>
      </c>
      <c r="G408" s="14" t="s">
        <v>546</v>
      </c>
      <c r="H408" s="18" t="s">
        <v>2</v>
      </c>
      <c r="I408" s="14" t="s">
        <v>126</v>
      </c>
      <c r="J408" s="14">
        <v>25</v>
      </c>
      <c r="K408" s="18" t="s">
        <v>1292</v>
      </c>
      <c r="L408" s="14"/>
      <c r="M408" s="14">
        <v>1</v>
      </c>
      <c r="N408" s="15">
        <v>296610</v>
      </c>
      <c r="O408" s="15">
        <f t="shared" si="17"/>
        <v>296610</v>
      </c>
      <c r="P408" s="15"/>
      <c r="Q408" s="14" t="s">
        <v>520</v>
      </c>
      <c r="R408" s="25">
        <v>45208</v>
      </c>
      <c r="S408" s="22" t="str">
        <f>TEXT(Table1[[#This Row],[End Date]],"MMMM")</f>
        <v>October</v>
      </c>
      <c r="T408" s="34" t="str">
        <f>TEXT(Table1[[#This Row],[End Date]],"YYYY")</f>
        <v>2023</v>
      </c>
      <c r="U408" s="24">
        <f t="shared" ca="1" si="18"/>
        <v>-75</v>
      </c>
      <c r="V408" s="14" t="str" cm="1">
        <f t="array" aca="1" ref="V408" ca="1">_xlfn.IFS(Table1[[#This Row],[Agreement Days]]&gt;=0,"Expired",Table1[[#This Row],[Agreement Days]]&gt;=-30,"Expires &lt; 30 Days",Table1[[#This Row],[Agreement Days]]&gt;=-60,"Expires &lt; 60 Days",Table1[[#This Row],[Agreement Days]]&lt;-60,"Valid Contract")</f>
        <v>Valid Contract</v>
      </c>
      <c r="W408" s="18" t="s">
        <v>21</v>
      </c>
      <c r="X408" s="18" t="s">
        <v>1293</v>
      </c>
      <c r="Y408" s="42" t="s">
        <v>1294</v>
      </c>
      <c r="Z408" s="27">
        <v>788484961</v>
      </c>
      <c r="AA408" s="19"/>
      <c r="AB408" s="116"/>
      <c r="AC408" s="116"/>
    </row>
    <row r="409" spans="1:29" hidden="1" x14ac:dyDescent="0.3">
      <c r="A409" s="18" t="s">
        <v>1290</v>
      </c>
      <c r="B409" s="18" t="s">
        <v>125</v>
      </c>
      <c r="C409" s="18" t="s">
        <v>1313</v>
      </c>
      <c r="D409" s="14" t="s">
        <v>586</v>
      </c>
      <c r="E409" s="18" t="s">
        <v>10</v>
      </c>
      <c r="F409" s="14" t="s">
        <v>631</v>
      </c>
      <c r="G409" s="14" t="s">
        <v>546</v>
      </c>
      <c r="H409" s="18" t="s">
        <v>2</v>
      </c>
      <c r="I409" s="14" t="s">
        <v>126</v>
      </c>
      <c r="J409" s="60">
        <v>25</v>
      </c>
      <c r="K409" s="18" t="s">
        <v>1292</v>
      </c>
      <c r="L409" s="18"/>
      <c r="M409" s="14">
        <v>1</v>
      </c>
      <c r="N409" s="15">
        <v>381356</v>
      </c>
      <c r="O409" s="15">
        <f t="shared" si="17"/>
        <v>381356</v>
      </c>
      <c r="P409" s="15"/>
      <c r="Q409" s="14" t="s">
        <v>520</v>
      </c>
      <c r="R409" s="25">
        <v>45208</v>
      </c>
      <c r="S409" s="34" t="str">
        <f>TEXT(Table1[[#This Row],[End Date]],"MMMM")</f>
        <v>October</v>
      </c>
      <c r="T409" s="34" t="str">
        <f>TEXT(Table1[[#This Row],[End Date]],"YYYY")</f>
        <v>2023</v>
      </c>
      <c r="U409" s="24">
        <f t="shared" ca="1" si="18"/>
        <v>-75</v>
      </c>
      <c r="V409" s="14" t="str" cm="1">
        <f t="array" aca="1" ref="V409" ca="1">_xlfn.IFS(Table1[[#This Row],[Agreement Days]]&gt;=0,"Expired",Table1[[#This Row],[Agreement Days]]&gt;=-30,"Expires &lt; 30 Days",Table1[[#This Row],[Agreement Days]]&gt;=-60,"Expires &lt; 60 Days",Table1[[#This Row],[Agreement Days]]&lt;-60,"Valid Contract")</f>
        <v>Valid Contract</v>
      </c>
      <c r="W409" s="18" t="s">
        <v>21</v>
      </c>
      <c r="X409" s="18" t="s">
        <v>1293</v>
      </c>
      <c r="Y409" s="42" t="s">
        <v>1294</v>
      </c>
      <c r="Z409" s="27">
        <v>788484961</v>
      </c>
      <c r="AA409" s="27"/>
      <c r="AB409" s="116"/>
      <c r="AC409" s="116"/>
    </row>
    <row r="410" spans="1:29" hidden="1" x14ac:dyDescent="0.3">
      <c r="A410" s="18" t="s">
        <v>1290</v>
      </c>
      <c r="B410" s="18" t="s">
        <v>125</v>
      </c>
      <c r="C410" s="18" t="s">
        <v>1314</v>
      </c>
      <c r="D410" s="14" t="s">
        <v>586</v>
      </c>
      <c r="E410" s="18" t="s">
        <v>10</v>
      </c>
      <c r="F410" s="14" t="s">
        <v>631</v>
      </c>
      <c r="G410" s="14" t="s">
        <v>546</v>
      </c>
      <c r="H410" s="18" t="s">
        <v>2</v>
      </c>
      <c r="I410" s="14" t="s">
        <v>126</v>
      </c>
      <c r="J410" s="60">
        <v>25</v>
      </c>
      <c r="K410" s="18" t="s">
        <v>1292</v>
      </c>
      <c r="L410" s="18"/>
      <c r="M410" s="14">
        <v>1</v>
      </c>
      <c r="N410" s="15">
        <v>381356</v>
      </c>
      <c r="O410" s="15">
        <f t="shared" si="17"/>
        <v>381356</v>
      </c>
      <c r="P410" s="15"/>
      <c r="Q410" s="14" t="s">
        <v>520</v>
      </c>
      <c r="R410" s="25">
        <v>45208</v>
      </c>
      <c r="S410" s="34" t="str">
        <f>TEXT(Table1[[#This Row],[End Date]],"MMMM")</f>
        <v>October</v>
      </c>
      <c r="T410" s="34" t="str">
        <f>TEXT(Table1[[#This Row],[End Date]],"YYYY")</f>
        <v>2023</v>
      </c>
      <c r="U410" s="24">
        <f t="shared" ca="1" si="18"/>
        <v>-75</v>
      </c>
      <c r="V410" s="14" t="str" cm="1">
        <f t="array" aca="1" ref="V410" ca="1">_xlfn.IFS(Table1[[#This Row],[Agreement Days]]&gt;=0,"Expired",Table1[[#This Row],[Agreement Days]]&gt;=-30,"Expires &lt; 30 Days",Table1[[#This Row],[Agreement Days]]&gt;=-60,"Expires &lt; 60 Days",Table1[[#This Row],[Agreement Days]]&lt;-60,"Valid Contract")</f>
        <v>Valid Contract</v>
      </c>
      <c r="W410" s="18" t="s">
        <v>21</v>
      </c>
      <c r="X410" s="18" t="s">
        <v>1293</v>
      </c>
      <c r="Y410" s="42" t="s">
        <v>1294</v>
      </c>
      <c r="Z410" s="27">
        <v>788484961</v>
      </c>
      <c r="AA410" s="27"/>
      <c r="AB410" s="116"/>
      <c r="AC410" s="116"/>
    </row>
    <row r="411" spans="1:29" hidden="1" x14ac:dyDescent="0.3">
      <c r="A411" s="18" t="s">
        <v>1290</v>
      </c>
      <c r="B411" s="18" t="s">
        <v>125</v>
      </c>
      <c r="C411" s="18" t="s">
        <v>1315</v>
      </c>
      <c r="D411" s="14" t="s">
        <v>586</v>
      </c>
      <c r="E411" s="18" t="s">
        <v>10</v>
      </c>
      <c r="F411" s="14" t="s">
        <v>631</v>
      </c>
      <c r="G411" s="14" t="s">
        <v>546</v>
      </c>
      <c r="H411" s="18" t="s">
        <v>2</v>
      </c>
      <c r="I411" s="14" t="s">
        <v>126</v>
      </c>
      <c r="J411" s="60">
        <v>25</v>
      </c>
      <c r="K411" s="18" t="s">
        <v>1292</v>
      </c>
      <c r="L411" s="18"/>
      <c r="M411" s="14">
        <v>1</v>
      </c>
      <c r="N411" s="15">
        <v>381356</v>
      </c>
      <c r="O411" s="15">
        <f t="shared" si="17"/>
        <v>381356</v>
      </c>
      <c r="P411" s="15"/>
      <c r="Q411" s="14" t="s">
        <v>520</v>
      </c>
      <c r="R411" s="25">
        <v>45208</v>
      </c>
      <c r="S411" s="34" t="str">
        <f>TEXT(Table1[[#This Row],[End Date]],"MMMM")</f>
        <v>October</v>
      </c>
      <c r="T411" s="34" t="str">
        <f>TEXT(Table1[[#This Row],[End Date]],"YYYY")</f>
        <v>2023</v>
      </c>
      <c r="U411" s="24">
        <f t="shared" ca="1" si="18"/>
        <v>-75</v>
      </c>
      <c r="V411" s="14" t="str" cm="1">
        <f t="array" aca="1" ref="V411" ca="1">_xlfn.IFS(Table1[[#This Row],[Agreement Days]]&gt;=0,"Expired",Table1[[#This Row],[Agreement Days]]&gt;=-30,"Expires &lt; 30 Days",Table1[[#This Row],[Agreement Days]]&gt;=-60,"Expires &lt; 60 Days",Table1[[#This Row],[Agreement Days]]&lt;-60,"Valid Contract")</f>
        <v>Valid Contract</v>
      </c>
      <c r="W411" s="18" t="s">
        <v>21</v>
      </c>
      <c r="X411" s="18" t="s">
        <v>1293</v>
      </c>
      <c r="Y411" s="42" t="s">
        <v>1294</v>
      </c>
      <c r="Z411" s="27">
        <v>788484961</v>
      </c>
      <c r="AA411" s="27"/>
      <c r="AB411" s="116"/>
      <c r="AC411" s="116"/>
    </row>
    <row r="412" spans="1:29" hidden="1" x14ac:dyDescent="0.3">
      <c r="A412" s="18" t="s">
        <v>1290</v>
      </c>
      <c r="B412" s="18" t="s">
        <v>125</v>
      </c>
      <c r="C412" s="18" t="s">
        <v>1316</v>
      </c>
      <c r="D412" s="14" t="s">
        <v>586</v>
      </c>
      <c r="E412" s="18" t="s">
        <v>10</v>
      </c>
      <c r="F412" s="14" t="s">
        <v>631</v>
      </c>
      <c r="G412" s="14" t="s">
        <v>546</v>
      </c>
      <c r="H412" s="18" t="s">
        <v>2</v>
      </c>
      <c r="I412" s="14" t="s">
        <v>126</v>
      </c>
      <c r="J412" s="60">
        <v>25</v>
      </c>
      <c r="K412" s="18" t="s">
        <v>1292</v>
      </c>
      <c r="L412" s="18"/>
      <c r="M412" s="14">
        <v>1</v>
      </c>
      <c r="N412" s="15">
        <v>381356</v>
      </c>
      <c r="O412" s="15">
        <f t="shared" si="17"/>
        <v>381356</v>
      </c>
      <c r="P412" s="15"/>
      <c r="Q412" s="14" t="s">
        <v>520</v>
      </c>
      <c r="R412" s="25">
        <v>45208</v>
      </c>
      <c r="S412" s="34" t="str">
        <f>TEXT(Table1[[#This Row],[End Date]],"MMMM")</f>
        <v>October</v>
      </c>
      <c r="T412" s="34" t="str">
        <f>TEXT(Table1[[#This Row],[End Date]],"YYYY")</f>
        <v>2023</v>
      </c>
      <c r="U412" s="24">
        <f t="shared" ca="1" si="18"/>
        <v>-75</v>
      </c>
      <c r="V412" s="14" t="str" cm="1">
        <f t="array" aca="1" ref="V412" ca="1">_xlfn.IFS(Table1[[#This Row],[Agreement Days]]&gt;=0,"Expired",Table1[[#This Row],[Agreement Days]]&gt;=-30,"Expires &lt; 30 Days",Table1[[#This Row],[Agreement Days]]&gt;=-60,"Expires &lt; 60 Days",Table1[[#This Row],[Agreement Days]]&lt;-60,"Valid Contract")</f>
        <v>Valid Contract</v>
      </c>
      <c r="W412" s="18" t="s">
        <v>21</v>
      </c>
      <c r="X412" s="18" t="s">
        <v>1293</v>
      </c>
      <c r="Y412" s="42" t="s">
        <v>1294</v>
      </c>
      <c r="Z412" s="27">
        <v>788484961</v>
      </c>
      <c r="AA412" s="27"/>
      <c r="AB412" s="116"/>
      <c r="AC412" s="116"/>
    </row>
    <row r="413" spans="1:29" hidden="1" x14ac:dyDescent="0.3">
      <c r="A413" s="18" t="s">
        <v>1290</v>
      </c>
      <c r="B413" s="18" t="s">
        <v>125</v>
      </c>
      <c r="C413" s="18" t="s">
        <v>1317</v>
      </c>
      <c r="D413" s="14" t="s">
        <v>586</v>
      </c>
      <c r="E413" s="18" t="s">
        <v>10</v>
      </c>
      <c r="F413" s="14" t="s">
        <v>631</v>
      </c>
      <c r="G413" s="14" t="s">
        <v>546</v>
      </c>
      <c r="H413" s="18" t="s">
        <v>2</v>
      </c>
      <c r="I413" s="14" t="s">
        <v>126</v>
      </c>
      <c r="J413" s="60">
        <v>25</v>
      </c>
      <c r="K413" s="18" t="s">
        <v>1292</v>
      </c>
      <c r="L413" s="18"/>
      <c r="M413" s="14">
        <v>1</v>
      </c>
      <c r="N413" s="15">
        <v>381356</v>
      </c>
      <c r="O413" s="15">
        <f t="shared" si="17"/>
        <v>381356</v>
      </c>
      <c r="P413" s="15"/>
      <c r="Q413" s="14" t="s">
        <v>520</v>
      </c>
      <c r="R413" s="25">
        <v>45208</v>
      </c>
      <c r="S413" s="34" t="str">
        <f>TEXT(Table1[[#This Row],[End Date]],"MMMM")</f>
        <v>October</v>
      </c>
      <c r="T413" s="34" t="str">
        <f>TEXT(Table1[[#This Row],[End Date]],"YYYY")</f>
        <v>2023</v>
      </c>
      <c r="U413" s="24">
        <f t="shared" ca="1" si="18"/>
        <v>-75</v>
      </c>
      <c r="V413" s="14" t="str" cm="1">
        <f t="array" aca="1" ref="V413" ca="1">_xlfn.IFS(Table1[[#This Row],[Agreement Days]]&gt;=0,"Expired",Table1[[#This Row],[Agreement Days]]&gt;=-30,"Expires &lt; 30 Days",Table1[[#This Row],[Agreement Days]]&gt;=-60,"Expires &lt; 60 Days",Table1[[#This Row],[Agreement Days]]&lt;-60,"Valid Contract")</f>
        <v>Valid Contract</v>
      </c>
      <c r="W413" s="18" t="s">
        <v>21</v>
      </c>
      <c r="X413" s="18" t="s">
        <v>1293</v>
      </c>
      <c r="Y413" s="42" t="s">
        <v>1294</v>
      </c>
      <c r="Z413" s="27">
        <v>788484961</v>
      </c>
      <c r="AA413" s="27"/>
      <c r="AB413" s="116"/>
      <c r="AC413" s="116"/>
    </row>
    <row r="414" spans="1:29" hidden="1" x14ac:dyDescent="0.3">
      <c r="A414" s="18" t="s">
        <v>1290</v>
      </c>
      <c r="B414" s="18" t="s">
        <v>125</v>
      </c>
      <c r="C414" s="18" t="s">
        <v>1318</v>
      </c>
      <c r="D414" s="14" t="s">
        <v>586</v>
      </c>
      <c r="E414" s="18" t="s">
        <v>10</v>
      </c>
      <c r="F414" s="14" t="s">
        <v>631</v>
      </c>
      <c r="G414" s="14" t="s">
        <v>546</v>
      </c>
      <c r="H414" s="18" t="s">
        <v>2</v>
      </c>
      <c r="I414" s="14" t="s">
        <v>126</v>
      </c>
      <c r="J414" s="60">
        <v>25</v>
      </c>
      <c r="K414" s="18" t="s">
        <v>1292</v>
      </c>
      <c r="L414" s="18"/>
      <c r="M414" s="14">
        <v>1</v>
      </c>
      <c r="N414" s="15">
        <v>381356</v>
      </c>
      <c r="O414" s="15">
        <f t="shared" si="17"/>
        <v>381356</v>
      </c>
      <c r="P414" s="15"/>
      <c r="Q414" s="14" t="s">
        <v>520</v>
      </c>
      <c r="R414" s="25">
        <v>45208</v>
      </c>
      <c r="S414" s="34" t="str">
        <f>TEXT(Table1[[#This Row],[End Date]],"MMMM")</f>
        <v>October</v>
      </c>
      <c r="T414" s="34" t="str">
        <f>TEXT(Table1[[#This Row],[End Date]],"YYYY")</f>
        <v>2023</v>
      </c>
      <c r="U414" s="24">
        <f t="shared" ca="1" si="18"/>
        <v>-75</v>
      </c>
      <c r="V414" s="14" t="str" cm="1">
        <f t="array" aca="1" ref="V414" ca="1">_xlfn.IFS(Table1[[#This Row],[Agreement Days]]&gt;=0,"Expired",Table1[[#This Row],[Agreement Days]]&gt;=-30,"Expires &lt; 30 Days",Table1[[#This Row],[Agreement Days]]&gt;=-60,"Expires &lt; 60 Days",Table1[[#This Row],[Agreement Days]]&lt;-60,"Valid Contract")</f>
        <v>Valid Contract</v>
      </c>
      <c r="W414" s="18" t="s">
        <v>21</v>
      </c>
      <c r="X414" s="18" t="s">
        <v>1293</v>
      </c>
      <c r="Y414" s="42" t="s">
        <v>1294</v>
      </c>
      <c r="Z414" s="27">
        <v>788484961</v>
      </c>
      <c r="AA414" s="27"/>
      <c r="AB414" s="116"/>
      <c r="AC414" s="116"/>
    </row>
    <row r="415" spans="1:29" hidden="1" x14ac:dyDescent="0.3">
      <c r="A415" s="18" t="s">
        <v>1290</v>
      </c>
      <c r="B415" s="18" t="s">
        <v>125</v>
      </c>
      <c r="C415" s="18" t="s">
        <v>1319</v>
      </c>
      <c r="D415" s="14" t="s">
        <v>586</v>
      </c>
      <c r="E415" s="18" t="s">
        <v>10</v>
      </c>
      <c r="F415" s="14" t="s">
        <v>631</v>
      </c>
      <c r="G415" s="14" t="s">
        <v>546</v>
      </c>
      <c r="H415" s="18" t="s">
        <v>2</v>
      </c>
      <c r="I415" s="14" t="s">
        <v>126</v>
      </c>
      <c r="J415" s="60">
        <v>25</v>
      </c>
      <c r="K415" s="18" t="s">
        <v>1292</v>
      </c>
      <c r="L415" s="18"/>
      <c r="M415" s="14">
        <v>1</v>
      </c>
      <c r="N415" s="15">
        <v>381356</v>
      </c>
      <c r="O415" s="15">
        <f t="shared" si="17"/>
        <v>381356</v>
      </c>
      <c r="P415" s="15"/>
      <c r="Q415" s="14" t="s">
        <v>520</v>
      </c>
      <c r="R415" s="25">
        <v>45208</v>
      </c>
      <c r="S415" s="34" t="str">
        <f>TEXT(Table1[[#This Row],[End Date]],"MMMM")</f>
        <v>October</v>
      </c>
      <c r="T415" s="34" t="str">
        <f>TEXT(Table1[[#This Row],[End Date]],"YYYY")</f>
        <v>2023</v>
      </c>
      <c r="U415" s="24">
        <f t="shared" ca="1" si="18"/>
        <v>-75</v>
      </c>
      <c r="V415" s="14" t="str" cm="1">
        <f t="array" aca="1" ref="V415" ca="1">_xlfn.IFS(Table1[[#This Row],[Agreement Days]]&gt;=0,"Expired",Table1[[#This Row],[Agreement Days]]&gt;=-30,"Expires &lt; 30 Days",Table1[[#This Row],[Agreement Days]]&gt;=-60,"Expires &lt; 60 Days",Table1[[#This Row],[Agreement Days]]&lt;-60,"Valid Contract")</f>
        <v>Valid Contract</v>
      </c>
      <c r="W415" s="18" t="s">
        <v>21</v>
      </c>
      <c r="X415" s="18" t="s">
        <v>1293</v>
      </c>
      <c r="Y415" s="42" t="s">
        <v>1294</v>
      </c>
      <c r="Z415" s="27">
        <v>788484961</v>
      </c>
      <c r="AA415" s="27"/>
      <c r="AB415" s="116"/>
      <c r="AC415" s="116"/>
    </row>
    <row r="416" spans="1:29" hidden="1" x14ac:dyDescent="0.3">
      <c r="A416" s="18" t="s">
        <v>1290</v>
      </c>
      <c r="B416" s="18" t="s">
        <v>125</v>
      </c>
      <c r="C416" s="18" t="s">
        <v>1320</v>
      </c>
      <c r="D416" s="14" t="s">
        <v>759</v>
      </c>
      <c r="E416" s="18" t="s">
        <v>10</v>
      </c>
      <c r="F416" s="14" t="s">
        <v>631</v>
      </c>
      <c r="G416" s="14" t="s">
        <v>546</v>
      </c>
      <c r="H416" s="18" t="s">
        <v>2</v>
      </c>
      <c r="I416" s="14" t="s">
        <v>126</v>
      </c>
      <c r="J416" s="14">
        <v>25</v>
      </c>
      <c r="K416" s="18" t="s">
        <v>1292</v>
      </c>
      <c r="L416" s="14"/>
      <c r="M416" s="14">
        <v>1</v>
      </c>
      <c r="N416" s="15">
        <v>381356</v>
      </c>
      <c r="O416" s="15">
        <f t="shared" si="17"/>
        <v>381356</v>
      </c>
      <c r="P416" s="15"/>
      <c r="Q416" s="14" t="s">
        <v>520</v>
      </c>
      <c r="R416" s="25">
        <v>45208</v>
      </c>
      <c r="S416" s="22" t="str">
        <f>TEXT(Table1[[#This Row],[End Date]],"MMMM")</f>
        <v>October</v>
      </c>
      <c r="T416" s="34" t="str">
        <f>TEXT(Table1[[#This Row],[End Date]],"YYYY")</f>
        <v>2023</v>
      </c>
      <c r="U416" s="24">
        <f t="shared" ca="1" si="18"/>
        <v>-75</v>
      </c>
      <c r="V416" s="14" t="str" cm="1">
        <f t="array" aca="1" ref="V416" ca="1">_xlfn.IFS(Table1[[#This Row],[Agreement Days]]&gt;=0,"Expired",Table1[[#This Row],[Agreement Days]]&gt;=-30,"Expires &lt; 30 Days",Table1[[#This Row],[Agreement Days]]&gt;=-60,"Expires &lt; 60 Days",Table1[[#This Row],[Agreement Days]]&lt;-60,"Valid Contract")</f>
        <v>Valid Contract</v>
      </c>
      <c r="W416" s="18" t="s">
        <v>21</v>
      </c>
      <c r="X416" s="18" t="s">
        <v>1293</v>
      </c>
      <c r="Y416" s="42" t="s">
        <v>1294</v>
      </c>
      <c r="Z416" s="27">
        <v>788484961</v>
      </c>
      <c r="AA416" s="19"/>
      <c r="AB416" s="116"/>
      <c r="AC416" s="116"/>
    </row>
    <row r="417" spans="1:29" hidden="1" x14ac:dyDescent="0.3">
      <c r="A417" s="18" t="s">
        <v>1290</v>
      </c>
      <c r="B417" s="18" t="s">
        <v>125</v>
      </c>
      <c r="C417" s="18" t="s">
        <v>1321</v>
      </c>
      <c r="D417" s="14" t="s">
        <v>759</v>
      </c>
      <c r="E417" s="18" t="s">
        <v>10</v>
      </c>
      <c r="F417" s="14" t="s">
        <v>631</v>
      </c>
      <c r="G417" s="14" t="s">
        <v>546</v>
      </c>
      <c r="H417" s="18" t="s">
        <v>2</v>
      </c>
      <c r="I417" s="14" t="s">
        <v>126</v>
      </c>
      <c r="J417" s="14">
        <v>25</v>
      </c>
      <c r="K417" s="18" t="s">
        <v>1292</v>
      </c>
      <c r="L417" s="14"/>
      <c r="M417" s="14">
        <v>1</v>
      </c>
      <c r="N417" s="15">
        <v>381356</v>
      </c>
      <c r="O417" s="15">
        <f t="shared" si="17"/>
        <v>381356</v>
      </c>
      <c r="P417" s="15"/>
      <c r="Q417" s="14" t="s">
        <v>520</v>
      </c>
      <c r="R417" s="25">
        <v>45208</v>
      </c>
      <c r="S417" s="22" t="str">
        <f>TEXT(Table1[[#This Row],[End Date]],"MMMM")</f>
        <v>October</v>
      </c>
      <c r="T417" s="34" t="str">
        <f>TEXT(Table1[[#This Row],[End Date]],"YYYY")</f>
        <v>2023</v>
      </c>
      <c r="U417" s="24">
        <f t="shared" ca="1" si="18"/>
        <v>-75</v>
      </c>
      <c r="V417" s="14" t="str" cm="1">
        <f t="array" aca="1" ref="V417" ca="1">_xlfn.IFS(Table1[[#This Row],[Agreement Days]]&gt;=0,"Expired",Table1[[#This Row],[Agreement Days]]&gt;=-30,"Expires &lt; 30 Days",Table1[[#This Row],[Agreement Days]]&gt;=-60,"Expires &lt; 60 Days",Table1[[#This Row],[Agreement Days]]&lt;-60,"Valid Contract")</f>
        <v>Valid Contract</v>
      </c>
      <c r="W417" s="18" t="s">
        <v>21</v>
      </c>
      <c r="X417" s="18" t="s">
        <v>1293</v>
      </c>
      <c r="Y417" s="42" t="s">
        <v>1294</v>
      </c>
      <c r="Z417" s="27">
        <v>788484961</v>
      </c>
      <c r="AA417" s="19"/>
      <c r="AB417" s="116"/>
      <c r="AC417" s="116"/>
    </row>
    <row r="418" spans="1:29" hidden="1" x14ac:dyDescent="0.3">
      <c r="A418" s="18" t="s">
        <v>1290</v>
      </c>
      <c r="B418" s="18" t="s">
        <v>125</v>
      </c>
      <c r="C418" s="18" t="s">
        <v>1322</v>
      </c>
      <c r="D418" s="14" t="s">
        <v>759</v>
      </c>
      <c r="E418" s="18" t="s">
        <v>10</v>
      </c>
      <c r="F418" s="14" t="s">
        <v>631</v>
      </c>
      <c r="G418" s="14" t="s">
        <v>546</v>
      </c>
      <c r="H418" s="18" t="s">
        <v>2</v>
      </c>
      <c r="I418" s="14" t="s">
        <v>126</v>
      </c>
      <c r="J418" s="14">
        <v>25</v>
      </c>
      <c r="K418" s="18" t="s">
        <v>1292</v>
      </c>
      <c r="L418" s="14"/>
      <c r="M418" s="14">
        <v>1</v>
      </c>
      <c r="N418" s="15">
        <v>381356</v>
      </c>
      <c r="O418" s="15">
        <f t="shared" si="17"/>
        <v>381356</v>
      </c>
      <c r="P418" s="15"/>
      <c r="Q418" s="14" t="s">
        <v>520</v>
      </c>
      <c r="R418" s="25">
        <v>45208</v>
      </c>
      <c r="S418" s="22" t="str">
        <f>TEXT(Table1[[#This Row],[End Date]],"MMMM")</f>
        <v>October</v>
      </c>
      <c r="T418" s="34" t="str">
        <f>TEXT(Table1[[#This Row],[End Date]],"YYYY")</f>
        <v>2023</v>
      </c>
      <c r="U418" s="24">
        <f t="shared" ca="1" si="18"/>
        <v>-75</v>
      </c>
      <c r="V418" s="14" t="str" cm="1">
        <f t="array" aca="1" ref="V418" ca="1">_xlfn.IFS(Table1[[#This Row],[Agreement Days]]&gt;=0,"Expired",Table1[[#This Row],[Agreement Days]]&gt;=-30,"Expires &lt; 30 Days",Table1[[#This Row],[Agreement Days]]&gt;=-60,"Expires &lt; 60 Days",Table1[[#This Row],[Agreement Days]]&lt;-60,"Valid Contract")</f>
        <v>Valid Contract</v>
      </c>
      <c r="W418" s="18" t="s">
        <v>21</v>
      </c>
      <c r="X418" s="18" t="s">
        <v>1293</v>
      </c>
      <c r="Y418" s="42" t="s">
        <v>1294</v>
      </c>
      <c r="Z418" s="27">
        <v>788484961</v>
      </c>
      <c r="AA418" s="19"/>
      <c r="AB418" s="116"/>
      <c r="AC418" s="116"/>
    </row>
    <row r="419" spans="1:29" hidden="1" x14ac:dyDescent="0.3">
      <c r="A419" s="18" t="s">
        <v>1290</v>
      </c>
      <c r="B419" s="18" t="s">
        <v>125</v>
      </c>
      <c r="C419" s="18" t="s">
        <v>1323</v>
      </c>
      <c r="D419" s="14" t="s">
        <v>759</v>
      </c>
      <c r="E419" s="18" t="s">
        <v>10</v>
      </c>
      <c r="F419" s="14" t="s">
        <v>631</v>
      </c>
      <c r="G419" s="14" t="s">
        <v>546</v>
      </c>
      <c r="H419" s="18" t="s">
        <v>2</v>
      </c>
      <c r="I419" s="14" t="s">
        <v>126</v>
      </c>
      <c r="J419" s="14">
        <v>25</v>
      </c>
      <c r="K419" s="18" t="s">
        <v>1292</v>
      </c>
      <c r="L419" s="14"/>
      <c r="M419" s="14">
        <v>1</v>
      </c>
      <c r="N419" s="15">
        <v>381356</v>
      </c>
      <c r="O419" s="15">
        <f t="shared" si="17"/>
        <v>381356</v>
      </c>
      <c r="P419" s="15"/>
      <c r="Q419" s="14" t="s">
        <v>520</v>
      </c>
      <c r="R419" s="25">
        <v>45208</v>
      </c>
      <c r="S419" s="22" t="str">
        <f>TEXT(Table1[[#This Row],[End Date]],"MMMM")</f>
        <v>October</v>
      </c>
      <c r="T419" s="34" t="str">
        <f>TEXT(Table1[[#This Row],[End Date]],"YYYY")</f>
        <v>2023</v>
      </c>
      <c r="U419" s="24">
        <f t="shared" ca="1" si="18"/>
        <v>-75</v>
      </c>
      <c r="V419" s="14" t="str" cm="1">
        <f t="array" aca="1" ref="V419" ca="1">_xlfn.IFS(Table1[[#This Row],[Agreement Days]]&gt;=0,"Expired",Table1[[#This Row],[Agreement Days]]&gt;=-30,"Expires &lt; 30 Days",Table1[[#This Row],[Agreement Days]]&gt;=-60,"Expires &lt; 60 Days",Table1[[#This Row],[Agreement Days]]&lt;-60,"Valid Contract")</f>
        <v>Valid Contract</v>
      </c>
      <c r="W419" s="18" t="s">
        <v>21</v>
      </c>
      <c r="X419" s="18" t="s">
        <v>1293</v>
      </c>
      <c r="Y419" s="42" t="s">
        <v>1294</v>
      </c>
      <c r="Z419" s="27">
        <v>788484961</v>
      </c>
      <c r="AA419" s="19"/>
      <c r="AB419" s="116"/>
      <c r="AC419" s="116"/>
    </row>
    <row r="420" spans="1:29" hidden="1" x14ac:dyDescent="0.3">
      <c r="A420" s="18" t="s">
        <v>1290</v>
      </c>
      <c r="B420" s="18" t="s">
        <v>125</v>
      </c>
      <c r="C420" s="18" t="s">
        <v>1324</v>
      </c>
      <c r="D420" s="14" t="s">
        <v>759</v>
      </c>
      <c r="E420" s="18" t="s">
        <v>10</v>
      </c>
      <c r="F420" s="14" t="s">
        <v>631</v>
      </c>
      <c r="G420" s="14" t="s">
        <v>546</v>
      </c>
      <c r="H420" s="18" t="s">
        <v>2</v>
      </c>
      <c r="I420" s="14" t="s">
        <v>126</v>
      </c>
      <c r="J420" s="14">
        <v>25</v>
      </c>
      <c r="K420" s="18" t="s">
        <v>1292</v>
      </c>
      <c r="L420" s="14"/>
      <c r="M420" s="14">
        <v>1</v>
      </c>
      <c r="N420" s="15">
        <v>381356</v>
      </c>
      <c r="O420" s="15">
        <f t="shared" si="17"/>
        <v>381356</v>
      </c>
      <c r="P420" s="15"/>
      <c r="Q420" s="14" t="s">
        <v>520</v>
      </c>
      <c r="R420" s="25">
        <v>45208</v>
      </c>
      <c r="S420" s="22" t="str">
        <f>TEXT(Table1[[#This Row],[End Date]],"MMMM")</f>
        <v>October</v>
      </c>
      <c r="T420" s="34" t="str">
        <f>TEXT(Table1[[#This Row],[End Date]],"YYYY")</f>
        <v>2023</v>
      </c>
      <c r="U420" s="24">
        <f t="shared" ca="1" si="18"/>
        <v>-75</v>
      </c>
      <c r="V420" s="14" t="str" cm="1">
        <f t="array" aca="1" ref="V420" ca="1">_xlfn.IFS(Table1[[#This Row],[Agreement Days]]&gt;=0,"Expired",Table1[[#This Row],[Agreement Days]]&gt;=-30,"Expires &lt; 30 Days",Table1[[#This Row],[Agreement Days]]&gt;=-60,"Expires &lt; 60 Days",Table1[[#This Row],[Agreement Days]]&lt;-60,"Valid Contract")</f>
        <v>Valid Contract</v>
      </c>
      <c r="W420" s="18" t="s">
        <v>21</v>
      </c>
      <c r="X420" s="18" t="s">
        <v>1293</v>
      </c>
      <c r="Y420" s="42" t="s">
        <v>1294</v>
      </c>
      <c r="Z420" s="27">
        <v>788484961</v>
      </c>
      <c r="AA420" s="19"/>
      <c r="AB420" s="116"/>
      <c r="AC420" s="116"/>
    </row>
    <row r="421" spans="1:29" hidden="1" x14ac:dyDescent="0.3">
      <c r="A421" s="18" t="s">
        <v>1290</v>
      </c>
      <c r="B421" s="18" t="s">
        <v>125</v>
      </c>
      <c r="C421" s="18" t="s">
        <v>1325</v>
      </c>
      <c r="D421" s="14" t="s">
        <v>739</v>
      </c>
      <c r="E421" s="18" t="s">
        <v>10</v>
      </c>
      <c r="F421" s="14" t="s">
        <v>631</v>
      </c>
      <c r="G421" s="14" t="s">
        <v>546</v>
      </c>
      <c r="H421" s="18" t="s">
        <v>2</v>
      </c>
      <c r="I421" s="14" t="s">
        <v>126</v>
      </c>
      <c r="J421" s="60">
        <v>50</v>
      </c>
      <c r="K421" s="18" t="s">
        <v>1326</v>
      </c>
      <c r="L421" s="18"/>
      <c r="M421" s="14">
        <v>1</v>
      </c>
      <c r="N421" s="15">
        <v>512711.8644067797</v>
      </c>
      <c r="O421" s="15">
        <f t="shared" si="17"/>
        <v>512711.8644067797</v>
      </c>
      <c r="P421" s="15"/>
      <c r="Q421" s="14" t="s">
        <v>520</v>
      </c>
      <c r="R421" s="25">
        <v>45208</v>
      </c>
      <c r="S421" s="34" t="str">
        <f>TEXT(Table1[[#This Row],[End Date]],"MMMM")</f>
        <v>October</v>
      </c>
      <c r="T421" s="34" t="str">
        <f>TEXT(Table1[[#This Row],[End Date]],"YYYY")</f>
        <v>2023</v>
      </c>
      <c r="U421" s="24">
        <f t="shared" ca="1" si="18"/>
        <v>-75</v>
      </c>
      <c r="V421" s="14" t="str" cm="1">
        <f t="array" aca="1" ref="V421" ca="1">_xlfn.IFS(Table1[[#This Row],[Agreement Days]]&gt;=0,"Expired",Table1[[#This Row],[Agreement Days]]&gt;=-30,"Expires &lt; 30 Days",Table1[[#This Row],[Agreement Days]]&gt;=-60,"Expires &lt; 60 Days",Table1[[#This Row],[Agreement Days]]&lt;-60,"Valid Contract")</f>
        <v>Valid Contract</v>
      </c>
      <c r="W421" s="18" t="s">
        <v>21</v>
      </c>
      <c r="X421" s="18" t="s">
        <v>1293</v>
      </c>
      <c r="Y421" s="42" t="s">
        <v>1294</v>
      </c>
      <c r="Z421" s="27">
        <v>788484961</v>
      </c>
      <c r="AA421" s="27"/>
      <c r="AB421" s="116"/>
      <c r="AC421" s="116"/>
    </row>
    <row r="422" spans="1:29" hidden="1" x14ac:dyDescent="0.3">
      <c r="A422" s="18" t="s">
        <v>1290</v>
      </c>
      <c r="B422" s="18" t="s">
        <v>125</v>
      </c>
      <c r="C422" s="18" t="s">
        <v>1327</v>
      </c>
      <c r="D422" s="14" t="s">
        <v>739</v>
      </c>
      <c r="E422" s="18" t="s">
        <v>10</v>
      </c>
      <c r="F422" s="14" t="s">
        <v>631</v>
      </c>
      <c r="G422" s="14" t="s">
        <v>546</v>
      </c>
      <c r="H422" s="18" t="s">
        <v>2</v>
      </c>
      <c r="I422" s="14" t="s">
        <v>126</v>
      </c>
      <c r="J422" s="60">
        <v>50</v>
      </c>
      <c r="K422" s="18" t="s">
        <v>1326</v>
      </c>
      <c r="L422" s="18"/>
      <c r="M422" s="14">
        <v>1</v>
      </c>
      <c r="N422" s="15">
        <v>512711.8644067797</v>
      </c>
      <c r="O422" s="15">
        <f t="shared" si="17"/>
        <v>512711.8644067797</v>
      </c>
      <c r="P422" s="15"/>
      <c r="Q422" s="14" t="s">
        <v>520</v>
      </c>
      <c r="R422" s="25">
        <v>45208</v>
      </c>
      <c r="S422" s="34" t="str">
        <f>TEXT(Table1[[#This Row],[End Date]],"MMMM")</f>
        <v>October</v>
      </c>
      <c r="T422" s="34" t="str">
        <f>TEXT(Table1[[#This Row],[End Date]],"YYYY")</f>
        <v>2023</v>
      </c>
      <c r="U422" s="24">
        <f t="shared" ca="1" si="18"/>
        <v>-75</v>
      </c>
      <c r="V422" s="14" t="str" cm="1">
        <f t="array" aca="1" ref="V422" ca="1">_xlfn.IFS(Table1[[#This Row],[Agreement Days]]&gt;=0,"Expired",Table1[[#This Row],[Agreement Days]]&gt;=-30,"Expires &lt; 30 Days",Table1[[#This Row],[Agreement Days]]&gt;=-60,"Expires &lt; 60 Days",Table1[[#This Row],[Agreement Days]]&lt;-60,"Valid Contract")</f>
        <v>Valid Contract</v>
      </c>
      <c r="W422" s="18" t="s">
        <v>21</v>
      </c>
      <c r="X422" s="18" t="s">
        <v>1293</v>
      </c>
      <c r="Y422" s="42" t="s">
        <v>1294</v>
      </c>
      <c r="Z422" s="27">
        <v>788484961</v>
      </c>
      <c r="AA422" s="27"/>
      <c r="AB422" s="116"/>
      <c r="AC422" s="116"/>
    </row>
    <row r="423" spans="1:29" hidden="1" x14ac:dyDescent="0.3">
      <c r="A423" s="18" t="s">
        <v>1290</v>
      </c>
      <c r="B423" s="18" t="s">
        <v>125</v>
      </c>
      <c r="C423" s="18" t="s">
        <v>1328</v>
      </c>
      <c r="D423" s="14" t="s">
        <v>739</v>
      </c>
      <c r="E423" s="18" t="s">
        <v>10</v>
      </c>
      <c r="F423" s="14" t="s">
        <v>631</v>
      </c>
      <c r="G423" s="14" t="s">
        <v>546</v>
      </c>
      <c r="H423" s="18" t="s">
        <v>2</v>
      </c>
      <c r="I423" s="14" t="s">
        <v>126</v>
      </c>
      <c r="J423" s="60">
        <v>50</v>
      </c>
      <c r="K423" s="18" t="s">
        <v>1326</v>
      </c>
      <c r="L423" s="18"/>
      <c r="M423" s="14">
        <v>1</v>
      </c>
      <c r="N423" s="15">
        <v>512711.8644067797</v>
      </c>
      <c r="O423" s="15">
        <f t="shared" si="17"/>
        <v>512711.8644067797</v>
      </c>
      <c r="P423" s="15"/>
      <c r="Q423" s="14" t="s">
        <v>520</v>
      </c>
      <c r="R423" s="25">
        <v>45208</v>
      </c>
      <c r="S423" s="34" t="str">
        <f>TEXT(Table1[[#This Row],[End Date]],"MMMM")</f>
        <v>October</v>
      </c>
      <c r="T423" s="34" t="str">
        <f>TEXT(Table1[[#This Row],[End Date]],"YYYY")</f>
        <v>2023</v>
      </c>
      <c r="U423" s="24">
        <f t="shared" ca="1" si="18"/>
        <v>-75</v>
      </c>
      <c r="V423" s="14" t="str" cm="1">
        <f t="array" aca="1" ref="V423" ca="1">_xlfn.IFS(Table1[[#This Row],[Agreement Days]]&gt;=0,"Expired",Table1[[#This Row],[Agreement Days]]&gt;=-30,"Expires &lt; 30 Days",Table1[[#This Row],[Agreement Days]]&gt;=-60,"Expires &lt; 60 Days",Table1[[#This Row],[Agreement Days]]&lt;-60,"Valid Contract")</f>
        <v>Valid Contract</v>
      </c>
      <c r="W423" s="18" t="s">
        <v>21</v>
      </c>
      <c r="X423" s="18" t="s">
        <v>1293</v>
      </c>
      <c r="Y423" s="42" t="s">
        <v>1294</v>
      </c>
      <c r="Z423" s="27">
        <v>788484961</v>
      </c>
      <c r="AA423" s="27"/>
      <c r="AB423" s="116"/>
      <c r="AC423" s="116"/>
    </row>
    <row r="424" spans="1:29" hidden="1" x14ac:dyDescent="0.3">
      <c r="A424" s="18" t="s">
        <v>1290</v>
      </c>
      <c r="B424" s="18" t="s">
        <v>125</v>
      </c>
      <c r="C424" s="18" t="s">
        <v>1329</v>
      </c>
      <c r="D424" s="14" t="s">
        <v>739</v>
      </c>
      <c r="E424" s="18" t="s">
        <v>10</v>
      </c>
      <c r="F424" s="14" t="s">
        <v>631</v>
      </c>
      <c r="G424" s="14" t="s">
        <v>546</v>
      </c>
      <c r="H424" s="18" t="s">
        <v>2</v>
      </c>
      <c r="I424" s="14" t="s">
        <v>126</v>
      </c>
      <c r="J424" s="60">
        <v>50</v>
      </c>
      <c r="K424" s="18" t="s">
        <v>1326</v>
      </c>
      <c r="L424" s="18"/>
      <c r="M424" s="14">
        <v>1</v>
      </c>
      <c r="N424" s="15">
        <v>512711.8644067797</v>
      </c>
      <c r="O424" s="15">
        <f t="shared" si="17"/>
        <v>512711.8644067797</v>
      </c>
      <c r="P424" s="15"/>
      <c r="Q424" s="14" t="s">
        <v>520</v>
      </c>
      <c r="R424" s="25">
        <v>45208</v>
      </c>
      <c r="S424" s="34" t="str">
        <f>TEXT(Table1[[#This Row],[End Date]],"MMMM")</f>
        <v>October</v>
      </c>
      <c r="T424" s="34" t="str">
        <f>TEXT(Table1[[#This Row],[End Date]],"YYYY")</f>
        <v>2023</v>
      </c>
      <c r="U424" s="24">
        <f t="shared" ca="1" si="18"/>
        <v>-75</v>
      </c>
      <c r="V424" s="14" t="str" cm="1">
        <f t="array" aca="1" ref="V424" ca="1">_xlfn.IFS(Table1[[#This Row],[Agreement Days]]&gt;=0,"Expired",Table1[[#This Row],[Agreement Days]]&gt;=-30,"Expires &lt; 30 Days",Table1[[#This Row],[Agreement Days]]&gt;=-60,"Expires &lt; 60 Days",Table1[[#This Row],[Agreement Days]]&lt;-60,"Valid Contract")</f>
        <v>Valid Contract</v>
      </c>
      <c r="W424" s="18" t="s">
        <v>21</v>
      </c>
      <c r="X424" s="18" t="s">
        <v>1293</v>
      </c>
      <c r="Y424" s="42" t="s">
        <v>1294</v>
      </c>
      <c r="Z424" s="27">
        <v>788484961</v>
      </c>
      <c r="AA424" s="27"/>
      <c r="AB424" s="116"/>
      <c r="AC424" s="116"/>
    </row>
    <row r="425" spans="1:29" hidden="1" x14ac:dyDescent="0.3">
      <c r="A425" s="18" t="s">
        <v>1290</v>
      </c>
      <c r="B425" s="18" t="s">
        <v>125</v>
      </c>
      <c r="C425" s="18" t="s">
        <v>1330</v>
      </c>
      <c r="D425" s="14" t="s">
        <v>739</v>
      </c>
      <c r="E425" s="18" t="s">
        <v>10</v>
      </c>
      <c r="F425" s="14" t="s">
        <v>631</v>
      </c>
      <c r="G425" s="14" t="s">
        <v>546</v>
      </c>
      <c r="H425" s="18" t="s">
        <v>2</v>
      </c>
      <c r="I425" s="14" t="s">
        <v>126</v>
      </c>
      <c r="J425" s="60">
        <v>50</v>
      </c>
      <c r="K425" s="18" t="s">
        <v>1326</v>
      </c>
      <c r="L425" s="18"/>
      <c r="M425" s="14">
        <v>1</v>
      </c>
      <c r="N425" s="15">
        <v>512711.8644067797</v>
      </c>
      <c r="O425" s="15">
        <f t="shared" si="17"/>
        <v>512711.8644067797</v>
      </c>
      <c r="P425" s="15"/>
      <c r="Q425" s="14" t="s">
        <v>520</v>
      </c>
      <c r="R425" s="25">
        <v>45208</v>
      </c>
      <c r="S425" s="34" t="str">
        <f>TEXT(Table1[[#This Row],[End Date]],"MMMM")</f>
        <v>October</v>
      </c>
      <c r="T425" s="34" t="str">
        <f>TEXT(Table1[[#This Row],[End Date]],"YYYY")</f>
        <v>2023</v>
      </c>
      <c r="U425" s="24">
        <f t="shared" ca="1" si="18"/>
        <v>-75</v>
      </c>
      <c r="V425" s="14" t="str" cm="1">
        <f t="array" aca="1" ref="V425" ca="1">_xlfn.IFS(Table1[[#This Row],[Agreement Days]]&gt;=0,"Expired",Table1[[#This Row],[Agreement Days]]&gt;=-30,"Expires &lt; 30 Days",Table1[[#This Row],[Agreement Days]]&gt;=-60,"Expires &lt; 60 Days",Table1[[#This Row],[Agreement Days]]&lt;-60,"Valid Contract")</f>
        <v>Valid Contract</v>
      </c>
      <c r="W425" s="18" t="s">
        <v>21</v>
      </c>
      <c r="X425" s="18" t="s">
        <v>1293</v>
      </c>
      <c r="Y425" s="42" t="s">
        <v>1294</v>
      </c>
      <c r="Z425" s="27">
        <v>788484961</v>
      </c>
      <c r="AA425" s="27"/>
      <c r="AB425" s="116"/>
      <c r="AC425" s="116"/>
    </row>
    <row r="426" spans="1:29" hidden="1" x14ac:dyDescent="0.3">
      <c r="A426" s="18" t="s">
        <v>1290</v>
      </c>
      <c r="B426" s="18" t="s">
        <v>125</v>
      </c>
      <c r="C426" s="18" t="s">
        <v>1331</v>
      </c>
      <c r="D426" s="14" t="s">
        <v>739</v>
      </c>
      <c r="E426" s="18" t="s">
        <v>10</v>
      </c>
      <c r="F426" s="14" t="s">
        <v>631</v>
      </c>
      <c r="G426" s="14" t="s">
        <v>546</v>
      </c>
      <c r="H426" s="18" t="s">
        <v>2</v>
      </c>
      <c r="I426" s="14" t="s">
        <v>126</v>
      </c>
      <c r="J426" s="60">
        <v>50</v>
      </c>
      <c r="K426" s="18" t="s">
        <v>1326</v>
      </c>
      <c r="L426" s="18"/>
      <c r="M426" s="14">
        <v>1</v>
      </c>
      <c r="N426" s="15">
        <v>512711.8644067797</v>
      </c>
      <c r="O426" s="15">
        <f t="shared" si="17"/>
        <v>512711.8644067797</v>
      </c>
      <c r="P426" s="15"/>
      <c r="Q426" s="14" t="s">
        <v>520</v>
      </c>
      <c r="R426" s="25">
        <v>45208</v>
      </c>
      <c r="S426" s="34" t="str">
        <f>TEXT(Table1[[#This Row],[End Date]],"MMMM")</f>
        <v>October</v>
      </c>
      <c r="T426" s="34" t="str">
        <f>TEXT(Table1[[#This Row],[End Date]],"YYYY")</f>
        <v>2023</v>
      </c>
      <c r="U426" s="24">
        <f t="shared" ca="1" si="18"/>
        <v>-75</v>
      </c>
      <c r="V426" s="14" t="str" cm="1">
        <f t="array" aca="1" ref="V426" ca="1">_xlfn.IFS(Table1[[#This Row],[Agreement Days]]&gt;=0,"Expired",Table1[[#This Row],[Agreement Days]]&gt;=-30,"Expires &lt; 30 Days",Table1[[#This Row],[Agreement Days]]&gt;=-60,"Expires &lt; 60 Days",Table1[[#This Row],[Agreement Days]]&lt;-60,"Valid Contract")</f>
        <v>Valid Contract</v>
      </c>
      <c r="W426" s="18" t="s">
        <v>21</v>
      </c>
      <c r="X426" s="18" t="s">
        <v>1293</v>
      </c>
      <c r="Y426" s="42" t="s">
        <v>1294</v>
      </c>
      <c r="Z426" s="27">
        <v>788484961</v>
      </c>
      <c r="AA426" s="27"/>
      <c r="AB426" s="116"/>
      <c r="AC426" s="116"/>
    </row>
    <row r="427" spans="1:29" hidden="1" x14ac:dyDescent="0.3">
      <c r="A427" s="18" t="s">
        <v>1290</v>
      </c>
      <c r="B427" s="18" t="s">
        <v>125</v>
      </c>
      <c r="C427" s="18" t="s">
        <v>1332</v>
      </c>
      <c r="D427" s="14" t="s">
        <v>739</v>
      </c>
      <c r="E427" s="18" t="s">
        <v>10</v>
      </c>
      <c r="F427" s="14" t="s">
        <v>631</v>
      </c>
      <c r="G427" s="14" t="s">
        <v>546</v>
      </c>
      <c r="H427" s="18" t="s">
        <v>2</v>
      </c>
      <c r="I427" s="14" t="s">
        <v>126</v>
      </c>
      <c r="J427" s="60">
        <v>50</v>
      </c>
      <c r="K427" s="18" t="s">
        <v>1326</v>
      </c>
      <c r="L427" s="18"/>
      <c r="M427" s="14">
        <v>1</v>
      </c>
      <c r="N427" s="15">
        <v>512711.8644067797</v>
      </c>
      <c r="O427" s="15">
        <f t="shared" si="17"/>
        <v>512711.8644067797</v>
      </c>
      <c r="P427" s="15"/>
      <c r="Q427" s="14" t="s">
        <v>520</v>
      </c>
      <c r="R427" s="25">
        <v>45208</v>
      </c>
      <c r="S427" s="34" t="str">
        <f>TEXT(Table1[[#This Row],[End Date]],"MMMM")</f>
        <v>October</v>
      </c>
      <c r="T427" s="34" t="str">
        <f>TEXT(Table1[[#This Row],[End Date]],"YYYY")</f>
        <v>2023</v>
      </c>
      <c r="U427" s="24">
        <f t="shared" ca="1" si="18"/>
        <v>-75</v>
      </c>
      <c r="V427" s="14" t="str" cm="1">
        <f t="array" aca="1" ref="V427" ca="1">_xlfn.IFS(Table1[[#This Row],[Agreement Days]]&gt;=0,"Expired",Table1[[#This Row],[Agreement Days]]&gt;=-30,"Expires &lt; 30 Days",Table1[[#This Row],[Agreement Days]]&gt;=-60,"Expires &lt; 60 Days",Table1[[#This Row],[Agreement Days]]&lt;-60,"Valid Contract")</f>
        <v>Valid Contract</v>
      </c>
      <c r="W427" s="18" t="s">
        <v>21</v>
      </c>
      <c r="X427" s="18" t="s">
        <v>1293</v>
      </c>
      <c r="Y427" s="42" t="s">
        <v>1294</v>
      </c>
      <c r="Z427" s="27">
        <v>788484961</v>
      </c>
      <c r="AA427" s="27"/>
      <c r="AB427" s="116"/>
      <c r="AC427" s="116"/>
    </row>
    <row r="428" spans="1:29" hidden="1" x14ac:dyDescent="0.3">
      <c r="A428" s="18" t="s">
        <v>1290</v>
      </c>
      <c r="B428" s="18" t="s">
        <v>125</v>
      </c>
      <c r="C428" s="18" t="s">
        <v>1333</v>
      </c>
      <c r="D428" s="14" t="s">
        <v>739</v>
      </c>
      <c r="E428" s="18" t="s">
        <v>10</v>
      </c>
      <c r="F428" s="14" t="s">
        <v>631</v>
      </c>
      <c r="G428" s="14" t="s">
        <v>546</v>
      </c>
      <c r="H428" s="18" t="s">
        <v>2</v>
      </c>
      <c r="I428" s="14" t="s">
        <v>126</v>
      </c>
      <c r="J428" s="60">
        <v>50</v>
      </c>
      <c r="K428" s="18" t="s">
        <v>1326</v>
      </c>
      <c r="L428" s="18"/>
      <c r="M428" s="14">
        <v>1</v>
      </c>
      <c r="N428" s="15">
        <v>512711.8644067797</v>
      </c>
      <c r="O428" s="15">
        <f t="shared" si="17"/>
        <v>512711.8644067797</v>
      </c>
      <c r="P428" s="15"/>
      <c r="Q428" s="14" t="s">
        <v>520</v>
      </c>
      <c r="R428" s="25">
        <v>45208</v>
      </c>
      <c r="S428" s="34" t="str">
        <f>TEXT(Table1[[#This Row],[End Date]],"MMMM")</f>
        <v>October</v>
      </c>
      <c r="T428" s="34" t="str">
        <f>TEXT(Table1[[#This Row],[End Date]],"YYYY")</f>
        <v>2023</v>
      </c>
      <c r="U428" s="24">
        <f t="shared" ca="1" si="18"/>
        <v>-75</v>
      </c>
      <c r="V428" s="14" t="str" cm="1">
        <f t="array" aca="1" ref="V428" ca="1">_xlfn.IFS(Table1[[#This Row],[Agreement Days]]&gt;=0,"Expired",Table1[[#This Row],[Agreement Days]]&gt;=-30,"Expires &lt; 30 Days",Table1[[#This Row],[Agreement Days]]&gt;=-60,"Expires &lt; 60 Days",Table1[[#This Row],[Agreement Days]]&lt;-60,"Valid Contract")</f>
        <v>Valid Contract</v>
      </c>
      <c r="W428" s="18" t="s">
        <v>21</v>
      </c>
      <c r="X428" s="18" t="s">
        <v>1293</v>
      </c>
      <c r="Y428" s="42" t="s">
        <v>1294</v>
      </c>
      <c r="Z428" s="27">
        <v>788484961</v>
      </c>
      <c r="AA428" s="27"/>
      <c r="AB428" s="116"/>
      <c r="AC428" s="116"/>
    </row>
    <row r="429" spans="1:29" hidden="1" x14ac:dyDescent="0.3">
      <c r="A429" s="18" t="s">
        <v>1290</v>
      </c>
      <c r="B429" s="18" t="s">
        <v>125</v>
      </c>
      <c r="C429" s="18" t="s">
        <v>1334</v>
      </c>
      <c r="D429" s="14" t="s">
        <v>739</v>
      </c>
      <c r="E429" s="18" t="s">
        <v>10</v>
      </c>
      <c r="F429" s="14" t="s">
        <v>631</v>
      </c>
      <c r="G429" s="14" t="s">
        <v>546</v>
      </c>
      <c r="H429" s="18" t="s">
        <v>2</v>
      </c>
      <c r="I429" s="14" t="s">
        <v>126</v>
      </c>
      <c r="J429" s="60">
        <v>50</v>
      </c>
      <c r="K429" s="18" t="s">
        <v>1326</v>
      </c>
      <c r="L429" s="18"/>
      <c r="M429" s="14">
        <v>1</v>
      </c>
      <c r="N429" s="15">
        <v>512711.8644067797</v>
      </c>
      <c r="O429" s="15">
        <f t="shared" si="17"/>
        <v>512711.8644067797</v>
      </c>
      <c r="P429" s="15"/>
      <c r="Q429" s="14" t="s">
        <v>520</v>
      </c>
      <c r="R429" s="25">
        <v>45208</v>
      </c>
      <c r="S429" s="34" t="str">
        <f>TEXT(Table1[[#This Row],[End Date]],"MMMM")</f>
        <v>October</v>
      </c>
      <c r="T429" s="34" t="str">
        <f>TEXT(Table1[[#This Row],[End Date]],"YYYY")</f>
        <v>2023</v>
      </c>
      <c r="U429" s="24">
        <f t="shared" ca="1" si="18"/>
        <v>-75</v>
      </c>
      <c r="V429" s="14" t="str" cm="1">
        <f t="array" aca="1" ref="V429" ca="1">_xlfn.IFS(Table1[[#This Row],[Agreement Days]]&gt;=0,"Expired",Table1[[#This Row],[Agreement Days]]&gt;=-30,"Expires &lt; 30 Days",Table1[[#This Row],[Agreement Days]]&gt;=-60,"Expires &lt; 60 Days",Table1[[#This Row],[Agreement Days]]&lt;-60,"Valid Contract")</f>
        <v>Valid Contract</v>
      </c>
      <c r="W429" s="18" t="s">
        <v>21</v>
      </c>
      <c r="X429" s="18" t="s">
        <v>1293</v>
      </c>
      <c r="Y429" s="42" t="s">
        <v>1294</v>
      </c>
      <c r="Z429" s="27">
        <v>788484961</v>
      </c>
      <c r="AA429" s="27"/>
      <c r="AB429" s="116"/>
      <c r="AC429" s="116"/>
    </row>
    <row r="430" spans="1:29" hidden="1" x14ac:dyDescent="0.3">
      <c r="A430" s="18" t="s">
        <v>1290</v>
      </c>
      <c r="B430" s="18" t="s">
        <v>125</v>
      </c>
      <c r="C430" s="18" t="s">
        <v>1335</v>
      </c>
      <c r="D430" s="14" t="s">
        <v>739</v>
      </c>
      <c r="E430" s="18" t="s">
        <v>10</v>
      </c>
      <c r="F430" s="14" t="s">
        <v>631</v>
      </c>
      <c r="G430" s="14" t="s">
        <v>546</v>
      </c>
      <c r="H430" s="18" t="s">
        <v>2</v>
      </c>
      <c r="I430" s="14" t="s">
        <v>126</v>
      </c>
      <c r="J430" s="60">
        <v>50</v>
      </c>
      <c r="K430" s="18" t="s">
        <v>1326</v>
      </c>
      <c r="L430" s="18"/>
      <c r="M430" s="14">
        <v>1</v>
      </c>
      <c r="N430" s="15">
        <v>512711.8644067797</v>
      </c>
      <c r="O430" s="15">
        <f t="shared" si="17"/>
        <v>512711.8644067797</v>
      </c>
      <c r="P430" s="15"/>
      <c r="Q430" s="14" t="s">
        <v>520</v>
      </c>
      <c r="R430" s="25">
        <v>45208</v>
      </c>
      <c r="S430" s="34" t="str">
        <f>TEXT(Table1[[#This Row],[End Date]],"MMMM")</f>
        <v>October</v>
      </c>
      <c r="T430" s="34" t="str">
        <f>TEXT(Table1[[#This Row],[End Date]],"YYYY")</f>
        <v>2023</v>
      </c>
      <c r="U430" s="24">
        <f t="shared" ca="1" si="18"/>
        <v>-75</v>
      </c>
      <c r="V430" s="14" t="str" cm="1">
        <f t="array" aca="1" ref="V430" ca="1">_xlfn.IFS(Table1[[#This Row],[Agreement Days]]&gt;=0,"Expired",Table1[[#This Row],[Agreement Days]]&gt;=-30,"Expires &lt; 30 Days",Table1[[#This Row],[Agreement Days]]&gt;=-60,"Expires &lt; 60 Days",Table1[[#This Row],[Agreement Days]]&lt;-60,"Valid Contract")</f>
        <v>Valid Contract</v>
      </c>
      <c r="W430" s="18" t="s">
        <v>21</v>
      </c>
      <c r="X430" s="18" t="s">
        <v>1293</v>
      </c>
      <c r="Y430" s="42" t="s">
        <v>1294</v>
      </c>
      <c r="Z430" s="27">
        <v>788484961</v>
      </c>
      <c r="AA430" s="27"/>
      <c r="AB430" s="116"/>
      <c r="AC430" s="116"/>
    </row>
    <row r="431" spans="1:29" hidden="1" x14ac:dyDescent="0.3">
      <c r="A431" s="18" t="s">
        <v>1290</v>
      </c>
      <c r="B431" s="18" t="s">
        <v>125</v>
      </c>
      <c r="C431" s="18" t="s">
        <v>1336</v>
      </c>
      <c r="D431" s="14" t="s">
        <v>739</v>
      </c>
      <c r="E431" s="18" t="s">
        <v>10</v>
      </c>
      <c r="F431" s="14" t="s">
        <v>631</v>
      </c>
      <c r="G431" s="14" t="s">
        <v>546</v>
      </c>
      <c r="H431" s="18" t="s">
        <v>2</v>
      </c>
      <c r="I431" s="14" t="s">
        <v>126</v>
      </c>
      <c r="J431" s="14">
        <v>50</v>
      </c>
      <c r="K431" s="18" t="s">
        <v>1326</v>
      </c>
      <c r="L431" s="14"/>
      <c r="M431" s="14">
        <v>1</v>
      </c>
      <c r="N431" s="15">
        <v>512712</v>
      </c>
      <c r="O431" s="15">
        <f t="shared" si="17"/>
        <v>512712</v>
      </c>
      <c r="P431" s="15"/>
      <c r="Q431" s="14" t="s">
        <v>520</v>
      </c>
      <c r="R431" s="25">
        <v>45208</v>
      </c>
      <c r="S431" s="22" t="str">
        <f>TEXT(Table1[[#This Row],[End Date]],"MMMM")</f>
        <v>October</v>
      </c>
      <c r="T431" s="34" t="str">
        <f>TEXT(Table1[[#This Row],[End Date]],"YYYY")</f>
        <v>2023</v>
      </c>
      <c r="U431" s="24">
        <f t="shared" ca="1" si="18"/>
        <v>-75</v>
      </c>
      <c r="V431" s="14" t="str" cm="1">
        <f t="array" aca="1" ref="V431" ca="1">_xlfn.IFS(Table1[[#This Row],[Agreement Days]]&gt;=0,"Expired",Table1[[#This Row],[Agreement Days]]&gt;=-30,"Expires &lt; 30 Days",Table1[[#This Row],[Agreement Days]]&gt;=-60,"Expires &lt; 60 Days",Table1[[#This Row],[Agreement Days]]&lt;-60,"Valid Contract")</f>
        <v>Valid Contract</v>
      </c>
      <c r="W431" s="18" t="s">
        <v>21</v>
      </c>
      <c r="X431" s="18" t="s">
        <v>1293</v>
      </c>
      <c r="Y431" s="42" t="s">
        <v>1294</v>
      </c>
      <c r="Z431" s="27">
        <v>788484961</v>
      </c>
      <c r="AA431" s="19"/>
      <c r="AB431" s="116"/>
      <c r="AC431" s="116"/>
    </row>
    <row r="432" spans="1:29" hidden="1" x14ac:dyDescent="0.3">
      <c r="A432" s="18" t="s">
        <v>1290</v>
      </c>
      <c r="B432" s="18" t="s">
        <v>125</v>
      </c>
      <c r="C432" s="18" t="s">
        <v>1337</v>
      </c>
      <c r="D432" s="14" t="s">
        <v>739</v>
      </c>
      <c r="E432" s="18" t="s">
        <v>10</v>
      </c>
      <c r="F432" s="14" t="s">
        <v>631</v>
      </c>
      <c r="G432" s="14" t="s">
        <v>546</v>
      </c>
      <c r="H432" s="18" t="s">
        <v>2</v>
      </c>
      <c r="I432" s="14" t="s">
        <v>126</v>
      </c>
      <c r="J432" s="14">
        <v>50</v>
      </c>
      <c r="K432" s="18" t="s">
        <v>1326</v>
      </c>
      <c r="L432" s="14"/>
      <c r="M432" s="14">
        <v>1</v>
      </c>
      <c r="N432" s="15">
        <v>512712</v>
      </c>
      <c r="O432" s="15">
        <f t="shared" si="17"/>
        <v>512712</v>
      </c>
      <c r="P432" s="15"/>
      <c r="Q432" s="14" t="s">
        <v>520</v>
      </c>
      <c r="R432" s="25">
        <v>45208</v>
      </c>
      <c r="S432" s="22" t="str">
        <f>TEXT(Table1[[#This Row],[End Date]],"MMMM")</f>
        <v>October</v>
      </c>
      <c r="T432" s="34" t="str">
        <f>TEXT(Table1[[#This Row],[End Date]],"YYYY")</f>
        <v>2023</v>
      </c>
      <c r="U432" s="24">
        <f t="shared" ca="1" si="18"/>
        <v>-75</v>
      </c>
      <c r="V432" s="14" t="str" cm="1">
        <f t="array" aca="1" ref="V432" ca="1">_xlfn.IFS(Table1[[#This Row],[Agreement Days]]&gt;=0,"Expired",Table1[[#This Row],[Agreement Days]]&gt;=-30,"Expires &lt; 30 Days",Table1[[#This Row],[Agreement Days]]&gt;=-60,"Expires &lt; 60 Days",Table1[[#This Row],[Agreement Days]]&lt;-60,"Valid Contract")</f>
        <v>Valid Contract</v>
      </c>
      <c r="W432" s="18" t="s">
        <v>21</v>
      </c>
      <c r="X432" s="18" t="s">
        <v>1293</v>
      </c>
      <c r="Y432" s="42" t="s">
        <v>1294</v>
      </c>
      <c r="Z432" s="27">
        <v>788484961</v>
      </c>
      <c r="AA432" s="19"/>
      <c r="AB432" s="116"/>
      <c r="AC432" s="116"/>
    </row>
    <row r="433" spans="1:29" hidden="1" x14ac:dyDescent="0.3">
      <c r="A433" s="18" t="s">
        <v>1290</v>
      </c>
      <c r="B433" s="18" t="s">
        <v>125</v>
      </c>
      <c r="C433" s="18" t="s">
        <v>1338</v>
      </c>
      <c r="D433" s="14" t="s">
        <v>739</v>
      </c>
      <c r="E433" s="18" t="s">
        <v>10</v>
      </c>
      <c r="F433" s="14" t="s">
        <v>631</v>
      </c>
      <c r="G433" s="14" t="s">
        <v>546</v>
      </c>
      <c r="H433" s="18" t="s">
        <v>2</v>
      </c>
      <c r="I433" s="14" t="s">
        <v>126</v>
      </c>
      <c r="J433" s="14">
        <v>50</v>
      </c>
      <c r="K433" s="18" t="s">
        <v>1326</v>
      </c>
      <c r="L433" s="14"/>
      <c r="M433" s="14">
        <v>1</v>
      </c>
      <c r="N433" s="15">
        <v>512712</v>
      </c>
      <c r="O433" s="15">
        <f t="shared" si="17"/>
        <v>512712</v>
      </c>
      <c r="P433" s="15"/>
      <c r="Q433" s="14" t="s">
        <v>520</v>
      </c>
      <c r="R433" s="25">
        <v>45208</v>
      </c>
      <c r="S433" s="22" t="str">
        <f>TEXT(Table1[[#This Row],[End Date]],"MMMM")</f>
        <v>October</v>
      </c>
      <c r="T433" s="34" t="str">
        <f>TEXT(Table1[[#This Row],[End Date]],"YYYY")</f>
        <v>2023</v>
      </c>
      <c r="U433" s="24">
        <f t="shared" ca="1" si="18"/>
        <v>-75</v>
      </c>
      <c r="V433" s="14" t="str" cm="1">
        <f t="array" aca="1" ref="V433" ca="1">_xlfn.IFS(Table1[[#This Row],[Agreement Days]]&gt;=0,"Expired",Table1[[#This Row],[Agreement Days]]&gt;=-30,"Expires &lt; 30 Days",Table1[[#This Row],[Agreement Days]]&gt;=-60,"Expires &lt; 60 Days",Table1[[#This Row],[Agreement Days]]&lt;-60,"Valid Contract")</f>
        <v>Valid Contract</v>
      </c>
      <c r="W433" s="18" t="s">
        <v>21</v>
      </c>
      <c r="X433" s="18" t="s">
        <v>1293</v>
      </c>
      <c r="Y433" s="42" t="s">
        <v>1294</v>
      </c>
      <c r="Z433" s="27">
        <v>788484961</v>
      </c>
      <c r="AA433" s="19"/>
      <c r="AB433" s="116"/>
      <c r="AC433" s="116"/>
    </row>
    <row r="434" spans="1:29" hidden="1" x14ac:dyDescent="0.3">
      <c r="A434" s="18" t="s">
        <v>1290</v>
      </c>
      <c r="B434" s="18" t="s">
        <v>125</v>
      </c>
      <c r="C434" s="18" t="s">
        <v>1339</v>
      </c>
      <c r="D434" s="14" t="s">
        <v>739</v>
      </c>
      <c r="E434" s="18" t="s">
        <v>10</v>
      </c>
      <c r="F434" s="14" t="s">
        <v>631</v>
      </c>
      <c r="G434" s="14" t="s">
        <v>546</v>
      </c>
      <c r="H434" s="18" t="s">
        <v>2</v>
      </c>
      <c r="I434" s="14" t="s">
        <v>126</v>
      </c>
      <c r="J434" s="14">
        <v>50</v>
      </c>
      <c r="K434" s="18" t="s">
        <v>1326</v>
      </c>
      <c r="L434" s="14"/>
      <c r="M434" s="14">
        <v>1</v>
      </c>
      <c r="N434" s="15">
        <v>512712</v>
      </c>
      <c r="O434" s="15">
        <f t="shared" si="17"/>
        <v>512712</v>
      </c>
      <c r="P434" s="15"/>
      <c r="Q434" s="14" t="s">
        <v>520</v>
      </c>
      <c r="R434" s="25">
        <v>45208</v>
      </c>
      <c r="S434" s="22" t="str">
        <f>TEXT(Table1[[#This Row],[End Date]],"MMMM")</f>
        <v>October</v>
      </c>
      <c r="T434" s="34" t="str">
        <f>TEXT(Table1[[#This Row],[End Date]],"YYYY")</f>
        <v>2023</v>
      </c>
      <c r="U434" s="24">
        <f t="shared" ca="1" si="18"/>
        <v>-75</v>
      </c>
      <c r="V434" s="14" t="str" cm="1">
        <f t="array" aca="1" ref="V434" ca="1">_xlfn.IFS(Table1[[#This Row],[Agreement Days]]&gt;=0,"Expired",Table1[[#This Row],[Agreement Days]]&gt;=-30,"Expires &lt; 30 Days",Table1[[#This Row],[Agreement Days]]&gt;=-60,"Expires &lt; 60 Days",Table1[[#This Row],[Agreement Days]]&lt;-60,"Valid Contract")</f>
        <v>Valid Contract</v>
      </c>
      <c r="W434" s="18" t="s">
        <v>21</v>
      </c>
      <c r="X434" s="18" t="s">
        <v>1293</v>
      </c>
      <c r="Y434" s="42" t="s">
        <v>1294</v>
      </c>
      <c r="Z434" s="27">
        <v>788484961</v>
      </c>
      <c r="AA434" s="19"/>
      <c r="AB434" s="116"/>
      <c r="AC434" s="116"/>
    </row>
    <row r="435" spans="1:29" hidden="1" x14ac:dyDescent="0.3">
      <c r="A435" s="18" t="s">
        <v>1290</v>
      </c>
      <c r="B435" s="18" t="s">
        <v>125</v>
      </c>
      <c r="C435" s="18" t="s">
        <v>1340</v>
      </c>
      <c r="D435" s="14" t="s">
        <v>739</v>
      </c>
      <c r="E435" s="18" t="s">
        <v>10</v>
      </c>
      <c r="F435" s="14" t="s">
        <v>631</v>
      </c>
      <c r="G435" s="14" t="s">
        <v>546</v>
      </c>
      <c r="H435" s="18" t="s">
        <v>2</v>
      </c>
      <c r="I435" s="14" t="s">
        <v>126</v>
      </c>
      <c r="J435" s="14">
        <v>50</v>
      </c>
      <c r="K435" s="18" t="s">
        <v>1326</v>
      </c>
      <c r="L435" s="14"/>
      <c r="M435" s="14">
        <v>1</v>
      </c>
      <c r="N435" s="15">
        <v>512712</v>
      </c>
      <c r="O435" s="15">
        <f t="shared" si="17"/>
        <v>512712</v>
      </c>
      <c r="P435" s="15"/>
      <c r="Q435" s="14" t="s">
        <v>520</v>
      </c>
      <c r="R435" s="25">
        <v>45208</v>
      </c>
      <c r="S435" s="22" t="str">
        <f>TEXT(Table1[[#This Row],[End Date]],"MMMM")</f>
        <v>October</v>
      </c>
      <c r="T435" s="34" t="str">
        <f>TEXT(Table1[[#This Row],[End Date]],"YYYY")</f>
        <v>2023</v>
      </c>
      <c r="U435" s="24">
        <f t="shared" ca="1" si="18"/>
        <v>-75</v>
      </c>
      <c r="V435" s="14" t="str" cm="1">
        <f t="array" aca="1" ref="V435" ca="1">_xlfn.IFS(Table1[[#This Row],[Agreement Days]]&gt;=0,"Expired",Table1[[#This Row],[Agreement Days]]&gt;=-30,"Expires &lt; 30 Days",Table1[[#This Row],[Agreement Days]]&gt;=-60,"Expires &lt; 60 Days",Table1[[#This Row],[Agreement Days]]&lt;-60,"Valid Contract")</f>
        <v>Valid Contract</v>
      </c>
      <c r="W435" s="18" t="s">
        <v>21</v>
      </c>
      <c r="X435" s="18" t="s">
        <v>1293</v>
      </c>
      <c r="Y435" s="42" t="s">
        <v>1294</v>
      </c>
      <c r="Z435" s="27">
        <v>788484961</v>
      </c>
      <c r="AA435" s="19"/>
      <c r="AB435" s="116"/>
      <c r="AC435" s="116"/>
    </row>
    <row r="436" spans="1:29" hidden="1" x14ac:dyDescent="0.3">
      <c r="A436" s="18" t="s">
        <v>1290</v>
      </c>
      <c r="B436" s="18" t="s">
        <v>125</v>
      </c>
      <c r="C436" s="18" t="s">
        <v>1341</v>
      </c>
      <c r="D436" s="14" t="s">
        <v>739</v>
      </c>
      <c r="E436" s="18" t="s">
        <v>10</v>
      </c>
      <c r="F436" s="14" t="s">
        <v>631</v>
      </c>
      <c r="G436" s="14" t="s">
        <v>546</v>
      </c>
      <c r="H436" s="18" t="s">
        <v>2</v>
      </c>
      <c r="I436" s="14" t="s">
        <v>126</v>
      </c>
      <c r="J436" s="14">
        <v>50</v>
      </c>
      <c r="K436" s="18" t="s">
        <v>1326</v>
      </c>
      <c r="L436" s="14"/>
      <c r="M436" s="14">
        <v>1</v>
      </c>
      <c r="N436" s="15">
        <v>512712</v>
      </c>
      <c r="O436" s="15">
        <f t="shared" si="17"/>
        <v>512712</v>
      </c>
      <c r="P436" s="15"/>
      <c r="Q436" s="14" t="s">
        <v>520</v>
      </c>
      <c r="R436" s="25">
        <v>45208</v>
      </c>
      <c r="S436" s="22" t="str">
        <f>TEXT(Table1[[#This Row],[End Date]],"MMMM")</f>
        <v>October</v>
      </c>
      <c r="T436" s="34" t="str">
        <f>TEXT(Table1[[#This Row],[End Date]],"YYYY")</f>
        <v>2023</v>
      </c>
      <c r="U436" s="24">
        <f t="shared" ca="1" si="18"/>
        <v>-75</v>
      </c>
      <c r="V436" s="14" t="str" cm="1">
        <f t="array" aca="1" ref="V436" ca="1">_xlfn.IFS(Table1[[#This Row],[Agreement Days]]&gt;=0,"Expired",Table1[[#This Row],[Agreement Days]]&gt;=-30,"Expires &lt; 30 Days",Table1[[#This Row],[Agreement Days]]&gt;=-60,"Expires &lt; 60 Days",Table1[[#This Row],[Agreement Days]]&lt;-60,"Valid Contract")</f>
        <v>Valid Contract</v>
      </c>
      <c r="W436" s="18" t="s">
        <v>21</v>
      </c>
      <c r="X436" s="18" t="s">
        <v>1293</v>
      </c>
      <c r="Y436" s="42" t="s">
        <v>1294</v>
      </c>
      <c r="Z436" s="27">
        <v>788484961</v>
      </c>
      <c r="AA436" s="19"/>
      <c r="AB436" s="116"/>
      <c r="AC436" s="116"/>
    </row>
    <row r="437" spans="1:29" hidden="1" x14ac:dyDescent="0.3">
      <c r="A437" s="18" t="s">
        <v>1290</v>
      </c>
      <c r="B437" s="18" t="s">
        <v>125</v>
      </c>
      <c r="C437" s="18" t="s">
        <v>1342</v>
      </c>
      <c r="D437" s="14" t="s">
        <v>739</v>
      </c>
      <c r="E437" s="18" t="s">
        <v>10</v>
      </c>
      <c r="F437" s="14" t="s">
        <v>631</v>
      </c>
      <c r="G437" s="14" t="s">
        <v>546</v>
      </c>
      <c r="H437" s="18" t="s">
        <v>2</v>
      </c>
      <c r="I437" s="14" t="s">
        <v>126</v>
      </c>
      <c r="J437" s="14">
        <v>50</v>
      </c>
      <c r="K437" s="18" t="s">
        <v>1326</v>
      </c>
      <c r="L437" s="14"/>
      <c r="M437" s="14">
        <v>1</v>
      </c>
      <c r="N437" s="15">
        <v>512712</v>
      </c>
      <c r="O437" s="15">
        <f t="shared" si="17"/>
        <v>512712</v>
      </c>
      <c r="P437" s="15"/>
      <c r="Q437" s="14" t="s">
        <v>520</v>
      </c>
      <c r="R437" s="25">
        <v>45208</v>
      </c>
      <c r="S437" s="22" t="str">
        <f>TEXT(Table1[[#This Row],[End Date]],"MMMM")</f>
        <v>October</v>
      </c>
      <c r="T437" s="34" t="str">
        <f>TEXT(Table1[[#This Row],[End Date]],"YYYY")</f>
        <v>2023</v>
      </c>
      <c r="U437" s="24">
        <f t="shared" ca="1" si="18"/>
        <v>-75</v>
      </c>
      <c r="V437" s="14" t="str" cm="1">
        <f t="array" aca="1" ref="V437" ca="1">_xlfn.IFS(Table1[[#This Row],[Agreement Days]]&gt;=0,"Expired",Table1[[#This Row],[Agreement Days]]&gt;=-30,"Expires &lt; 30 Days",Table1[[#This Row],[Agreement Days]]&gt;=-60,"Expires &lt; 60 Days",Table1[[#This Row],[Agreement Days]]&lt;-60,"Valid Contract")</f>
        <v>Valid Contract</v>
      </c>
      <c r="W437" s="18" t="s">
        <v>21</v>
      </c>
      <c r="X437" s="18" t="s">
        <v>1293</v>
      </c>
      <c r="Y437" s="42" t="s">
        <v>1294</v>
      </c>
      <c r="Z437" s="27">
        <v>788484961</v>
      </c>
      <c r="AA437" s="19"/>
      <c r="AB437" s="116"/>
      <c r="AC437" s="116"/>
    </row>
    <row r="438" spans="1:29" hidden="1" x14ac:dyDescent="0.3">
      <c r="A438" s="18" t="s">
        <v>1290</v>
      </c>
      <c r="B438" s="18" t="s">
        <v>125</v>
      </c>
      <c r="C438" s="18" t="s">
        <v>1343</v>
      </c>
      <c r="D438" s="14" t="s">
        <v>739</v>
      </c>
      <c r="E438" s="18" t="s">
        <v>10</v>
      </c>
      <c r="F438" s="14" t="s">
        <v>631</v>
      </c>
      <c r="G438" s="14" t="s">
        <v>546</v>
      </c>
      <c r="H438" s="18" t="s">
        <v>2</v>
      </c>
      <c r="I438" s="14" t="s">
        <v>126</v>
      </c>
      <c r="J438" s="14">
        <v>50</v>
      </c>
      <c r="K438" s="18" t="s">
        <v>1326</v>
      </c>
      <c r="L438" s="14"/>
      <c r="M438" s="14">
        <v>1</v>
      </c>
      <c r="N438" s="15">
        <v>512712</v>
      </c>
      <c r="O438" s="15">
        <f t="shared" si="17"/>
        <v>512712</v>
      </c>
      <c r="P438" s="15"/>
      <c r="Q438" s="14" t="s">
        <v>520</v>
      </c>
      <c r="R438" s="25">
        <v>45208</v>
      </c>
      <c r="S438" s="22" t="str">
        <f>TEXT(Table1[[#This Row],[End Date]],"MMMM")</f>
        <v>October</v>
      </c>
      <c r="T438" s="34" t="str">
        <f>TEXT(Table1[[#This Row],[End Date]],"YYYY")</f>
        <v>2023</v>
      </c>
      <c r="U438" s="24">
        <f t="shared" ca="1" si="18"/>
        <v>-75</v>
      </c>
      <c r="V438" s="14" t="str" cm="1">
        <f t="array" aca="1" ref="V438" ca="1">_xlfn.IFS(Table1[[#This Row],[Agreement Days]]&gt;=0,"Expired",Table1[[#This Row],[Agreement Days]]&gt;=-30,"Expires &lt; 30 Days",Table1[[#This Row],[Agreement Days]]&gt;=-60,"Expires &lt; 60 Days",Table1[[#This Row],[Agreement Days]]&lt;-60,"Valid Contract")</f>
        <v>Valid Contract</v>
      </c>
      <c r="W438" s="18" t="s">
        <v>21</v>
      </c>
      <c r="X438" s="18" t="s">
        <v>1293</v>
      </c>
      <c r="Y438" s="42" t="s">
        <v>1294</v>
      </c>
      <c r="Z438" s="27">
        <v>788484961</v>
      </c>
      <c r="AA438" s="19"/>
      <c r="AB438" s="116"/>
      <c r="AC438" s="116"/>
    </row>
    <row r="439" spans="1:29" hidden="1" x14ac:dyDescent="0.3">
      <c r="A439" s="18" t="s">
        <v>1290</v>
      </c>
      <c r="B439" s="18" t="s">
        <v>125</v>
      </c>
      <c r="C439" s="18" t="s">
        <v>1344</v>
      </c>
      <c r="D439" s="14" t="s">
        <v>739</v>
      </c>
      <c r="E439" s="18" t="s">
        <v>10</v>
      </c>
      <c r="F439" s="14" t="s">
        <v>631</v>
      </c>
      <c r="G439" s="14" t="s">
        <v>546</v>
      </c>
      <c r="H439" s="18" t="s">
        <v>2</v>
      </c>
      <c r="I439" s="14" t="s">
        <v>126</v>
      </c>
      <c r="J439" s="14">
        <v>100</v>
      </c>
      <c r="K439" s="18" t="s">
        <v>1345</v>
      </c>
      <c r="L439" s="18"/>
      <c r="M439" s="14">
        <v>1</v>
      </c>
      <c r="N439" s="15">
        <v>775423.7288135594</v>
      </c>
      <c r="O439" s="15">
        <f t="shared" si="17"/>
        <v>775423.7288135594</v>
      </c>
      <c r="P439" s="15"/>
      <c r="Q439" s="14" t="s">
        <v>520</v>
      </c>
      <c r="R439" s="25">
        <v>45208</v>
      </c>
      <c r="S439" s="34" t="str">
        <f>TEXT(Table1[[#This Row],[End Date]],"MMMM")</f>
        <v>October</v>
      </c>
      <c r="T439" s="34" t="str">
        <f>TEXT(Table1[[#This Row],[End Date]],"YYYY")</f>
        <v>2023</v>
      </c>
      <c r="U439" s="24">
        <f t="shared" ca="1" si="18"/>
        <v>-75</v>
      </c>
      <c r="V439" s="14" t="str" cm="1">
        <f t="array" aca="1" ref="V439" ca="1">_xlfn.IFS(Table1[[#This Row],[Agreement Days]]&gt;=0,"Expired",Table1[[#This Row],[Agreement Days]]&gt;=-30,"Expires &lt; 30 Days",Table1[[#This Row],[Agreement Days]]&gt;=-60,"Expires &lt; 60 Days",Table1[[#This Row],[Agreement Days]]&lt;-60,"Valid Contract")</f>
        <v>Valid Contract</v>
      </c>
      <c r="W439" s="18" t="s">
        <v>21</v>
      </c>
      <c r="X439" s="18" t="s">
        <v>1293</v>
      </c>
      <c r="Y439" s="42" t="s">
        <v>1294</v>
      </c>
      <c r="Z439" s="27">
        <v>788484961</v>
      </c>
      <c r="AA439" s="27"/>
      <c r="AB439" s="116"/>
      <c r="AC439" s="116"/>
    </row>
    <row r="440" spans="1:29" hidden="1" x14ac:dyDescent="0.3">
      <c r="A440" s="18" t="s">
        <v>1290</v>
      </c>
      <c r="B440" s="18" t="s">
        <v>125</v>
      </c>
      <c r="C440" s="18" t="s">
        <v>1346</v>
      </c>
      <c r="D440" s="14" t="s">
        <v>739</v>
      </c>
      <c r="E440" s="18" t="s">
        <v>10</v>
      </c>
      <c r="F440" s="14" t="s">
        <v>631</v>
      </c>
      <c r="G440" s="14" t="s">
        <v>546</v>
      </c>
      <c r="H440" s="18" t="s">
        <v>2</v>
      </c>
      <c r="I440" s="14" t="s">
        <v>126</v>
      </c>
      <c r="J440" s="14">
        <v>100</v>
      </c>
      <c r="K440" s="18" t="s">
        <v>1345</v>
      </c>
      <c r="L440" s="18"/>
      <c r="M440" s="14">
        <v>1</v>
      </c>
      <c r="N440" s="15">
        <v>775423.7288135594</v>
      </c>
      <c r="O440" s="15">
        <f t="shared" si="17"/>
        <v>775423.7288135594</v>
      </c>
      <c r="P440" s="15"/>
      <c r="Q440" s="14" t="s">
        <v>520</v>
      </c>
      <c r="R440" s="25">
        <v>45208</v>
      </c>
      <c r="S440" s="34" t="str">
        <f>TEXT(Table1[[#This Row],[End Date]],"MMMM")</f>
        <v>October</v>
      </c>
      <c r="T440" s="34" t="str">
        <f>TEXT(Table1[[#This Row],[End Date]],"YYYY")</f>
        <v>2023</v>
      </c>
      <c r="U440" s="24">
        <f t="shared" ca="1" si="18"/>
        <v>-75</v>
      </c>
      <c r="V440" s="14" t="str" cm="1">
        <f t="array" aca="1" ref="V440" ca="1">_xlfn.IFS(Table1[[#This Row],[Agreement Days]]&gt;=0,"Expired",Table1[[#This Row],[Agreement Days]]&gt;=-30,"Expires &lt; 30 Days",Table1[[#This Row],[Agreement Days]]&gt;=-60,"Expires &lt; 60 Days",Table1[[#This Row],[Agreement Days]]&lt;-60,"Valid Contract")</f>
        <v>Valid Contract</v>
      </c>
      <c r="W440" s="18" t="s">
        <v>21</v>
      </c>
      <c r="X440" s="18" t="s">
        <v>1293</v>
      </c>
      <c r="Y440" s="42" t="s">
        <v>1294</v>
      </c>
      <c r="Z440" s="27">
        <v>788484961</v>
      </c>
      <c r="AA440" s="27"/>
      <c r="AB440" s="116"/>
      <c r="AC440" s="116"/>
    </row>
    <row r="441" spans="1:29" hidden="1" x14ac:dyDescent="0.3">
      <c r="A441" s="18" t="s">
        <v>1290</v>
      </c>
      <c r="B441" s="18" t="s">
        <v>125</v>
      </c>
      <c r="C441" s="18" t="s">
        <v>1347</v>
      </c>
      <c r="D441" s="14" t="s">
        <v>739</v>
      </c>
      <c r="E441" s="18" t="s">
        <v>10</v>
      </c>
      <c r="F441" s="14" t="s">
        <v>631</v>
      </c>
      <c r="G441" s="14" t="s">
        <v>546</v>
      </c>
      <c r="H441" s="18" t="s">
        <v>2</v>
      </c>
      <c r="I441" s="14" t="s">
        <v>126</v>
      </c>
      <c r="J441" s="14">
        <v>100</v>
      </c>
      <c r="K441" s="18" t="s">
        <v>1345</v>
      </c>
      <c r="L441" s="18"/>
      <c r="M441" s="14">
        <v>1</v>
      </c>
      <c r="N441" s="15">
        <v>775423.7288135594</v>
      </c>
      <c r="O441" s="15">
        <f t="shared" si="17"/>
        <v>775423.7288135594</v>
      </c>
      <c r="P441" s="15"/>
      <c r="Q441" s="14" t="s">
        <v>520</v>
      </c>
      <c r="R441" s="25">
        <v>45208</v>
      </c>
      <c r="S441" s="34" t="str">
        <f>TEXT(Table1[[#This Row],[End Date]],"MMMM")</f>
        <v>October</v>
      </c>
      <c r="T441" s="34" t="str">
        <f>TEXT(Table1[[#This Row],[End Date]],"YYYY")</f>
        <v>2023</v>
      </c>
      <c r="U441" s="24">
        <f t="shared" ca="1" si="18"/>
        <v>-75</v>
      </c>
      <c r="V441" s="14" t="str" cm="1">
        <f t="array" aca="1" ref="V441" ca="1">_xlfn.IFS(Table1[[#This Row],[Agreement Days]]&gt;=0,"Expired",Table1[[#This Row],[Agreement Days]]&gt;=-30,"Expires &lt; 30 Days",Table1[[#This Row],[Agreement Days]]&gt;=-60,"Expires &lt; 60 Days",Table1[[#This Row],[Agreement Days]]&lt;-60,"Valid Contract")</f>
        <v>Valid Contract</v>
      </c>
      <c r="W441" s="18" t="s">
        <v>21</v>
      </c>
      <c r="X441" s="18" t="s">
        <v>1293</v>
      </c>
      <c r="Y441" s="42" t="s">
        <v>1294</v>
      </c>
      <c r="Z441" s="27">
        <v>788484961</v>
      </c>
      <c r="AA441" s="27"/>
      <c r="AB441" s="116"/>
      <c r="AC441" s="116"/>
    </row>
    <row r="442" spans="1:29" hidden="1" x14ac:dyDescent="0.3">
      <c r="A442" s="18" t="s">
        <v>1290</v>
      </c>
      <c r="B442" s="18" t="s">
        <v>125</v>
      </c>
      <c r="C442" s="18" t="s">
        <v>1348</v>
      </c>
      <c r="D442" s="14" t="s">
        <v>739</v>
      </c>
      <c r="E442" s="18" t="s">
        <v>10</v>
      </c>
      <c r="F442" s="14" t="s">
        <v>631</v>
      </c>
      <c r="G442" s="14" t="s">
        <v>546</v>
      </c>
      <c r="H442" s="18" t="s">
        <v>2</v>
      </c>
      <c r="I442" s="14" t="s">
        <v>126</v>
      </c>
      <c r="J442" s="14">
        <v>100</v>
      </c>
      <c r="K442" s="18" t="s">
        <v>1345</v>
      </c>
      <c r="L442" s="18"/>
      <c r="M442" s="14">
        <v>1</v>
      </c>
      <c r="N442" s="15">
        <v>775423.7288135594</v>
      </c>
      <c r="O442" s="15">
        <f t="shared" si="17"/>
        <v>775423.7288135594</v>
      </c>
      <c r="P442" s="15"/>
      <c r="Q442" s="14" t="s">
        <v>520</v>
      </c>
      <c r="R442" s="25">
        <v>45208</v>
      </c>
      <c r="S442" s="34" t="str">
        <f>TEXT(Table1[[#This Row],[End Date]],"MMMM")</f>
        <v>October</v>
      </c>
      <c r="T442" s="34" t="str">
        <f>TEXT(Table1[[#This Row],[End Date]],"YYYY")</f>
        <v>2023</v>
      </c>
      <c r="U442" s="24">
        <f t="shared" ca="1" si="18"/>
        <v>-75</v>
      </c>
      <c r="V442" s="14" t="str" cm="1">
        <f t="array" aca="1" ref="V442" ca="1">_xlfn.IFS(Table1[[#This Row],[Agreement Days]]&gt;=0,"Expired",Table1[[#This Row],[Agreement Days]]&gt;=-30,"Expires &lt; 30 Days",Table1[[#This Row],[Agreement Days]]&gt;=-60,"Expires &lt; 60 Days",Table1[[#This Row],[Agreement Days]]&lt;-60,"Valid Contract")</f>
        <v>Valid Contract</v>
      </c>
      <c r="W442" s="18" t="s">
        <v>21</v>
      </c>
      <c r="X442" s="18" t="s">
        <v>1293</v>
      </c>
      <c r="Y442" s="42" t="s">
        <v>1294</v>
      </c>
      <c r="Z442" s="27">
        <v>788484961</v>
      </c>
      <c r="AA442" s="27"/>
      <c r="AB442" s="116"/>
      <c r="AC442" s="116"/>
    </row>
    <row r="443" spans="1:29" hidden="1" x14ac:dyDescent="0.3">
      <c r="A443" s="18" t="s">
        <v>1290</v>
      </c>
      <c r="B443" s="18" t="s">
        <v>125</v>
      </c>
      <c r="C443" s="18" t="s">
        <v>1349</v>
      </c>
      <c r="D443" s="14" t="s">
        <v>739</v>
      </c>
      <c r="E443" s="18" t="s">
        <v>10</v>
      </c>
      <c r="F443" s="14" t="s">
        <v>631</v>
      </c>
      <c r="G443" s="14" t="s">
        <v>546</v>
      </c>
      <c r="H443" s="18" t="s">
        <v>2</v>
      </c>
      <c r="I443" s="14" t="s">
        <v>126</v>
      </c>
      <c r="J443" s="14">
        <v>100</v>
      </c>
      <c r="K443" s="18" t="s">
        <v>1345</v>
      </c>
      <c r="L443" s="18"/>
      <c r="M443" s="14">
        <v>1</v>
      </c>
      <c r="N443" s="15">
        <v>775423.7288135594</v>
      </c>
      <c r="O443" s="15">
        <f t="shared" si="17"/>
        <v>775423.7288135594</v>
      </c>
      <c r="P443" s="15"/>
      <c r="Q443" s="14" t="s">
        <v>520</v>
      </c>
      <c r="R443" s="25">
        <v>45208</v>
      </c>
      <c r="S443" s="34" t="str">
        <f>TEXT(Table1[[#This Row],[End Date]],"MMMM")</f>
        <v>October</v>
      </c>
      <c r="T443" s="34" t="str">
        <f>TEXT(Table1[[#This Row],[End Date]],"YYYY")</f>
        <v>2023</v>
      </c>
      <c r="U443" s="24">
        <f t="shared" ca="1" si="18"/>
        <v>-75</v>
      </c>
      <c r="V443" s="14" t="str" cm="1">
        <f t="array" aca="1" ref="V443" ca="1">_xlfn.IFS(Table1[[#This Row],[Agreement Days]]&gt;=0,"Expired",Table1[[#This Row],[Agreement Days]]&gt;=-30,"Expires &lt; 30 Days",Table1[[#This Row],[Agreement Days]]&gt;=-60,"Expires &lt; 60 Days",Table1[[#This Row],[Agreement Days]]&lt;-60,"Valid Contract")</f>
        <v>Valid Contract</v>
      </c>
      <c r="W443" s="18" t="s">
        <v>21</v>
      </c>
      <c r="X443" s="18" t="s">
        <v>1293</v>
      </c>
      <c r="Y443" s="42" t="s">
        <v>1294</v>
      </c>
      <c r="Z443" s="27">
        <v>788484961</v>
      </c>
      <c r="AA443" s="27"/>
      <c r="AB443" s="116"/>
      <c r="AC443" s="116"/>
    </row>
    <row r="444" spans="1:29" hidden="1" x14ac:dyDescent="0.3">
      <c r="A444" s="18" t="s">
        <v>1290</v>
      </c>
      <c r="B444" s="18" t="s">
        <v>125</v>
      </c>
      <c r="C444" s="18" t="s">
        <v>1350</v>
      </c>
      <c r="D444" s="14" t="s">
        <v>739</v>
      </c>
      <c r="E444" s="18" t="s">
        <v>10</v>
      </c>
      <c r="F444" s="14" t="s">
        <v>631</v>
      </c>
      <c r="G444" s="14" t="s">
        <v>546</v>
      </c>
      <c r="H444" s="18" t="s">
        <v>2</v>
      </c>
      <c r="I444" s="14" t="s">
        <v>126</v>
      </c>
      <c r="J444" s="14">
        <v>100</v>
      </c>
      <c r="K444" s="18" t="s">
        <v>1345</v>
      </c>
      <c r="L444" s="18"/>
      <c r="M444" s="14">
        <v>1</v>
      </c>
      <c r="N444" s="15">
        <v>775423.7288135594</v>
      </c>
      <c r="O444" s="15">
        <f t="shared" si="17"/>
        <v>775423.7288135594</v>
      </c>
      <c r="P444" s="15"/>
      <c r="Q444" s="14" t="s">
        <v>520</v>
      </c>
      <c r="R444" s="25">
        <v>45208</v>
      </c>
      <c r="S444" s="34" t="str">
        <f>TEXT(Table1[[#This Row],[End Date]],"MMMM")</f>
        <v>October</v>
      </c>
      <c r="T444" s="34" t="str">
        <f>TEXT(Table1[[#This Row],[End Date]],"YYYY")</f>
        <v>2023</v>
      </c>
      <c r="U444" s="24">
        <f t="shared" ca="1" si="18"/>
        <v>-75</v>
      </c>
      <c r="V444" s="14" t="str" cm="1">
        <f t="array" aca="1" ref="V444" ca="1">_xlfn.IFS(Table1[[#This Row],[Agreement Days]]&gt;=0,"Expired",Table1[[#This Row],[Agreement Days]]&gt;=-30,"Expires &lt; 30 Days",Table1[[#This Row],[Agreement Days]]&gt;=-60,"Expires &lt; 60 Days",Table1[[#This Row],[Agreement Days]]&lt;-60,"Valid Contract")</f>
        <v>Valid Contract</v>
      </c>
      <c r="W444" s="18" t="s">
        <v>21</v>
      </c>
      <c r="X444" s="18" t="s">
        <v>1293</v>
      </c>
      <c r="Y444" s="42" t="s">
        <v>1294</v>
      </c>
      <c r="Z444" s="27">
        <v>788484961</v>
      </c>
      <c r="AA444" s="27"/>
      <c r="AB444" s="116"/>
      <c r="AC444" s="116"/>
    </row>
    <row r="445" spans="1:29" hidden="1" x14ac:dyDescent="0.3">
      <c r="A445" s="18" t="s">
        <v>1290</v>
      </c>
      <c r="B445" s="18" t="s">
        <v>125</v>
      </c>
      <c r="C445" s="18" t="s">
        <v>1351</v>
      </c>
      <c r="D445" s="14" t="s">
        <v>739</v>
      </c>
      <c r="E445" s="18" t="s">
        <v>10</v>
      </c>
      <c r="F445" s="14" t="s">
        <v>631</v>
      </c>
      <c r="G445" s="14" t="s">
        <v>546</v>
      </c>
      <c r="H445" s="18" t="s">
        <v>2</v>
      </c>
      <c r="I445" s="14" t="s">
        <v>126</v>
      </c>
      <c r="J445" s="14">
        <v>100</v>
      </c>
      <c r="K445" s="18" t="s">
        <v>1345</v>
      </c>
      <c r="L445" s="18"/>
      <c r="M445" s="14">
        <v>1</v>
      </c>
      <c r="N445" s="15">
        <v>775423.7288135594</v>
      </c>
      <c r="O445" s="15">
        <f t="shared" si="17"/>
        <v>775423.7288135594</v>
      </c>
      <c r="P445" s="15"/>
      <c r="Q445" s="14" t="s">
        <v>520</v>
      </c>
      <c r="R445" s="25">
        <v>45208</v>
      </c>
      <c r="S445" s="34" t="str">
        <f>TEXT(Table1[[#This Row],[End Date]],"MMMM")</f>
        <v>October</v>
      </c>
      <c r="T445" s="34" t="str">
        <f>TEXT(Table1[[#This Row],[End Date]],"YYYY")</f>
        <v>2023</v>
      </c>
      <c r="U445" s="24">
        <f t="shared" ca="1" si="18"/>
        <v>-75</v>
      </c>
      <c r="V445" s="14" t="str" cm="1">
        <f t="array" aca="1" ref="V445" ca="1">_xlfn.IFS(Table1[[#This Row],[Agreement Days]]&gt;=0,"Expired",Table1[[#This Row],[Agreement Days]]&gt;=-30,"Expires &lt; 30 Days",Table1[[#This Row],[Agreement Days]]&gt;=-60,"Expires &lt; 60 Days",Table1[[#This Row],[Agreement Days]]&lt;-60,"Valid Contract")</f>
        <v>Valid Contract</v>
      </c>
      <c r="W445" s="18" t="s">
        <v>21</v>
      </c>
      <c r="X445" s="18" t="s">
        <v>1293</v>
      </c>
      <c r="Y445" s="42" t="s">
        <v>1294</v>
      </c>
      <c r="Z445" s="27">
        <v>788484961</v>
      </c>
      <c r="AA445" s="27"/>
      <c r="AB445" s="116"/>
      <c r="AC445" s="116"/>
    </row>
    <row r="446" spans="1:29" hidden="1" x14ac:dyDescent="0.3">
      <c r="A446" s="18" t="s">
        <v>1290</v>
      </c>
      <c r="B446" s="18" t="s">
        <v>125</v>
      </c>
      <c r="C446" s="18" t="s">
        <v>1352</v>
      </c>
      <c r="D446" s="14" t="s">
        <v>739</v>
      </c>
      <c r="E446" s="18" t="s">
        <v>10</v>
      </c>
      <c r="F446" s="14" t="s">
        <v>631</v>
      </c>
      <c r="G446" s="14" t="s">
        <v>546</v>
      </c>
      <c r="H446" s="18" t="s">
        <v>2</v>
      </c>
      <c r="I446" s="14" t="s">
        <v>126</v>
      </c>
      <c r="J446" s="60">
        <v>100</v>
      </c>
      <c r="K446" s="18" t="s">
        <v>1345</v>
      </c>
      <c r="L446" s="18"/>
      <c r="M446" s="14">
        <v>1</v>
      </c>
      <c r="N446" s="15">
        <v>775423.7288135594</v>
      </c>
      <c r="O446" s="15">
        <f t="shared" si="17"/>
        <v>775423.7288135594</v>
      </c>
      <c r="P446" s="15"/>
      <c r="Q446" s="14" t="s">
        <v>520</v>
      </c>
      <c r="R446" s="25">
        <v>45208</v>
      </c>
      <c r="S446" s="34" t="str">
        <f>TEXT(Table1[[#This Row],[End Date]],"MMMM")</f>
        <v>October</v>
      </c>
      <c r="T446" s="34" t="str">
        <f>TEXT(Table1[[#This Row],[End Date]],"YYYY")</f>
        <v>2023</v>
      </c>
      <c r="U446" s="24">
        <f t="shared" ca="1" si="18"/>
        <v>-75</v>
      </c>
      <c r="V446" s="14" t="str" cm="1">
        <f t="array" aca="1" ref="V446" ca="1">_xlfn.IFS(Table1[[#This Row],[Agreement Days]]&gt;=0,"Expired",Table1[[#This Row],[Agreement Days]]&gt;=-30,"Expires &lt; 30 Days",Table1[[#This Row],[Agreement Days]]&gt;=-60,"Expires &lt; 60 Days",Table1[[#This Row],[Agreement Days]]&lt;-60,"Valid Contract")</f>
        <v>Valid Contract</v>
      </c>
      <c r="W446" s="18" t="s">
        <v>21</v>
      </c>
      <c r="X446" s="18" t="s">
        <v>1293</v>
      </c>
      <c r="Y446" s="42" t="s">
        <v>1294</v>
      </c>
      <c r="Z446" s="27">
        <v>788484961</v>
      </c>
      <c r="AA446" s="27"/>
      <c r="AB446" s="116"/>
      <c r="AC446" s="116"/>
    </row>
    <row r="447" spans="1:29" hidden="1" x14ac:dyDescent="0.3">
      <c r="A447" s="18" t="s">
        <v>1290</v>
      </c>
      <c r="B447" s="18" t="s">
        <v>125</v>
      </c>
      <c r="C447" s="18" t="s">
        <v>1353</v>
      </c>
      <c r="D447" s="14" t="s">
        <v>739</v>
      </c>
      <c r="E447" s="18" t="s">
        <v>10</v>
      </c>
      <c r="F447" s="14" t="s">
        <v>631</v>
      </c>
      <c r="G447" s="14" t="s">
        <v>546</v>
      </c>
      <c r="H447" s="18" t="s">
        <v>2</v>
      </c>
      <c r="I447" s="14" t="s">
        <v>126</v>
      </c>
      <c r="J447" s="60">
        <v>100</v>
      </c>
      <c r="K447" s="18" t="s">
        <v>1345</v>
      </c>
      <c r="L447" s="18"/>
      <c r="M447" s="14">
        <v>1</v>
      </c>
      <c r="N447" s="15">
        <v>775423.7288135594</v>
      </c>
      <c r="O447" s="15">
        <f t="shared" si="17"/>
        <v>775423.7288135594</v>
      </c>
      <c r="P447" s="15"/>
      <c r="Q447" s="14" t="s">
        <v>520</v>
      </c>
      <c r="R447" s="25">
        <v>45208</v>
      </c>
      <c r="S447" s="34" t="str">
        <f>TEXT(Table1[[#This Row],[End Date]],"MMMM")</f>
        <v>October</v>
      </c>
      <c r="T447" s="34" t="str">
        <f>TEXT(Table1[[#This Row],[End Date]],"YYYY")</f>
        <v>2023</v>
      </c>
      <c r="U447" s="24">
        <f t="shared" ca="1" si="18"/>
        <v>-75</v>
      </c>
      <c r="V447" s="14" t="str" cm="1">
        <f t="array" aca="1" ref="V447" ca="1">_xlfn.IFS(Table1[[#This Row],[Agreement Days]]&gt;=0,"Expired",Table1[[#This Row],[Agreement Days]]&gt;=-30,"Expires &lt; 30 Days",Table1[[#This Row],[Agreement Days]]&gt;=-60,"Expires &lt; 60 Days",Table1[[#This Row],[Agreement Days]]&lt;-60,"Valid Contract")</f>
        <v>Valid Contract</v>
      </c>
      <c r="W447" s="18" t="s">
        <v>21</v>
      </c>
      <c r="X447" s="18" t="s">
        <v>1293</v>
      </c>
      <c r="Y447" s="42" t="s">
        <v>1294</v>
      </c>
      <c r="Z447" s="27">
        <v>788484961</v>
      </c>
      <c r="AA447" s="27"/>
      <c r="AB447" s="116"/>
      <c r="AC447" s="116"/>
    </row>
    <row r="448" spans="1:29" hidden="1" x14ac:dyDescent="0.3">
      <c r="A448" s="18" t="s">
        <v>1290</v>
      </c>
      <c r="B448" s="18" t="s">
        <v>125</v>
      </c>
      <c r="C448" s="18" t="s">
        <v>1354</v>
      </c>
      <c r="D448" s="14" t="s">
        <v>739</v>
      </c>
      <c r="E448" s="18" t="s">
        <v>10</v>
      </c>
      <c r="F448" s="14" t="s">
        <v>631</v>
      </c>
      <c r="G448" s="14" t="s">
        <v>546</v>
      </c>
      <c r="H448" s="18" t="s">
        <v>2</v>
      </c>
      <c r="I448" s="14" t="s">
        <v>126</v>
      </c>
      <c r="J448" s="60">
        <v>100</v>
      </c>
      <c r="K448" s="18" t="s">
        <v>1345</v>
      </c>
      <c r="L448" s="18"/>
      <c r="M448" s="14">
        <v>1</v>
      </c>
      <c r="N448" s="15">
        <v>775423.7288135594</v>
      </c>
      <c r="O448" s="15">
        <f t="shared" si="17"/>
        <v>775423.7288135594</v>
      </c>
      <c r="P448" s="15"/>
      <c r="Q448" s="14" t="s">
        <v>520</v>
      </c>
      <c r="R448" s="25">
        <v>45208</v>
      </c>
      <c r="S448" s="34" t="str">
        <f>TEXT(Table1[[#This Row],[End Date]],"MMMM")</f>
        <v>October</v>
      </c>
      <c r="T448" s="34" t="str">
        <f>TEXT(Table1[[#This Row],[End Date]],"YYYY")</f>
        <v>2023</v>
      </c>
      <c r="U448" s="24">
        <f t="shared" ca="1" si="18"/>
        <v>-75</v>
      </c>
      <c r="V448" s="14" t="str" cm="1">
        <f t="array" aca="1" ref="V448" ca="1">_xlfn.IFS(Table1[[#This Row],[Agreement Days]]&gt;=0,"Expired",Table1[[#This Row],[Agreement Days]]&gt;=-30,"Expires &lt; 30 Days",Table1[[#This Row],[Agreement Days]]&gt;=-60,"Expires &lt; 60 Days",Table1[[#This Row],[Agreement Days]]&lt;-60,"Valid Contract")</f>
        <v>Valid Contract</v>
      </c>
      <c r="W448" s="18" t="s">
        <v>21</v>
      </c>
      <c r="X448" s="18" t="s">
        <v>1293</v>
      </c>
      <c r="Y448" s="42" t="s">
        <v>1294</v>
      </c>
      <c r="Z448" s="27">
        <v>788484961</v>
      </c>
      <c r="AA448" s="27"/>
      <c r="AB448" s="116"/>
      <c r="AC448" s="116"/>
    </row>
    <row r="449" spans="1:29" hidden="1" x14ac:dyDescent="0.3">
      <c r="A449" s="18" t="s">
        <v>1290</v>
      </c>
      <c r="B449" s="18" t="s">
        <v>125</v>
      </c>
      <c r="C449" s="18" t="s">
        <v>1355</v>
      </c>
      <c r="D449" s="14" t="s">
        <v>739</v>
      </c>
      <c r="E449" s="18" t="s">
        <v>10</v>
      </c>
      <c r="F449" s="14" t="s">
        <v>631</v>
      </c>
      <c r="G449" s="14" t="s">
        <v>546</v>
      </c>
      <c r="H449" s="18" t="s">
        <v>2</v>
      </c>
      <c r="I449" s="14" t="s">
        <v>126</v>
      </c>
      <c r="J449" s="14">
        <v>100</v>
      </c>
      <c r="K449" s="18" t="s">
        <v>1345</v>
      </c>
      <c r="L449" s="14"/>
      <c r="M449" s="14">
        <v>1</v>
      </c>
      <c r="N449" s="15">
        <v>775424</v>
      </c>
      <c r="O449" s="15">
        <f t="shared" si="17"/>
        <v>775424</v>
      </c>
      <c r="P449" s="15"/>
      <c r="Q449" s="14" t="s">
        <v>520</v>
      </c>
      <c r="R449" s="25">
        <v>45208</v>
      </c>
      <c r="S449" s="22" t="str">
        <f>TEXT(Table1[[#This Row],[End Date]],"MMMM")</f>
        <v>October</v>
      </c>
      <c r="T449" s="34" t="str">
        <f>TEXT(Table1[[#This Row],[End Date]],"YYYY")</f>
        <v>2023</v>
      </c>
      <c r="U449" s="24">
        <f t="shared" ca="1" si="18"/>
        <v>-75</v>
      </c>
      <c r="V449" s="14" t="str" cm="1">
        <f t="array" aca="1" ref="V449" ca="1">_xlfn.IFS(Table1[[#This Row],[Agreement Days]]&gt;=0,"Expired",Table1[[#This Row],[Agreement Days]]&gt;=-30,"Expires &lt; 30 Days",Table1[[#This Row],[Agreement Days]]&gt;=-60,"Expires &lt; 60 Days",Table1[[#This Row],[Agreement Days]]&lt;-60,"Valid Contract")</f>
        <v>Valid Contract</v>
      </c>
      <c r="W449" s="18" t="s">
        <v>21</v>
      </c>
      <c r="X449" s="18" t="s">
        <v>1293</v>
      </c>
      <c r="Y449" s="42" t="s">
        <v>1294</v>
      </c>
      <c r="Z449" s="27">
        <v>788484961</v>
      </c>
      <c r="AA449" s="19"/>
      <c r="AB449" s="116"/>
      <c r="AC449" s="116"/>
    </row>
    <row r="450" spans="1:29" hidden="1" x14ac:dyDescent="0.3">
      <c r="A450" s="18" t="s">
        <v>1290</v>
      </c>
      <c r="B450" s="18" t="s">
        <v>125</v>
      </c>
      <c r="C450" s="18" t="s">
        <v>1356</v>
      </c>
      <c r="D450" s="14" t="s">
        <v>739</v>
      </c>
      <c r="E450" s="18" t="s">
        <v>10</v>
      </c>
      <c r="F450" s="14" t="s">
        <v>631</v>
      </c>
      <c r="G450" s="14" t="s">
        <v>546</v>
      </c>
      <c r="H450" s="18" t="s">
        <v>2</v>
      </c>
      <c r="I450" s="14" t="s">
        <v>126</v>
      </c>
      <c r="J450" s="14">
        <v>100</v>
      </c>
      <c r="K450" s="18" t="s">
        <v>1345</v>
      </c>
      <c r="L450" s="14"/>
      <c r="M450" s="14">
        <v>1</v>
      </c>
      <c r="N450" s="15">
        <v>775424</v>
      </c>
      <c r="O450" s="15">
        <f t="shared" si="17"/>
        <v>775424</v>
      </c>
      <c r="P450" s="15"/>
      <c r="Q450" s="14" t="s">
        <v>520</v>
      </c>
      <c r="R450" s="25">
        <v>45208</v>
      </c>
      <c r="S450" s="22" t="str">
        <f>TEXT(Table1[[#This Row],[End Date]],"MMMM")</f>
        <v>October</v>
      </c>
      <c r="T450" s="34" t="str">
        <f>TEXT(Table1[[#This Row],[End Date]],"YYYY")</f>
        <v>2023</v>
      </c>
      <c r="U450" s="24">
        <f t="shared" ca="1" si="18"/>
        <v>-75</v>
      </c>
      <c r="V450" s="14" t="str" cm="1">
        <f t="array" aca="1" ref="V450" ca="1">_xlfn.IFS(Table1[[#This Row],[Agreement Days]]&gt;=0,"Expired",Table1[[#This Row],[Agreement Days]]&gt;=-30,"Expires &lt; 30 Days",Table1[[#This Row],[Agreement Days]]&gt;=-60,"Expires &lt; 60 Days",Table1[[#This Row],[Agreement Days]]&lt;-60,"Valid Contract")</f>
        <v>Valid Contract</v>
      </c>
      <c r="W450" s="18" t="s">
        <v>21</v>
      </c>
      <c r="X450" s="18" t="s">
        <v>1293</v>
      </c>
      <c r="Y450" s="42" t="s">
        <v>1294</v>
      </c>
      <c r="Z450" s="27">
        <v>788484961</v>
      </c>
      <c r="AA450" s="19"/>
      <c r="AB450" s="116"/>
      <c r="AC450" s="116"/>
    </row>
    <row r="451" spans="1:29" hidden="1" x14ac:dyDescent="0.3">
      <c r="A451" s="18" t="s">
        <v>1290</v>
      </c>
      <c r="B451" s="18" t="s">
        <v>125</v>
      </c>
      <c r="C451" s="18" t="s">
        <v>1357</v>
      </c>
      <c r="D451" s="14" t="s">
        <v>739</v>
      </c>
      <c r="E451" s="18" t="s">
        <v>10</v>
      </c>
      <c r="F451" s="14" t="s">
        <v>631</v>
      </c>
      <c r="G451" s="14" t="s">
        <v>546</v>
      </c>
      <c r="H451" s="18" t="s">
        <v>2</v>
      </c>
      <c r="I451" s="14" t="s">
        <v>126</v>
      </c>
      <c r="J451" s="14">
        <v>100</v>
      </c>
      <c r="K451" s="18" t="s">
        <v>1345</v>
      </c>
      <c r="L451" s="14"/>
      <c r="M451" s="14">
        <v>1</v>
      </c>
      <c r="N451" s="15">
        <v>775424</v>
      </c>
      <c r="O451" s="15">
        <f t="shared" si="17"/>
        <v>775424</v>
      </c>
      <c r="P451" s="15"/>
      <c r="Q451" s="14" t="s">
        <v>520</v>
      </c>
      <c r="R451" s="25">
        <v>45208</v>
      </c>
      <c r="S451" s="22" t="str">
        <f>TEXT(Table1[[#This Row],[End Date]],"MMMM")</f>
        <v>October</v>
      </c>
      <c r="T451" s="34" t="str">
        <f>TEXT(Table1[[#This Row],[End Date]],"YYYY")</f>
        <v>2023</v>
      </c>
      <c r="U451" s="24">
        <f t="shared" ca="1" si="18"/>
        <v>-75</v>
      </c>
      <c r="V451" s="14" t="str" cm="1">
        <f t="array" aca="1" ref="V451" ca="1">_xlfn.IFS(Table1[[#This Row],[Agreement Days]]&gt;=0,"Expired",Table1[[#This Row],[Agreement Days]]&gt;=-30,"Expires &lt; 30 Days",Table1[[#This Row],[Agreement Days]]&gt;=-60,"Expires &lt; 60 Days",Table1[[#This Row],[Agreement Days]]&lt;-60,"Valid Contract")</f>
        <v>Valid Contract</v>
      </c>
      <c r="W451" s="18" t="s">
        <v>21</v>
      </c>
      <c r="X451" s="18" t="s">
        <v>1293</v>
      </c>
      <c r="Y451" s="42" t="s">
        <v>1294</v>
      </c>
      <c r="Z451" s="27">
        <v>788484961</v>
      </c>
      <c r="AA451" s="19"/>
      <c r="AB451" s="116"/>
      <c r="AC451" s="116"/>
    </row>
    <row r="452" spans="1:29" hidden="1" x14ac:dyDescent="0.3">
      <c r="A452" s="18" t="s">
        <v>1290</v>
      </c>
      <c r="B452" s="18" t="s">
        <v>125</v>
      </c>
      <c r="C452" s="18" t="s">
        <v>1358</v>
      </c>
      <c r="D452" s="14" t="s">
        <v>739</v>
      </c>
      <c r="E452" s="18" t="s">
        <v>10</v>
      </c>
      <c r="F452" s="14" t="s">
        <v>631</v>
      </c>
      <c r="G452" s="14" t="s">
        <v>546</v>
      </c>
      <c r="H452" s="18" t="s">
        <v>2</v>
      </c>
      <c r="I452" s="14" t="s">
        <v>126</v>
      </c>
      <c r="J452" s="14">
        <v>100</v>
      </c>
      <c r="K452" s="18" t="s">
        <v>1345</v>
      </c>
      <c r="L452" s="14"/>
      <c r="M452" s="14">
        <v>1</v>
      </c>
      <c r="N452" s="15">
        <v>775424</v>
      </c>
      <c r="O452" s="15">
        <f t="shared" si="17"/>
        <v>775424</v>
      </c>
      <c r="P452" s="15"/>
      <c r="Q452" s="14" t="s">
        <v>520</v>
      </c>
      <c r="R452" s="25">
        <v>45208</v>
      </c>
      <c r="S452" s="22" t="str">
        <f>TEXT(Table1[[#This Row],[End Date]],"MMMM")</f>
        <v>October</v>
      </c>
      <c r="T452" s="34" t="str">
        <f>TEXT(Table1[[#This Row],[End Date]],"YYYY")</f>
        <v>2023</v>
      </c>
      <c r="U452" s="24">
        <f t="shared" ca="1" si="18"/>
        <v>-75</v>
      </c>
      <c r="V452" s="14" t="str" cm="1">
        <f t="array" aca="1" ref="V452" ca="1">_xlfn.IFS(Table1[[#This Row],[Agreement Days]]&gt;=0,"Expired",Table1[[#This Row],[Agreement Days]]&gt;=-30,"Expires &lt; 30 Days",Table1[[#This Row],[Agreement Days]]&gt;=-60,"Expires &lt; 60 Days",Table1[[#This Row],[Agreement Days]]&lt;-60,"Valid Contract")</f>
        <v>Valid Contract</v>
      </c>
      <c r="W452" s="18" t="s">
        <v>21</v>
      </c>
      <c r="X452" s="18" t="s">
        <v>1293</v>
      </c>
      <c r="Y452" s="42" t="s">
        <v>1294</v>
      </c>
      <c r="Z452" s="27">
        <v>788484961</v>
      </c>
      <c r="AA452" s="19"/>
      <c r="AB452" s="116"/>
      <c r="AC452" s="116"/>
    </row>
    <row r="453" spans="1:29" hidden="1" x14ac:dyDescent="0.3">
      <c r="A453" s="18" t="s">
        <v>1359</v>
      </c>
      <c r="B453" s="18" t="s">
        <v>223</v>
      </c>
      <c r="C453" s="18" t="s">
        <v>669</v>
      </c>
      <c r="D453" s="14" t="s">
        <v>653</v>
      </c>
      <c r="E453" s="18" t="s">
        <v>9</v>
      </c>
      <c r="F453" s="14" t="s">
        <v>517</v>
      </c>
      <c r="G453" s="14" t="s">
        <v>518</v>
      </c>
      <c r="H453" s="18" t="s">
        <v>5</v>
      </c>
      <c r="I453" s="14" t="s">
        <v>117</v>
      </c>
      <c r="J453" s="19">
        <v>10</v>
      </c>
      <c r="K453" s="26" t="s">
        <v>547</v>
      </c>
      <c r="L453" s="26"/>
      <c r="M453" s="19">
        <v>1</v>
      </c>
      <c r="N453" s="15">
        <v>510000</v>
      </c>
      <c r="O453" s="15">
        <f t="shared" si="17"/>
        <v>510000</v>
      </c>
      <c r="P453" s="15"/>
      <c r="Q453" s="14" t="s">
        <v>520</v>
      </c>
      <c r="R453" s="25">
        <v>45210</v>
      </c>
      <c r="S453" s="34" t="str">
        <f>TEXT(Table1[[#This Row],[End Date]],"MMMM")</f>
        <v>October</v>
      </c>
      <c r="T453" s="34" t="str">
        <f>TEXT(Table1[[#This Row],[End Date]],"YYYY")</f>
        <v>2023</v>
      </c>
      <c r="U453" s="24">
        <f t="shared" ca="1" si="18"/>
        <v>-77</v>
      </c>
      <c r="V453" s="14" t="str" cm="1">
        <f t="array" aca="1" ref="V453" ca="1">_xlfn.IFS(Table1[[#This Row],[Agreement Days]]&gt;=0,"Expired",Table1[[#This Row],[Agreement Days]]&gt;=-30,"Expires &lt; 30 Days",Table1[[#This Row],[Agreement Days]]&gt;=-60,"Expires &lt; 60 Days",Table1[[#This Row],[Agreement Days]]&lt;-60,"Valid Contract")</f>
        <v>Valid Contract</v>
      </c>
      <c r="W453" s="26" t="s">
        <v>17</v>
      </c>
      <c r="X453" s="61" t="s">
        <v>1360</v>
      </c>
      <c r="Y453" s="35" t="s">
        <v>1361</v>
      </c>
      <c r="Z453" s="27">
        <v>788866205</v>
      </c>
      <c r="AA453" s="27"/>
      <c r="AB453" s="116"/>
      <c r="AC453" s="116"/>
    </row>
    <row r="454" spans="1:29" hidden="1" x14ac:dyDescent="0.3">
      <c r="A454" s="18" t="s">
        <v>1359</v>
      </c>
      <c r="B454" s="18" t="s">
        <v>223</v>
      </c>
      <c r="C454" s="18" t="s">
        <v>544</v>
      </c>
      <c r="D454" s="14" t="s">
        <v>653</v>
      </c>
      <c r="E454" s="18" t="s">
        <v>9</v>
      </c>
      <c r="F454" s="14" t="s">
        <v>517</v>
      </c>
      <c r="G454" s="14" t="s">
        <v>518</v>
      </c>
      <c r="H454" s="18" t="s">
        <v>5</v>
      </c>
      <c r="I454" s="14" t="s">
        <v>117</v>
      </c>
      <c r="J454" s="19">
        <v>20</v>
      </c>
      <c r="K454" s="26" t="s">
        <v>689</v>
      </c>
      <c r="L454" s="26"/>
      <c r="M454" s="19">
        <v>1</v>
      </c>
      <c r="N454" s="15">
        <v>900000</v>
      </c>
      <c r="O454" s="15">
        <f t="shared" si="17"/>
        <v>900000</v>
      </c>
      <c r="P454" s="15"/>
      <c r="Q454" s="14" t="s">
        <v>520</v>
      </c>
      <c r="R454" s="25">
        <v>45210</v>
      </c>
      <c r="S454" s="34" t="str">
        <f>TEXT(Table1[[#This Row],[End Date]],"MMMM")</f>
        <v>October</v>
      </c>
      <c r="T454" s="34" t="str">
        <f>TEXT(Table1[[#This Row],[End Date]],"YYYY")</f>
        <v>2023</v>
      </c>
      <c r="U454" s="24">
        <f t="shared" ca="1" si="18"/>
        <v>-77</v>
      </c>
      <c r="V454" s="14" t="str" cm="1">
        <f t="array" aca="1" ref="V454" ca="1">_xlfn.IFS(Table1[[#This Row],[Agreement Days]]&gt;=0,"Expired",Table1[[#This Row],[Agreement Days]]&gt;=-30,"Expires &lt; 30 Days",Table1[[#This Row],[Agreement Days]]&gt;=-60,"Expires &lt; 60 Days",Table1[[#This Row],[Agreement Days]]&lt;-60,"Valid Contract")</f>
        <v>Valid Contract</v>
      </c>
      <c r="W454" s="26" t="s">
        <v>17</v>
      </c>
      <c r="X454" s="61" t="s">
        <v>1360</v>
      </c>
      <c r="Y454" s="35" t="s">
        <v>1361</v>
      </c>
      <c r="Z454" s="27">
        <v>788866205</v>
      </c>
      <c r="AA454" s="27"/>
      <c r="AB454" s="116"/>
      <c r="AC454" s="116"/>
    </row>
    <row r="455" spans="1:29" hidden="1" x14ac:dyDescent="0.3">
      <c r="A455" s="18" t="s">
        <v>1359</v>
      </c>
      <c r="B455" s="18" t="s">
        <v>223</v>
      </c>
      <c r="C455" s="18" t="s">
        <v>544</v>
      </c>
      <c r="D455" s="14" t="s">
        <v>653</v>
      </c>
      <c r="E455" s="18" t="s">
        <v>9</v>
      </c>
      <c r="F455" s="14" t="s">
        <v>517</v>
      </c>
      <c r="G455" s="14" t="s">
        <v>518</v>
      </c>
      <c r="H455" s="18" t="s">
        <v>5</v>
      </c>
      <c r="I455" s="14" t="s">
        <v>115</v>
      </c>
      <c r="J455" s="26"/>
      <c r="K455" s="14" t="s">
        <v>722</v>
      </c>
      <c r="L455" s="26"/>
      <c r="M455" s="19">
        <v>2</v>
      </c>
      <c r="N455" s="15">
        <v>77711.86</v>
      </c>
      <c r="O455" s="15">
        <f t="shared" ref="O455:O518" si="19">N455*M455</f>
        <v>155423.72</v>
      </c>
      <c r="P455" s="15"/>
      <c r="Q455" s="14" t="s">
        <v>520</v>
      </c>
      <c r="R455" s="25">
        <v>45210</v>
      </c>
      <c r="S455" s="34" t="str">
        <f>TEXT(Table1[[#This Row],[End Date]],"MMMM")</f>
        <v>October</v>
      </c>
      <c r="T455" s="34" t="str">
        <f>TEXT(Table1[[#This Row],[End Date]],"YYYY")</f>
        <v>2023</v>
      </c>
      <c r="U455" s="24">
        <f t="shared" ref="U455:U518" ca="1" si="20">TODAY()-R455</f>
        <v>-77</v>
      </c>
      <c r="V455" s="14" t="str" cm="1">
        <f t="array" aca="1" ref="V455" ca="1">_xlfn.IFS(Table1[[#This Row],[Agreement Days]]&gt;=0,"Expired",Table1[[#This Row],[Agreement Days]]&gt;=-30,"Expires &lt; 30 Days",Table1[[#This Row],[Agreement Days]]&gt;=-60,"Expires &lt; 60 Days",Table1[[#This Row],[Agreement Days]]&lt;-60,"Valid Contract")</f>
        <v>Valid Contract</v>
      </c>
      <c r="W455" s="26" t="s">
        <v>17</v>
      </c>
      <c r="X455" s="61" t="s">
        <v>1360</v>
      </c>
      <c r="Y455" s="35" t="s">
        <v>1361</v>
      </c>
      <c r="Z455" s="27">
        <v>788866205</v>
      </c>
      <c r="AA455" s="27"/>
      <c r="AB455" s="116"/>
      <c r="AC455" s="116"/>
    </row>
    <row r="456" spans="1:29" hidden="1" x14ac:dyDescent="0.3">
      <c r="A456" s="18" t="s">
        <v>1359</v>
      </c>
      <c r="B456" s="18" t="s">
        <v>223</v>
      </c>
      <c r="C456" s="18" t="s">
        <v>544</v>
      </c>
      <c r="D456" s="14" t="s">
        <v>653</v>
      </c>
      <c r="E456" s="18" t="s">
        <v>9</v>
      </c>
      <c r="F456" s="14" t="s">
        <v>517</v>
      </c>
      <c r="G456" s="14" t="s">
        <v>518</v>
      </c>
      <c r="H456" s="18" t="s">
        <v>4</v>
      </c>
      <c r="I456" s="14" t="s">
        <v>118</v>
      </c>
      <c r="J456" s="26"/>
      <c r="K456" s="26" t="s">
        <v>594</v>
      </c>
      <c r="L456" s="26"/>
      <c r="M456" s="19">
        <v>2</v>
      </c>
      <c r="N456" s="15">
        <v>86129.66</v>
      </c>
      <c r="O456" s="15">
        <f t="shared" si="19"/>
        <v>172259.32</v>
      </c>
      <c r="P456" s="15"/>
      <c r="Q456" s="14" t="s">
        <v>520</v>
      </c>
      <c r="R456" s="25">
        <v>45210</v>
      </c>
      <c r="S456" s="34" t="str">
        <f>TEXT(Table1[[#This Row],[End Date]],"MMMM")</f>
        <v>October</v>
      </c>
      <c r="T456" s="34" t="str">
        <f>TEXT(Table1[[#This Row],[End Date]],"YYYY")</f>
        <v>2023</v>
      </c>
      <c r="U456" s="24">
        <f t="shared" ca="1" si="20"/>
        <v>-77</v>
      </c>
      <c r="V456" s="14" t="str" cm="1">
        <f t="array" aca="1" ref="V456" ca="1">_xlfn.IFS(Table1[[#This Row],[Agreement Days]]&gt;=0,"Expired",Table1[[#This Row],[Agreement Days]]&gt;=-30,"Expires &lt; 30 Days",Table1[[#This Row],[Agreement Days]]&gt;=-60,"Expires &lt; 60 Days",Table1[[#This Row],[Agreement Days]]&lt;-60,"Valid Contract")</f>
        <v>Valid Contract</v>
      </c>
      <c r="W456" s="26" t="s">
        <v>17</v>
      </c>
      <c r="X456" s="61" t="s">
        <v>1360</v>
      </c>
      <c r="Y456" s="35" t="s">
        <v>1361</v>
      </c>
      <c r="Z456" s="27">
        <v>788866205</v>
      </c>
      <c r="AA456" s="27"/>
      <c r="AB456" s="116"/>
      <c r="AC456" s="116"/>
    </row>
    <row r="457" spans="1:29" hidden="1" x14ac:dyDescent="0.3">
      <c r="A457" s="18" t="s">
        <v>1362</v>
      </c>
      <c r="B457" s="18" t="s">
        <v>293</v>
      </c>
      <c r="C457" s="18" t="s">
        <v>293</v>
      </c>
      <c r="D457" s="14" t="s">
        <v>545</v>
      </c>
      <c r="E457" s="18" t="s">
        <v>9</v>
      </c>
      <c r="F457" s="14" t="s">
        <v>517</v>
      </c>
      <c r="G457" s="14" t="s">
        <v>518</v>
      </c>
      <c r="H457" s="18" t="s">
        <v>2</v>
      </c>
      <c r="I457" s="14" t="s">
        <v>117</v>
      </c>
      <c r="J457" s="14">
        <v>40</v>
      </c>
      <c r="K457" s="14" t="s">
        <v>962</v>
      </c>
      <c r="L457" s="14"/>
      <c r="M457" s="14">
        <v>1</v>
      </c>
      <c r="N457" s="15">
        <v>1530000</v>
      </c>
      <c r="O457" s="15">
        <f t="shared" si="19"/>
        <v>1530000</v>
      </c>
      <c r="P457" s="15"/>
      <c r="Q457" s="14" t="s">
        <v>520</v>
      </c>
      <c r="R457" s="32">
        <v>45219</v>
      </c>
      <c r="S457" s="22" t="str">
        <f>TEXT(Table1[[#This Row],[End Date]],"MMMM")</f>
        <v>October</v>
      </c>
      <c r="T457" s="22" t="str">
        <f>TEXT(Table1[[#This Row],[End Date]],"YYYY")</f>
        <v>2023</v>
      </c>
      <c r="U457" s="24">
        <f t="shared" ca="1" si="20"/>
        <v>-86</v>
      </c>
      <c r="V457" s="14" t="str" cm="1">
        <f t="array" aca="1" ref="V457" ca="1">_xlfn.IFS(Table1[[#This Row],[Agreement Days]]&gt;=0,"Expired",Table1[[#This Row],[Agreement Days]]&gt;=-30,"Expires &lt; 30 Days",Table1[[#This Row],[Agreement Days]]&gt;=-60,"Expires &lt; 60 Days",Table1[[#This Row],[Agreement Days]]&lt;-60,"Valid Contract")</f>
        <v>Valid Contract</v>
      </c>
      <c r="W457" s="14" t="s">
        <v>20</v>
      </c>
      <c r="X457" s="14" t="s">
        <v>1363</v>
      </c>
      <c r="Y457" s="16" t="s">
        <v>1364</v>
      </c>
      <c r="Z457" s="17" t="s">
        <v>1365</v>
      </c>
      <c r="AA457" s="19"/>
      <c r="AB457" s="116"/>
      <c r="AC457" s="116"/>
    </row>
    <row r="458" spans="1:29" hidden="1" x14ac:dyDescent="0.3">
      <c r="A458" s="18" t="s">
        <v>1366</v>
      </c>
      <c r="B458" s="18" t="s">
        <v>166</v>
      </c>
      <c r="C458" s="18" t="s">
        <v>1367</v>
      </c>
      <c r="D458" s="14" t="s">
        <v>739</v>
      </c>
      <c r="E458" s="18" t="s">
        <v>9</v>
      </c>
      <c r="F458" s="14" t="s">
        <v>517</v>
      </c>
      <c r="G458" s="14" t="s">
        <v>518</v>
      </c>
      <c r="H458" s="18" t="s">
        <v>5</v>
      </c>
      <c r="I458" s="14" t="s">
        <v>117</v>
      </c>
      <c r="J458" s="14">
        <v>5</v>
      </c>
      <c r="K458" s="14" t="s">
        <v>519</v>
      </c>
      <c r="L458" s="14"/>
      <c r="M458" s="14">
        <v>1</v>
      </c>
      <c r="N458" s="15">
        <v>270000</v>
      </c>
      <c r="O458" s="15">
        <f t="shared" si="19"/>
        <v>270000</v>
      </c>
      <c r="P458" s="15"/>
      <c r="Q458" s="14" t="s">
        <v>520</v>
      </c>
      <c r="R458" s="25">
        <v>45222</v>
      </c>
      <c r="S458" s="22" t="str">
        <f>TEXT(Table1[[#This Row],[End Date]],"MMMM")</f>
        <v>October</v>
      </c>
      <c r="T458" s="23" t="str">
        <f>TEXT(Table1[[#This Row],[End Date]],"YYYY")</f>
        <v>2023</v>
      </c>
      <c r="U458" s="24">
        <f t="shared" ca="1" si="20"/>
        <v>-89</v>
      </c>
      <c r="V458" s="14" t="str" cm="1">
        <f t="array" aca="1" ref="V458" ca="1">_xlfn.IFS(Table1[[#This Row],[Agreement Days]]&gt;=0,"Expired",Table1[[#This Row],[Agreement Days]]&gt;=-30,"Expires &lt; 30 Days",Table1[[#This Row],[Agreement Days]]&gt;=-60,"Expires &lt; 60 Days",Table1[[#This Row],[Agreement Days]]&lt;-60,"Valid Contract")</f>
        <v>Valid Contract</v>
      </c>
      <c r="W458" s="14" t="s">
        <v>20</v>
      </c>
      <c r="X458" s="26" t="s">
        <v>1368</v>
      </c>
      <c r="Y458" s="45" t="s">
        <v>1369</v>
      </c>
      <c r="Z458" s="17" t="s">
        <v>1370</v>
      </c>
      <c r="AA458" s="19"/>
      <c r="AB458" s="116"/>
      <c r="AC458" s="116"/>
    </row>
    <row r="459" spans="1:29" hidden="1" x14ac:dyDescent="0.3">
      <c r="A459" s="18" t="s">
        <v>1366</v>
      </c>
      <c r="B459" s="18" t="s">
        <v>166</v>
      </c>
      <c r="C459" s="18" t="s">
        <v>1371</v>
      </c>
      <c r="D459" s="14" t="s">
        <v>532</v>
      </c>
      <c r="E459" s="18" t="s">
        <v>9</v>
      </c>
      <c r="F459" s="14" t="s">
        <v>517</v>
      </c>
      <c r="G459" s="14" t="s">
        <v>518</v>
      </c>
      <c r="H459" s="18" t="s">
        <v>5</v>
      </c>
      <c r="I459" s="14" t="s">
        <v>117</v>
      </c>
      <c r="J459" s="14">
        <v>5</v>
      </c>
      <c r="K459" s="20" t="s">
        <v>519</v>
      </c>
      <c r="L459" s="14"/>
      <c r="M459" s="14">
        <v>1</v>
      </c>
      <c r="N459" s="15">
        <v>270000</v>
      </c>
      <c r="O459" s="15">
        <f t="shared" si="19"/>
        <v>270000</v>
      </c>
      <c r="P459" s="15"/>
      <c r="Q459" s="14" t="s">
        <v>520</v>
      </c>
      <c r="R459" s="25">
        <v>45222</v>
      </c>
      <c r="S459" s="22" t="str">
        <f>TEXT(Table1[[#This Row],[End Date]],"MMMM")</f>
        <v>October</v>
      </c>
      <c r="T459" s="23" t="str">
        <f>TEXT(Table1[[#This Row],[End Date]],"YYYY")</f>
        <v>2023</v>
      </c>
      <c r="U459" s="24">
        <f t="shared" ca="1" si="20"/>
        <v>-89</v>
      </c>
      <c r="V459" s="14" t="str" cm="1">
        <f t="array" aca="1" ref="V459" ca="1">_xlfn.IFS(Table1[[#This Row],[Agreement Days]]&gt;=0,"Expired",Table1[[#This Row],[Agreement Days]]&gt;=-30,"Expires &lt; 30 Days",Table1[[#This Row],[Agreement Days]]&gt;=-60,"Expires &lt; 60 Days",Table1[[#This Row],[Agreement Days]]&lt;-60,"Valid Contract")</f>
        <v>Valid Contract</v>
      </c>
      <c r="W459" s="14" t="s">
        <v>20</v>
      </c>
      <c r="X459" s="26" t="s">
        <v>1368</v>
      </c>
      <c r="Y459" s="14" t="s">
        <v>1369</v>
      </c>
      <c r="Z459" s="17" t="s">
        <v>1370</v>
      </c>
      <c r="AA459" s="19"/>
      <c r="AB459" s="116"/>
      <c r="AC459" s="116"/>
    </row>
    <row r="460" spans="1:29" hidden="1" x14ac:dyDescent="0.3">
      <c r="A460" s="18" t="s">
        <v>1366</v>
      </c>
      <c r="B460" s="18" t="s">
        <v>166</v>
      </c>
      <c r="C460" s="18" t="s">
        <v>1372</v>
      </c>
      <c r="D460" s="14" t="s">
        <v>761</v>
      </c>
      <c r="E460" s="18" t="s">
        <v>9</v>
      </c>
      <c r="F460" s="14" t="s">
        <v>517</v>
      </c>
      <c r="G460" s="14" t="s">
        <v>518</v>
      </c>
      <c r="H460" s="18" t="s">
        <v>5</v>
      </c>
      <c r="I460" s="14" t="s">
        <v>117</v>
      </c>
      <c r="J460" s="14">
        <v>5</v>
      </c>
      <c r="K460" s="20" t="s">
        <v>519</v>
      </c>
      <c r="L460" s="14"/>
      <c r="M460" s="14">
        <v>1</v>
      </c>
      <c r="N460" s="15">
        <v>270000</v>
      </c>
      <c r="O460" s="15">
        <f t="shared" si="19"/>
        <v>270000</v>
      </c>
      <c r="P460" s="15"/>
      <c r="Q460" s="14" t="s">
        <v>520</v>
      </c>
      <c r="R460" s="25">
        <v>45222</v>
      </c>
      <c r="S460" s="22" t="str">
        <f>TEXT(Table1[[#This Row],[End Date]],"MMMM")</f>
        <v>October</v>
      </c>
      <c r="T460" s="23" t="str">
        <f>TEXT(Table1[[#This Row],[End Date]],"YYYY")</f>
        <v>2023</v>
      </c>
      <c r="U460" s="24">
        <f t="shared" ca="1" si="20"/>
        <v>-89</v>
      </c>
      <c r="V460" s="14" t="str" cm="1">
        <f t="array" aca="1" ref="V460" ca="1">_xlfn.IFS(Table1[[#This Row],[Agreement Days]]&gt;=0,"Expired",Table1[[#This Row],[Agreement Days]]&gt;=-30,"Expires &lt; 30 Days",Table1[[#This Row],[Agreement Days]]&gt;=-60,"Expires &lt; 60 Days",Table1[[#This Row],[Agreement Days]]&lt;-60,"Valid Contract")</f>
        <v>Valid Contract</v>
      </c>
      <c r="W460" s="14" t="s">
        <v>20</v>
      </c>
      <c r="X460" s="26" t="s">
        <v>1368</v>
      </c>
      <c r="Y460" s="14" t="s">
        <v>1369</v>
      </c>
      <c r="Z460" s="17" t="s">
        <v>1370</v>
      </c>
      <c r="AA460" s="19"/>
      <c r="AB460" s="116"/>
      <c r="AC460" s="116"/>
    </row>
    <row r="461" spans="1:29" hidden="1" x14ac:dyDescent="0.3">
      <c r="A461" s="18" t="s">
        <v>1366</v>
      </c>
      <c r="B461" s="18" t="s">
        <v>166</v>
      </c>
      <c r="C461" s="18" t="s">
        <v>1373</v>
      </c>
      <c r="D461" s="14" t="s">
        <v>735</v>
      </c>
      <c r="E461" s="18" t="s">
        <v>9</v>
      </c>
      <c r="F461" s="14" t="s">
        <v>517</v>
      </c>
      <c r="G461" s="14" t="s">
        <v>518</v>
      </c>
      <c r="H461" s="18" t="s">
        <v>5</v>
      </c>
      <c r="I461" s="14" t="s">
        <v>117</v>
      </c>
      <c r="J461" s="14">
        <v>5</v>
      </c>
      <c r="K461" s="20" t="s">
        <v>519</v>
      </c>
      <c r="L461" s="14"/>
      <c r="M461" s="14">
        <v>1</v>
      </c>
      <c r="N461" s="15">
        <v>270000</v>
      </c>
      <c r="O461" s="15">
        <f t="shared" si="19"/>
        <v>270000</v>
      </c>
      <c r="P461" s="15"/>
      <c r="Q461" s="14" t="s">
        <v>520</v>
      </c>
      <c r="R461" s="25">
        <v>45222</v>
      </c>
      <c r="S461" s="22" t="str">
        <f>TEXT(Table1[[#This Row],[End Date]],"MMMM")</f>
        <v>October</v>
      </c>
      <c r="T461" s="23" t="str">
        <f>TEXT(Table1[[#This Row],[End Date]],"YYYY")</f>
        <v>2023</v>
      </c>
      <c r="U461" s="24">
        <f t="shared" ca="1" si="20"/>
        <v>-89</v>
      </c>
      <c r="V461" s="14" t="str" cm="1">
        <f t="array" aca="1" ref="V461" ca="1">_xlfn.IFS(Table1[[#This Row],[Agreement Days]]&gt;=0,"Expired",Table1[[#This Row],[Agreement Days]]&gt;=-30,"Expires &lt; 30 Days",Table1[[#This Row],[Agreement Days]]&gt;=-60,"Expires &lt; 60 Days",Table1[[#This Row],[Agreement Days]]&lt;-60,"Valid Contract")</f>
        <v>Valid Contract</v>
      </c>
      <c r="W461" s="14" t="s">
        <v>20</v>
      </c>
      <c r="X461" s="26" t="s">
        <v>1368</v>
      </c>
      <c r="Y461" s="14" t="s">
        <v>1369</v>
      </c>
      <c r="Z461" s="17" t="s">
        <v>1370</v>
      </c>
      <c r="AA461" s="19"/>
      <c r="AB461" s="116"/>
      <c r="AC461" s="116"/>
    </row>
    <row r="462" spans="1:29" hidden="1" x14ac:dyDescent="0.3">
      <c r="A462" s="18" t="s">
        <v>1366</v>
      </c>
      <c r="B462" s="18" t="s">
        <v>166</v>
      </c>
      <c r="C462" s="18" t="s">
        <v>1374</v>
      </c>
      <c r="D462" s="14" t="s">
        <v>946</v>
      </c>
      <c r="E462" s="18" t="s">
        <v>9</v>
      </c>
      <c r="F462" s="14" t="s">
        <v>517</v>
      </c>
      <c r="G462" s="14" t="s">
        <v>518</v>
      </c>
      <c r="H462" s="18" t="s">
        <v>5</v>
      </c>
      <c r="I462" s="14" t="s">
        <v>117</v>
      </c>
      <c r="J462" s="14">
        <v>5</v>
      </c>
      <c r="K462" s="20" t="s">
        <v>519</v>
      </c>
      <c r="L462" s="14"/>
      <c r="M462" s="14">
        <v>1</v>
      </c>
      <c r="N462" s="15">
        <v>270000</v>
      </c>
      <c r="O462" s="15">
        <f t="shared" si="19"/>
        <v>270000</v>
      </c>
      <c r="P462" s="15"/>
      <c r="Q462" s="14" t="s">
        <v>520</v>
      </c>
      <c r="R462" s="25">
        <v>45222</v>
      </c>
      <c r="S462" s="22" t="str">
        <f>TEXT(Table1[[#This Row],[End Date]],"MMMM")</f>
        <v>October</v>
      </c>
      <c r="T462" s="23" t="str">
        <f>TEXT(Table1[[#This Row],[End Date]],"YYYY")</f>
        <v>2023</v>
      </c>
      <c r="U462" s="24">
        <f t="shared" ca="1" si="20"/>
        <v>-89</v>
      </c>
      <c r="V462" s="14" t="str" cm="1">
        <f t="array" aca="1" ref="V462" ca="1">_xlfn.IFS(Table1[[#This Row],[Agreement Days]]&gt;=0,"Expired",Table1[[#This Row],[Agreement Days]]&gt;=-30,"Expires &lt; 30 Days",Table1[[#This Row],[Agreement Days]]&gt;=-60,"Expires &lt; 60 Days",Table1[[#This Row],[Agreement Days]]&lt;-60,"Valid Contract")</f>
        <v>Valid Contract</v>
      </c>
      <c r="W462" s="14" t="s">
        <v>20</v>
      </c>
      <c r="X462" s="26" t="s">
        <v>1368</v>
      </c>
      <c r="Y462" s="14" t="s">
        <v>1369</v>
      </c>
      <c r="Z462" s="17" t="s">
        <v>1370</v>
      </c>
      <c r="AA462" s="19"/>
      <c r="AB462" s="116"/>
      <c r="AC462" s="116"/>
    </row>
    <row r="463" spans="1:29" hidden="1" x14ac:dyDescent="0.3">
      <c r="A463" s="18" t="s">
        <v>1366</v>
      </c>
      <c r="B463" s="18" t="s">
        <v>166</v>
      </c>
      <c r="C463" s="18" t="s">
        <v>1375</v>
      </c>
      <c r="D463" s="14" t="s">
        <v>946</v>
      </c>
      <c r="E463" s="18" t="s">
        <v>9</v>
      </c>
      <c r="F463" s="14" t="s">
        <v>517</v>
      </c>
      <c r="G463" s="14" t="s">
        <v>518</v>
      </c>
      <c r="H463" s="18" t="s">
        <v>5</v>
      </c>
      <c r="I463" s="14" t="s">
        <v>117</v>
      </c>
      <c r="J463" s="14">
        <v>5</v>
      </c>
      <c r="K463" s="20" t="s">
        <v>519</v>
      </c>
      <c r="L463" s="14"/>
      <c r="M463" s="14">
        <v>1</v>
      </c>
      <c r="N463" s="15">
        <v>270000</v>
      </c>
      <c r="O463" s="15">
        <f t="shared" si="19"/>
        <v>270000</v>
      </c>
      <c r="P463" s="15"/>
      <c r="Q463" s="14" t="s">
        <v>520</v>
      </c>
      <c r="R463" s="25">
        <v>45222</v>
      </c>
      <c r="S463" s="22" t="str">
        <f>TEXT(Table1[[#This Row],[End Date]],"MMMM")</f>
        <v>October</v>
      </c>
      <c r="T463" s="23" t="str">
        <f>TEXT(Table1[[#This Row],[End Date]],"YYYY")</f>
        <v>2023</v>
      </c>
      <c r="U463" s="24">
        <f t="shared" ca="1" si="20"/>
        <v>-89</v>
      </c>
      <c r="V463" s="14" t="str" cm="1">
        <f t="array" aca="1" ref="V463" ca="1">_xlfn.IFS(Table1[[#This Row],[Agreement Days]]&gt;=0,"Expired",Table1[[#This Row],[Agreement Days]]&gt;=-30,"Expires &lt; 30 Days",Table1[[#This Row],[Agreement Days]]&gt;=-60,"Expires &lt; 60 Days",Table1[[#This Row],[Agreement Days]]&lt;-60,"Valid Contract")</f>
        <v>Valid Contract</v>
      </c>
      <c r="W463" s="14" t="s">
        <v>20</v>
      </c>
      <c r="X463" s="26" t="s">
        <v>1368</v>
      </c>
      <c r="Y463" s="14" t="s">
        <v>1369</v>
      </c>
      <c r="Z463" s="17" t="s">
        <v>1370</v>
      </c>
      <c r="AA463" s="19"/>
      <c r="AB463" s="116"/>
      <c r="AC463" s="116"/>
    </row>
    <row r="464" spans="1:29" hidden="1" x14ac:dyDescent="0.3">
      <c r="A464" s="18" t="s">
        <v>1366</v>
      </c>
      <c r="B464" s="18" t="s">
        <v>166</v>
      </c>
      <c r="C464" s="18" t="s">
        <v>1376</v>
      </c>
      <c r="D464" s="14" t="s">
        <v>769</v>
      </c>
      <c r="E464" s="18" t="s">
        <v>9</v>
      </c>
      <c r="F464" s="14" t="s">
        <v>517</v>
      </c>
      <c r="G464" s="14" t="s">
        <v>518</v>
      </c>
      <c r="H464" s="18" t="s">
        <v>5</v>
      </c>
      <c r="I464" s="14" t="s">
        <v>117</v>
      </c>
      <c r="J464" s="14">
        <v>5</v>
      </c>
      <c r="K464" s="20" t="s">
        <v>519</v>
      </c>
      <c r="L464" s="14"/>
      <c r="M464" s="14">
        <v>1</v>
      </c>
      <c r="N464" s="15">
        <v>270000</v>
      </c>
      <c r="O464" s="15">
        <f t="shared" si="19"/>
        <v>270000</v>
      </c>
      <c r="P464" s="15"/>
      <c r="Q464" s="14" t="s">
        <v>520</v>
      </c>
      <c r="R464" s="25">
        <v>45222</v>
      </c>
      <c r="S464" s="22" t="str">
        <f>TEXT(Table1[[#This Row],[End Date]],"MMMM")</f>
        <v>October</v>
      </c>
      <c r="T464" s="23" t="str">
        <f>TEXT(Table1[[#This Row],[End Date]],"YYYY")</f>
        <v>2023</v>
      </c>
      <c r="U464" s="24">
        <f t="shared" ca="1" si="20"/>
        <v>-89</v>
      </c>
      <c r="V464" s="14" t="str" cm="1">
        <f t="array" aca="1" ref="V464" ca="1">_xlfn.IFS(Table1[[#This Row],[Agreement Days]]&gt;=0,"Expired",Table1[[#This Row],[Agreement Days]]&gt;=-30,"Expires &lt; 30 Days",Table1[[#This Row],[Agreement Days]]&gt;=-60,"Expires &lt; 60 Days",Table1[[#This Row],[Agreement Days]]&lt;-60,"Valid Contract")</f>
        <v>Valid Contract</v>
      </c>
      <c r="W464" s="14" t="s">
        <v>20</v>
      </c>
      <c r="X464" s="26" t="s">
        <v>1368</v>
      </c>
      <c r="Y464" s="14" t="s">
        <v>1369</v>
      </c>
      <c r="Z464" s="17" t="s">
        <v>1370</v>
      </c>
      <c r="AA464" s="19"/>
      <c r="AB464" s="116"/>
      <c r="AC464" s="116"/>
    </row>
    <row r="465" spans="1:29" hidden="1" x14ac:dyDescent="0.3">
      <c r="A465" s="18" t="s">
        <v>1366</v>
      </c>
      <c r="B465" s="18" t="s">
        <v>166</v>
      </c>
      <c r="C465" s="18" t="s">
        <v>1377</v>
      </c>
      <c r="D465" s="14" t="s">
        <v>739</v>
      </c>
      <c r="E465" s="18" t="s">
        <v>9</v>
      </c>
      <c r="F465" s="14" t="s">
        <v>517</v>
      </c>
      <c r="G465" s="14" t="s">
        <v>518</v>
      </c>
      <c r="H465" s="18" t="s">
        <v>5</v>
      </c>
      <c r="I465" s="14" t="s">
        <v>117</v>
      </c>
      <c r="J465" s="14">
        <v>10</v>
      </c>
      <c r="K465" s="14" t="s">
        <v>547</v>
      </c>
      <c r="L465" s="14"/>
      <c r="M465" s="14">
        <v>1</v>
      </c>
      <c r="N465" s="15">
        <v>510000</v>
      </c>
      <c r="O465" s="15">
        <f t="shared" si="19"/>
        <v>510000</v>
      </c>
      <c r="P465" s="15"/>
      <c r="Q465" s="14" t="s">
        <v>520</v>
      </c>
      <c r="R465" s="25">
        <v>45222</v>
      </c>
      <c r="S465" s="22" t="str">
        <f>TEXT(Table1[[#This Row],[End Date]],"MMMM")</f>
        <v>October</v>
      </c>
      <c r="T465" s="23" t="str">
        <f>TEXT(Table1[[#This Row],[End Date]],"YYYY")</f>
        <v>2023</v>
      </c>
      <c r="U465" s="24">
        <f t="shared" ca="1" si="20"/>
        <v>-89</v>
      </c>
      <c r="V465" s="14" t="str" cm="1">
        <f t="array" aca="1" ref="V465" ca="1">_xlfn.IFS(Table1[[#This Row],[Agreement Days]]&gt;=0,"Expired",Table1[[#This Row],[Agreement Days]]&gt;=-30,"Expires &lt; 30 Days",Table1[[#This Row],[Agreement Days]]&gt;=-60,"Expires &lt; 60 Days",Table1[[#This Row],[Agreement Days]]&lt;-60,"Valid Contract")</f>
        <v>Valid Contract</v>
      </c>
      <c r="W465" s="14" t="s">
        <v>20</v>
      </c>
      <c r="X465" s="26" t="s">
        <v>1368</v>
      </c>
      <c r="Y465" s="14" t="s">
        <v>1369</v>
      </c>
      <c r="Z465" s="17" t="s">
        <v>1370</v>
      </c>
      <c r="AA465" s="19"/>
      <c r="AB465" s="116"/>
      <c r="AC465" s="116"/>
    </row>
    <row r="466" spans="1:29" hidden="1" x14ac:dyDescent="0.3">
      <c r="A466" s="18" t="s">
        <v>1366</v>
      </c>
      <c r="B466" s="18" t="s">
        <v>166</v>
      </c>
      <c r="C466" s="18" t="s">
        <v>1378</v>
      </c>
      <c r="D466" s="14" t="s">
        <v>653</v>
      </c>
      <c r="E466" s="18" t="s">
        <v>9</v>
      </c>
      <c r="F466" s="14" t="s">
        <v>517</v>
      </c>
      <c r="G466" s="14" t="s">
        <v>518</v>
      </c>
      <c r="H466" s="18" t="s">
        <v>5</v>
      </c>
      <c r="I466" s="14" t="s">
        <v>117</v>
      </c>
      <c r="J466" s="14">
        <v>20</v>
      </c>
      <c r="K466" s="20" t="s">
        <v>689</v>
      </c>
      <c r="L466" s="14"/>
      <c r="M466" s="14">
        <v>1</v>
      </c>
      <c r="N466" s="15">
        <v>900000</v>
      </c>
      <c r="O466" s="15">
        <f t="shared" si="19"/>
        <v>900000</v>
      </c>
      <c r="P466" s="15"/>
      <c r="Q466" s="14" t="s">
        <v>520</v>
      </c>
      <c r="R466" s="25">
        <v>45222</v>
      </c>
      <c r="S466" s="22" t="str">
        <f>TEXT(Table1[[#This Row],[End Date]],"MMMM")</f>
        <v>October</v>
      </c>
      <c r="T466" s="23" t="str">
        <f>TEXT(Table1[[#This Row],[End Date]],"YYYY")</f>
        <v>2023</v>
      </c>
      <c r="U466" s="24">
        <f t="shared" ca="1" si="20"/>
        <v>-89</v>
      </c>
      <c r="V466" s="14" t="str" cm="1">
        <f t="array" aca="1" ref="V466" ca="1">_xlfn.IFS(Table1[[#This Row],[Agreement Days]]&gt;=0,"Expired",Table1[[#This Row],[Agreement Days]]&gt;=-30,"Expires &lt; 30 Days",Table1[[#This Row],[Agreement Days]]&gt;=-60,"Expires &lt; 60 Days",Table1[[#This Row],[Agreement Days]]&lt;-60,"Valid Contract")</f>
        <v>Valid Contract</v>
      </c>
      <c r="W466" s="14" t="s">
        <v>20</v>
      </c>
      <c r="X466" s="26" t="s">
        <v>1368</v>
      </c>
      <c r="Y466" s="14" t="s">
        <v>1369</v>
      </c>
      <c r="Z466" s="17" t="s">
        <v>1370</v>
      </c>
      <c r="AA466" s="19"/>
      <c r="AB466" s="116"/>
      <c r="AC466" s="116"/>
    </row>
    <row r="467" spans="1:29" hidden="1" x14ac:dyDescent="0.3">
      <c r="A467" s="18" t="s">
        <v>1366</v>
      </c>
      <c r="B467" s="18" t="s">
        <v>166</v>
      </c>
      <c r="C467" s="18" t="s">
        <v>1377</v>
      </c>
      <c r="D467" s="14" t="s">
        <v>739</v>
      </c>
      <c r="E467" s="18" t="s">
        <v>9</v>
      </c>
      <c r="F467" s="14" t="s">
        <v>517</v>
      </c>
      <c r="G467" s="14" t="s">
        <v>518</v>
      </c>
      <c r="H467" s="18" t="s">
        <v>4</v>
      </c>
      <c r="I467" s="14" t="s">
        <v>118</v>
      </c>
      <c r="J467" s="14"/>
      <c r="K467" s="14" t="s">
        <v>650</v>
      </c>
      <c r="L467" s="14"/>
      <c r="M467" s="14">
        <v>1</v>
      </c>
      <c r="N467" s="15">
        <v>369325.42</v>
      </c>
      <c r="O467" s="15">
        <f t="shared" si="19"/>
        <v>369325.42</v>
      </c>
      <c r="P467" s="15"/>
      <c r="Q467" s="14" t="s">
        <v>520</v>
      </c>
      <c r="R467" s="25">
        <v>45222</v>
      </c>
      <c r="S467" s="22" t="str">
        <f>TEXT(Table1[[#This Row],[End Date]],"MMMM")</f>
        <v>October</v>
      </c>
      <c r="T467" s="23" t="str">
        <f>TEXT(Table1[[#This Row],[End Date]],"YYYY")</f>
        <v>2023</v>
      </c>
      <c r="U467" s="24">
        <f t="shared" ca="1" si="20"/>
        <v>-89</v>
      </c>
      <c r="V467" s="14" t="str" cm="1">
        <f t="array" aca="1" ref="V467" ca="1">_xlfn.IFS(Table1[[#This Row],[Agreement Days]]&gt;=0,"Expired",Table1[[#This Row],[Agreement Days]]&gt;=-30,"Expires &lt; 30 Days",Table1[[#This Row],[Agreement Days]]&gt;=-60,"Expires &lt; 60 Days",Table1[[#This Row],[Agreement Days]]&lt;-60,"Valid Contract")</f>
        <v>Valid Contract</v>
      </c>
      <c r="W467" s="14" t="s">
        <v>20</v>
      </c>
      <c r="X467" s="26" t="s">
        <v>1368</v>
      </c>
      <c r="Y467" s="14" t="s">
        <v>1369</v>
      </c>
      <c r="Z467" s="17" t="s">
        <v>1370</v>
      </c>
      <c r="AA467" s="19"/>
      <c r="AB467" s="116"/>
      <c r="AC467" s="116"/>
    </row>
    <row r="468" spans="1:29" hidden="1" x14ac:dyDescent="0.3">
      <c r="A468" s="18" t="s">
        <v>1366</v>
      </c>
      <c r="B468" s="18" t="s">
        <v>166</v>
      </c>
      <c r="C468" s="18" t="s">
        <v>1371</v>
      </c>
      <c r="D468" s="14" t="s">
        <v>532</v>
      </c>
      <c r="E468" s="18" t="s">
        <v>9</v>
      </c>
      <c r="F468" s="14" t="s">
        <v>517</v>
      </c>
      <c r="G468" s="14" t="s">
        <v>518</v>
      </c>
      <c r="H468" s="18" t="s">
        <v>4</v>
      </c>
      <c r="I468" s="14" t="s">
        <v>118</v>
      </c>
      <c r="J468" s="14"/>
      <c r="K468" s="20" t="s">
        <v>594</v>
      </c>
      <c r="L468" s="14"/>
      <c r="M468" s="14">
        <v>1</v>
      </c>
      <c r="N468" s="15">
        <v>86130</v>
      </c>
      <c r="O468" s="15">
        <f t="shared" si="19"/>
        <v>86130</v>
      </c>
      <c r="P468" s="15"/>
      <c r="Q468" s="14" t="s">
        <v>520</v>
      </c>
      <c r="R468" s="25">
        <v>45222</v>
      </c>
      <c r="S468" s="22" t="str">
        <f>TEXT(Table1[[#This Row],[End Date]],"MMMM")</f>
        <v>October</v>
      </c>
      <c r="T468" s="23" t="str">
        <f>TEXT(Table1[[#This Row],[End Date]],"YYYY")</f>
        <v>2023</v>
      </c>
      <c r="U468" s="24">
        <f t="shared" ca="1" si="20"/>
        <v>-89</v>
      </c>
      <c r="V468" s="14" t="str" cm="1">
        <f t="array" aca="1" ref="V468" ca="1">_xlfn.IFS(Table1[[#This Row],[Agreement Days]]&gt;=0,"Expired",Table1[[#This Row],[Agreement Days]]&gt;=-30,"Expires &lt; 30 Days",Table1[[#This Row],[Agreement Days]]&gt;=-60,"Expires &lt; 60 Days",Table1[[#This Row],[Agreement Days]]&lt;-60,"Valid Contract")</f>
        <v>Valid Contract</v>
      </c>
      <c r="W468" s="14" t="s">
        <v>20</v>
      </c>
      <c r="X468" s="26" t="s">
        <v>1368</v>
      </c>
      <c r="Y468" s="14" t="s">
        <v>1369</v>
      </c>
      <c r="Z468" s="17" t="s">
        <v>1370</v>
      </c>
      <c r="AA468" s="19"/>
      <c r="AB468" s="116"/>
      <c r="AC468" s="116"/>
    </row>
    <row r="469" spans="1:29" hidden="1" x14ac:dyDescent="0.3">
      <c r="A469" s="18" t="s">
        <v>1366</v>
      </c>
      <c r="B469" s="18" t="s">
        <v>166</v>
      </c>
      <c r="C469" s="18" t="s">
        <v>1372</v>
      </c>
      <c r="D469" s="14" t="s">
        <v>761</v>
      </c>
      <c r="E469" s="18" t="s">
        <v>9</v>
      </c>
      <c r="F469" s="14" t="s">
        <v>517</v>
      </c>
      <c r="G469" s="14" t="s">
        <v>518</v>
      </c>
      <c r="H469" s="18" t="s">
        <v>4</v>
      </c>
      <c r="I469" s="14" t="s">
        <v>118</v>
      </c>
      <c r="J469" s="14"/>
      <c r="K469" s="20" t="s">
        <v>594</v>
      </c>
      <c r="L469" s="14"/>
      <c r="M469" s="14">
        <v>1</v>
      </c>
      <c r="N469" s="15">
        <v>86130</v>
      </c>
      <c r="O469" s="15">
        <f t="shared" si="19"/>
        <v>86130</v>
      </c>
      <c r="P469" s="15"/>
      <c r="Q469" s="14" t="s">
        <v>520</v>
      </c>
      <c r="R469" s="25">
        <v>45222</v>
      </c>
      <c r="S469" s="22" t="str">
        <f>TEXT(Table1[[#This Row],[End Date]],"MMMM")</f>
        <v>October</v>
      </c>
      <c r="T469" s="23" t="str">
        <f>TEXT(Table1[[#This Row],[End Date]],"YYYY")</f>
        <v>2023</v>
      </c>
      <c r="U469" s="24">
        <f t="shared" ca="1" si="20"/>
        <v>-89</v>
      </c>
      <c r="V469" s="14" t="str" cm="1">
        <f t="array" aca="1" ref="V469" ca="1">_xlfn.IFS(Table1[[#This Row],[Agreement Days]]&gt;=0,"Expired",Table1[[#This Row],[Agreement Days]]&gt;=-30,"Expires &lt; 30 Days",Table1[[#This Row],[Agreement Days]]&gt;=-60,"Expires &lt; 60 Days",Table1[[#This Row],[Agreement Days]]&lt;-60,"Valid Contract")</f>
        <v>Valid Contract</v>
      </c>
      <c r="W469" s="14" t="s">
        <v>20</v>
      </c>
      <c r="X469" s="26" t="s">
        <v>1368</v>
      </c>
      <c r="Y469" s="14" t="s">
        <v>1369</v>
      </c>
      <c r="Z469" s="17" t="s">
        <v>1370</v>
      </c>
      <c r="AA469" s="19"/>
      <c r="AB469" s="116"/>
      <c r="AC469" s="116"/>
    </row>
    <row r="470" spans="1:29" hidden="1" x14ac:dyDescent="0.3">
      <c r="A470" s="18" t="s">
        <v>1366</v>
      </c>
      <c r="B470" s="18" t="s">
        <v>166</v>
      </c>
      <c r="C470" s="18" t="s">
        <v>1373</v>
      </c>
      <c r="D470" s="14" t="s">
        <v>735</v>
      </c>
      <c r="E470" s="18" t="s">
        <v>9</v>
      </c>
      <c r="F470" s="14" t="s">
        <v>517</v>
      </c>
      <c r="G470" s="14" t="s">
        <v>518</v>
      </c>
      <c r="H470" s="18" t="s">
        <v>4</v>
      </c>
      <c r="I470" s="14" t="s">
        <v>118</v>
      </c>
      <c r="J470" s="14"/>
      <c r="K470" s="20" t="s">
        <v>594</v>
      </c>
      <c r="L470" s="14"/>
      <c r="M470" s="14">
        <v>1</v>
      </c>
      <c r="N470" s="15">
        <v>86129.66</v>
      </c>
      <c r="O470" s="15">
        <f t="shared" si="19"/>
        <v>86129.66</v>
      </c>
      <c r="P470" s="15"/>
      <c r="Q470" s="14" t="s">
        <v>520</v>
      </c>
      <c r="R470" s="25">
        <v>45222</v>
      </c>
      <c r="S470" s="22" t="str">
        <f>TEXT(Table1[[#This Row],[End Date]],"MMMM")</f>
        <v>October</v>
      </c>
      <c r="T470" s="23" t="str">
        <f>TEXT(Table1[[#This Row],[End Date]],"YYYY")</f>
        <v>2023</v>
      </c>
      <c r="U470" s="24">
        <f t="shared" ca="1" si="20"/>
        <v>-89</v>
      </c>
      <c r="V470" s="14" t="str" cm="1">
        <f t="array" aca="1" ref="V470" ca="1">_xlfn.IFS(Table1[[#This Row],[Agreement Days]]&gt;=0,"Expired",Table1[[#This Row],[Agreement Days]]&gt;=-30,"Expires &lt; 30 Days",Table1[[#This Row],[Agreement Days]]&gt;=-60,"Expires &lt; 60 Days",Table1[[#This Row],[Agreement Days]]&lt;-60,"Valid Contract")</f>
        <v>Valid Contract</v>
      </c>
      <c r="W470" s="14" t="s">
        <v>20</v>
      </c>
      <c r="X470" s="26" t="s">
        <v>1368</v>
      </c>
      <c r="Y470" s="14" t="s">
        <v>1369</v>
      </c>
      <c r="Z470" s="17" t="s">
        <v>1370</v>
      </c>
      <c r="AA470" s="19"/>
      <c r="AB470" s="116"/>
      <c r="AC470" s="116"/>
    </row>
    <row r="471" spans="1:29" hidden="1" x14ac:dyDescent="0.3">
      <c r="A471" s="18" t="s">
        <v>1366</v>
      </c>
      <c r="B471" s="18" t="s">
        <v>166</v>
      </c>
      <c r="C471" s="18" t="s">
        <v>1374</v>
      </c>
      <c r="D471" s="14" t="s">
        <v>946</v>
      </c>
      <c r="E471" s="18" t="s">
        <v>9</v>
      </c>
      <c r="F471" s="14" t="s">
        <v>517</v>
      </c>
      <c r="G471" s="14" t="s">
        <v>518</v>
      </c>
      <c r="H471" s="18" t="s">
        <v>4</v>
      </c>
      <c r="I471" s="14" t="s">
        <v>118</v>
      </c>
      <c r="J471" s="14"/>
      <c r="K471" s="20" t="s">
        <v>594</v>
      </c>
      <c r="L471" s="14"/>
      <c r="M471" s="14">
        <v>1</v>
      </c>
      <c r="N471" s="15">
        <v>86129.66</v>
      </c>
      <c r="O471" s="15">
        <f t="shared" si="19"/>
        <v>86129.66</v>
      </c>
      <c r="P471" s="15"/>
      <c r="Q471" s="14" t="s">
        <v>520</v>
      </c>
      <c r="R471" s="25">
        <v>45222</v>
      </c>
      <c r="S471" s="22" t="str">
        <f>TEXT(Table1[[#This Row],[End Date]],"MMMM")</f>
        <v>October</v>
      </c>
      <c r="T471" s="23" t="str">
        <f>TEXT(Table1[[#This Row],[End Date]],"YYYY")</f>
        <v>2023</v>
      </c>
      <c r="U471" s="24">
        <f t="shared" ca="1" si="20"/>
        <v>-89</v>
      </c>
      <c r="V471" s="14" t="str" cm="1">
        <f t="array" aca="1" ref="V471" ca="1">_xlfn.IFS(Table1[[#This Row],[Agreement Days]]&gt;=0,"Expired",Table1[[#This Row],[Agreement Days]]&gt;=-30,"Expires &lt; 30 Days",Table1[[#This Row],[Agreement Days]]&gt;=-60,"Expires &lt; 60 Days",Table1[[#This Row],[Agreement Days]]&lt;-60,"Valid Contract")</f>
        <v>Valid Contract</v>
      </c>
      <c r="W471" s="14" t="s">
        <v>20</v>
      </c>
      <c r="X471" s="26" t="s">
        <v>1368</v>
      </c>
      <c r="Y471" s="14" t="s">
        <v>1369</v>
      </c>
      <c r="Z471" s="17" t="s">
        <v>1370</v>
      </c>
      <c r="AA471" s="19"/>
      <c r="AB471" s="116"/>
      <c r="AC471" s="116"/>
    </row>
    <row r="472" spans="1:29" hidden="1" x14ac:dyDescent="0.3">
      <c r="A472" s="18" t="s">
        <v>1366</v>
      </c>
      <c r="B472" s="18" t="s">
        <v>166</v>
      </c>
      <c r="C472" s="18" t="s">
        <v>1378</v>
      </c>
      <c r="D472" s="14" t="s">
        <v>653</v>
      </c>
      <c r="E472" s="18" t="s">
        <v>9</v>
      </c>
      <c r="F472" s="14" t="s">
        <v>517</v>
      </c>
      <c r="G472" s="14" t="s">
        <v>518</v>
      </c>
      <c r="H472" s="18" t="s">
        <v>4</v>
      </c>
      <c r="I472" s="14" t="s">
        <v>118</v>
      </c>
      <c r="J472" s="14"/>
      <c r="K472" s="20" t="s">
        <v>650</v>
      </c>
      <c r="L472" s="14"/>
      <c r="M472" s="14">
        <v>1</v>
      </c>
      <c r="N472" s="15">
        <v>369325.42</v>
      </c>
      <c r="O472" s="15">
        <f t="shared" si="19"/>
        <v>369325.42</v>
      </c>
      <c r="P472" s="15"/>
      <c r="Q472" s="14" t="s">
        <v>520</v>
      </c>
      <c r="R472" s="25">
        <v>45222</v>
      </c>
      <c r="S472" s="22" t="str">
        <f>TEXT(Table1[[#This Row],[End Date]],"MMMM")</f>
        <v>October</v>
      </c>
      <c r="T472" s="23" t="str">
        <f>TEXT(Table1[[#This Row],[End Date]],"YYYY")</f>
        <v>2023</v>
      </c>
      <c r="U472" s="24">
        <f t="shared" ca="1" si="20"/>
        <v>-89</v>
      </c>
      <c r="V472" s="14" t="str" cm="1">
        <f t="array" aca="1" ref="V472" ca="1">_xlfn.IFS(Table1[[#This Row],[Agreement Days]]&gt;=0,"Expired",Table1[[#This Row],[Agreement Days]]&gt;=-30,"Expires &lt; 30 Days",Table1[[#This Row],[Agreement Days]]&gt;=-60,"Expires &lt; 60 Days",Table1[[#This Row],[Agreement Days]]&lt;-60,"Valid Contract")</f>
        <v>Valid Contract</v>
      </c>
      <c r="W472" s="14" t="s">
        <v>20</v>
      </c>
      <c r="X472" s="26" t="s">
        <v>1368</v>
      </c>
      <c r="Y472" s="14" t="s">
        <v>1369</v>
      </c>
      <c r="Z472" s="17" t="s">
        <v>1370</v>
      </c>
      <c r="AA472" s="19"/>
      <c r="AB472" s="116"/>
      <c r="AC472" s="116"/>
    </row>
    <row r="473" spans="1:29" hidden="1" x14ac:dyDescent="0.3">
      <c r="A473" s="18" t="s">
        <v>1366</v>
      </c>
      <c r="B473" s="18" t="s">
        <v>166</v>
      </c>
      <c r="C473" s="18" t="s">
        <v>1375</v>
      </c>
      <c r="D473" s="14" t="s">
        <v>653</v>
      </c>
      <c r="E473" s="18" t="s">
        <v>9</v>
      </c>
      <c r="F473" s="14" t="s">
        <v>517</v>
      </c>
      <c r="G473" s="14" t="s">
        <v>518</v>
      </c>
      <c r="H473" s="18" t="s">
        <v>4</v>
      </c>
      <c r="I473" s="14" t="s">
        <v>118</v>
      </c>
      <c r="J473" s="14"/>
      <c r="K473" s="20" t="s">
        <v>594</v>
      </c>
      <c r="L473" s="14"/>
      <c r="M473" s="14">
        <v>1</v>
      </c>
      <c r="N473" s="15">
        <v>86130</v>
      </c>
      <c r="O473" s="15">
        <f t="shared" si="19"/>
        <v>86130</v>
      </c>
      <c r="P473" s="15"/>
      <c r="Q473" s="14" t="s">
        <v>520</v>
      </c>
      <c r="R473" s="25">
        <v>45222</v>
      </c>
      <c r="S473" s="22" t="str">
        <f>TEXT(Table1[[#This Row],[End Date]],"MMMM")</f>
        <v>October</v>
      </c>
      <c r="T473" s="23" t="str">
        <f>TEXT(Table1[[#This Row],[End Date]],"YYYY")</f>
        <v>2023</v>
      </c>
      <c r="U473" s="24">
        <f t="shared" ca="1" si="20"/>
        <v>-89</v>
      </c>
      <c r="V473" s="14" t="str" cm="1">
        <f t="array" aca="1" ref="V473" ca="1">_xlfn.IFS(Table1[[#This Row],[Agreement Days]]&gt;=0,"Expired",Table1[[#This Row],[Agreement Days]]&gt;=-30,"Expires &lt; 30 Days",Table1[[#This Row],[Agreement Days]]&gt;=-60,"Expires &lt; 60 Days",Table1[[#This Row],[Agreement Days]]&lt;-60,"Valid Contract")</f>
        <v>Valid Contract</v>
      </c>
      <c r="W473" s="14" t="s">
        <v>20</v>
      </c>
      <c r="X473" s="26" t="s">
        <v>1368</v>
      </c>
      <c r="Y473" s="14" t="s">
        <v>1369</v>
      </c>
      <c r="Z473" s="17" t="s">
        <v>1370</v>
      </c>
      <c r="AA473" s="19"/>
      <c r="AB473" s="116"/>
      <c r="AC473" s="116"/>
    </row>
    <row r="474" spans="1:29" hidden="1" x14ac:dyDescent="0.3">
      <c r="A474" s="18" t="s">
        <v>1366</v>
      </c>
      <c r="B474" s="18" t="s">
        <v>166</v>
      </c>
      <c r="C474" s="18" t="s">
        <v>1376</v>
      </c>
      <c r="D474" s="14" t="s">
        <v>769</v>
      </c>
      <c r="E474" s="18" t="s">
        <v>9</v>
      </c>
      <c r="F474" s="14" t="s">
        <v>517</v>
      </c>
      <c r="G474" s="14" t="s">
        <v>518</v>
      </c>
      <c r="H474" s="18" t="s">
        <v>4</v>
      </c>
      <c r="I474" s="14" t="s">
        <v>118</v>
      </c>
      <c r="J474" s="14"/>
      <c r="K474" s="20" t="s">
        <v>594</v>
      </c>
      <c r="L474" s="14"/>
      <c r="M474" s="14">
        <v>1</v>
      </c>
      <c r="N474" s="15">
        <v>86129.66</v>
      </c>
      <c r="O474" s="15">
        <f t="shared" si="19"/>
        <v>86129.66</v>
      </c>
      <c r="P474" s="15"/>
      <c r="Q474" s="14" t="s">
        <v>520</v>
      </c>
      <c r="R474" s="25">
        <v>45222</v>
      </c>
      <c r="S474" s="22" t="str">
        <f>TEXT(Table1[[#This Row],[End Date]],"MMMM")</f>
        <v>October</v>
      </c>
      <c r="T474" s="23" t="str">
        <f>TEXT(Table1[[#This Row],[End Date]],"YYYY")</f>
        <v>2023</v>
      </c>
      <c r="U474" s="24">
        <f t="shared" ca="1" si="20"/>
        <v>-89</v>
      </c>
      <c r="V474" s="14" t="str" cm="1">
        <f t="array" aca="1" ref="V474" ca="1">_xlfn.IFS(Table1[[#This Row],[Agreement Days]]&gt;=0,"Expired",Table1[[#This Row],[Agreement Days]]&gt;=-30,"Expires &lt; 30 Days",Table1[[#This Row],[Agreement Days]]&gt;=-60,"Expires &lt; 60 Days",Table1[[#This Row],[Agreement Days]]&lt;-60,"Valid Contract")</f>
        <v>Valid Contract</v>
      </c>
      <c r="W474" s="14" t="s">
        <v>20</v>
      </c>
      <c r="X474" s="26" t="s">
        <v>1368</v>
      </c>
      <c r="Y474" s="14" t="s">
        <v>1369</v>
      </c>
      <c r="Z474" s="17" t="s">
        <v>1370</v>
      </c>
      <c r="AA474" s="19"/>
      <c r="AB474" s="116"/>
      <c r="AC474" s="116"/>
    </row>
    <row r="475" spans="1:29" hidden="1" x14ac:dyDescent="0.3">
      <c r="A475" s="18" t="s">
        <v>1366</v>
      </c>
      <c r="B475" s="18" t="s">
        <v>166</v>
      </c>
      <c r="C475" s="18" t="s">
        <v>1378</v>
      </c>
      <c r="D475" s="14" t="s">
        <v>653</v>
      </c>
      <c r="E475" s="18" t="s">
        <v>9</v>
      </c>
      <c r="F475" s="14" t="s">
        <v>517</v>
      </c>
      <c r="G475" s="14" t="s">
        <v>518</v>
      </c>
      <c r="H475" s="18" t="s">
        <v>5</v>
      </c>
      <c r="I475" s="14" t="s">
        <v>115</v>
      </c>
      <c r="J475" s="14"/>
      <c r="K475" s="18" t="s">
        <v>651</v>
      </c>
      <c r="L475" s="14"/>
      <c r="M475" s="14">
        <v>2</v>
      </c>
      <c r="N475" s="15">
        <f>96000/1.18</f>
        <v>81355.932203389835</v>
      </c>
      <c r="O475" s="15">
        <f t="shared" si="19"/>
        <v>162711.86440677967</v>
      </c>
      <c r="P475" s="15"/>
      <c r="Q475" s="14" t="s">
        <v>520</v>
      </c>
      <c r="R475" s="25">
        <v>45222</v>
      </c>
      <c r="S475" s="22" t="str">
        <f>TEXT(Table1[[#This Row],[End Date]],"MMMM")</f>
        <v>October</v>
      </c>
      <c r="T475" s="23" t="str">
        <f>TEXT(Table1[[#This Row],[End Date]],"YYYY")</f>
        <v>2023</v>
      </c>
      <c r="U475" s="24">
        <f t="shared" ca="1" si="20"/>
        <v>-89</v>
      </c>
      <c r="V475" s="14" t="str" cm="1">
        <f t="array" aca="1" ref="V475" ca="1">_xlfn.IFS(Table1[[#This Row],[Agreement Days]]&gt;=0,"Expired",Table1[[#This Row],[Agreement Days]]&gt;=-30,"Expires &lt; 30 Days",Table1[[#This Row],[Agreement Days]]&gt;=-60,"Expires &lt; 60 Days",Table1[[#This Row],[Agreement Days]]&lt;-60,"Valid Contract")</f>
        <v>Valid Contract</v>
      </c>
      <c r="W475" s="14" t="s">
        <v>20</v>
      </c>
      <c r="X475" s="26" t="s">
        <v>1368</v>
      </c>
      <c r="Y475" s="14" t="s">
        <v>1369</v>
      </c>
      <c r="Z475" s="17" t="s">
        <v>1370</v>
      </c>
      <c r="AA475" s="19"/>
      <c r="AB475" s="116"/>
      <c r="AC475" s="116"/>
    </row>
    <row r="476" spans="1:29" hidden="1" x14ac:dyDescent="0.3">
      <c r="A476" s="18" t="s">
        <v>1366</v>
      </c>
      <c r="B476" s="18" t="s">
        <v>166</v>
      </c>
      <c r="C476" s="18" t="s">
        <v>1378</v>
      </c>
      <c r="D476" s="14" t="s">
        <v>653</v>
      </c>
      <c r="E476" s="18" t="s">
        <v>9</v>
      </c>
      <c r="F476" s="14" t="s">
        <v>517</v>
      </c>
      <c r="G476" s="14" t="s">
        <v>518</v>
      </c>
      <c r="H476" s="18" t="s">
        <v>5</v>
      </c>
      <c r="I476" s="14" t="s">
        <v>115</v>
      </c>
      <c r="J476" s="14"/>
      <c r="K476" s="18" t="s">
        <v>657</v>
      </c>
      <c r="L476" s="14"/>
      <c r="M476" s="14">
        <v>6</v>
      </c>
      <c r="N476" s="15">
        <v>45338.98</v>
      </c>
      <c r="O476" s="15">
        <f t="shared" si="19"/>
        <v>272033.88</v>
      </c>
      <c r="P476" s="15"/>
      <c r="Q476" s="14" t="s">
        <v>520</v>
      </c>
      <c r="R476" s="25">
        <v>45222</v>
      </c>
      <c r="S476" s="22" t="str">
        <f>TEXT(Table1[[#This Row],[End Date]],"MMMM")</f>
        <v>October</v>
      </c>
      <c r="T476" s="23" t="str">
        <f>TEXT(Table1[[#This Row],[End Date]],"YYYY")</f>
        <v>2023</v>
      </c>
      <c r="U476" s="24">
        <f t="shared" ca="1" si="20"/>
        <v>-89</v>
      </c>
      <c r="V476" s="14" t="str" cm="1">
        <f t="array" aca="1" ref="V476" ca="1">_xlfn.IFS(Table1[[#This Row],[Agreement Days]]&gt;=0,"Expired",Table1[[#This Row],[Agreement Days]]&gt;=-30,"Expires &lt; 30 Days",Table1[[#This Row],[Agreement Days]]&gt;=-60,"Expires &lt; 60 Days",Table1[[#This Row],[Agreement Days]]&lt;-60,"Valid Contract")</f>
        <v>Valid Contract</v>
      </c>
      <c r="W476" s="14" t="s">
        <v>20</v>
      </c>
      <c r="X476" s="26" t="s">
        <v>1368</v>
      </c>
      <c r="Y476" s="14" t="s">
        <v>1369</v>
      </c>
      <c r="Z476" s="17" t="s">
        <v>1370</v>
      </c>
      <c r="AA476" s="19"/>
      <c r="AB476" s="116"/>
      <c r="AC476" s="116"/>
    </row>
    <row r="477" spans="1:29" hidden="1" x14ac:dyDescent="0.3">
      <c r="A477" s="18" t="s">
        <v>1366</v>
      </c>
      <c r="B477" s="18" t="s">
        <v>166</v>
      </c>
      <c r="C477" s="18" t="s">
        <v>1378</v>
      </c>
      <c r="D477" s="14" t="s">
        <v>653</v>
      </c>
      <c r="E477" s="18" t="s">
        <v>9</v>
      </c>
      <c r="F477" s="14" t="s">
        <v>517</v>
      </c>
      <c r="G477" s="14" t="s">
        <v>518</v>
      </c>
      <c r="H477" s="18" t="s">
        <v>5</v>
      </c>
      <c r="I477" s="14" t="s">
        <v>115</v>
      </c>
      <c r="J477" s="14"/>
      <c r="K477" s="18" t="s">
        <v>643</v>
      </c>
      <c r="L477" s="14"/>
      <c r="M477" s="14">
        <v>24</v>
      </c>
      <c r="N477" s="15">
        <v>28305.08</v>
      </c>
      <c r="O477" s="15">
        <f t="shared" si="19"/>
        <v>679321.92</v>
      </c>
      <c r="P477" s="15"/>
      <c r="Q477" s="14" t="s">
        <v>520</v>
      </c>
      <c r="R477" s="25">
        <v>45222</v>
      </c>
      <c r="S477" s="22" t="str">
        <f>TEXT(Table1[[#This Row],[End Date]],"MMMM")</f>
        <v>October</v>
      </c>
      <c r="T477" s="23" t="str">
        <f>TEXT(Table1[[#This Row],[End Date]],"YYYY")</f>
        <v>2023</v>
      </c>
      <c r="U477" s="24">
        <f t="shared" ca="1" si="20"/>
        <v>-89</v>
      </c>
      <c r="V477" s="14" t="str" cm="1">
        <f t="array" aca="1" ref="V477" ca="1">_xlfn.IFS(Table1[[#This Row],[Agreement Days]]&gt;=0,"Expired",Table1[[#This Row],[Agreement Days]]&gt;=-30,"Expires &lt; 30 Days",Table1[[#This Row],[Agreement Days]]&gt;=-60,"Expires &lt; 60 Days",Table1[[#This Row],[Agreement Days]]&lt;-60,"Valid Contract")</f>
        <v>Valid Contract</v>
      </c>
      <c r="W477" s="14" t="s">
        <v>20</v>
      </c>
      <c r="X477" s="26" t="s">
        <v>1368</v>
      </c>
      <c r="Y477" s="14" t="s">
        <v>1369</v>
      </c>
      <c r="Z477" s="17" t="s">
        <v>1370</v>
      </c>
      <c r="AA477" s="19"/>
      <c r="AB477" s="116"/>
      <c r="AC477" s="116"/>
    </row>
    <row r="478" spans="1:29" hidden="1" x14ac:dyDescent="0.3">
      <c r="A478" s="18" t="s">
        <v>1379</v>
      </c>
      <c r="B478" s="18" t="s">
        <v>43</v>
      </c>
      <c r="C478" s="18" t="s">
        <v>1380</v>
      </c>
      <c r="D478" s="14" t="s">
        <v>532</v>
      </c>
      <c r="E478" s="18" t="s">
        <v>9</v>
      </c>
      <c r="F478" s="14" t="s">
        <v>631</v>
      </c>
      <c r="G478" s="14" t="s">
        <v>518</v>
      </c>
      <c r="H478" s="18" t="s">
        <v>5</v>
      </c>
      <c r="I478" s="14" t="s">
        <v>117</v>
      </c>
      <c r="J478" s="14">
        <v>10</v>
      </c>
      <c r="K478" s="14" t="s">
        <v>1129</v>
      </c>
      <c r="L478" s="14"/>
      <c r="M478" s="14">
        <v>1</v>
      </c>
      <c r="N478" s="15">
        <v>510000</v>
      </c>
      <c r="O478" s="15">
        <f t="shared" si="19"/>
        <v>510000</v>
      </c>
      <c r="P478" s="15"/>
      <c r="Q478" s="14" t="s">
        <v>520</v>
      </c>
      <c r="R478" s="25">
        <v>45223</v>
      </c>
      <c r="S478" s="22" t="str">
        <f>TEXT(Table1[[#This Row],[End Date]],"MMMM")</f>
        <v>October</v>
      </c>
      <c r="T478" s="23" t="str">
        <f>TEXT(Table1[[#This Row],[End Date]],"YYYY")</f>
        <v>2023</v>
      </c>
      <c r="U478" s="24">
        <f t="shared" ca="1" si="20"/>
        <v>-90</v>
      </c>
      <c r="V478" s="14" t="str" cm="1">
        <f t="array" aca="1" ref="V478" ca="1">_xlfn.IFS(Table1[[#This Row],[Agreement Days]]&gt;=0,"Expired",Table1[[#This Row],[Agreement Days]]&gt;=-30,"Expires &lt; 30 Days",Table1[[#This Row],[Agreement Days]]&gt;=-60,"Expires &lt; 60 Days",Table1[[#This Row],[Agreement Days]]&lt;-60,"Valid Contract")</f>
        <v>Valid Contract</v>
      </c>
      <c r="W478" s="14" t="s">
        <v>13</v>
      </c>
      <c r="X478" s="14" t="s">
        <v>1381</v>
      </c>
      <c r="Y478" s="43" t="s">
        <v>1382</v>
      </c>
      <c r="Z478" s="17" t="s">
        <v>1383</v>
      </c>
      <c r="AA478" s="17"/>
      <c r="AB478" s="116"/>
      <c r="AC478" s="116"/>
    </row>
    <row r="479" spans="1:29" hidden="1" x14ac:dyDescent="0.3">
      <c r="A479" s="18" t="s">
        <v>1384</v>
      </c>
      <c r="B479" s="18" t="s">
        <v>257</v>
      </c>
      <c r="C479" s="18" t="s">
        <v>1385</v>
      </c>
      <c r="D479" s="14" t="s">
        <v>653</v>
      </c>
      <c r="E479" s="18" t="s">
        <v>9</v>
      </c>
      <c r="F479" s="14" t="s">
        <v>517</v>
      </c>
      <c r="G479" s="14" t="s">
        <v>518</v>
      </c>
      <c r="H479" s="18" t="s">
        <v>4</v>
      </c>
      <c r="I479" s="14" t="s">
        <v>118</v>
      </c>
      <c r="J479" s="14"/>
      <c r="K479" s="14" t="s">
        <v>650</v>
      </c>
      <c r="L479" s="14"/>
      <c r="M479" s="14">
        <v>1</v>
      </c>
      <c r="N479" s="15">
        <v>369325</v>
      </c>
      <c r="O479" s="15">
        <f t="shared" si="19"/>
        <v>369325</v>
      </c>
      <c r="P479" s="15"/>
      <c r="Q479" s="14" t="s">
        <v>520</v>
      </c>
      <c r="R479" s="25">
        <v>45224</v>
      </c>
      <c r="S479" s="22" t="str">
        <f>TEXT(Table1[[#This Row],[End Date]],"MMMM")</f>
        <v>October</v>
      </c>
      <c r="T479" s="23" t="str">
        <f>TEXT(Table1[[#This Row],[End Date]],"YYYY")</f>
        <v>2023</v>
      </c>
      <c r="U479" s="24">
        <f t="shared" ca="1" si="20"/>
        <v>-91</v>
      </c>
      <c r="V479" s="14" t="str" cm="1">
        <f t="array" aca="1" ref="V479" ca="1">_xlfn.IFS(Table1[[#This Row],[Agreement Days]]&gt;=0,"Expired",Table1[[#This Row],[Agreement Days]]&gt;=-30,"Expires &lt; 30 Days",Table1[[#This Row],[Agreement Days]]&gt;=-60,"Expires &lt; 60 Days",Table1[[#This Row],[Agreement Days]]&lt;-60,"Valid Contract")</f>
        <v>Valid Contract</v>
      </c>
      <c r="W479" s="14" t="s">
        <v>20</v>
      </c>
      <c r="X479" s="18" t="s">
        <v>1386</v>
      </c>
      <c r="Y479" s="16" t="s">
        <v>1387</v>
      </c>
      <c r="Z479" s="17" t="s">
        <v>1388</v>
      </c>
      <c r="AA479" s="19"/>
      <c r="AB479" s="116"/>
      <c r="AC479" s="116"/>
    </row>
    <row r="480" spans="1:29" x14ac:dyDescent="0.3">
      <c r="A480" s="18" t="s">
        <v>1170</v>
      </c>
      <c r="B480" s="18" t="s">
        <v>184</v>
      </c>
      <c r="C480" s="18" t="s">
        <v>1389</v>
      </c>
      <c r="D480" s="14" t="s">
        <v>545</v>
      </c>
      <c r="E480" s="18" t="s">
        <v>9</v>
      </c>
      <c r="F480" s="14" t="s">
        <v>517</v>
      </c>
      <c r="G480" s="14" t="s">
        <v>518</v>
      </c>
      <c r="H480" s="18" t="s">
        <v>5</v>
      </c>
      <c r="I480" s="14" t="s">
        <v>117</v>
      </c>
      <c r="J480" s="14">
        <v>10</v>
      </c>
      <c r="K480" s="14" t="s">
        <v>1160</v>
      </c>
      <c r="L480" s="14"/>
      <c r="M480" s="14">
        <v>1</v>
      </c>
      <c r="N480" s="15">
        <v>510000</v>
      </c>
      <c r="O480" s="15">
        <f t="shared" si="19"/>
        <v>510000</v>
      </c>
      <c r="P480" s="15"/>
      <c r="Q480" s="14" t="s">
        <v>520</v>
      </c>
      <c r="R480" s="25">
        <v>45229</v>
      </c>
      <c r="S480" s="22" t="str">
        <f>TEXT(Table1[[#This Row],[End Date]],"MMMM")</f>
        <v>October</v>
      </c>
      <c r="T480" s="23" t="str">
        <f>TEXT(Table1[[#This Row],[End Date]],"YYYY")</f>
        <v>2023</v>
      </c>
      <c r="U480" s="24">
        <f t="shared" ca="1" si="20"/>
        <v>-96</v>
      </c>
      <c r="V480" s="14" t="str" cm="1">
        <f t="array" aca="1" ref="V480" ca="1">_xlfn.IFS(Table1[[#This Row],[Agreement Days]]&gt;=0,"Expired",Table1[[#This Row],[Agreement Days]]&gt;=-30,"Expires &lt; 30 Days",Table1[[#This Row],[Agreement Days]]&gt;=-60,"Expires &lt; 60 Days",Table1[[#This Row],[Agreement Days]]&lt;-60,"Valid Contract")</f>
        <v>Valid Contract</v>
      </c>
      <c r="W480" s="14" t="s">
        <v>12</v>
      </c>
      <c r="X480" s="14" t="s">
        <v>1172</v>
      </c>
      <c r="Y480" s="16" t="s">
        <v>1173</v>
      </c>
      <c r="Z480" s="17" t="s">
        <v>1174</v>
      </c>
      <c r="AA480" s="17"/>
      <c r="AB480" s="116"/>
      <c r="AC480" s="116"/>
    </row>
    <row r="481" spans="1:29" x14ac:dyDescent="0.3">
      <c r="A481" s="18" t="s">
        <v>1170</v>
      </c>
      <c r="B481" s="18" t="s">
        <v>184</v>
      </c>
      <c r="C481" s="18" t="s">
        <v>1390</v>
      </c>
      <c r="D481" s="14" t="s">
        <v>545</v>
      </c>
      <c r="E481" s="18" t="s">
        <v>9</v>
      </c>
      <c r="F481" s="14" t="s">
        <v>517</v>
      </c>
      <c r="G481" s="14" t="s">
        <v>518</v>
      </c>
      <c r="H481" s="18" t="s">
        <v>5</v>
      </c>
      <c r="I481" s="14" t="s">
        <v>117</v>
      </c>
      <c r="J481" s="14">
        <v>10</v>
      </c>
      <c r="K481" s="14" t="s">
        <v>1391</v>
      </c>
      <c r="L481" s="14"/>
      <c r="M481" s="14">
        <v>1</v>
      </c>
      <c r="N481" s="15">
        <v>510000</v>
      </c>
      <c r="O481" s="15">
        <f t="shared" si="19"/>
        <v>510000</v>
      </c>
      <c r="P481" s="15"/>
      <c r="Q481" s="14" t="s">
        <v>520</v>
      </c>
      <c r="R481" s="25">
        <v>45229</v>
      </c>
      <c r="S481" s="22" t="str">
        <f>TEXT(Table1[[#This Row],[End Date]],"MMMM")</f>
        <v>October</v>
      </c>
      <c r="T481" s="23" t="str">
        <f>TEXT(Table1[[#This Row],[End Date]],"YYYY")</f>
        <v>2023</v>
      </c>
      <c r="U481" s="24">
        <f t="shared" ca="1" si="20"/>
        <v>-96</v>
      </c>
      <c r="V481" s="14" t="str" cm="1">
        <f t="array" aca="1" ref="V481" ca="1">_xlfn.IFS(Table1[[#This Row],[Agreement Days]]&gt;=0,"Expired",Table1[[#This Row],[Agreement Days]]&gt;=-30,"Expires &lt; 30 Days",Table1[[#This Row],[Agreement Days]]&gt;=-60,"Expires &lt; 60 Days",Table1[[#This Row],[Agreement Days]]&lt;-60,"Valid Contract")</f>
        <v>Valid Contract</v>
      </c>
      <c r="W481" s="14" t="s">
        <v>12</v>
      </c>
      <c r="X481" s="14" t="s">
        <v>1172</v>
      </c>
      <c r="Y481" s="16" t="s">
        <v>1173</v>
      </c>
      <c r="Z481" s="17" t="s">
        <v>1174</v>
      </c>
      <c r="AA481" s="17"/>
      <c r="AB481" s="116"/>
      <c r="AC481" s="116"/>
    </row>
    <row r="482" spans="1:29" x14ac:dyDescent="0.3">
      <c r="A482" s="18" t="s">
        <v>1170</v>
      </c>
      <c r="B482" s="18" t="s">
        <v>184</v>
      </c>
      <c r="C482" s="18" t="s">
        <v>1392</v>
      </c>
      <c r="D482" s="14" t="s">
        <v>545</v>
      </c>
      <c r="E482" s="18" t="s">
        <v>9</v>
      </c>
      <c r="F482" s="14" t="s">
        <v>517</v>
      </c>
      <c r="G482" s="14" t="s">
        <v>518</v>
      </c>
      <c r="H482" s="18" t="s">
        <v>2</v>
      </c>
      <c r="I482" s="14" t="s">
        <v>117</v>
      </c>
      <c r="J482" s="14">
        <v>30</v>
      </c>
      <c r="K482" s="14" t="s">
        <v>796</v>
      </c>
      <c r="L482" s="14"/>
      <c r="M482" s="14">
        <v>1</v>
      </c>
      <c r="N482" s="15">
        <v>1260000</v>
      </c>
      <c r="O482" s="15">
        <f t="shared" si="19"/>
        <v>1260000</v>
      </c>
      <c r="P482" s="15"/>
      <c r="Q482" s="14" t="s">
        <v>520</v>
      </c>
      <c r="R482" s="25">
        <v>45229</v>
      </c>
      <c r="S482" s="22" t="str">
        <f>TEXT(Table1[[#This Row],[End Date]],"MMMM")</f>
        <v>October</v>
      </c>
      <c r="T482" s="23" t="str">
        <f>TEXT(Table1[[#This Row],[End Date]],"YYYY")</f>
        <v>2023</v>
      </c>
      <c r="U482" s="24">
        <f t="shared" ca="1" si="20"/>
        <v>-96</v>
      </c>
      <c r="V482" s="14" t="str" cm="1">
        <f t="array" aca="1" ref="V482" ca="1">_xlfn.IFS(Table1[[#This Row],[Agreement Days]]&gt;=0,"Expired",Table1[[#This Row],[Agreement Days]]&gt;=-30,"Expires &lt; 30 Days",Table1[[#This Row],[Agreement Days]]&gt;=-60,"Expires &lt; 60 Days",Table1[[#This Row],[Agreement Days]]&lt;-60,"Valid Contract")</f>
        <v>Valid Contract</v>
      </c>
      <c r="W482" s="14" t="s">
        <v>12</v>
      </c>
      <c r="X482" s="14" t="s">
        <v>1172</v>
      </c>
      <c r="Y482" s="16" t="s">
        <v>1173</v>
      </c>
      <c r="Z482" s="17" t="s">
        <v>1174</v>
      </c>
      <c r="AA482" s="17"/>
      <c r="AB482" s="116"/>
      <c r="AC482" s="116"/>
    </row>
    <row r="483" spans="1:29" x14ac:dyDescent="0.3">
      <c r="A483" s="18" t="s">
        <v>1170</v>
      </c>
      <c r="B483" s="18" t="s">
        <v>184</v>
      </c>
      <c r="C483" s="18" t="s">
        <v>1393</v>
      </c>
      <c r="D483" s="14" t="s">
        <v>545</v>
      </c>
      <c r="E483" s="18" t="s">
        <v>9</v>
      </c>
      <c r="F483" s="14" t="s">
        <v>517</v>
      </c>
      <c r="G483" s="14" t="s">
        <v>518</v>
      </c>
      <c r="H483" s="18" t="s">
        <v>2</v>
      </c>
      <c r="I483" s="14" t="s">
        <v>118</v>
      </c>
      <c r="J483" s="14"/>
      <c r="K483" s="14" t="s">
        <v>721</v>
      </c>
      <c r="L483" s="14"/>
      <c r="M483" s="14">
        <v>1</v>
      </c>
      <c r="N483" s="15">
        <v>369325</v>
      </c>
      <c r="O483" s="15">
        <f t="shared" si="19"/>
        <v>369325</v>
      </c>
      <c r="P483" s="15"/>
      <c r="Q483" s="14" t="s">
        <v>520</v>
      </c>
      <c r="R483" s="25">
        <v>45229</v>
      </c>
      <c r="S483" s="22" t="str">
        <f>TEXT(Table1[[#This Row],[End Date]],"MMMM")</f>
        <v>October</v>
      </c>
      <c r="T483" s="23" t="str">
        <f>TEXT(Table1[[#This Row],[End Date]],"YYYY")</f>
        <v>2023</v>
      </c>
      <c r="U483" s="24">
        <f t="shared" ca="1" si="20"/>
        <v>-96</v>
      </c>
      <c r="V483" s="14" t="str" cm="1">
        <f t="array" aca="1" ref="V483" ca="1">_xlfn.IFS(Table1[[#This Row],[Agreement Days]]&gt;=0,"Expired",Table1[[#This Row],[Agreement Days]]&gt;=-30,"Expires &lt; 30 Days",Table1[[#This Row],[Agreement Days]]&gt;=-60,"Expires &lt; 60 Days",Table1[[#This Row],[Agreement Days]]&lt;-60,"Valid Contract")</f>
        <v>Valid Contract</v>
      </c>
      <c r="W483" s="14" t="s">
        <v>12</v>
      </c>
      <c r="X483" s="14" t="s">
        <v>1172</v>
      </c>
      <c r="Y483" s="16" t="s">
        <v>1173</v>
      </c>
      <c r="Z483" s="17" t="s">
        <v>1174</v>
      </c>
      <c r="AA483" s="17"/>
      <c r="AB483" s="116"/>
      <c r="AC483" s="116"/>
    </row>
    <row r="484" spans="1:29" hidden="1" x14ac:dyDescent="0.3">
      <c r="A484" s="18" t="s">
        <v>1394</v>
      </c>
      <c r="B484" s="18" t="s">
        <v>309</v>
      </c>
      <c r="C484" s="18" t="s">
        <v>1395</v>
      </c>
      <c r="D484" s="14" t="s">
        <v>873</v>
      </c>
      <c r="E484" s="18" t="s">
        <v>9</v>
      </c>
      <c r="F484" s="14" t="s">
        <v>688</v>
      </c>
      <c r="G484" s="14" t="s">
        <v>518</v>
      </c>
      <c r="H484" s="18" t="s">
        <v>2</v>
      </c>
      <c r="I484" s="14" t="s">
        <v>117</v>
      </c>
      <c r="J484" s="14">
        <v>5</v>
      </c>
      <c r="K484" s="18" t="s">
        <v>519</v>
      </c>
      <c r="L484" s="18"/>
      <c r="M484" s="14">
        <v>1</v>
      </c>
      <c r="N484" s="15">
        <v>270000</v>
      </c>
      <c r="O484" s="15">
        <f t="shared" si="19"/>
        <v>270000</v>
      </c>
      <c r="P484" s="15"/>
      <c r="Q484" s="14" t="s">
        <v>520</v>
      </c>
      <c r="R484" s="25">
        <v>45229</v>
      </c>
      <c r="S484" s="34" t="str">
        <f>TEXT(Table1[[#This Row],[End Date]],"MMMM")</f>
        <v>October</v>
      </c>
      <c r="T484" s="34" t="str">
        <f>TEXT(Table1[[#This Row],[End Date]],"YYYY")</f>
        <v>2023</v>
      </c>
      <c r="U484" s="24">
        <f t="shared" ca="1" si="20"/>
        <v>-96</v>
      </c>
      <c r="V484" s="14" t="str" cm="1">
        <f t="array" aca="1" ref="V484" ca="1">_xlfn.IFS(Table1[[#This Row],[Agreement Days]]&gt;=0,"Expired",Table1[[#This Row],[Agreement Days]]&gt;=-30,"Expires &lt; 30 Days",Table1[[#This Row],[Agreement Days]]&gt;=-60,"Expires &lt; 60 Days",Table1[[#This Row],[Agreement Days]]&lt;-60,"Valid Contract")</f>
        <v>Valid Contract</v>
      </c>
      <c r="W484" s="18" t="s">
        <v>21</v>
      </c>
      <c r="X484" s="18" t="s">
        <v>1396</v>
      </c>
      <c r="Y484" s="42" t="s">
        <v>1397</v>
      </c>
      <c r="Z484" s="27">
        <v>788230183</v>
      </c>
      <c r="AA484" s="27"/>
      <c r="AB484" s="116"/>
      <c r="AC484" s="116"/>
    </row>
    <row r="485" spans="1:29" hidden="1" x14ac:dyDescent="0.3">
      <c r="A485" s="18" t="s">
        <v>1394</v>
      </c>
      <c r="B485" s="18" t="s">
        <v>309</v>
      </c>
      <c r="C485" s="18" t="s">
        <v>1395</v>
      </c>
      <c r="D485" s="14" t="s">
        <v>873</v>
      </c>
      <c r="E485" s="18" t="s">
        <v>9</v>
      </c>
      <c r="F485" s="14" t="s">
        <v>688</v>
      </c>
      <c r="G485" s="14" t="s">
        <v>518</v>
      </c>
      <c r="H485" s="18" t="s">
        <v>4</v>
      </c>
      <c r="I485" s="14" t="s">
        <v>118</v>
      </c>
      <c r="J485" s="18"/>
      <c r="K485" s="18" t="s">
        <v>650</v>
      </c>
      <c r="L485" s="18"/>
      <c r="M485" s="14">
        <v>1</v>
      </c>
      <c r="N485" s="15">
        <v>369325</v>
      </c>
      <c r="O485" s="15">
        <f t="shared" si="19"/>
        <v>369325</v>
      </c>
      <c r="P485" s="15"/>
      <c r="Q485" s="14" t="s">
        <v>520</v>
      </c>
      <c r="R485" s="25">
        <v>45229</v>
      </c>
      <c r="S485" s="34" t="str">
        <f>TEXT(Table1[[#This Row],[End Date]],"MMMM")</f>
        <v>October</v>
      </c>
      <c r="T485" s="34" t="str">
        <f>TEXT(Table1[[#This Row],[End Date]],"YYYY")</f>
        <v>2023</v>
      </c>
      <c r="U485" s="24">
        <f t="shared" ca="1" si="20"/>
        <v>-96</v>
      </c>
      <c r="V485" s="14" t="str" cm="1">
        <f t="array" aca="1" ref="V485" ca="1">_xlfn.IFS(Table1[[#This Row],[Agreement Days]]&gt;=0,"Expired",Table1[[#This Row],[Agreement Days]]&gt;=-30,"Expires &lt; 30 Days",Table1[[#This Row],[Agreement Days]]&gt;=-60,"Expires &lt; 60 Days",Table1[[#This Row],[Agreement Days]]&lt;-60,"Valid Contract")</f>
        <v>Valid Contract</v>
      </c>
      <c r="W485" s="18" t="s">
        <v>21</v>
      </c>
      <c r="X485" s="18" t="s">
        <v>1396</v>
      </c>
      <c r="Y485" s="42" t="s">
        <v>1397</v>
      </c>
      <c r="Z485" s="27">
        <v>788230183</v>
      </c>
      <c r="AA485" s="27"/>
      <c r="AB485" s="116"/>
      <c r="AC485" s="116"/>
    </row>
    <row r="486" spans="1:29" hidden="1" x14ac:dyDescent="0.3">
      <c r="A486" s="18" t="s">
        <v>1398</v>
      </c>
      <c r="B486" s="18" t="s">
        <v>417</v>
      </c>
      <c r="C486" s="18" t="s">
        <v>417</v>
      </c>
      <c r="D486" s="14" t="s">
        <v>653</v>
      </c>
      <c r="E486" s="18" t="s">
        <v>10</v>
      </c>
      <c r="F486" s="14" t="s">
        <v>888</v>
      </c>
      <c r="G486" s="14" t="s">
        <v>518</v>
      </c>
      <c r="H486" s="18" t="s">
        <v>2</v>
      </c>
      <c r="I486" s="14" t="s">
        <v>123</v>
      </c>
      <c r="J486" s="14"/>
      <c r="K486" s="14" t="s">
        <v>1100</v>
      </c>
      <c r="L486" s="14"/>
      <c r="M486" s="14">
        <v>3</v>
      </c>
      <c r="N486" s="15">
        <v>45500</v>
      </c>
      <c r="O486" s="15">
        <f t="shared" si="19"/>
        <v>136500</v>
      </c>
      <c r="P486" s="15"/>
      <c r="Q486" s="14" t="s">
        <v>520</v>
      </c>
      <c r="R486" s="25">
        <v>45230</v>
      </c>
      <c r="S486" s="22" t="str">
        <f>TEXT(Table1[[#This Row],[End Date]],"MMMM")</f>
        <v>October</v>
      </c>
      <c r="T486" s="23" t="str">
        <f>TEXT(Table1[[#This Row],[End Date]],"YYYY")</f>
        <v>2023</v>
      </c>
      <c r="U486" s="24">
        <f t="shared" ca="1" si="20"/>
        <v>-97</v>
      </c>
      <c r="V486" s="14" t="str" cm="1">
        <f t="array" aca="1" ref="V486" ca="1">_xlfn.IFS(Table1[[#This Row],[Agreement Days]]&gt;=0,"Expired",Table1[[#This Row],[Agreement Days]]&gt;=-30,"Expires &lt; 30 Days",Table1[[#This Row],[Agreement Days]]&gt;=-60,"Expires &lt; 60 Days",Table1[[#This Row],[Agreement Days]]&lt;-60,"Valid Contract")</f>
        <v>Valid Contract</v>
      </c>
      <c r="W486" s="14" t="s">
        <v>20</v>
      </c>
      <c r="X486" s="14" t="s">
        <v>1399</v>
      </c>
      <c r="Y486" s="16" t="s">
        <v>1400</v>
      </c>
      <c r="Z486" s="17" t="s">
        <v>1401</v>
      </c>
      <c r="AA486" s="19"/>
      <c r="AB486" s="116"/>
      <c r="AC486" s="116"/>
    </row>
    <row r="487" spans="1:29" hidden="1" x14ac:dyDescent="0.3">
      <c r="A487" s="18" t="s">
        <v>1398</v>
      </c>
      <c r="B487" s="18" t="s">
        <v>417</v>
      </c>
      <c r="C487" s="18" t="s">
        <v>417</v>
      </c>
      <c r="D487" s="14" t="s">
        <v>653</v>
      </c>
      <c r="E487" s="18" t="s">
        <v>10</v>
      </c>
      <c r="F487" s="14" t="s">
        <v>888</v>
      </c>
      <c r="G487" s="14" t="s">
        <v>518</v>
      </c>
      <c r="H487" s="18" t="s">
        <v>2</v>
      </c>
      <c r="I487" s="14" t="s">
        <v>123</v>
      </c>
      <c r="J487" s="14"/>
      <c r="K487" s="14" t="s">
        <v>1402</v>
      </c>
      <c r="L487" s="14"/>
      <c r="M487" s="14">
        <v>4</v>
      </c>
      <c r="N487" s="15">
        <v>13500</v>
      </c>
      <c r="O487" s="15">
        <f t="shared" si="19"/>
        <v>54000</v>
      </c>
      <c r="P487" s="15"/>
      <c r="Q487" s="14" t="s">
        <v>520</v>
      </c>
      <c r="R487" s="25">
        <v>45230</v>
      </c>
      <c r="S487" s="22" t="str">
        <f>TEXT(Table1[[#This Row],[End Date]],"MMMM")</f>
        <v>October</v>
      </c>
      <c r="T487" s="23" t="str">
        <f>TEXT(Table1[[#This Row],[End Date]],"YYYY")</f>
        <v>2023</v>
      </c>
      <c r="U487" s="24">
        <f t="shared" ca="1" si="20"/>
        <v>-97</v>
      </c>
      <c r="V487" s="14" t="str" cm="1">
        <f t="array" aca="1" ref="V487" ca="1">_xlfn.IFS(Table1[[#This Row],[Agreement Days]]&gt;=0,"Expired",Table1[[#This Row],[Agreement Days]]&gt;=-30,"Expires &lt; 30 Days",Table1[[#This Row],[Agreement Days]]&gt;=-60,"Expires &lt; 60 Days",Table1[[#This Row],[Agreement Days]]&lt;-60,"Valid Contract")</f>
        <v>Valid Contract</v>
      </c>
      <c r="W487" s="14" t="s">
        <v>20</v>
      </c>
      <c r="X487" s="14" t="s">
        <v>1399</v>
      </c>
      <c r="Y487" s="16" t="s">
        <v>1400</v>
      </c>
      <c r="Z487" s="17" t="s">
        <v>1401</v>
      </c>
      <c r="AA487" s="19"/>
      <c r="AB487" s="116"/>
      <c r="AC487" s="116"/>
    </row>
    <row r="488" spans="1:29" hidden="1" x14ac:dyDescent="0.3">
      <c r="A488" s="18" t="s">
        <v>1403</v>
      </c>
      <c r="B488" s="18" t="s">
        <v>69</v>
      </c>
      <c r="C488" s="18" t="s">
        <v>1404</v>
      </c>
      <c r="D488" s="14" t="s">
        <v>769</v>
      </c>
      <c r="E488" s="18" t="s">
        <v>9</v>
      </c>
      <c r="F488" s="14" t="s">
        <v>631</v>
      </c>
      <c r="G488" s="14" t="s">
        <v>518</v>
      </c>
      <c r="H488" s="18" t="s">
        <v>5</v>
      </c>
      <c r="I488" s="14" t="s">
        <v>134</v>
      </c>
      <c r="J488" s="14">
        <v>3</v>
      </c>
      <c r="K488" s="18" t="s">
        <v>646</v>
      </c>
      <c r="L488" s="18"/>
      <c r="M488" s="14">
        <v>1</v>
      </c>
      <c r="N488" s="15">
        <v>180000</v>
      </c>
      <c r="O488" s="15">
        <f t="shared" si="19"/>
        <v>180000</v>
      </c>
      <c r="P488" s="15"/>
      <c r="Q488" s="14" t="s">
        <v>520</v>
      </c>
      <c r="R488" s="25">
        <v>45230</v>
      </c>
      <c r="S488" s="34" t="str">
        <f>TEXT(Table1[[#This Row],[End Date]],"MMMM")</f>
        <v>October</v>
      </c>
      <c r="T488" s="34" t="str">
        <f>TEXT(Table1[[#This Row],[End Date]],"YYYY")</f>
        <v>2023</v>
      </c>
      <c r="U488" s="24">
        <f t="shared" ca="1" si="20"/>
        <v>-97</v>
      </c>
      <c r="V488" s="14" t="str" cm="1">
        <f t="array" aca="1" ref="V488" ca="1">_xlfn.IFS(Table1[[#This Row],[Agreement Days]]&gt;=0,"Expired",Table1[[#This Row],[Agreement Days]]&gt;=-30,"Expires &lt; 30 Days",Table1[[#This Row],[Agreement Days]]&gt;=-60,"Expires &lt; 60 Days",Table1[[#This Row],[Agreement Days]]&lt;-60,"Valid Contract")</f>
        <v>Valid Contract</v>
      </c>
      <c r="W488" s="18" t="s">
        <v>21</v>
      </c>
      <c r="X488" s="18" t="s">
        <v>1405</v>
      </c>
      <c r="Y488" s="42" t="s">
        <v>1406</v>
      </c>
      <c r="Z488" s="27">
        <v>784855911</v>
      </c>
      <c r="AA488" s="27"/>
      <c r="AB488" s="116"/>
      <c r="AC488" s="116"/>
    </row>
    <row r="489" spans="1:29" hidden="1" x14ac:dyDescent="0.3">
      <c r="A489" s="18" t="s">
        <v>1407</v>
      </c>
      <c r="B489" s="18" t="s">
        <v>42</v>
      </c>
      <c r="C489" s="18" t="s">
        <v>761</v>
      </c>
      <c r="D489" s="14" t="s">
        <v>761</v>
      </c>
      <c r="E489" s="18" t="s">
        <v>10</v>
      </c>
      <c r="F489" s="14" t="s">
        <v>631</v>
      </c>
      <c r="G489" s="14" t="s">
        <v>518</v>
      </c>
      <c r="H489" s="18" t="s">
        <v>2</v>
      </c>
      <c r="I489" s="14" t="s">
        <v>134</v>
      </c>
      <c r="J489" s="14">
        <v>25</v>
      </c>
      <c r="K489" s="14" t="s">
        <v>1408</v>
      </c>
      <c r="L489" s="14"/>
      <c r="M489" s="14">
        <v>1</v>
      </c>
      <c r="N489" s="15">
        <f>1298000/1.18</f>
        <v>1100000</v>
      </c>
      <c r="O489" s="15">
        <f t="shared" si="19"/>
        <v>1100000</v>
      </c>
      <c r="P489" s="15"/>
      <c r="Q489" s="14" t="s">
        <v>520</v>
      </c>
      <c r="R489" s="25">
        <v>45230</v>
      </c>
      <c r="S489" s="22" t="str">
        <f>TEXT(Table1[[#This Row],[End Date]],"MMMM")</f>
        <v>October</v>
      </c>
      <c r="T489" s="23" t="str">
        <f>TEXT(Table1[[#This Row],[End Date]],"YYYY")</f>
        <v>2023</v>
      </c>
      <c r="U489" s="24">
        <f t="shared" ca="1" si="20"/>
        <v>-97</v>
      </c>
      <c r="V489" s="14" t="str" cm="1">
        <f t="array" aca="1" ref="V489" ca="1">_xlfn.IFS(Table1[[#This Row],[Agreement Days]]&gt;=0,"Expired",Table1[[#This Row],[Agreement Days]]&gt;=-30,"Expires &lt; 30 Days",Table1[[#This Row],[Agreement Days]]&gt;=-60,"Expires &lt; 60 Days",Table1[[#This Row],[Agreement Days]]&lt;-60,"Valid Contract")</f>
        <v>Valid Contract</v>
      </c>
      <c r="W489" s="14" t="s">
        <v>13</v>
      </c>
      <c r="X489" s="14" t="s">
        <v>1409</v>
      </c>
      <c r="Y489" s="16" t="s">
        <v>1410</v>
      </c>
      <c r="Z489" s="17">
        <v>781971474</v>
      </c>
      <c r="AA489" s="17"/>
      <c r="AB489" s="116"/>
      <c r="AC489" s="116"/>
    </row>
    <row r="490" spans="1:29" hidden="1" x14ac:dyDescent="0.3">
      <c r="A490" s="18" t="s">
        <v>1411</v>
      </c>
      <c r="B490" s="18" t="s">
        <v>311</v>
      </c>
      <c r="C490" s="18" t="s">
        <v>1412</v>
      </c>
      <c r="D490" s="14" t="s">
        <v>946</v>
      </c>
      <c r="E490" s="18" t="s">
        <v>9</v>
      </c>
      <c r="F490" s="14" t="s">
        <v>688</v>
      </c>
      <c r="G490" s="14" t="s">
        <v>518</v>
      </c>
      <c r="H490" s="18" t="s">
        <v>5</v>
      </c>
      <c r="I490" s="14" t="s">
        <v>117</v>
      </c>
      <c r="J490" s="14">
        <v>5</v>
      </c>
      <c r="K490" s="18" t="s">
        <v>519</v>
      </c>
      <c r="L490" s="18"/>
      <c r="M490" s="14">
        <v>1</v>
      </c>
      <c r="N490" s="15">
        <v>270000</v>
      </c>
      <c r="O490" s="15">
        <f t="shared" si="19"/>
        <v>270000</v>
      </c>
      <c r="P490" s="15"/>
      <c r="Q490" s="14" t="s">
        <v>520</v>
      </c>
      <c r="R490" s="25">
        <v>45230</v>
      </c>
      <c r="S490" s="34" t="str">
        <f>TEXT(Table1[[#This Row],[End Date]],"MMMM")</f>
        <v>October</v>
      </c>
      <c r="T490" s="34" t="str">
        <f>TEXT(Table1[[#This Row],[End Date]],"YYYY")</f>
        <v>2023</v>
      </c>
      <c r="U490" s="24">
        <f t="shared" ca="1" si="20"/>
        <v>-97</v>
      </c>
      <c r="V490" s="14" t="str" cm="1">
        <f t="array" aca="1" ref="V490" ca="1">_xlfn.IFS(Table1[[#This Row],[Agreement Days]]&gt;=0,"Expired",Table1[[#This Row],[Agreement Days]]&gt;=-30,"Expires &lt; 30 Days",Table1[[#This Row],[Agreement Days]]&gt;=-60,"Expires &lt; 60 Days",Table1[[#This Row],[Agreement Days]]&lt;-60,"Valid Contract")</f>
        <v>Valid Contract</v>
      </c>
      <c r="W490" s="18" t="s">
        <v>21</v>
      </c>
      <c r="X490" s="18" t="s">
        <v>1413</v>
      </c>
      <c r="Y490" s="42" t="s">
        <v>1414</v>
      </c>
      <c r="Z490" s="27">
        <v>784082977</v>
      </c>
      <c r="AA490" s="27"/>
      <c r="AB490" s="116"/>
      <c r="AC490" s="116"/>
    </row>
    <row r="491" spans="1:29" hidden="1" x14ac:dyDescent="0.3">
      <c r="A491" s="18" t="s">
        <v>1411</v>
      </c>
      <c r="B491" s="18" t="s">
        <v>311</v>
      </c>
      <c r="C491" s="18" t="s">
        <v>1412</v>
      </c>
      <c r="D491" s="14" t="s">
        <v>946</v>
      </c>
      <c r="E491" s="18" t="s">
        <v>9</v>
      </c>
      <c r="F491" s="14" t="s">
        <v>688</v>
      </c>
      <c r="G491" s="14" t="s">
        <v>518</v>
      </c>
      <c r="H491" s="18" t="s">
        <v>5</v>
      </c>
      <c r="I491" s="14" t="s">
        <v>117</v>
      </c>
      <c r="J491" s="14">
        <v>5</v>
      </c>
      <c r="K491" s="18" t="s">
        <v>519</v>
      </c>
      <c r="L491" s="18"/>
      <c r="M491" s="14">
        <v>1</v>
      </c>
      <c r="N491" s="15">
        <v>270000</v>
      </c>
      <c r="O491" s="15">
        <f t="shared" si="19"/>
        <v>270000</v>
      </c>
      <c r="P491" s="15"/>
      <c r="Q491" s="14" t="s">
        <v>520</v>
      </c>
      <c r="R491" s="25">
        <v>45230</v>
      </c>
      <c r="S491" s="34" t="str">
        <f>TEXT(Table1[[#This Row],[End Date]],"MMMM")</f>
        <v>October</v>
      </c>
      <c r="T491" s="34" t="str">
        <f>TEXT(Table1[[#This Row],[End Date]],"YYYY")</f>
        <v>2023</v>
      </c>
      <c r="U491" s="24">
        <f t="shared" ca="1" si="20"/>
        <v>-97</v>
      </c>
      <c r="V491" s="14" t="str" cm="1">
        <f t="array" aca="1" ref="V491" ca="1">_xlfn.IFS(Table1[[#This Row],[Agreement Days]]&gt;=0,"Expired",Table1[[#This Row],[Agreement Days]]&gt;=-30,"Expires &lt; 30 Days",Table1[[#This Row],[Agreement Days]]&gt;=-60,"Expires &lt; 60 Days",Table1[[#This Row],[Agreement Days]]&lt;-60,"Valid Contract")</f>
        <v>Valid Contract</v>
      </c>
      <c r="W491" s="18" t="s">
        <v>21</v>
      </c>
      <c r="X491" s="18" t="s">
        <v>1413</v>
      </c>
      <c r="Y491" s="42" t="s">
        <v>1414</v>
      </c>
      <c r="Z491" s="27">
        <v>784082977</v>
      </c>
      <c r="AA491" s="27"/>
      <c r="AB491" s="116"/>
      <c r="AC491" s="116"/>
    </row>
    <row r="492" spans="1:29" hidden="1" x14ac:dyDescent="0.3">
      <c r="A492" s="18" t="s">
        <v>1411</v>
      </c>
      <c r="B492" s="18" t="s">
        <v>311</v>
      </c>
      <c r="C492" s="18" t="s">
        <v>1412</v>
      </c>
      <c r="D492" s="14" t="s">
        <v>946</v>
      </c>
      <c r="E492" s="18" t="s">
        <v>9</v>
      </c>
      <c r="F492" s="14" t="s">
        <v>688</v>
      </c>
      <c r="G492" s="14" t="s">
        <v>518</v>
      </c>
      <c r="H492" s="18" t="s">
        <v>4</v>
      </c>
      <c r="I492" s="14" t="s">
        <v>118</v>
      </c>
      <c r="J492" s="18"/>
      <c r="K492" s="18" t="s">
        <v>650</v>
      </c>
      <c r="L492" s="18"/>
      <c r="M492" s="14">
        <v>1</v>
      </c>
      <c r="N492" s="15">
        <v>369325</v>
      </c>
      <c r="O492" s="15">
        <f t="shared" si="19"/>
        <v>369325</v>
      </c>
      <c r="P492" s="15"/>
      <c r="Q492" s="14" t="s">
        <v>520</v>
      </c>
      <c r="R492" s="25">
        <v>45230</v>
      </c>
      <c r="S492" s="34" t="str">
        <f>TEXT(Table1[[#This Row],[End Date]],"MMMM")</f>
        <v>October</v>
      </c>
      <c r="T492" s="34" t="str">
        <f>TEXT(Table1[[#This Row],[End Date]],"YYYY")</f>
        <v>2023</v>
      </c>
      <c r="U492" s="24">
        <f t="shared" ca="1" si="20"/>
        <v>-97</v>
      </c>
      <c r="V492" s="14" t="str" cm="1">
        <f t="array" aca="1" ref="V492" ca="1">_xlfn.IFS(Table1[[#This Row],[Agreement Days]]&gt;=0,"Expired",Table1[[#This Row],[Agreement Days]]&gt;=-30,"Expires &lt; 30 Days",Table1[[#This Row],[Agreement Days]]&gt;=-60,"Expires &lt; 60 Days",Table1[[#This Row],[Agreement Days]]&lt;-60,"Valid Contract")</f>
        <v>Valid Contract</v>
      </c>
      <c r="W492" s="18" t="s">
        <v>21</v>
      </c>
      <c r="X492" s="18" t="s">
        <v>1413</v>
      </c>
      <c r="Y492" s="42" t="s">
        <v>1414</v>
      </c>
      <c r="Z492" s="27">
        <v>784082977</v>
      </c>
      <c r="AA492" s="27"/>
      <c r="AB492" s="116"/>
      <c r="AC492" s="116"/>
    </row>
    <row r="493" spans="1:29" x14ac:dyDescent="0.3">
      <c r="A493" s="18" t="s">
        <v>1415</v>
      </c>
      <c r="B493" s="18" t="s">
        <v>142</v>
      </c>
      <c r="C493" s="18" t="s">
        <v>1416</v>
      </c>
      <c r="D493" s="14" t="s">
        <v>545</v>
      </c>
      <c r="E493" s="18" t="s">
        <v>10</v>
      </c>
      <c r="F493" s="14" t="s">
        <v>527</v>
      </c>
      <c r="G493" s="14" t="s">
        <v>518</v>
      </c>
      <c r="H493" s="18" t="s">
        <v>5</v>
      </c>
      <c r="I493" s="14" t="s">
        <v>134</v>
      </c>
      <c r="J493" s="14">
        <v>1</v>
      </c>
      <c r="K493" s="14" t="s">
        <v>1417</v>
      </c>
      <c r="L493" s="14"/>
      <c r="M493" s="14">
        <v>1</v>
      </c>
      <c r="N493" s="15">
        <v>200000</v>
      </c>
      <c r="O493" s="15">
        <f t="shared" si="19"/>
        <v>200000</v>
      </c>
      <c r="P493" s="15"/>
      <c r="Q493" s="14" t="s">
        <v>520</v>
      </c>
      <c r="R493" s="25">
        <v>45230</v>
      </c>
      <c r="S493" s="22" t="str">
        <f>TEXT(Table1[[#This Row],[End Date]],"MMMM")</f>
        <v>October</v>
      </c>
      <c r="T493" s="23" t="str">
        <f>TEXT(Table1[[#This Row],[End Date]],"YYYY")</f>
        <v>2023</v>
      </c>
      <c r="U493" s="24">
        <f t="shared" ca="1" si="20"/>
        <v>-97</v>
      </c>
      <c r="V493" s="14" t="str" cm="1">
        <f t="array" aca="1" ref="V493" ca="1">_xlfn.IFS(Table1[[#This Row],[Agreement Days]]&gt;=0,"Expired",Table1[[#This Row],[Agreement Days]]&gt;=-30,"Expires &lt; 30 Days",Table1[[#This Row],[Agreement Days]]&gt;=-60,"Expires &lt; 60 Days",Table1[[#This Row],[Agreement Days]]&lt;-60,"Valid Contract")</f>
        <v>Valid Contract</v>
      </c>
      <c r="W493" s="14" t="s">
        <v>12</v>
      </c>
      <c r="X493" s="14" t="s">
        <v>1418</v>
      </c>
      <c r="Y493" s="16" t="s">
        <v>1419</v>
      </c>
      <c r="Z493" s="17" t="s">
        <v>1420</v>
      </c>
      <c r="AA493" s="17"/>
      <c r="AB493" s="116"/>
      <c r="AC493" s="116"/>
    </row>
    <row r="494" spans="1:29" x14ac:dyDescent="0.3">
      <c r="A494" s="18" t="s">
        <v>1415</v>
      </c>
      <c r="B494" s="18" t="s">
        <v>142</v>
      </c>
      <c r="C494" s="18" t="s">
        <v>1421</v>
      </c>
      <c r="D494" s="14" t="s">
        <v>653</v>
      </c>
      <c r="E494" s="18" t="s">
        <v>10</v>
      </c>
      <c r="F494" s="14" t="s">
        <v>527</v>
      </c>
      <c r="G494" s="14" t="s">
        <v>518</v>
      </c>
      <c r="H494" s="18" t="s">
        <v>2</v>
      </c>
      <c r="I494" s="14" t="s">
        <v>134</v>
      </c>
      <c r="J494" s="14">
        <v>2</v>
      </c>
      <c r="K494" s="14" t="s">
        <v>1422</v>
      </c>
      <c r="L494" s="14"/>
      <c r="M494" s="14">
        <v>1</v>
      </c>
      <c r="N494" s="15">
        <v>400000</v>
      </c>
      <c r="O494" s="15">
        <f t="shared" si="19"/>
        <v>400000</v>
      </c>
      <c r="P494" s="15"/>
      <c r="Q494" s="14" t="s">
        <v>520</v>
      </c>
      <c r="R494" s="25">
        <v>45230</v>
      </c>
      <c r="S494" s="22" t="str">
        <f>TEXT(Table1[[#This Row],[End Date]],"MMMM")</f>
        <v>October</v>
      </c>
      <c r="T494" s="23" t="str">
        <f>TEXT(Table1[[#This Row],[End Date]],"YYYY")</f>
        <v>2023</v>
      </c>
      <c r="U494" s="24">
        <f t="shared" ca="1" si="20"/>
        <v>-97</v>
      </c>
      <c r="V494" s="14" t="str" cm="1">
        <f t="array" aca="1" ref="V494" ca="1">_xlfn.IFS(Table1[[#This Row],[Agreement Days]]&gt;=0,"Expired",Table1[[#This Row],[Agreement Days]]&gt;=-30,"Expires &lt; 30 Days",Table1[[#This Row],[Agreement Days]]&gt;=-60,"Expires &lt; 60 Days",Table1[[#This Row],[Agreement Days]]&lt;-60,"Valid Contract")</f>
        <v>Valid Contract</v>
      </c>
      <c r="W494" s="14" t="s">
        <v>12</v>
      </c>
      <c r="X494" s="14" t="s">
        <v>1418</v>
      </c>
      <c r="Y494" s="16" t="s">
        <v>1419</v>
      </c>
      <c r="Z494" s="17" t="s">
        <v>1420</v>
      </c>
      <c r="AA494" s="17"/>
      <c r="AB494" s="116"/>
      <c r="AC494" s="116"/>
    </row>
    <row r="495" spans="1:29" x14ac:dyDescent="0.3">
      <c r="A495" s="18" t="s">
        <v>1415</v>
      </c>
      <c r="B495" s="18" t="s">
        <v>142</v>
      </c>
      <c r="C495" s="18" t="s">
        <v>1423</v>
      </c>
      <c r="D495" s="14" t="s">
        <v>761</v>
      </c>
      <c r="E495" s="18" t="s">
        <v>10</v>
      </c>
      <c r="F495" s="14" t="s">
        <v>527</v>
      </c>
      <c r="G495" s="14" t="s">
        <v>518</v>
      </c>
      <c r="H495" s="18" t="s">
        <v>5</v>
      </c>
      <c r="I495" s="14" t="s">
        <v>134</v>
      </c>
      <c r="J495" s="14">
        <v>5</v>
      </c>
      <c r="K495" s="14" t="s">
        <v>1424</v>
      </c>
      <c r="L495" s="14"/>
      <c r="M495" s="14">
        <v>1</v>
      </c>
      <c r="N495" s="15">
        <v>1250000</v>
      </c>
      <c r="O495" s="15">
        <f t="shared" si="19"/>
        <v>1250000</v>
      </c>
      <c r="P495" s="15"/>
      <c r="Q495" s="14" t="s">
        <v>520</v>
      </c>
      <c r="R495" s="25">
        <v>45230</v>
      </c>
      <c r="S495" s="22" t="str">
        <f>TEXT(Table1[[#This Row],[End Date]],"MMMM")</f>
        <v>October</v>
      </c>
      <c r="T495" s="23" t="str">
        <f>TEXT(Table1[[#This Row],[End Date]],"YYYY")</f>
        <v>2023</v>
      </c>
      <c r="U495" s="24">
        <f t="shared" ca="1" si="20"/>
        <v>-97</v>
      </c>
      <c r="V495" s="14" t="str" cm="1">
        <f t="array" aca="1" ref="V495" ca="1">_xlfn.IFS(Table1[[#This Row],[Agreement Days]]&gt;=0,"Expired",Table1[[#This Row],[Agreement Days]]&gt;=-30,"Expires &lt; 30 Days",Table1[[#This Row],[Agreement Days]]&gt;=-60,"Expires &lt; 60 Days",Table1[[#This Row],[Agreement Days]]&lt;-60,"Valid Contract")</f>
        <v>Valid Contract</v>
      </c>
      <c r="W495" s="14" t="s">
        <v>12</v>
      </c>
      <c r="X495" s="14" t="s">
        <v>1418</v>
      </c>
      <c r="Y495" s="16" t="s">
        <v>1419</v>
      </c>
      <c r="Z495" s="17" t="s">
        <v>1420</v>
      </c>
      <c r="AA495" s="17"/>
      <c r="AB495" s="116"/>
      <c r="AC495" s="116"/>
    </row>
    <row r="496" spans="1:29" x14ac:dyDescent="0.3">
      <c r="A496" s="18" t="s">
        <v>1415</v>
      </c>
      <c r="B496" s="18" t="s">
        <v>142</v>
      </c>
      <c r="C496" s="18" t="s">
        <v>1425</v>
      </c>
      <c r="D496" s="14" t="s">
        <v>653</v>
      </c>
      <c r="E496" s="18" t="s">
        <v>10</v>
      </c>
      <c r="F496" s="14" t="s">
        <v>527</v>
      </c>
      <c r="G496" s="14" t="s">
        <v>518</v>
      </c>
      <c r="H496" s="18" t="s">
        <v>5</v>
      </c>
      <c r="I496" s="14" t="s">
        <v>134</v>
      </c>
      <c r="J496" s="14">
        <v>10</v>
      </c>
      <c r="K496" s="14" t="s">
        <v>1391</v>
      </c>
      <c r="L496" s="14"/>
      <c r="M496" s="14">
        <v>1</v>
      </c>
      <c r="N496" s="15">
        <v>770340</v>
      </c>
      <c r="O496" s="15">
        <f t="shared" si="19"/>
        <v>770340</v>
      </c>
      <c r="P496" s="15"/>
      <c r="Q496" s="14" t="s">
        <v>520</v>
      </c>
      <c r="R496" s="25">
        <v>45230</v>
      </c>
      <c r="S496" s="22" t="str">
        <f>TEXT(Table1[[#This Row],[End Date]],"MMMM")</f>
        <v>October</v>
      </c>
      <c r="T496" s="23" t="str">
        <f>TEXT(Table1[[#This Row],[End Date]],"YYYY")</f>
        <v>2023</v>
      </c>
      <c r="U496" s="24">
        <f t="shared" ca="1" si="20"/>
        <v>-97</v>
      </c>
      <c r="V496" s="14" t="str" cm="1">
        <f t="array" aca="1" ref="V496" ca="1">_xlfn.IFS(Table1[[#This Row],[Agreement Days]]&gt;=0,"Expired",Table1[[#This Row],[Agreement Days]]&gt;=-30,"Expires &lt; 30 Days",Table1[[#This Row],[Agreement Days]]&gt;=-60,"Expires &lt; 60 Days",Table1[[#This Row],[Agreement Days]]&lt;-60,"Valid Contract")</f>
        <v>Valid Contract</v>
      </c>
      <c r="W496" s="14" t="s">
        <v>12</v>
      </c>
      <c r="X496" s="14" t="s">
        <v>1418</v>
      </c>
      <c r="Y496" s="16" t="s">
        <v>1419</v>
      </c>
      <c r="Z496" s="17" t="s">
        <v>1420</v>
      </c>
      <c r="AA496" s="17"/>
      <c r="AB496" s="116"/>
      <c r="AC496" s="116"/>
    </row>
    <row r="497" spans="1:29" x14ac:dyDescent="0.3">
      <c r="A497" s="18" t="s">
        <v>1415</v>
      </c>
      <c r="B497" s="18" t="s">
        <v>142</v>
      </c>
      <c r="C497" s="18" t="s">
        <v>1426</v>
      </c>
      <c r="D497" s="14" t="s">
        <v>532</v>
      </c>
      <c r="E497" s="18" t="s">
        <v>10</v>
      </c>
      <c r="F497" s="14" t="s">
        <v>527</v>
      </c>
      <c r="G497" s="14" t="s">
        <v>518</v>
      </c>
      <c r="H497" s="18" t="s">
        <v>2</v>
      </c>
      <c r="I497" s="14" t="s">
        <v>134</v>
      </c>
      <c r="J497" s="14">
        <v>15</v>
      </c>
      <c r="K497" s="14" t="s">
        <v>1427</v>
      </c>
      <c r="L497" s="14"/>
      <c r="M497" s="14">
        <v>1</v>
      </c>
      <c r="N497" s="15">
        <v>1350000</v>
      </c>
      <c r="O497" s="15">
        <f t="shared" si="19"/>
        <v>1350000</v>
      </c>
      <c r="P497" s="15"/>
      <c r="Q497" s="14" t="s">
        <v>520</v>
      </c>
      <c r="R497" s="25">
        <v>45230</v>
      </c>
      <c r="S497" s="22" t="str">
        <f>TEXT(Table1[[#This Row],[End Date]],"MMMM")</f>
        <v>October</v>
      </c>
      <c r="T497" s="23" t="str">
        <f>TEXT(Table1[[#This Row],[End Date]],"YYYY")</f>
        <v>2023</v>
      </c>
      <c r="U497" s="24">
        <f t="shared" ca="1" si="20"/>
        <v>-97</v>
      </c>
      <c r="V497" s="14" t="str" cm="1">
        <f t="array" aca="1" ref="V497" ca="1">_xlfn.IFS(Table1[[#This Row],[Agreement Days]]&gt;=0,"Expired",Table1[[#This Row],[Agreement Days]]&gt;=-30,"Expires &lt; 30 Days",Table1[[#This Row],[Agreement Days]]&gt;=-60,"Expires &lt; 60 Days",Table1[[#This Row],[Agreement Days]]&lt;-60,"Valid Contract")</f>
        <v>Valid Contract</v>
      </c>
      <c r="W497" s="14" t="s">
        <v>12</v>
      </c>
      <c r="X497" s="14" t="s">
        <v>1418</v>
      </c>
      <c r="Y497" s="16" t="s">
        <v>1419</v>
      </c>
      <c r="Z497" s="17" t="s">
        <v>1420</v>
      </c>
      <c r="AA497" s="17"/>
      <c r="AB497" s="116"/>
      <c r="AC497" s="116"/>
    </row>
    <row r="498" spans="1:29" x14ac:dyDescent="0.3">
      <c r="A498" s="18" t="s">
        <v>1415</v>
      </c>
      <c r="B498" s="18" t="s">
        <v>142</v>
      </c>
      <c r="C498" s="18" t="s">
        <v>1428</v>
      </c>
      <c r="D498" s="14" t="s">
        <v>653</v>
      </c>
      <c r="E498" s="18" t="s">
        <v>10</v>
      </c>
      <c r="F498" s="14" t="s">
        <v>527</v>
      </c>
      <c r="G498" s="14" t="s">
        <v>518</v>
      </c>
      <c r="H498" s="18" t="s">
        <v>5</v>
      </c>
      <c r="I498" s="14" t="s">
        <v>134</v>
      </c>
      <c r="J498" s="14">
        <v>25</v>
      </c>
      <c r="K498" s="14" t="s">
        <v>1429</v>
      </c>
      <c r="L498" s="14"/>
      <c r="M498" s="14">
        <v>1</v>
      </c>
      <c r="N498" s="15">
        <v>2500000</v>
      </c>
      <c r="O498" s="15">
        <f t="shared" si="19"/>
        <v>2500000</v>
      </c>
      <c r="P498" s="15"/>
      <c r="Q498" s="14" t="s">
        <v>520</v>
      </c>
      <c r="R498" s="25">
        <v>45230</v>
      </c>
      <c r="S498" s="22" t="str">
        <f>TEXT(Table1[[#This Row],[End Date]],"MMMM")</f>
        <v>October</v>
      </c>
      <c r="T498" s="23" t="str">
        <f>TEXT(Table1[[#This Row],[End Date]],"YYYY")</f>
        <v>2023</v>
      </c>
      <c r="U498" s="24">
        <f t="shared" ca="1" si="20"/>
        <v>-97</v>
      </c>
      <c r="V498" s="14" t="str" cm="1">
        <f t="array" aca="1" ref="V498" ca="1">_xlfn.IFS(Table1[[#This Row],[Agreement Days]]&gt;=0,"Expired",Table1[[#This Row],[Agreement Days]]&gt;=-30,"Expires &lt; 30 Days",Table1[[#This Row],[Agreement Days]]&gt;=-60,"Expires &lt; 60 Days",Table1[[#This Row],[Agreement Days]]&lt;-60,"Valid Contract")</f>
        <v>Valid Contract</v>
      </c>
      <c r="W498" s="14" t="s">
        <v>12</v>
      </c>
      <c r="X498" s="14" t="s">
        <v>1418</v>
      </c>
      <c r="Y498" s="16" t="s">
        <v>1419</v>
      </c>
      <c r="Z498" s="17" t="s">
        <v>1420</v>
      </c>
      <c r="AA498" s="17"/>
      <c r="AB498" s="116"/>
      <c r="AC498" s="116"/>
    </row>
    <row r="499" spans="1:29" x14ac:dyDescent="0.3">
      <c r="A499" s="18" t="s">
        <v>1415</v>
      </c>
      <c r="B499" s="18" t="s">
        <v>142</v>
      </c>
      <c r="C499" s="18" t="s">
        <v>1430</v>
      </c>
      <c r="D499" s="14" t="s">
        <v>759</v>
      </c>
      <c r="E499" s="18" t="s">
        <v>10</v>
      </c>
      <c r="F499" s="14" t="s">
        <v>527</v>
      </c>
      <c r="G499" s="14" t="s">
        <v>518</v>
      </c>
      <c r="H499" s="18" t="s">
        <v>2</v>
      </c>
      <c r="I499" s="14" t="s">
        <v>134</v>
      </c>
      <c r="J499" s="14">
        <v>45</v>
      </c>
      <c r="K499" s="14" t="s">
        <v>1431</v>
      </c>
      <c r="L499" s="14"/>
      <c r="M499" s="14">
        <v>1</v>
      </c>
      <c r="N499" s="15">
        <v>5310000</v>
      </c>
      <c r="O499" s="15">
        <f t="shared" si="19"/>
        <v>5310000</v>
      </c>
      <c r="P499" s="15"/>
      <c r="Q499" s="14" t="s">
        <v>520</v>
      </c>
      <c r="R499" s="25">
        <v>45230</v>
      </c>
      <c r="S499" s="22" t="str">
        <f>TEXT(Table1[[#This Row],[End Date]],"MMMM")</f>
        <v>October</v>
      </c>
      <c r="T499" s="23" t="str">
        <f>TEXT(Table1[[#This Row],[End Date]],"YYYY")</f>
        <v>2023</v>
      </c>
      <c r="U499" s="24">
        <f t="shared" ca="1" si="20"/>
        <v>-97</v>
      </c>
      <c r="V499" s="14" t="str" cm="1">
        <f t="array" aca="1" ref="V499" ca="1">_xlfn.IFS(Table1[[#This Row],[Agreement Days]]&gt;=0,"Expired",Table1[[#This Row],[Agreement Days]]&gt;=-30,"Expires &lt; 30 Days",Table1[[#This Row],[Agreement Days]]&gt;=-60,"Expires &lt; 60 Days",Table1[[#This Row],[Agreement Days]]&lt;-60,"Valid Contract")</f>
        <v>Valid Contract</v>
      </c>
      <c r="W499" s="14" t="s">
        <v>12</v>
      </c>
      <c r="X499" s="14" t="s">
        <v>1418</v>
      </c>
      <c r="Y499" s="16" t="s">
        <v>1419</v>
      </c>
      <c r="Z499" s="17" t="s">
        <v>1420</v>
      </c>
      <c r="AA499" s="17"/>
      <c r="AB499" s="116"/>
      <c r="AC499" s="116"/>
    </row>
    <row r="500" spans="1:29" x14ac:dyDescent="0.3">
      <c r="A500" s="18" t="s">
        <v>1415</v>
      </c>
      <c r="B500" s="18" t="s">
        <v>142</v>
      </c>
      <c r="C500" s="18" t="s">
        <v>1432</v>
      </c>
      <c r="D500" s="14" t="s">
        <v>545</v>
      </c>
      <c r="E500" s="18" t="s">
        <v>10</v>
      </c>
      <c r="F500" s="14" t="s">
        <v>527</v>
      </c>
      <c r="G500" s="14" t="s">
        <v>518</v>
      </c>
      <c r="H500" s="18" t="s">
        <v>2</v>
      </c>
      <c r="I500" s="14" t="s">
        <v>134</v>
      </c>
      <c r="J500" s="14"/>
      <c r="K500" s="14" t="s">
        <v>1433</v>
      </c>
      <c r="L500" s="14"/>
      <c r="M500" s="14">
        <v>1</v>
      </c>
      <c r="N500" s="15">
        <v>200000</v>
      </c>
      <c r="O500" s="15">
        <f t="shared" si="19"/>
        <v>200000</v>
      </c>
      <c r="P500" s="15"/>
      <c r="Q500" s="14" t="s">
        <v>520</v>
      </c>
      <c r="R500" s="25">
        <v>45230</v>
      </c>
      <c r="S500" s="22" t="str">
        <f>TEXT(Table1[[#This Row],[End Date]],"MMMM")</f>
        <v>October</v>
      </c>
      <c r="T500" s="23" t="str">
        <f>TEXT(Table1[[#This Row],[End Date]],"YYYY")</f>
        <v>2023</v>
      </c>
      <c r="U500" s="24">
        <f t="shared" ca="1" si="20"/>
        <v>-97</v>
      </c>
      <c r="V500" s="14" t="str" cm="1">
        <f t="array" aca="1" ref="V500" ca="1">_xlfn.IFS(Table1[[#This Row],[Agreement Days]]&gt;=0,"Expired",Table1[[#This Row],[Agreement Days]]&gt;=-30,"Expires &lt; 30 Days",Table1[[#This Row],[Agreement Days]]&gt;=-60,"Expires &lt; 60 Days",Table1[[#This Row],[Agreement Days]]&lt;-60,"Valid Contract")</f>
        <v>Valid Contract</v>
      </c>
      <c r="W500" s="14" t="s">
        <v>12</v>
      </c>
      <c r="X500" s="14" t="s">
        <v>1418</v>
      </c>
      <c r="Y500" s="16" t="s">
        <v>1419</v>
      </c>
      <c r="Z500" s="17" t="s">
        <v>1420</v>
      </c>
      <c r="AA500" s="17"/>
      <c r="AB500" s="116"/>
      <c r="AC500" s="116"/>
    </row>
    <row r="501" spans="1:29" x14ac:dyDescent="0.3">
      <c r="A501" s="18" t="s">
        <v>1434</v>
      </c>
      <c r="B501" s="18" t="s">
        <v>221</v>
      </c>
      <c r="C501" s="18" t="s">
        <v>1435</v>
      </c>
      <c r="D501" s="14" t="s">
        <v>545</v>
      </c>
      <c r="E501" s="18" t="s">
        <v>10</v>
      </c>
      <c r="F501" s="14" t="s">
        <v>527</v>
      </c>
      <c r="G501" s="14" t="s">
        <v>518</v>
      </c>
      <c r="H501" s="18" t="s">
        <v>5</v>
      </c>
      <c r="I501" s="14" t="s">
        <v>134</v>
      </c>
      <c r="J501" s="14">
        <v>8</v>
      </c>
      <c r="K501" s="14" t="s">
        <v>1436</v>
      </c>
      <c r="L501" s="14"/>
      <c r="M501" s="14">
        <v>1</v>
      </c>
      <c r="N501" s="15">
        <v>1037000</v>
      </c>
      <c r="O501" s="15">
        <f t="shared" si="19"/>
        <v>1037000</v>
      </c>
      <c r="P501" s="15"/>
      <c r="Q501" s="14" t="s">
        <v>520</v>
      </c>
      <c r="R501" s="25">
        <v>45230</v>
      </c>
      <c r="S501" s="22" t="str">
        <f>TEXT(Table1[[#This Row],[End Date]],"MMMM")</f>
        <v>October</v>
      </c>
      <c r="T501" s="23" t="str">
        <f>TEXT(Table1[[#This Row],[End Date]],"YYYY")</f>
        <v>2023</v>
      </c>
      <c r="U501" s="24">
        <f t="shared" ca="1" si="20"/>
        <v>-97</v>
      </c>
      <c r="V501" s="14" t="str" cm="1">
        <f t="array" aca="1" ref="V501" ca="1">_xlfn.IFS(Table1[[#This Row],[Agreement Days]]&gt;=0,"Expired",Table1[[#This Row],[Agreement Days]]&gt;=-30,"Expires &lt; 30 Days",Table1[[#This Row],[Agreement Days]]&gt;=-60,"Expires &lt; 60 Days",Table1[[#This Row],[Agreement Days]]&lt;-60,"Valid Contract")</f>
        <v>Valid Contract</v>
      </c>
      <c r="W501" s="14" t="s">
        <v>12</v>
      </c>
      <c r="X501" s="14" t="s">
        <v>1418</v>
      </c>
      <c r="Y501" s="16" t="s">
        <v>1419</v>
      </c>
      <c r="Z501" s="17" t="s">
        <v>1420</v>
      </c>
      <c r="AA501" s="17"/>
      <c r="AB501" s="116"/>
      <c r="AC501" s="116"/>
    </row>
    <row r="502" spans="1:29" x14ac:dyDescent="0.3">
      <c r="A502" s="18" t="s">
        <v>1434</v>
      </c>
      <c r="B502" s="18" t="s">
        <v>221</v>
      </c>
      <c r="C502" s="18" t="s">
        <v>1437</v>
      </c>
      <c r="D502" s="14" t="s">
        <v>545</v>
      </c>
      <c r="E502" s="18" t="s">
        <v>10</v>
      </c>
      <c r="F502" s="14" t="s">
        <v>527</v>
      </c>
      <c r="G502" s="14" t="s">
        <v>518</v>
      </c>
      <c r="H502" s="18" t="s">
        <v>5</v>
      </c>
      <c r="I502" s="14" t="s">
        <v>134</v>
      </c>
      <c r="J502" s="14">
        <v>10</v>
      </c>
      <c r="K502" s="14" t="s">
        <v>1391</v>
      </c>
      <c r="L502" s="14"/>
      <c r="M502" s="14">
        <v>1</v>
      </c>
      <c r="N502" s="15">
        <v>1450000</v>
      </c>
      <c r="O502" s="15">
        <f t="shared" si="19"/>
        <v>1450000</v>
      </c>
      <c r="P502" s="15"/>
      <c r="Q502" s="14" t="s">
        <v>520</v>
      </c>
      <c r="R502" s="25">
        <v>45230</v>
      </c>
      <c r="S502" s="22" t="str">
        <f>TEXT(Table1[[#This Row],[End Date]],"MMMM")</f>
        <v>October</v>
      </c>
      <c r="T502" s="23" t="str">
        <f>TEXT(Table1[[#This Row],[End Date]],"YYYY")</f>
        <v>2023</v>
      </c>
      <c r="U502" s="24">
        <f t="shared" ca="1" si="20"/>
        <v>-97</v>
      </c>
      <c r="V502" s="14" t="str" cm="1">
        <f t="array" aca="1" ref="V502" ca="1">_xlfn.IFS(Table1[[#This Row],[Agreement Days]]&gt;=0,"Expired",Table1[[#This Row],[Agreement Days]]&gt;=-30,"Expires &lt; 30 Days",Table1[[#This Row],[Agreement Days]]&gt;=-60,"Expires &lt; 60 Days",Table1[[#This Row],[Agreement Days]]&lt;-60,"Valid Contract")</f>
        <v>Valid Contract</v>
      </c>
      <c r="W502" s="14" t="s">
        <v>12</v>
      </c>
      <c r="X502" s="14" t="s">
        <v>1418</v>
      </c>
      <c r="Y502" s="16" t="s">
        <v>1419</v>
      </c>
      <c r="Z502" s="17" t="s">
        <v>1420</v>
      </c>
      <c r="AA502" s="17"/>
      <c r="AB502" s="116"/>
      <c r="AC502" s="116"/>
    </row>
    <row r="503" spans="1:29" hidden="1" x14ac:dyDescent="0.3">
      <c r="A503" s="18" t="s">
        <v>1438</v>
      </c>
      <c r="B503" s="18" t="s">
        <v>224</v>
      </c>
      <c r="C503" s="18" t="s">
        <v>1439</v>
      </c>
      <c r="D503" s="14" t="s">
        <v>545</v>
      </c>
      <c r="E503" s="18" t="s">
        <v>9</v>
      </c>
      <c r="F503" s="14" t="s">
        <v>517</v>
      </c>
      <c r="G503" s="14" t="s">
        <v>518</v>
      </c>
      <c r="H503" s="18" t="s">
        <v>5</v>
      </c>
      <c r="I503" s="14" t="s">
        <v>117</v>
      </c>
      <c r="J503" s="19">
        <v>20</v>
      </c>
      <c r="K503" s="26" t="s">
        <v>1440</v>
      </c>
      <c r="L503" s="26"/>
      <c r="M503" s="19">
        <v>1</v>
      </c>
      <c r="N503" s="15">
        <v>900000</v>
      </c>
      <c r="O503" s="15">
        <f t="shared" si="19"/>
        <v>900000</v>
      </c>
      <c r="P503" s="15"/>
      <c r="Q503" s="14" t="s">
        <v>520</v>
      </c>
      <c r="R503" s="25">
        <v>45230</v>
      </c>
      <c r="S503" s="34" t="str">
        <f>TEXT(Table1[[#This Row],[End Date]],"MMMM")</f>
        <v>October</v>
      </c>
      <c r="T503" s="34" t="str">
        <f>TEXT(Table1[[#This Row],[End Date]],"YYYY")</f>
        <v>2023</v>
      </c>
      <c r="U503" s="24">
        <f t="shared" ca="1" si="20"/>
        <v>-97</v>
      </c>
      <c r="V503" s="14" t="str" cm="1">
        <f t="array" aca="1" ref="V503" ca="1">_xlfn.IFS(Table1[[#This Row],[Agreement Days]]&gt;=0,"Expired",Table1[[#This Row],[Agreement Days]]&gt;=-30,"Expires &lt; 30 Days",Table1[[#This Row],[Agreement Days]]&gt;=-60,"Expires &lt; 60 Days",Table1[[#This Row],[Agreement Days]]&lt;-60,"Valid Contract")</f>
        <v>Valid Contract</v>
      </c>
      <c r="W503" s="26" t="s">
        <v>17</v>
      </c>
      <c r="X503" s="55" t="s">
        <v>1441</v>
      </c>
      <c r="Y503" s="35" t="s">
        <v>1442</v>
      </c>
      <c r="Z503" s="55">
        <v>788882605</v>
      </c>
      <c r="AA503" s="55"/>
      <c r="AB503" s="116"/>
      <c r="AC503" s="116"/>
    </row>
    <row r="504" spans="1:29" hidden="1" x14ac:dyDescent="0.3">
      <c r="A504" s="18" t="s">
        <v>1438</v>
      </c>
      <c r="B504" s="18" t="s">
        <v>224</v>
      </c>
      <c r="C504" s="18" t="s">
        <v>1439</v>
      </c>
      <c r="D504" s="14" t="s">
        <v>545</v>
      </c>
      <c r="E504" s="18" t="s">
        <v>9</v>
      </c>
      <c r="F504" s="14" t="s">
        <v>517</v>
      </c>
      <c r="G504" s="14" t="s">
        <v>518</v>
      </c>
      <c r="H504" s="18" t="s">
        <v>2</v>
      </c>
      <c r="I504" s="14" t="s">
        <v>131</v>
      </c>
      <c r="J504" s="26"/>
      <c r="K504" s="14" t="s">
        <v>1443</v>
      </c>
      <c r="L504" s="26"/>
      <c r="M504" s="19">
        <v>1</v>
      </c>
      <c r="N504" s="15">
        <v>270000</v>
      </c>
      <c r="O504" s="15">
        <f t="shared" si="19"/>
        <v>270000</v>
      </c>
      <c r="P504" s="15"/>
      <c r="Q504" s="14" t="s">
        <v>520</v>
      </c>
      <c r="R504" s="25">
        <v>45230</v>
      </c>
      <c r="S504" s="34" t="str">
        <f>TEXT(Table1[[#This Row],[End Date]],"MMMM")</f>
        <v>October</v>
      </c>
      <c r="T504" s="34" t="str">
        <f>TEXT(Table1[[#This Row],[End Date]],"YYYY")</f>
        <v>2023</v>
      </c>
      <c r="U504" s="24">
        <f t="shared" ca="1" si="20"/>
        <v>-97</v>
      </c>
      <c r="V504" s="14" t="str" cm="1">
        <f t="array" aca="1" ref="V504" ca="1">_xlfn.IFS(Table1[[#This Row],[Agreement Days]]&gt;=0,"Expired",Table1[[#This Row],[Agreement Days]]&gt;=-30,"Expires &lt; 30 Days",Table1[[#This Row],[Agreement Days]]&gt;=-60,"Expires &lt; 60 Days",Table1[[#This Row],[Agreement Days]]&lt;-60,"Valid Contract")</f>
        <v>Valid Contract</v>
      </c>
      <c r="W504" s="26" t="s">
        <v>17</v>
      </c>
      <c r="X504" s="55" t="s">
        <v>1441</v>
      </c>
      <c r="Y504" s="35" t="s">
        <v>1442</v>
      </c>
      <c r="Z504" s="55">
        <v>788882605</v>
      </c>
      <c r="AA504" s="55"/>
      <c r="AB504" s="116"/>
      <c r="AC504" s="116"/>
    </row>
    <row r="505" spans="1:29" hidden="1" x14ac:dyDescent="0.3">
      <c r="A505" s="18" t="s">
        <v>1438</v>
      </c>
      <c r="B505" s="18" t="s">
        <v>224</v>
      </c>
      <c r="C505" s="18" t="s">
        <v>1439</v>
      </c>
      <c r="D505" s="14" t="s">
        <v>545</v>
      </c>
      <c r="E505" s="18" t="s">
        <v>9</v>
      </c>
      <c r="F505" s="14" t="s">
        <v>517</v>
      </c>
      <c r="G505" s="14" t="s">
        <v>518</v>
      </c>
      <c r="H505" s="18" t="s">
        <v>4</v>
      </c>
      <c r="I505" s="14" t="s">
        <v>118</v>
      </c>
      <c r="J505" s="26"/>
      <c r="K505" s="26" t="s">
        <v>650</v>
      </c>
      <c r="L505" s="26"/>
      <c r="M505" s="19">
        <v>1</v>
      </c>
      <c r="N505" s="15">
        <v>369325</v>
      </c>
      <c r="O505" s="15">
        <f t="shared" si="19"/>
        <v>369325</v>
      </c>
      <c r="P505" s="15"/>
      <c r="Q505" s="14" t="s">
        <v>520</v>
      </c>
      <c r="R505" s="25">
        <v>45230</v>
      </c>
      <c r="S505" s="34" t="str">
        <f>TEXT(Table1[[#This Row],[End Date]],"MMMM")</f>
        <v>October</v>
      </c>
      <c r="T505" s="34" t="str">
        <f>TEXT(Table1[[#This Row],[End Date]],"YYYY")</f>
        <v>2023</v>
      </c>
      <c r="U505" s="24">
        <f t="shared" ca="1" si="20"/>
        <v>-97</v>
      </c>
      <c r="V505" s="14" t="str" cm="1">
        <f t="array" aca="1" ref="V505" ca="1">_xlfn.IFS(Table1[[#This Row],[Agreement Days]]&gt;=0,"Expired",Table1[[#This Row],[Agreement Days]]&gt;=-30,"Expires &lt; 30 Days",Table1[[#This Row],[Agreement Days]]&gt;=-60,"Expires &lt; 60 Days",Table1[[#This Row],[Agreement Days]]&lt;-60,"Valid Contract")</f>
        <v>Valid Contract</v>
      </c>
      <c r="W505" s="26" t="s">
        <v>17</v>
      </c>
      <c r="X505" s="55" t="s">
        <v>1441</v>
      </c>
      <c r="Y505" s="35" t="s">
        <v>1442</v>
      </c>
      <c r="Z505" s="55">
        <v>788882605</v>
      </c>
      <c r="AA505" s="55"/>
      <c r="AB505" s="116"/>
      <c r="AC505" s="116"/>
    </row>
    <row r="506" spans="1:29" hidden="1" x14ac:dyDescent="0.3">
      <c r="A506" s="18" t="s">
        <v>1438</v>
      </c>
      <c r="B506" s="18" t="s">
        <v>224</v>
      </c>
      <c r="C506" s="18" t="s">
        <v>1439</v>
      </c>
      <c r="D506" s="14" t="s">
        <v>545</v>
      </c>
      <c r="E506" s="18" t="s">
        <v>9</v>
      </c>
      <c r="F506" s="14" t="s">
        <v>517</v>
      </c>
      <c r="G506" s="14" t="s">
        <v>518</v>
      </c>
      <c r="H506" s="18" t="s">
        <v>5</v>
      </c>
      <c r="I506" s="14" t="s">
        <v>115</v>
      </c>
      <c r="J506" s="26"/>
      <c r="K506" s="18" t="s">
        <v>657</v>
      </c>
      <c r="L506" s="26"/>
      <c r="M506" s="19">
        <v>1</v>
      </c>
      <c r="N506" s="15">
        <v>45338.98</v>
      </c>
      <c r="O506" s="15">
        <f t="shared" si="19"/>
        <v>45338.98</v>
      </c>
      <c r="P506" s="15"/>
      <c r="Q506" s="14" t="s">
        <v>520</v>
      </c>
      <c r="R506" s="25">
        <v>45230</v>
      </c>
      <c r="S506" s="34" t="str">
        <f>TEXT(Table1[[#This Row],[End Date]],"MMMM")</f>
        <v>October</v>
      </c>
      <c r="T506" s="34" t="str">
        <f>TEXT(Table1[[#This Row],[End Date]],"YYYY")</f>
        <v>2023</v>
      </c>
      <c r="U506" s="24">
        <f t="shared" ca="1" si="20"/>
        <v>-97</v>
      </c>
      <c r="V506" s="14" t="str" cm="1">
        <f t="array" aca="1" ref="V506" ca="1">_xlfn.IFS(Table1[[#This Row],[Agreement Days]]&gt;=0,"Expired",Table1[[#This Row],[Agreement Days]]&gt;=-30,"Expires &lt; 30 Days",Table1[[#This Row],[Agreement Days]]&gt;=-60,"Expires &lt; 60 Days",Table1[[#This Row],[Agreement Days]]&lt;-60,"Valid Contract")</f>
        <v>Valid Contract</v>
      </c>
      <c r="W506" s="26" t="s">
        <v>17</v>
      </c>
      <c r="X506" s="55" t="s">
        <v>1441</v>
      </c>
      <c r="Y506" s="35" t="s">
        <v>1442</v>
      </c>
      <c r="Z506" s="55">
        <v>788882605</v>
      </c>
      <c r="AA506" s="55"/>
      <c r="AB506" s="116"/>
      <c r="AC506" s="116"/>
    </row>
    <row r="507" spans="1:29" hidden="1" x14ac:dyDescent="0.3">
      <c r="A507" s="18" t="s">
        <v>1438</v>
      </c>
      <c r="B507" s="18" t="s">
        <v>224</v>
      </c>
      <c r="C507" s="18" t="s">
        <v>1439</v>
      </c>
      <c r="D507" s="14" t="s">
        <v>545</v>
      </c>
      <c r="E507" s="18" t="s">
        <v>9</v>
      </c>
      <c r="F507" s="14" t="s">
        <v>517</v>
      </c>
      <c r="G507" s="14" t="s">
        <v>518</v>
      </c>
      <c r="H507" s="18" t="s">
        <v>5</v>
      </c>
      <c r="I507" s="14" t="s">
        <v>115</v>
      </c>
      <c r="J507" s="26"/>
      <c r="K507" s="18" t="s">
        <v>651</v>
      </c>
      <c r="L507" s="26"/>
      <c r="M507" s="19">
        <v>3</v>
      </c>
      <c r="N507" s="15">
        <f>96000/1.18</f>
        <v>81355.932203389835</v>
      </c>
      <c r="O507" s="15">
        <f t="shared" si="19"/>
        <v>244067.79661016952</v>
      </c>
      <c r="P507" s="15"/>
      <c r="Q507" s="14" t="s">
        <v>520</v>
      </c>
      <c r="R507" s="25">
        <v>45230</v>
      </c>
      <c r="S507" s="34" t="str">
        <f>TEXT(Table1[[#This Row],[End Date]],"MMMM")</f>
        <v>October</v>
      </c>
      <c r="T507" s="34" t="str">
        <f>TEXT(Table1[[#This Row],[End Date]],"YYYY")</f>
        <v>2023</v>
      </c>
      <c r="U507" s="24">
        <f t="shared" ca="1" si="20"/>
        <v>-97</v>
      </c>
      <c r="V507" s="14" t="str" cm="1">
        <f t="array" aca="1" ref="V507" ca="1">_xlfn.IFS(Table1[[#This Row],[Agreement Days]]&gt;=0,"Expired",Table1[[#This Row],[Agreement Days]]&gt;=-30,"Expires &lt; 30 Days",Table1[[#This Row],[Agreement Days]]&gt;=-60,"Expires &lt; 60 Days",Table1[[#This Row],[Agreement Days]]&lt;-60,"Valid Contract")</f>
        <v>Valid Contract</v>
      </c>
      <c r="W507" s="26" t="s">
        <v>17</v>
      </c>
      <c r="X507" s="55" t="s">
        <v>1441</v>
      </c>
      <c r="Y507" s="35" t="s">
        <v>1442</v>
      </c>
      <c r="Z507" s="55">
        <v>788882605</v>
      </c>
      <c r="AA507" s="55"/>
      <c r="AB507" s="116"/>
      <c r="AC507" s="116"/>
    </row>
    <row r="508" spans="1:29" hidden="1" x14ac:dyDescent="0.3">
      <c r="A508" s="18" t="s">
        <v>1438</v>
      </c>
      <c r="B508" s="18" t="s">
        <v>224</v>
      </c>
      <c r="C508" s="18" t="s">
        <v>1439</v>
      </c>
      <c r="D508" s="14" t="s">
        <v>545</v>
      </c>
      <c r="E508" s="18" t="s">
        <v>9</v>
      </c>
      <c r="F508" s="14" t="s">
        <v>517</v>
      </c>
      <c r="G508" s="14" t="s">
        <v>518</v>
      </c>
      <c r="H508" s="18" t="s">
        <v>5</v>
      </c>
      <c r="I508" s="14" t="s">
        <v>115</v>
      </c>
      <c r="J508" s="26"/>
      <c r="K508" s="18" t="s">
        <v>643</v>
      </c>
      <c r="L508" s="26"/>
      <c r="M508" s="19">
        <v>22</v>
      </c>
      <c r="N508" s="15">
        <v>28305.08</v>
      </c>
      <c r="O508" s="15">
        <f t="shared" si="19"/>
        <v>622711.76</v>
      </c>
      <c r="P508" s="15"/>
      <c r="Q508" s="14" t="s">
        <v>520</v>
      </c>
      <c r="R508" s="25">
        <v>45230</v>
      </c>
      <c r="S508" s="34" t="str">
        <f>TEXT(Table1[[#This Row],[End Date]],"MMMM")</f>
        <v>October</v>
      </c>
      <c r="T508" s="34" t="str">
        <f>TEXT(Table1[[#This Row],[End Date]],"YYYY")</f>
        <v>2023</v>
      </c>
      <c r="U508" s="24">
        <f t="shared" ca="1" si="20"/>
        <v>-97</v>
      </c>
      <c r="V508" s="14" t="str" cm="1">
        <f t="array" aca="1" ref="V508" ca="1">_xlfn.IFS(Table1[[#This Row],[Agreement Days]]&gt;=0,"Expired",Table1[[#This Row],[Agreement Days]]&gt;=-30,"Expires &lt; 30 Days",Table1[[#This Row],[Agreement Days]]&gt;=-60,"Expires &lt; 60 Days",Table1[[#This Row],[Agreement Days]]&lt;-60,"Valid Contract")</f>
        <v>Valid Contract</v>
      </c>
      <c r="W508" s="26" t="s">
        <v>17</v>
      </c>
      <c r="X508" s="55" t="s">
        <v>1441</v>
      </c>
      <c r="Y508" s="53" t="s">
        <v>1442</v>
      </c>
      <c r="Z508" s="55">
        <v>788882605</v>
      </c>
      <c r="AA508" s="55"/>
      <c r="AB508" s="116"/>
      <c r="AC508" s="116"/>
    </row>
    <row r="509" spans="1:29" hidden="1" x14ac:dyDescent="0.3">
      <c r="A509" s="18" t="s">
        <v>1444</v>
      </c>
      <c r="B509" s="18" t="s">
        <v>271</v>
      </c>
      <c r="C509" s="18" t="s">
        <v>1445</v>
      </c>
      <c r="D509" s="14" t="s">
        <v>545</v>
      </c>
      <c r="E509" s="18" t="s">
        <v>9</v>
      </c>
      <c r="F509" s="14" t="s">
        <v>517</v>
      </c>
      <c r="G509" s="14" t="s">
        <v>518</v>
      </c>
      <c r="H509" s="18" t="s">
        <v>2</v>
      </c>
      <c r="I509" s="14" t="s">
        <v>120</v>
      </c>
      <c r="J509" s="14"/>
      <c r="K509" s="14" t="s">
        <v>649</v>
      </c>
      <c r="L509" s="14"/>
      <c r="M509" s="14">
        <v>1</v>
      </c>
      <c r="N509" s="15">
        <v>258045</v>
      </c>
      <c r="O509" s="15">
        <f t="shared" si="19"/>
        <v>258045</v>
      </c>
      <c r="P509" s="15"/>
      <c r="Q509" s="14" t="s">
        <v>520</v>
      </c>
      <c r="R509" s="25">
        <v>45230</v>
      </c>
      <c r="S509" s="22" t="str">
        <f>TEXT(Table1[[#This Row],[End Date]],"MMMM")</f>
        <v>October</v>
      </c>
      <c r="T509" s="23" t="str">
        <f>TEXT(Table1[[#This Row],[End Date]],"YYYY")</f>
        <v>2023</v>
      </c>
      <c r="U509" s="24">
        <f t="shared" ca="1" si="20"/>
        <v>-97</v>
      </c>
      <c r="V509" s="14" t="str" cm="1">
        <f t="array" aca="1" ref="V509" ca="1">_xlfn.IFS(Table1[[#This Row],[Agreement Days]]&gt;=0,"Expired",Table1[[#This Row],[Agreement Days]]&gt;=-30,"Expires &lt; 30 Days",Table1[[#This Row],[Agreement Days]]&gt;=-60,"Expires &lt; 60 Days",Table1[[#This Row],[Agreement Days]]&lt;-60,"Valid Contract")</f>
        <v>Valid Contract</v>
      </c>
      <c r="W509" s="14" t="s">
        <v>20</v>
      </c>
      <c r="X509" s="26" t="s">
        <v>1446</v>
      </c>
      <c r="Y509" s="45" t="s">
        <v>1447</v>
      </c>
      <c r="Z509" s="17" t="s">
        <v>1448</v>
      </c>
      <c r="AA509" s="19"/>
      <c r="AB509" s="116"/>
      <c r="AC509" s="116"/>
    </row>
    <row r="510" spans="1:29" hidden="1" x14ac:dyDescent="0.3">
      <c r="A510" s="18" t="s">
        <v>1449</v>
      </c>
      <c r="B510" s="18" t="s">
        <v>442</v>
      </c>
      <c r="C510" s="18" t="s">
        <v>544</v>
      </c>
      <c r="D510" s="14" t="s">
        <v>545</v>
      </c>
      <c r="E510" s="18" t="s">
        <v>9</v>
      </c>
      <c r="F510" s="14" t="s">
        <v>688</v>
      </c>
      <c r="G510" s="14" t="s">
        <v>518</v>
      </c>
      <c r="H510" s="18" t="s">
        <v>5</v>
      </c>
      <c r="I510" s="14" t="s">
        <v>115</v>
      </c>
      <c r="J510" s="18"/>
      <c r="K510" s="18" t="s">
        <v>642</v>
      </c>
      <c r="L510" s="18"/>
      <c r="M510" s="14">
        <v>1</v>
      </c>
      <c r="N510" s="15">
        <v>101694.92</v>
      </c>
      <c r="O510" s="15">
        <f t="shared" si="19"/>
        <v>101694.92</v>
      </c>
      <c r="P510" s="15"/>
      <c r="Q510" s="14" t="s">
        <v>520</v>
      </c>
      <c r="R510" s="25">
        <v>45231</v>
      </c>
      <c r="S510" s="34" t="str">
        <f>TEXT(Table1[[#This Row],[End Date]],"MMMM")</f>
        <v>November</v>
      </c>
      <c r="T510" s="34" t="str">
        <f>TEXT(Table1[[#This Row],[End Date]],"YYYY")</f>
        <v>2023</v>
      </c>
      <c r="U510" s="24">
        <f t="shared" ca="1" si="20"/>
        <v>-98</v>
      </c>
      <c r="V510" s="14" t="str" cm="1">
        <f t="array" aca="1" ref="V510" ca="1">_xlfn.IFS(Table1[[#This Row],[Agreement Days]]&gt;=0,"Expired",Table1[[#This Row],[Agreement Days]]&gt;=-30,"Expires &lt; 30 Days",Table1[[#This Row],[Agreement Days]]&gt;=-60,"Expires &lt; 60 Days",Table1[[#This Row],[Agreement Days]]&lt;-60,"Valid Contract")</f>
        <v>Valid Contract</v>
      </c>
      <c r="W510" s="18" t="s">
        <v>14</v>
      </c>
      <c r="X510" s="18" t="s">
        <v>1450</v>
      </c>
      <c r="Y510" s="35" t="s">
        <v>1451</v>
      </c>
      <c r="Z510" s="27">
        <v>788597077</v>
      </c>
      <c r="AA510" s="27"/>
      <c r="AB510" s="116"/>
      <c r="AC510" s="116"/>
    </row>
    <row r="511" spans="1:29" hidden="1" x14ac:dyDescent="0.3">
      <c r="A511" s="18" t="s">
        <v>1384</v>
      </c>
      <c r="B511" s="18" t="s">
        <v>257</v>
      </c>
      <c r="C511" s="18" t="s">
        <v>257</v>
      </c>
      <c r="D511" s="14" t="s">
        <v>653</v>
      </c>
      <c r="E511" s="18" t="s">
        <v>9</v>
      </c>
      <c r="F511" s="14" t="s">
        <v>517</v>
      </c>
      <c r="G511" s="14" t="s">
        <v>518</v>
      </c>
      <c r="H511" s="18" t="s">
        <v>5</v>
      </c>
      <c r="I511" s="14" t="s">
        <v>117</v>
      </c>
      <c r="J511" s="14">
        <v>25</v>
      </c>
      <c r="K511" s="14" t="s">
        <v>1075</v>
      </c>
      <c r="L511" s="14"/>
      <c r="M511" s="14">
        <v>1</v>
      </c>
      <c r="N511" s="15">
        <v>1080000</v>
      </c>
      <c r="O511" s="15">
        <f t="shared" si="19"/>
        <v>1080000</v>
      </c>
      <c r="P511" s="15"/>
      <c r="Q511" s="14" t="s">
        <v>520</v>
      </c>
      <c r="R511" s="25">
        <v>45233</v>
      </c>
      <c r="S511" s="22" t="str">
        <f>TEXT(Table1[[#This Row],[End Date]],"MMMM")</f>
        <v>November</v>
      </c>
      <c r="T511" s="23" t="str">
        <f>TEXT(Table1[[#This Row],[End Date]],"YYYY")</f>
        <v>2023</v>
      </c>
      <c r="U511" s="24">
        <f t="shared" ca="1" si="20"/>
        <v>-100</v>
      </c>
      <c r="V511" s="14" t="str" cm="1">
        <f t="array" aca="1" ref="V511" ca="1">_xlfn.IFS(Table1[[#This Row],[Agreement Days]]&gt;=0,"Expired",Table1[[#This Row],[Agreement Days]]&gt;=-30,"Expires &lt; 30 Days",Table1[[#This Row],[Agreement Days]]&gt;=-60,"Expires &lt; 60 Days",Table1[[#This Row],[Agreement Days]]&lt;-60,"Valid Contract")</f>
        <v>Valid Contract</v>
      </c>
      <c r="W511" s="14" t="s">
        <v>20</v>
      </c>
      <c r="X511" s="26" t="s">
        <v>1386</v>
      </c>
      <c r="Y511" s="45" t="s">
        <v>1387</v>
      </c>
      <c r="Z511" s="17" t="s">
        <v>1388</v>
      </c>
      <c r="AA511" s="19"/>
      <c r="AB511" s="116"/>
      <c r="AC511" s="116"/>
    </row>
    <row r="512" spans="1:29" hidden="1" x14ac:dyDescent="0.3">
      <c r="A512" s="18" t="s">
        <v>1384</v>
      </c>
      <c r="B512" s="18" t="s">
        <v>257</v>
      </c>
      <c r="C512" s="18" t="s">
        <v>257</v>
      </c>
      <c r="D512" s="14" t="s">
        <v>653</v>
      </c>
      <c r="E512" s="18" t="s">
        <v>9</v>
      </c>
      <c r="F512" s="14" t="s">
        <v>517</v>
      </c>
      <c r="G512" s="14" t="s">
        <v>518</v>
      </c>
      <c r="H512" s="18" t="s">
        <v>2</v>
      </c>
      <c r="I512" s="14" t="s">
        <v>131</v>
      </c>
      <c r="J512" s="14"/>
      <c r="K512" s="14" t="s">
        <v>554</v>
      </c>
      <c r="L512" s="14"/>
      <c r="M512" s="14">
        <v>1</v>
      </c>
      <c r="N512" s="15">
        <v>189000</v>
      </c>
      <c r="O512" s="15">
        <f t="shared" si="19"/>
        <v>189000</v>
      </c>
      <c r="P512" s="15"/>
      <c r="Q512" s="14" t="s">
        <v>520</v>
      </c>
      <c r="R512" s="25">
        <v>45233</v>
      </c>
      <c r="S512" s="22" t="str">
        <f>TEXT(Table1[[#This Row],[End Date]],"MMMM")</f>
        <v>November</v>
      </c>
      <c r="T512" s="23" t="str">
        <f>TEXT(Table1[[#This Row],[End Date]],"YYYY")</f>
        <v>2023</v>
      </c>
      <c r="U512" s="24">
        <f t="shared" ca="1" si="20"/>
        <v>-100</v>
      </c>
      <c r="V512" s="14" t="str" cm="1">
        <f t="array" aca="1" ref="V512" ca="1">_xlfn.IFS(Table1[[#This Row],[Agreement Days]]&gt;=0,"Expired",Table1[[#This Row],[Agreement Days]]&gt;=-30,"Expires &lt; 30 Days",Table1[[#This Row],[Agreement Days]]&gt;=-60,"Expires &lt; 60 Days",Table1[[#This Row],[Agreement Days]]&lt;-60,"Valid Contract")</f>
        <v>Valid Contract</v>
      </c>
      <c r="W512" s="14" t="s">
        <v>20</v>
      </c>
      <c r="X512" s="26" t="s">
        <v>1386</v>
      </c>
      <c r="Y512" s="16" t="s">
        <v>1387</v>
      </c>
      <c r="Z512" s="17" t="s">
        <v>1388</v>
      </c>
      <c r="AA512" s="19"/>
      <c r="AB512" s="116"/>
      <c r="AC512" s="116"/>
    </row>
    <row r="513" spans="1:29" hidden="1" x14ac:dyDescent="0.3">
      <c r="A513" s="18" t="s">
        <v>1452</v>
      </c>
      <c r="B513" s="18" t="s">
        <v>440</v>
      </c>
      <c r="C513" s="18" t="s">
        <v>1453</v>
      </c>
      <c r="D513" s="14" t="s">
        <v>545</v>
      </c>
      <c r="E513" s="18" t="s">
        <v>10</v>
      </c>
      <c r="F513" s="14" t="s">
        <v>560</v>
      </c>
      <c r="G513" s="14" t="s">
        <v>518</v>
      </c>
      <c r="H513" s="18" t="s">
        <v>5</v>
      </c>
      <c r="I513" s="14" t="s">
        <v>115</v>
      </c>
      <c r="J513" s="14"/>
      <c r="K513" s="18" t="s">
        <v>642</v>
      </c>
      <c r="L513" s="14"/>
      <c r="M513" s="14">
        <v>1</v>
      </c>
      <c r="N513" s="15">
        <v>101694.92</v>
      </c>
      <c r="O513" s="15">
        <f t="shared" si="19"/>
        <v>101694.92</v>
      </c>
      <c r="P513" s="15"/>
      <c r="Q513" s="14" t="s">
        <v>520</v>
      </c>
      <c r="R513" s="25">
        <v>45252</v>
      </c>
      <c r="S513" s="22" t="str">
        <f>TEXT(Table1[[#This Row],[End Date]],"MMMM")</f>
        <v>November</v>
      </c>
      <c r="T513" s="23" t="str">
        <f>TEXT(Table1[[#This Row],[End Date]],"YYYY")</f>
        <v>2023</v>
      </c>
      <c r="U513" s="24">
        <f t="shared" ca="1" si="20"/>
        <v>-119</v>
      </c>
      <c r="V513" s="14" t="str" cm="1">
        <f t="array" aca="1" ref="V513" ca="1">_xlfn.IFS(Table1[[#This Row],[Agreement Days]]&gt;=0,"Expired",Table1[[#This Row],[Agreement Days]]&gt;=-30,"Expires &lt; 30 Days",Table1[[#This Row],[Agreement Days]]&gt;=-60,"Expires &lt; 60 Days",Table1[[#This Row],[Agreement Days]]&lt;-60,"Valid Contract")</f>
        <v>Valid Contract</v>
      </c>
      <c r="W513" s="14" t="s">
        <v>20</v>
      </c>
      <c r="X513" s="26" t="s">
        <v>1454</v>
      </c>
      <c r="Y513" s="45" t="s">
        <v>1455</v>
      </c>
      <c r="Z513" s="17" t="s">
        <v>1456</v>
      </c>
      <c r="AA513" s="19"/>
      <c r="AB513" s="116"/>
      <c r="AC513" s="116"/>
    </row>
    <row r="514" spans="1:29" hidden="1" x14ac:dyDescent="0.3">
      <c r="A514" s="18" t="s">
        <v>698</v>
      </c>
      <c r="B514" s="18" t="s">
        <v>122</v>
      </c>
      <c r="C514" s="18" t="s">
        <v>122</v>
      </c>
      <c r="D514" s="14" t="s">
        <v>545</v>
      </c>
      <c r="E514" s="18" t="s">
        <v>9</v>
      </c>
      <c r="F514" s="14" t="s">
        <v>517</v>
      </c>
      <c r="G514" s="14" t="s">
        <v>546</v>
      </c>
      <c r="H514" s="18" t="s">
        <v>5</v>
      </c>
      <c r="I514" s="14" t="s">
        <v>115</v>
      </c>
      <c r="J514" s="14"/>
      <c r="K514" s="26" t="s">
        <v>573</v>
      </c>
      <c r="L514" s="14"/>
      <c r="M514" s="20">
        <v>77</v>
      </c>
      <c r="N514" s="15">
        <v>19491.53</v>
      </c>
      <c r="O514" s="15">
        <f t="shared" si="19"/>
        <v>1500847.8099999998</v>
      </c>
      <c r="P514" s="15"/>
      <c r="Q514" s="14" t="s">
        <v>520</v>
      </c>
      <c r="R514" s="25">
        <v>45257</v>
      </c>
      <c r="S514" s="22" t="str">
        <f>TEXT(Table1[[#This Row],[End Date]],"MMMM")</f>
        <v>November</v>
      </c>
      <c r="T514" s="23" t="str">
        <f>TEXT(Table1[[#This Row],[End Date]],"YYYY")</f>
        <v>2023</v>
      </c>
      <c r="U514" s="24">
        <f t="shared" ca="1" si="20"/>
        <v>-124</v>
      </c>
      <c r="V514" s="14" t="str" cm="1">
        <f t="array" aca="1" ref="V514" ca="1">_xlfn.IFS(Table1[[#This Row],[Agreement Days]]&gt;=0,"Expired",Table1[[#This Row],[Agreement Days]]&gt;=-30,"Expires &lt; 30 Days",Table1[[#This Row],[Agreement Days]]&gt;=-60,"Expires &lt; 60 Days",Table1[[#This Row],[Agreement Days]]&lt;-60,"Valid Contract")</f>
        <v>Valid Contract</v>
      </c>
      <c r="W514" s="14" t="s">
        <v>16</v>
      </c>
      <c r="X514" s="20" t="s">
        <v>701</v>
      </c>
      <c r="Y514" s="16" t="s">
        <v>702</v>
      </c>
      <c r="Z514" s="17" t="s">
        <v>703</v>
      </c>
      <c r="AA514" s="17"/>
      <c r="AB514" s="116"/>
      <c r="AC514" s="116"/>
    </row>
    <row r="515" spans="1:29" x14ac:dyDescent="0.3">
      <c r="A515" s="18" t="s">
        <v>1212</v>
      </c>
      <c r="B515" s="18" t="s">
        <v>38</v>
      </c>
      <c r="C515" s="18" t="s">
        <v>1457</v>
      </c>
      <c r="D515" s="14" t="s">
        <v>653</v>
      </c>
      <c r="E515" s="18" t="s">
        <v>9</v>
      </c>
      <c r="F515" s="14" t="s">
        <v>631</v>
      </c>
      <c r="G515" s="14" t="s">
        <v>518</v>
      </c>
      <c r="H515" s="18" t="s">
        <v>5</v>
      </c>
      <c r="I515" s="14" t="s">
        <v>117</v>
      </c>
      <c r="J515" s="14">
        <v>5</v>
      </c>
      <c r="K515" s="14" t="s">
        <v>730</v>
      </c>
      <c r="L515" s="14"/>
      <c r="M515" s="14">
        <v>1</v>
      </c>
      <c r="N515" s="15">
        <f>318600/1.18</f>
        <v>270000</v>
      </c>
      <c r="O515" s="15">
        <f t="shared" si="19"/>
        <v>270000</v>
      </c>
      <c r="P515" s="15"/>
      <c r="Q515" s="14" t="s">
        <v>520</v>
      </c>
      <c r="R515" s="25">
        <v>45260</v>
      </c>
      <c r="S515" s="22" t="str">
        <f>TEXT(Table1[[#This Row],[End Date]],"MMMM")</f>
        <v>November</v>
      </c>
      <c r="T515" s="23" t="str">
        <f>TEXT(Table1[[#This Row],[End Date]],"YYYY")</f>
        <v>2023</v>
      </c>
      <c r="U515" s="24">
        <f t="shared" ca="1" si="20"/>
        <v>-127</v>
      </c>
      <c r="V515" s="14" t="str" cm="1">
        <f t="array" aca="1" ref="V515" ca="1">_xlfn.IFS(Table1[[#This Row],[Agreement Days]]&gt;=0,"Expired",Table1[[#This Row],[Agreement Days]]&gt;=-30,"Expires &lt; 30 Days",Table1[[#This Row],[Agreement Days]]&gt;=-60,"Expires &lt; 60 Days",Table1[[#This Row],[Agreement Days]]&lt;-60,"Valid Contract")</f>
        <v>Valid Contract</v>
      </c>
      <c r="W515" s="14" t="s">
        <v>12</v>
      </c>
      <c r="X515" s="14" t="s">
        <v>1214</v>
      </c>
      <c r="Y515" s="16" t="s">
        <v>1215</v>
      </c>
      <c r="Z515" s="17" t="s">
        <v>1216</v>
      </c>
      <c r="AA515" s="17"/>
      <c r="AB515" s="116"/>
      <c r="AC515" s="116"/>
    </row>
    <row r="516" spans="1:29" hidden="1" x14ac:dyDescent="0.3">
      <c r="A516" s="18" t="s">
        <v>1458</v>
      </c>
      <c r="B516" s="18" t="s">
        <v>397</v>
      </c>
      <c r="C516" s="18" t="s">
        <v>397</v>
      </c>
      <c r="D516" s="14" t="s">
        <v>761</v>
      </c>
      <c r="E516" s="18" t="s">
        <v>10</v>
      </c>
      <c r="F516" s="14" t="s">
        <v>688</v>
      </c>
      <c r="G516" s="14" t="s">
        <v>518</v>
      </c>
      <c r="H516" s="18" t="s">
        <v>5</v>
      </c>
      <c r="I516" s="14" t="s">
        <v>134</v>
      </c>
      <c r="J516" s="14">
        <v>5</v>
      </c>
      <c r="K516" s="18" t="s">
        <v>519</v>
      </c>
      <c r="L516" s="18"/>
      <c r="M516" s="14">
        <v>1</v>
      </c>
      <c r="N516" s="15">
        <v>270000</v>
      </c>
      <c r="O516" s="15">
        <f t="shared" si="19"/>
        <v>270000</v>
      </c>
      <c r="P516" s="15"/>
      <c r="Q516" s="14" t="s">
        <v>520</v>
      </c>
      <c r="R516" s="25">
        <v>45260</v>
      </c>
      <c r="S516" s="34" t="str">
        <f>TEXT(Table1[[#This Row],[End Date]],"MMMM")</f>
        <v>November</v>
      </c>
      <c r="T516" s="34" t="str">
        <f>TEXT(Table1[[#This Row],[End Date]],"YYYY")</f>
        <v>2023</v>
      </c>
      <c r="U516" s="24">
        <f t="shared" ca="1" si="20"/>
        <v>-127</v>
      </c>
      <c r="V516" s="14" t="str" cm="1">
        <f t="array" aca="1" ref="V516" ca="1">_xlfn.IFS(Table1[[#This Row],[Agreement Days]]&gt;=0,"Expired",Table1[[#This Row],[Agreement Days]]&gt;=-30,"Expires &lt; 30 Days",Table1[[#This Row],[Agreement Days]]&gt;=-60,"Expires &lt; 60 Days",Table1[[#This Row],[Agreement Days]]&lt;-60,"Valid Contract")</f>
        <v>Valid Contract</v>
      </c>
      <c r="W516" s="18" t="s">
        <v>21</v>
      </c>
      <c r="X516" s="18" t="s">
        <v>1459</v>
      </c>
      <c r="Y516" s="42" t="s">
        <v>1460</v>
      </c>
      <c r="Z516" s="27" t="s">
        <v>1461</v>
      </c>
      <c r="AA516" s="27"/>
      <c r="AB516" s="116"/>
      <c r="AC516" s="116"/>
    </row>
    <row r="517" spans="1:29" hidden="1" x14ac:dyDescent="0.3">
      <c r="A517" s="18" t="s">
        <v>1462</v>
      </c>
      <c r="B517" s="18" t="s">
        <v>470</v>
      </c>
      <c r="C517" s="18" t="s">
        <v>470</v>
      </c>
      <c r="D517" s="14" t="s">
        <v>540</v>
      </c>
      <c r="E517" s="18" t="s">
        <v>10</v>
      </c>
      <c r="F517" s="14" t="s">
        <v>527</v>
      </c>
      <c r="G517" s="14" t="s">
        <v>518</v>
      </c>
      <c r="H517" s="18" t="s">
        <v>2</v>
      </c>
      <c r="I517" s="14" t="s">
        <v>123</v>
      </c>
      <c r="J517" s="14"/>
      <c r="K517" s="20" t="s">
        <v>1100</v>
      </c>
      <c r="L517" s="14"/>
      <c r="M517" s="14">
        <v>1</v>
      </c>
      <c r="N517" s="15">
        <v>53563</v>
      </c>
      <c r="O517" s="15">
        <f t="shared" si="19"/>
        <v>53563</v>
      </c>
      <c r="P517" s="15"/>
      <c r="Q517" s="14" t="s">
        <v>520</v>
      </c>
      <c r="R517" s="25">
        <v>45260</v>
      </c>
      <c r="S517" s="22" t="str">
        <f>TEXT(Table1[[#This Row],[End Date]],"MMMM")</f>
        <v>November</v>
      </c>
      <c r="T517" s="23" t="str">
        <f>TEXT(Table1[[#This Row],[End Date]],"YYYY")</f>
        <v>2023</v>
      </c>
      <c r="U517" s="24">
        <f t="shared" ca="1" si="20"/>
        <v>-127</v>
      </c>
      <c r="V517" s="14" t="str" cm="1">
        <f t="array" aca="1" ref="V517" ca="1">_xlfn.IFS(Table1[[#This Row],[Agreement Days]]&gt;=0,"Expired",Table1[[#This Row],[Agreement Days]]&gt;=-30,"Expires &lt; 30 Days",Table1[[#This Row],[Agreement Days]]&gt;=-60,"Expires &lt; 60 Days",Table1[[#This Row],[Agreement Days]]&lt;-60,"Valid Contract")</f>
        <v>Valid Contract</v>
      </c>
      <c r="W517" s="14" t="s">
        <v>20</v>
      </c>
      <c r="X517" s="26" t="s">
        <v>1463</v>
      </c>
      <c r="Y517" s="45" t="s">
        <v>1464</v>
      </c>
      <c r="Z517" s="17" t="s">
        <v>1465</v>
      </c>
      <c r="AA517" s="19"/>
      <c r="AB517" s="116"/>
      <c r="AC517" s="116"/>
    </row>
    <row r="518" spans="1:29" hidden="1" x14ac:dyDescent="0.3">
      <c r="A518" s="18" t="s">
        <v>1466</v>
      </c>
      <c r="B518" s="18" t="s">
        <v>165</v>
      </c>
      <c r="C518" s="18" t="s">
        <v>1467</v>
      </c>
      <c r="D518" s="14" t="s">
        <v>540</v>
      </c>
      <c r="E518" s="18" t="s">
        <v>9</v>
      </c>
      <c r="F518" s="14" t="s">
        <v>688</v>
      </c>
      <c r="G518" s="14" t="s">
        <v>518</v>
      </c>
      <c r="H518" s="18" t="s">
        <v>5</v>
      </c>
      <c r="I518" s="14" t="s">
        <v>117</v>
      </c>
      <c r="J518" s="14">
        <v>50</v>
      </c>
      <c r="K518" s="18" t="s">
        <v>673</v>
      </c>
      <c r="L518" s="18"/>
      <c r="M518" s="14">
        <v>1</v>
      </c>
      <c r="N518" s="15">
        <v>1800000</v>
      </c>
      <c r="O518" s="15">
        <f t="shared" si="19"/>
        <v>1800000</v>
      </c>
      <c r="P518" s="15"/>
      <c r="Q518" s="14" t="s">
        <v>520</v>
      </c>
      <c r="R518" s="25">
        <v>45260</v>
      </c>
      <c r="S518" s="34" t="str">
        <f>TEXT(Table1[[#This Row],[End Date]],"MMMM")</f>
        <v>November</v>
      </c>
      <c r="T518" s="34" t="str">
        <f>TEXT(Table1[[#This Row],[End Date]],"YYYY")</f>
        <v>2023</v>
      </c>
      <c r="U518" s="24">
        <f t="shared" ca="1" si="20"/>
        <v>-127</v>
      </c>
      <c r="V518" s="14" t="str" cm="1">
        <f t="array" aca="1" ref="V518" ca="1">_xlfn.IFS(Table1[[#This Row],[Agreement Days]]&gt;=0,"Expired",Table1[[#This Row],[Agreement Days]]&gt;=-30,"Expires &lt; 30 Days",Table1[[#This Row],[Agreement Days]]&gt;=-60,"Expires &lt; 60 Days",Table1[[#This Row],[Agreement Days]]&lt;-60,"Valid Contract")</f>
        <v>Valid Contract</v>
      </c>
      <c r="W518" s="18" t="s">
        <v>21</v>
      </c>
      <c r="X518" s="18" t="s">
        <v>1468</v>
      </c>
      <c r="Y518" s="42" t="s">
        <v>1469</v>
      </c>
      <c r="Z518" s="27">
        <v>788352228</v>
      </c>
      <c r="AA518" s="27"/>
      <c r="AB518" s="116"/>
      <c r="AC518" s="116"/>
    </row>
    <row r="519" spans="1:29" hidden="1" x14ac:dyDescent="0.3">
      <c r="A519" s="18" t="s">
        <v>1466</v>
      </c>
      <c r="B519" s="18" t="s">
        <v>165</v>
      </c>
      <c r="C519" s="18" t="s">
        <v>1467</v>
      </c>
      <c r="D519" s="14" t="s">
        <v>540</v>
      </c>
      <c r="E519" s="18" t="s">
        <v>9</v>
      </c>
      <c r="F519" s="14" t="s">
        <v>688</v>
      </c>
      <c r="G519" s="14" t="s">
        <v>518</v>
      </c>
      <c r="H519" s="18" t="s">
        <v>4</v>
      </c>
      <c r="I519" s="14" t="s">
        <v>118</v>
      </c>
      <c r="J519" s="18"/>
      <c r="K519" s="18" t="s">
        <v>650</v>
      </c>
      <c r="L519" s="18"/>
      <c r="M519" s="14">
        <v>1</v>
      </c>
      <c r="N519" s="15">
        <v>369325</v>
      </c>
      <c r="O519" s="15">
        <f t="shared" ref="O519:O582" si="21">N519*M519</f>
        <v>369325</v>
      </c>
      <c r="P519" s="15"/>
      <c r="Q519" s="14" t="s">
        <v>520</v>
      </c>
      <c r="R519" s="25">
        <v>45260</v>
      </c>
      <c r="S519" s="34" t="str">
        <f>TEXT(Table1[[#This Row],[End Date]],"MMMM")</f>
        <v>November</v>
      </c>
      <c r="T519" s="34" t="str">
        <f>TEXT(Table1[[#This Row],[End Date]],"YYYY")</f>
        <v>2023</v>
      </c>
      <c r="U519" s="24">
        <f t="shared" ref="U519:U582" ca="1" si="22">TODAY()-R519</f>
        <v>-127</v>
      </c>
      <c r="V519" s="14" t="str" cm="1">
        <f t="array" aca="1" ref="V519" ca="1">_xlfn.IFS(Table1[[#This Row],[Agreement Days]]&gt;=0,"Expired",Table1[[#This Row],[Agreement Days]]&gt;=-30,"Expires &lt; 30 Days",Table1[[#This Row],[Agreement Days]]&gt;=-60,"Expires &lt; 60 Days",Table1[[#This Row],[Agreement Days]]&lt;-60,"Valid Contract")</f>
        <v>Valid Contract</v>
      </c>
      <c r="W519" s="18" t="s">
        <v>21</v>
      </c>
      <c r="X519" s="18" t="s">
        <v>1468</v>
      </c>
      <c r="Y519" s="42" t="s">
        <v>1469</v>
      </c>
      <c r="Z519" s="27">
        <v>788352228</v>
      </c>
      <c r="AA519" s="27"/>
      <c r="AB519" s="116"/>
      <c r="AC519" s="116"/>
    </row>
    <row r="520" spans="1:29" hidden="1" x14ac:dyDescent="0.3">
      <c r="A520" s="18" t="s">
        <v>1466</v>
      </c>
      <c r="B520" s="18" t="s">
        <v>165</v>
      </c>
      <c r="C520" s="18" t="s">
        <v>1467</v>
      </c>
      <c r="D520" s="14" t="s">
        <v>540</v>
      </c>
      <c r="E520" s="18" t="s">
        <v>9</v>
      </c>
      <c r="F520" s="14" t="s">
        <v>688</v>
      </c>
      <c r="G520" s="14" t="s">
        <v>518</v>
      </c>
      <c r="H520" s="18" t="s">
        <v>2</v>
      </c>
      <c r="I520" s="14" t="s">
        <v>120</v>
      </c>
      <c r="J520" s="18"/>
      <c r="K520" s="18" t="s">
        <v>1470</v>
      </c>
      <c r="L520" s="18"/>
      <c r="M520" s="14">
        <v>3</v>
      </c>
      <c r="N520" s="15">
        <f>258045*3</f>
        <v>774135</v>
      </c>
      <c r="O520" s="15">
        <f t="shared" si="21"/>
        <v>2322405</v>
      </c>
      <c r="P520" s="15"/>
      <c r="Q520" s="14" t="s">
        <v>520</v>
      </c>
      <c r="R520" s="25">
        <v>45260</v>
      </c>
      <c r="S520" s="34" t="str">
        <f>TEXT(Table1[[#This Row],[End Date]],"MMMM")</f>
        <v>November</v>
      </c>
      <c r="T520" s="34" t="str">
        <f>TEXT(Table1[[#This Row],[End Date]],"YYYY")</f>
        <v>2023</v>
      </c>
      <c r="U520" s="24">
        <f t="shared" ca="1" si="22"/>
        <v>-127</v>
      </c>
      <c r="V520" s="14" t="str" cm="1">
        <f t="array" aca="1" ref="V520" ca="1">_xlfn.IFS(Table1[[#This Row],[Agreement Days]]&gt;=0,"Expired",Table1[[#This Row],[Agreement Days]]&gt;=-30,"Expires &lt; 30 Days",Table1[[#This Row],[Agreement Days]]&gt;=-60,"Expires &lt; 60 Days",Table1[[#This Row],[Agreement Days]]&lt;-60,"Valid Contract")</f>
        <v>Valid Contract</v>
      </c>
      <c r="W520" s="18" t="s">
        <v>21</v>
      </c>
      <c r="X520" s="18" t="s">
        <v>1468</v>
      </c>
      <c r="Y520" s="42" t="s">
        <v>1469</v>
      </c>
      <c r="Z520" s="27">
        <v>788352228</v>
      </c>
      <c r="AA520" s="27"/>
      <c r="AB520" s="116"/>
      <c r="AC520" s="116"/>
    </row>
    <row r="521" spans="1:29" hidden="1" x14ac:dyDescent="0.3">
      <c r="A521" s="18" t="s">
        <v>1466</v>
      </c>
      <c r="B521" s="18" t="s">
        <v>165</v>
      </c>
      <c r="C521" s="18" t="s">
        <v>1467</v>
      </c>
      <c r="D521" s="14" t="s">
        <v>540</v>
      </c>
      <c r="E521" s="18" t="s">
        <v>9</v>
      </c>
      <c r="F521" s="14" t="s">
        <v>688</v>
      </c>
      <c r="G521" s="14" t="s">
        <v>518</v>
      </c>
      <c r="H521" s="18" t="s">
        <v>5</v>
      </c>
      <c r="I521" s="14" t="s">
        <v>115</v>
      </c>
      <c r="J521" s="18"/>
      <c r="K521" s="18" t="s">
        <v>642</v>
      </c>
      <c r="L521" s="18"/>
      <c r="M521" s="14">
        <v>13</v>
      </c>
      <c r="N521" s="15">
        <v>101694.92</v>
      </c>
      <c r="O521" s="15">
        <f t="shared" si="21"/>
        <v>1322033.96</v>
      </c>
      <c r="P521" s="15"/>
      <c r="Q521" s="14" t="s">
        <v>520</v>
      </c>
      <c r="R521" s="25">
        <v>45260</v>
      </c>
      <c r="S521" s="34" t="str">
        <f>TEXT(Table1[[#This Row],[End Date]],"MMMM")</f>
        <v>November</v>
      </c>
      <c r="T521" s="34" t="str">
        <f>TEXT(Table1[[#This Row],[End Date]],"YYYY")</f>
        <v>2023</v>
      </c>
      <c r="U521" s="24">
        <f t="shared" ca="1" si="22"/>
        <v>-127</v>
      </c>
      <c r="V521" s="14" t="str" cm="1">
        <f t="array" aca="1" ref="V521" ca="1">_xlfn.IFS(Table1[[#This Row],[Agreement Days]]&gt;=0,"Expired",Table1[[#This Row],[Agreement Days]]&gt;=-30,"Expires &lt; 30 Days",Table1[[#This Row],[Agreement Days]]&gt;=-60,"Expires &lt; 60 Days",Table1[[#This Row],[Agreement Days]]&lt;-60,"Valid Contract")</f>
        <v>Valid Contract</v>
      </c>
      <c r="W521" s="18" t="s">
        <v>21</v>
      </c>
      <c r="X521" s="18" t="s">
        <v>1468</v>
      </c>
      <c r="Y521" s="42" t="s">
        <v>1469</v>
      </c>
      <c r="Z521" s="27">
        <v>788352228</v>
      </c>
      <c r="AA521" s="27"/>
      <c r="AB521" s="116"/>
      <c r="AC521" s="116"/>
    </row>
    <row r="522" spans="1:29" hidden="1" x14ac:dyDescent="0.3">
      <c r="A522" s="18" t="s">
        <v>1471</v>
      </c>
      <c r="B522" s="18" t="s">
        <v>160</v>
      </c>
      <c r="C522" s="18" t="s">
        <v>1472</v>
      </c>
      <c r="D522" s="14" t="s">
        <v>808</v>
      </c>
      <c r="E522" s="18" t="s">
        <v>9</v>
      </c>
      <c r="F522" s="14" t="s">
        <v>517</v>
      </c>
      <c r="G522" s="14" t="s">
        <v>518</v>
      </c>
      <c r="H522" s="18" t="s">
        <v>5</v>
      </c>
      <c r="I522" s="14" t="s">
        <v>115</v>
      </c>
      <c r="J522" s="14"/>
      <c r="K522" s="18" t="s">
        <v>638</v>
      </c>
      <c r="L522" s="14"/>
      <c r="M522" s="14">
        <v>2</v>
      </c>
      <c r="N522" s="15">
        <f>118500/1.18</f>
        <v>100423.72881355933</v>
      </c>
      <c r="O522" s="15">
        <f t="shared" si="21"/>
        <v>200847.45762711865</v>
      </c>
      <c r="P522" s="15"/>
      <c r="Q522" s="14" t="s">
        <v>520</v>
      </c>
      <c r="R522" s="25">
        <v>45260</v>
      </c>
      <c r="S522" s="22" t="str">
        <f>TEXT(Table1[[#This Row],[End Date]],"MMMM")</f>
        <v>November</v>
      </c>
      <c r="T522" s="22" t="str">
        <f>TEXT(Table1[[#This Row],[End Date]],"YYYY")</f>
        <v>2023</v>
      </c>
      <c r="U522" s="28">
        <f t="shared" ca="1" si="22"/>
        <v>-127</v>
      </c>
      <c r="V522" s="14" t="str" cm="1">
        <f t="array" aca="1" ref="V522" ca="1">_xlfn.IFS(Table1[[#This Row],[Agreement Days]]&gt;=0,"Expired",Table1[[#This Row],[Agreement Days]]&gt;=-30,"Expires &lt; 30 Days",Table1[[#This Row],[Agreement Days]]&gt;=-60,"Expires &lt; 60 Days",Table1[[#This Row],[Agreement Days]]&lt;-60,"Valid Contract")</f>
        <v>Valid Contract</v>
      </c>
      <c r="W522" s="14" t="s">
        <v>20</v>
      </c>
      <c r="X522" s="26" t="s">
        <v>1473</v>
      </c>
      <c r="Y522" s="16" t="s">
        <v>1474</v>
      </c>
      <c r="Z522" s="17" t="s">
        <v>1475</v>
      </c>
      <c r="AA522" s="17"/>
      <c r="AB522" s="116"/>
      <c r="AC522" s="116"/>
    </row>
    <row r="523" spans="1:29" hidden="1" x14ac:dyDescent="0.3">
      <c r="A523" s="18" t="s">
        <v>1471</v>
      </c>
      <c r="B523" s="18" t="s">
        <v>160</v>
      </c>
      <c r="C523" s="18" t="s">
        <v>1472</v>
      </c>
      <c r="D523" s="14" t="s">
        <v>808</v>
      </c>
      <c r="E523" s="18" t="s">
        <v>9</v>
      </c>
      <c r="F523" s="14" t="s">
        <v>517</v>
      </c>
      <c r="G523" s="14" t="s">
        <v>518</v>
      </c>
      <c r="H523" s="18" t="s">
        <v>5</v>
      </c>
      <c r="I523" s="14" t="s">
        <v>115</v>
      </c>
      <c r="J523" s="14"/>
      <c r="K523" s="18" t="s">
        <v>722</v>
      </c>
      <c r="L523" s="14"/>
      <c r="M523" s="14">
        <v>3</v>
      </c>
      <c r="N523" s="15">
        <f>91700/1.18</f>
        <v>77711.86440677967</v>
      </c>
      <c r="O523" s="15">
        <f t="shared" si="21"/>
        <v>233135.59322033901</v>
      </c>
      <c r="P523" s="15"/>
      <c r="Q523" s="14" t="s">
        <v>520</v>
      </c>
      <c r="R523" s="25">
        <v>45260</v>
      </c>
      <c r="S523" s="22" t="str">
        <f>TEXT(Table1[[#This Row],[End Date]],"MMMM")</f>
        <v>November</v>
      </c>
      <c r="T523" s="23" t="str">
        <f>TEXT(Table1[[#This Row],[End Date]],"YYYY")</f>
        <v>2023</v>
      </c>
      <c r="U523" s="24">
        <f t="shared" ca="1" si="22"/>
        <v>-127</v>
      </c>
      <c r="V523" s="14" t="str" cm="1">
        <f t="array" aca="1" ref="V523" ca="1">_xlfn.IFS(Table1[[#This Row],[Agreement Days]]&gt;=0,"Expired",Table1[[#This Row],[Agreement Days]]&gt;=-30,"Expires &lt; 30 Days",Table1[[#This Row],[Agreement Days]]&gt;=-60,"Expires &lt; 60 Days",Table1[[#This Row],[Agreement Days]]&lt;-60,"Valid Contract")</f>
        <v>Valid Contract</v>
      </c>
      <c r="W523" s="14" t="s">
        <v>20</v>
      </c>
      <c r="X523" s="26" t="s">
        <v>1473</v>
      </c>
      <c r="Y523" s="16" t="s">
        <v>1474</v>
      </c>
      <c r="Z523" s="17" t="s">
        <v>1475</v>
      </c>
      <c r="AA523" s="19"/>
      <c r="AB523" s="116"/>
      <c r="AC523" s="116"/>
    </row>
    <row r="524" spans="1:29" hidden="1" x14ac:dyDescent="0.3">
      <c r="A524" s="18" t="s">
        <v>1471</v>
      </c>
      <c r="B524" s="18" t="s">
        <v>160</v>
      </c>
      <c r="C524" s="18" t="s">
        <v>1472</v>
      </c>
      <c r="D524" s="14" t="s">
        <v>808</v>
      </c>
      <c r="E524" s="18" t="s">
        <v>9</v>
      </c>
      <c r="F524" s="14" t="s">
        <v>517</v>
      </c>
      <c r="G524" s="14" t="s">
        <v>518</v>
      </c>
      <c r="H524" s="18" t="s">
        <v>5</v>
      </c>
      <c r="I524" s="14" t="s">
        <v>115</v>
      </c>
      <c r="J524" s="14"/>
      <c r="K524" s="18" t="s">
        <v>813</v>
      </c>
      <c r="L524" s="14"/>
      <c r="M524" s="14">
        <v>10</v>
      </c>
      <c r="N524" s="15">
        <v>19491.53</v>
      </c>
      <c r="O524" s="15">
        <f t="shared" si="21"/>
        <v>194915.3</v>
      </c>
      <c r="P524" s="15"/>
      <c r="Q524" s="14" t="s">
        <v>520</v>
      </c>
      <c r="R524" s="25">
        <v>45260</v>
      </c>
      <c r="S524" s="22" t="str">
        <f>TEXT(Table1[[#This Row],[End Date]],"MMMM")</f>
        <v>November</v>
      </c>
      <c r="T524" s="23" t="str">
        <f>TEXT(Table1[[#This Row],[End Date]],"YYYY")</f>
        <v>2023</v>
      </c>
      <c r="U524" s="24">
        <f t="shared" ca="1" si="22"/>
        <v>-127</v>
      </c>
      <c r="V524" s="14" t="str" cm="1">
        <f t="array" aca="1" ref="V524" ca="1">_xlfn.IFS(Table1[[#This Row],[Agreement Days]]&gt;=0,"Expired",Table1[[#This Row],[Agreement Days]]&gt;=-30,"Expires &lt; 30 Days",Table1[[#This Row],[Agreement Days]]&gt;=-60,"Expires &lt; 60 Days",Table1[[#This Row],[Agreement Days]]&lt;-60,"Valid Contract")</f>
        <v>Valid Contract</v>
      </c>
      <c r="W524" s="14" t="s">
        <v>20</v>
      </c>
      <c r="X524" s="26" t="s">
        <v>1473</v>
      </c>
      <c r="Y524" s="16" t="s">
        <v>1474</v>
      </c>
      <c r="Z524" s="17" t="s">
        <v>1475</v>
      </c>
      <c r="AA524" s="19"/>
      <c r="AB524" s="116"/>
      <c r="AC524" s="116"/>
    </row>
    <row r="525" spans="1:29" hidden="1" x14ac:dyDescent="0.3">
      <c r="A525" s="18" t="s">
        <v>1471</v>
      </c>
      <c r="B525" s="18" t="s">
        <v>160</v>
      </c>
      <c r="C525" s="18" t="s">
        <v>1472</v>
      </c>
      <c r="D525" s="14" t="s">
        <v>808</v>
      </c>
      <c r="E525" s="18" t="s">
        <v>9</v>
      </c>
      <c r="F525" s="14" t="s">
        <v>517</v>
      </c>
      <c r="G525" s="14" t="s">
        <v>518</v>
      </c>
      <c r="H525" s="18" t="s">
        <v>5</v>
      </c>
      <c r="I525" s="14" t="s">
        <v>115</v>
      </c>
      <c r="J525" s="14"/>
      <c r="K525" s="18" t="s">
        <v>657</v>
      </c>
      <c r="L525" s="14"/>
      <c r="M525" s="14">
        <v>32</v>
      </c>
      <c r="N525" s="15">
        <v>45338.98</v>
      </c>
      <c r="O525" s="15">
        <f t="shared" si="21"/>
        <v>1450847.36</v>
      </c>
      <c r="P525" s="15"/>
      <c r="Q525" s="14" t="s">
        <v>520</v>
      </c>
      <c r="R525" s="25">
        <v>45260</v>
      </c>
      <c r="S525" s="22" t="str">
        <f>TEXT(Table1[[#This Row],[End Date]],"MMMM")</f>
        <v>November</v>
      </c>
      <c r="T525" s="23" t="str">
        <f>TEXT(Table1[[#This Row],[End Date]],"YYYY")</f>
        <v>2023</v>
      </c>
      <c r="U525" s="24">
        <f t="shared" ca="1" si="22"/>
        <v>-127</v>
      </c>
      <c r="V525" s="14" t="str" cm="1">
        <f t="array" aca="1" ref="V525" ca="1">_xlfn.IFS(Table1[[#This Row],[Agreement Days]]&gt;=0,"Expired",Table1[[#This Row],[Agreement Days]]&gt;=-30,"Expires &lt; 30 Days",Table1[[#This Row],[Agreement Days]]&gt;=-60,"Expires &lt; 60 Days",Table1[[#This Row],[Agreement Days]]&lt;-60,"Valid Contract")</f>
        <v>Valid Contract</v>
      </c>
      <c r="W525" s="14" t="s">
        <v>20</v>
      </c>
      <c r="X525" s="26" t="s">
        <v>1473</v>
      </c>
      <c r="Y525" s="45" t="s">
        <v>1474</v>
      </c>
      <c r="Z525" s="17" t="s">
        <v>1475</v>
      </c>
      <c r="AA525" s="19"/>
      <c r="AB525" s="116"/>
      <c r="AC525" s="116"/>
    </row>
    <row r="526" spans="1:29" hidden="1" x14ac:dyDescent="0.3">
      <c r="A526" s="18" t="s">
        <v>1476</v>
      </c>
      <c r="B526" s="18" t="s">
        <v>292</v>
      </c>
      <c r="C526" s="18" t="s">
        <v>1477</v>
      </c>
      <c r="D526" s="14" t="s">
        <v>735</v>
      </c>
      <c r="E526" s="18" t="s">
        <v>9</v>
      </c>
      <c r="F526" s="14" t="s">
        <v>517</v>
      </c>
      <c r="G526" s="14" t="s">
        <v>518</v>
      </c>
      <c r="H526" s="18" t="s">
        <v>5</v>
      </c>
      <c r="I526" s="14" t="s">
        <v>115</v>
      </c>
      <c r="J526" s="14"/>
      <c r="K526" s="18" t="s">
        <v>573</v>
      </c>
      <c r="L526" s="14"/>
      <c r="M526" s="14">
        <v>20</v>
      </c>
      <c r="N526" s="15">
        <v>19491.53</v>
      </c>
      <c r="O526" s="15">
        <f t="shared" si="21"/>
        <v>389830.6</v>
      </c>
      <c r="P526" s="15"/>
      <c r="Q526" s="14" t="s">
        <v>520</v>
      </c>
      <c r="R526" s="25">
        <v>45260</v>
      </c>
      <c r="S526" s="22" t="str">
        <f>TEXT(Table1[[#This Row],[End Date]],"MMMM")</f>
        <v>November</v>
      </c>
      <c r="T526" s="23" t="str">
        <f>TEXT(Table1[[#This Row],[End Date]],"YYYY")</f>
        <v>2023</v>
      </c>
      <c r="U526" s="24">
        <f t="shared" ca="1" si="22"/>
        <v>-127</v>
      </c>
      <c r="V526" s="14" t="str" cm="1">
        <f t="array" aca="1" ref="V526" ca="1">_xlfn.IFS(Table1[[#This Row],[Agreement Days]]&gt;=0,"Expired",Table1[[#This Row],[Agreement Days]]&gt;=-30,"Expires &lt; 30 Days",Table1[[#This Row],[Agreement Days]]&gt;=-60,"Expires &lt; 60 Days",Table1[[#This Row],[Agreement Days]]&lt;-60,"Valid Contract")</f>
        <v>Valid Contract</v>
      </c>
      <c r="W526" s="14" t="s">
        <v>19</v>
      </c>
      <c r="X526" s="14" t="s">
        <v>1478</v>
      </c>
      <c r="Y526" s="14" t="s">
        <v>1479</v>
      </c>
      <c r="Z526" s="17">
        <v>788512166</v>
      </c>
      <c r="AA526" s="17"/>
      <c r="AB526" s="116"/>
      <c r="AC526" s="116"/>
    </row>
    <row r="527" spans="1:29" hidden="1" x14ac:dyDescent="0.3">
      <c r="A527" s="18" t="s">
        <v>1480</v>
      </c>
      <c r="B527" s="18" t="s">
        <v>364</v>
      </c>
      <c r="C527" s="18" t="s">
        <v>364</v>
      </c>
      <c r="D527" s="14" t="s">
        <v>653</v>
      </c>
      <c r="E527" s="18" t="s">
        <v>9</v>
      </c>
      <c r="F527" s="14" t="s">
        <v>1203</v>
      </c>
      <c r="G527" s="14" t="s">
        <v>518</v>
      </c>
      <c r="H527" s="18" t="s">
        <v>5</v>
      </c>
      <c r="I527" s="14" t="s">
        <v>117</v>
      </c>
      <c r="J527" s="14">
        <v>10</v>
      </c>
      <c r="K527" s="14" t="s">
        <v>884</v>
      </c>
      <c r="L527" s="14"/>
      <c r="M527" s="14">
        <v>1</v>
      </c>
      <c r="N527" s="15">
        <v>510000</v>
      </c>
      <c r="O527" s="15">
        <f t="shared" si="21"/>
        <v>510000</v>
      </c>
      <c r="P527" s="15"/>
      <c r="Q527" s="14" t="s">
        <v>520</v>
      </c>
      <c r="R527" s="25">
        <v>45260</v>
      </c>
      <c r="S527" s="22" t="str">
        <f>TEXT(Table1[[#This Row],[End Date]],"MMMM")</f>
        <v>November</v>
      </c>
      <c r="T527" s="23" t="str">
        <f>TEXT(Table1[[#This Row],[End Date]],"YYYY")</f>
        <v>2023</v>
      </c>
      <c r="U527" s="24">
        <f t="shared" ca="1" si="22"/>
        <v>-127</v>
      </c>
      <c r="V527" s="14" t="str" cm="1">
        <f t="array" aca="1" ref="V527" ca="1">_xlfn.IFS(Table1[[#This Row],[Agreement Days]]&gt;=0,"Expired",Table1[[#This Row],[Agreement Days]]&gt;=-30,"Expires &lt; 30 Days",Table1[[#This Row],[Agreement Days]]&gt;=-60,"Expires &lt; 60 Days",Table1[[#This Row],[Agreement Days]]&lt;-60,"Valid Contract")</f>
        <v>Valid Contract</v>
      </c>
      <c r="W527" s="14" t="s">
        <v>19</v>
      </c>
      <c r="X527" s="14" t="s">
        <v>1481</v>
      </c>
      <c r="Y527" s="43" t="s">
        <v>1482</v>
      </c>
      <c r="Z527" s="17">
        <v>788830909</v>
      </c>
      <c r="AA527" s="17"/>
      <c r="AB527" s="116"/>
      <c r="AC527" s="116"/>
    </row>
    <row r="528" spans="1:29" hidden="1" x14ac:dyDescent="0.3">
      <c r="A528" s="18" t="s">
        <v>1483</v>
      </c>
      <c r="B528" s="18" t="s">
        <v>67</v>
      </c>
      <c r="C528" s="18" t="s">
        <v>67</v>
      </c>
      <c r="D528" s="14" t="s">
        <v>532</v>
      </c>
      <c r="E528" s="18" t="s">
        <v>9</v>
      </c>
      <c r="F528" s="14" t="s">
        <v>631</v>
      </c>
      <c r="G528" s="14" t="s">
        <v>518</v>
      </c>
      <c r="H528" s="18" t="s">
        <v>5</v>
      </c>
      <c r="I528" s="14" t="s">
        <v>117</v>
      </c>
      <c r="J528" s="14">
        <v>5</v>
      </c>
      <c r="K528" s="14" t="s">
        <v>763</v>
      </c>
      <c r="L528" s="14"/>
      <c r="M528" s="14">
        <v>1</v>
      </c>
      <c r="N528" s="15">
        <f>318600/1.18</f>
        <v>270000</v>
      </c>
      <c r="O528" s="15">
        <f t="shared" si="21"/>
        <v>270000</v>
      </c>
      <c r="P528" s="15"/>
      <c r="Q528" s="14" t="s">
        <v>520</v>
      </c>
      <c r="R528" s="25">
        <v>45260</v>
      </c>
      <c r="S528" s="22" t="str">
        <f>TEXT(Table1[[#This Row],[End Date]],"MMMM")</f>
        <v>November</v>
      </c>
      <c r="T528" s="23" t="str">
        <f>TEXT(Table1[[#This Row],[End Date]],"YYYY")</f>
        <v>2023</v>
      </c>
      <c r="U528" s="24">
        <f t="shared" ca="1" si="22"/>
        <v>-127</v>
      </c>
      <c r="V528" s="14" t="str" cm="1">
        <f t="array" aca="1" ref="V528" ca="1">_xlfn.IFS(Table1[[#This Row],[Agreement Days]]&gt;=0,"Expired",Table1[[#This Row],[Agreement Days]]&gt;=-30,"Expires &lt; 30 Days",Table1[[#This Row],[Agreement Days]]&gt;=-60,"Expires &lt; 60 Days",Table1[[#This Row],[Agreement Days]]&lt;-60,"Valid Contract")</f>
        <v>Valid Contract</v>
      </c>
      <c r="W528" s="14" t="s">
        <v>13</v>
      </c>
      <c r="X528" s="14" t="s">
        <v>1484</v>
      </c>
      <c r="Y528" s="43" t="s">
        <v>1485</v>
      </c>
      <c r="Z528" s="17">
        <v>788869439</v>
      </c>
      <c r="AA528" s="17"/>
      <c r="AB528" s="116"/>
      <c r="AC528" s="116"/>
    </row>
    <row r="529" spans="1:29" hidden="1" x14ac:dyDescent="0.3">
      <c r="A529" s="18" t="s">
        <v>1486</v>
      </c>
      <c r="B529" s="18" t="s">
        <v>446</v>
      </c>
      <c r="C529" s="18" t="s">
        <v>446</v>
      </c>
      <c r="D529" s="14" t="s">
        <v>653</v>
      </c>
      <c r="E529" s="18" t="s">
        <v>10</v>
      </c>
      <c r="F529" s="14" t="s">
        <v>560</v>
      </c>
      <c r="G529" s="14" t="s">
        <v>518</v>
      </c>
      <c r="H529" s="18" t="s">
        <v>2</v>
      </c>
      <c r="I529" s="14" t="s">
        <v>123</v>
      </c>
      <c r="J529" s="14"/>
      <c r="K529" s="14" t="s">
        <v>1104</v>
      </c>
      <c r="L529" s="14"/>
      <c r="M529" s="14">
        <v>1</v>
      </c>
      <c r="N529" s="15">
        <v>99710</v>
      </c>
      <c r="O529" s="15">
        <f t="shared" si="21"/>
        <v>99710</v>
      </c>
      <c r="P529" s="15"/>
      <c r="Q529" s="14" t="s">
        <v>520</v>
      </c>
      <c r="R529" s="25">
        <v>45260</v>
      </c>
      <c r="S529" s="22" t="str">
        <f>TEXT(Table1[[#This Row],[End Date]],"MMMM")</f>
        <v>November</v>
      </c>
      <c r="T529" s="23" t="str">
        <f>TEXT(Table1[[#This Row],[End Date]],"YYYY")</f>
        <v>2023</v>
      </c>
      <c r="U529" s="24">
        <f t="shared" ca="1" si="22"/>
        <v>-127</v>
      </c>
      <c r="V529" s="14" t="str" cm="1">
        <f t="array" aca="1" ref="V529" ca="1">_xlfn.IFS(Table1[[#This Row],[Agreement Days]]&gt;=0,"Expired",Table1[[#This Row],[Agreement Days]]&gt;=-30,"Expires &lt; 30 Days",Table1[[#This Row],[Agreement Days]]&gt;=-60,"Expires &lt; 60 Days",Table1[[#This Row],[Agreement Days]]&lt;-60,"Valid Contract")</f>
        <v>Valid Contract</v>
      </c>
      <c r="W529" s="14" t="s">
        <v>20</v>
      </c>
      <c r="X529" s="55" t="s">
        <v>1487</v>
      </c>
      <c r="Y529" s="16" t="s">
        <v>1488</v>
      </c>
      <c r="Z529" s="17" t="s">
        <v>1489</v>
      </c>
      <c r="AA529" s="19"/>
      <c r="AB529" s="116"/>
      <c r="AC529" s="116"/>
    </row>
    <row r="530" spans="1:29" hidden="1" x14ac:dyDescent="0.3">
      <c r="A530" s="18" t="s">
        <v>1490</v>
      </c>
      <c r="B530" s="18" t="s">
        <v>48</v>
      </c>
      <c r="C530" s="18" t="s">
        <v>1491</v>
      </c>
      <c r="D530" s="14" t="s">
        <v>619</v>
      </c>
      <c r="E530" s="18" t="s">
        <v>9</v>
      </c>
      <c r="F530" s="14" t="s">
        <v>631</v>
      </c>
      <c r="G530" s="14" t="s">
        <v>518</v>
      </c>
      <c r="H530" s="18" t="s">
        <v>5</v>
      </c>
      <c r="I530" s="14" t="s">
        <v>117</v>
      </c>
      <c r="J530" s="14">
        <v>10</v>
      </c>
      <c r="K530" s="14" t="s">
        <v>1129</v>
      </c>
      <c r="L530" s="14"/>
      <c r="M530" s="14">
        <v>1</v>
      </c>
      <c r="N530" s="15">
        <v>510000</v>
      </c>
      <c r="O530" s="15">
        <f t="shared" si="21"/>
        <v>510000</v>
      </c>
      <c r="P530" s="15"/>
      <c r="Q530" s="14" t="s">
        <v>520</v>
      </c>
      <c r="R530" s="25">
        <v>45268</v>
      </c>
      <c r="S530" s="22" t="str">
        <f>TEXT(Table1[[#This Row],[End Date]],"MMMM")</f>
        <v>December</v>
      </c>
      <c r="T530" s="23" t="str">
        <f>TEXT(Table1[[#This Row],[End Date]],"YYYY")</f>
        <v>2023</v>
      </c>
      <c r="U530" s="24">
        <f t="shared" ca="1" si="22"/>
        <v>-135</v>
      </c>
      <c r="V530" s="14" t="str" cm="1">
        <f t="array" aca="1" ref="V530" ca="1">_xlfn.IFS(Table1[[#This Row],[Agreement Days]]&gt;=0,"Expired",Table1[[#This Row],[Agreement Days]]&gt;=-30,"Expires &lt; 30 Days",Table1[[#This Row],[Agreement Days]]&gt;=-60,"Expires &lt; 60 Days",Table1[[#This Row],[Agreement Days]]&lt;-60,"Valid Contract")</f>
        <v>Valid Contract</v>
      </c>
      <c r="W530" s="14" t="s">
        <v>13</v>
      </c>
      <c r="X530" s="14" t="s">
        <v>1130</v>
      </c>
      <c r="Y530" s="43" t="s">
        <v>1492</v>
      </c>
      <c r="Z530" s="17">
        <v>788411507</v>
      </c>
      <c r="AA530" s="17"/>
      <c r="AB530" s="116"/>
      <c r="AC530" s="116"/>
    </row>
    <row r="531" spans="1:29" hidden="1" x14ac:dyDescent="0.3">
      <c r="A531" s="18" t="s">
        <v>1493</v>
      </c>
      <c r="B531" s="18" t="s">
        <v>29</v>
      </c>
      <c r="C531" s="18" t="s">
        <v>544</v>
      </c>
      <c r="D531" s="14" t="s">
        <v>545</v>
      </c>
      <c r="E531" s="18" t="s">
        <v>10</v>
      </c>
      <c r="F531" s="14" t="s">
        <v>631</v>
      </c>
      <c r="G531" s="14" t="s">
        <v>546</v>
      </c>
      <c r="H531" s="18" t="s">
        <v>2</v>
      </c>
      <c r="I531" s="14" t="s">
        <v>134</v>
      </c>
      <c r="J531" s="14">
        <v>100</v>
      </c>
      <c r="K531" s="18" t="s">
        <v>1494</v>
      </c>
      <c r="L531" s="18"/>
      <c r="M531" s="14">
        <v>1</v>
      </c>
      <c r="N531" s="15">
        <v>3600000</v>
      </c>
      <c r="O531" s="15">
        <f t="shared" si="21"/>
        <v>3600000</v>
      </c>
      <c r="P531" s="15"/>
      <c r="Q531" s="14" t="s">
        <v>520</v>
      </c>
      <c r="R531" s="25">
        <v>45269</v>
      </c>
      <c r="S531" s="34" t="str">
        <f>TEXT(Table1[[#This Row],[End Date]],"MMMM")</f>
        <v>December</v>
      </c>
      <c r="T531" s="34" t="str">
        <f>TEXT(Table1[[#This Row],[End Date]],"YYYY")</f>
        <v>2023</v>
      </c>
      <c r="U531" s="24">
        <f t="shared" ca="1" si="22"/>
        <v>-136</v>
      </c>
      <c r="V531" s="14" t="str" cm="1">
        <f t="array" aca="1" ref="V531" ca="1">_xlfn.IFS(Table1[[#This Row],[Agreement Days]]&gt;=0,"Expired",Table1[[#This Row],[Agreement Days]]&gt;=-30,"Expires &lt; 30 Days",Table1[[#This Row],[Agreement Days]]&gt;=-60,"Expires &lt; 60 Days",Table1[[#This Row],[Agreement Days]]&lt;-60,"Valid Contract")</f>
        <v>Valid Contract</v>
      </c>
      <c r="W531" s="18" t="s">
        <v>18</v>
      </c>
      <c r="X531" s="18" t="s">
        <v>1495</v>
      </c>
      <c r="Y531" s="35" t="s">
        <v>1496</v>
      </c>
      <c r="Z531" s="36" t="s">
        <v>1497</v>
      </c>
      <c r="AA531" s="36"/>
      <c r="AB531" s="116"/>
      <c r="AC531" s="116"/>
    </row>
    <row r="532" spans="1:29" x14ac:dyDescent="0.3">
      <c r="A532" s="18" t="s">
        <v>598</v>
      </c>
      <c r="B532" s="18" t="s">
        <v>119</v>
      </c>
      <c r="C532" s="18" t="s">
        <v>1498</v>
      </c>
      <c r="D532" s="14" t="s">
        <v>1499</v>
      </c>
      <c r="E532" s="18" t="s">
        <v>9</v>
      </c>
      <c r="F532" s="14" t="s">
        <v>601</v>
      </c>
      <c r="G532" s="14" t="s">
        <v>546</v>
      </c>
      <c r="H532" s="18" t="s">
        <v>2</v>
      </c>
      <c r="I532" s="14" t="s">
        <v>121</v>
      </c>
      <c r="J532" s="20">
        <v>6</v>
      </c>
      <c r="K532" s="14" t="s">
        <v>1500</v>
      </c>
      <c r="L532" s="14"/>
      <c r="M532" s="14">
        <v>1</v>
      </c>
      <c r="N532" s="15">
        <v>5421468</v>
      </c>
      <c r="O532" s="15">
        <f t="shared" si="21"/>
        <v>5421468</v>
      </c>
      <c r="P532" s="15"/>
      <c r="Q532" s="14" t="s">
        <v>520</v>
      </c>
      <c r="R532" s="21">
        <v>45274</v>
      </c>
      <c r="S532" s="22" t="str">
        <f>TEXT(Table1[[#This Row],[End Date]],"MMMM")</f>
        <v>December</v>
      </c>
      <c r="T532" s="22" t="str">
        <f>TEXT(Table1[[#This Row],[End Date]],"YYYY")</f>
        <v>2023</v>
      </c>
      <c r="U532" s="28">
        <f t="shared" ca="1" si="22"/>
        <v>-141</v>
      </c>
      <c r="V532" s="14" t="str" cm="1">
        <f t="array" aca="1" ref="V532" ca="1">_xlfn.IFS(Table1[[#This Row],[Agreement Days]]&gt;=0,"Expired",Table1[[#This Row],[Agreement Days]]&gt;=-30,"Expires &lt; 30 Days",Table1[[#This Row],[Agreement Days]]&gt;=-60,"Expires &lt; 60 Days",Table1[[#This Row],[Agreement Days]]&lt;-60,"Valid Contract")</f>
        <v>Valid Contract</v>
      </c>
      <c r="W532" s="14" t="s">
        <v>12</v>
      </c>
      <c r="X532" s="14" t="s">
        <v>603</v>
      </c>
      <c r="Y532" s="16" t="s">
        <v>604</v>
      </c>
      <c r="Z532" s="17" t="s">
        <v>605</v>
      </c>
      <c r="AA532" s="14"/>
      <c r="AB532" s="116"/>
      <c r="AC532" s="116"/>
    </row>
    <row r="533" spans="1:29" x14ac:dyDescent="0.3">
      <c r="A533" s="18" t="s">
        <v>598</v>
      </c>
      <c r="B533" s="18" t="s">
        <v>119</v>
      </c>
      <c r="C533" s="18" t="s">
        <v>1501</v>
      </c>
      <c r="D533" s="14" t="s">
        <v>1499</v>
      </c>
      <c r="E533" s="18" t="s">
        <v>9</v>
      </c>
      <c r="F533" s="14" t="s">
        <v>601</v>
      </c>
      <c r="G533" s="14" t="s">
        <v>546</v>
      </c>
      <c r="H533" s="18" t="s">
        <v>2</v>
      </c>
      <c r="I533" s="14" t="s">
        <v>121</v>
      </c>
      <c r="J533" s="20">
        <v>6</v>
      </c>
      <c r="K533" s="14" t="s">
        <v>1500</v>
      </c>
      <c r="L533" s="14"/>
      <c r="M533" s="14">
        <v>1</v>
      </c>
      <c r="N533" s="15">
        <v>5421468</v>
      </c>
      <c r="O533" s="15">
        <f t="shared" si="21"/>
        <v>5421468</v>
      </c>
      <c r="P533" s="15"/>
      <c r="Q533" s="14" t="s">
        <v>520</v>
      </c>
      <c r="R533" s="21">
        <v>45274</v>
      </c>
      <c r="S533" s="22" t="str">
        <f>TEXT(Table1[[#This Row],[End Date]],"MMMM")</f>
        <v>December</v>
      </c>
      <c r="T533" s="22" t="str">
        <f>TEXT(Table1[[#This Row],[End Date]],"YYYY")</f>
        <v>2023</v>
      </c>
      <c r="U533" s="28">
        <f t="shared" ca="1" si="22"/>
        <v>-141</v>
      </c>
      <c r="V533" s="14" t="str" cm="1">
        <f t="array" aca="1" ref="V533" ca="1">_xlfn.IFS(Table1[[#This Row],[Agreement Days]]&gt;=0,"Expired",Table1[[#This Row],[Agreement Days]]&gt;=-30,"Expires &lt; 30 Days",Table1[[#This Row],[Agreement Days]]&gt;=-60,"Expires &lt; 60 Days",Table1[[#This Row],[Agreement Days]]&lt;-60,"Valid Contract")</f>
        <v>Valid Contract</v>
      </c>
      <c r="W533" s="14" t="s">
        <v>12</v>
      </c>
      <c r="X533" s="14" t="s">
        <v>603</v>
      </c>
      <c r="Y533" s="16" t="s">
        <v>604</v>
      </c>
      <c r="Z533" s="17" t="s">
        <v>605</v>
      </c>
      <c r="AA533" s="14"/>
      <c r="AB533" s="116"/>
      <c r="AC533" s="116"/>
    </row>
    <row r="534" spans="1:29" x14ac:dyDescent="0.3">
      <c r="A534" s="18" t="s">
        <v>598</v>
      </c>
      <c r="B534" s="18" t="s">
        <v>119</v>
      </c>
      <c r="C534" s="18" t="s">
        <v>1502</v>
      </c>
      <c r="D534" s="14" t="s">
        <v>1499</v>
      </c>
      <c r="E534" s="18" t="s">
        <v>9</v>
      </c>
      <c r="F534" s="14" t="s">
        <v>601</v>
      </c>
      <c r="G534" s="14" t="s">
        <v>546</v>
      </c>
      <c r="H534" s="18" t="s">
        <v>2</v>
      </c>
      <c r="I534" s="14" t="s">
        <v>121</v>
      </c>
      <c r="J534" s="20">
        <v>6</v>
      </c>
      <c r="K534" s="14" t="s">
        <v>1500</v>
      </c>
      <c r="L534" s="14"/>
      <c r="M534" s="14">
        <v>1</v>
      </c>
      <c r="N534" s="15">
        <v>5421468</v>
      </c>
      <c r="O534" s="15">
        <f t="shared" si="21"/>
        <v>5421468</v>
      </c>
      <c r="P534" s="15"/>
      <c r="Q534" s="14" t="s">
        <v>520</v>
      </c>
      <c r="R534" s="21">
        <v>45274</v>
      </c>
      <c r="S534" s="22" t="str">
        <f>TEXT(Table1[[#This Row],[End Date]],"MMMM")</f>
        <v>December</v>
      </c>
      <c r="T534" s="22" t="str">
        <f>TEXT(Table1[[#This Row],[End Date]],"YYYY")</f>
        <v>2023</v>
      </c>
      <c r="U534" s="28">
        <f t="shared" ca="1" si="22"/>
        <v>-141</v>
      </c>
      <c r="V534" s="14" t="str" cm="1">
        <f t="array" aca="1" ref="V534" ca="1">_xlfn.IFS(Table1[[#This Row],[Agreement Days]]&gt;=0,"Expired",Table1[[#This Row],[Agreement Days]]&gt;=-30,"Expires &lt; 30 Days",Table1[[#This Row],[Agreement Days]]&gt;=-60,"Expires &lt; 60 Days",Table1[[#This Row],[Agreement Days]]&lt;-60,"Valid Contract")</f>
        <v>Valid Contract</v>
      </c>
      <c r="W534" s="14" t="s">
        <v>12</v>
      </c>
      <c r="X534" s="14" t="s">
        <v>603</v>
      </c>
      <c r="Y534" s="16" t="s">
        <v>604</v>
      </c>
      <c r="Z534" s="17" t="s">
        <v>605</v>
      </c>
      <c r="AA534" s="14"/>
      <c r="AB534" s="116"/>
      <c r="AC534" s="116"/>
    </row>
    <row r="535" spans="1:29" hidden="1" x14ac:dyDescent="0.3">
      <c r="A535" s="18" t="s">
        <v>1503</v>
      </c>
      <c r="B535" s="18" t="s">
        <v>392</v>
      </c>
      <c r="C535" s="18" t="s">
        <v>1504</v>
      </c>
      <c r="D535" s="14" t="s">
        <v>545</v>
      </c>
      <c r="E535" s="18" t="s">
        <v>9</v>
      </c>
      <c r="F535" s="20" t="s">
        <v>527</v>
      </c>
      <c r="G535" s="14" t="s">
        <v>518</v>
      </c>
      <c r="H535" s="18" t="s">
        <v>5</v>
      </c>
      <c r="I535" s="14" t="s">
        <v>115</v>
      </c>
      <c r="J535" s="14"/>
      <c r="K535" s="18" t="s">
        <v>657</v>
      </c>
      <c r="L535" s="14"/>
      <c r="M535" s="14">
        <v>2</v>
      </c>
      <c r="N535" s="15">
        <v>45338.98</v>
      </c>
      <c r="O535" s="15">
        <f t="shared" si="21"/>
        <v>90677.96</v>
      </c>
      <c r="P535" s="15"/>
      <c r="Q535" s="14" t="s">
        <v>520</v>
      </c>
      <c r="R535" s="25">
        <v>45288</v>
      </c>
      <c r="S535" s="22" t="str">
        <f>TEXT(Table1[[#This Row],[End Date]],"MMMM")</f>
        <v>December</v>
      </c>
      <c r="T535" s="34" t="str">
        <f>TEXT(Table1[[#This Row],[End Date]],"YYYY")</f>
        <v>2023</v>
      </c>
      <c r="U535" s="24">
        <f t="shared" ca="1" si="22"/>
        <v>-155</v>
      </c>
      <c r="V535" s="14" t="str" cm="1">
        <f t="array" aca="1" ref="V535" ca="1">_xlfn.IFS(Table1[[#This Row],[Agreement Days]]&gt;=0,"Expired",Table1[[#This Row],[Agreement Days]]&gt;=-30,"Expires &lt; 30 Days",Table1[[#This Row],[Agreement Days]]&gt;=-60,"Expires &lt; 60 Days",Table1[[#This Row],[Agreement Days]]&lt;-60,"Valid Contract")</f>
        <v>Valid Contract</v>
      </c>
      <c r="W535" s="14" t="s">
        <v>20</v>
      </c>
      <c r="X535" s="14" t="s">
        <v>1505</v>
      </c>
      <c r="Y535" s="45" t="s">
        <v>1506</v>
      </c>
      <c r="Z535" s="17">
        <v>787895937</v>
      </c>
      <c r="AA535" s="19"/>
      <c r="AB535" s="116"/>
      <c r="AC535" s="116"/>
    </row>
    <row r="536" spans="1:29" hidden="1" x14ac:dyDescent="0.3">
      <c r="A536" s="18" t="s">
        <v>1507</v>
      </c>
      <c r="B536" s="18" t="s">
        <v>392</v>
      </c>
      <c r="C536" s="18" t="s">
        <v>1504</v>
      </c>
      <c r="D536" s="14" t="s">
        <v>545</v>
      </c>
      <c r="E536" s="18" t="s">
        <v>9</v>
      </c>
      <c r="F536" s="20" t="s">
        <v>527</v>
      </c>
      <c r="G536" s="14" t="s">
        <v>518</v>
      </c>
      <c r="H536" s="18" t="s">
        <v>5</v>
      </c>
      <c r="I536" s="14" t="s">
        <v>115</v>
      </c>
      <c r="J536" s="14"/>
      <c r="K536" s="18" t="s">
        <v>642</v>
      </c>
      <c r="L536" s="14"/>
      <c r="M536" s="14">
        <v>2</v>
      </c>
      <c r="N536" s="15">
        <v>101694.92</v>
      </c>
      <c r="O536" s="15">
        <f t="shared" si="21"/>
        <v>203389.84</v>
      </c>
      <c r="P536" s="15"/>
      <c r="Q536" s="14" t="s">
        <v>520</v>
      </c>
      <c r="R536" s="25">
        <v>45288</v>
      </c>
      <c r="S536" s="22" t="str">
        <f>TEXT(Table1[[#This Row],[End Date]],"MMMM")</f>
        <v>December</v>
      </c>
      <c r="T536" s="34" t="str">
        <f>TEXT(Table1[[#This Row],[End Date]],"YYYY")</f>
        <v>2023</v>
      </c>
      <c r="U536" s="24">
        <f t="shared" ca="1" si="22"/>
        <v>-155</v>
      </c>
      <c r="V536" s="14" t="str" cm="1">
        <f t="array" aca="1" ref="V536" ca="1">_xlfn.IFS(Table1[[#This Row],[Agreement Days]]&gt;=0,"Expired",Table1[[#This Row],[Agreement Days]]&gt;=-30,"Expires &lt; 30 Days",Table1[[#This Row],[Agreement Days]]&gt;=-60,"Expires &lt; 60 Days",Table1[[#This Row],[Agreement Days]]&lt;-60,"Valid Contract")</f>
        <v>Valid Contract</v>
      </c>
      <c r="W536" s="14" t="s">
        <v>20</v>
      </c>
      <c r="X536" s="14" t="s">
        <v>1505</v>
      </c>
      <c r="Y536" s="45" t="s">
        <v>1506</v>
      </c>
      <c r="Z536" s="17">
        <v>787895937</v>
      </c>
      <c r="AA536" s="19"/>
      <c r="AB536" s="116"/>
      <c r="AC536" s="116"/>
    </row>
    <row r="537" spans="1:29" x14ac:dyDescent="0.3">
      <c r="A537" s="18" t="s">
        <v>1508</v>
      </c>
      <c r="B537" s="18" t="s">
        <v>430</v>
      </c>
      <c r="C537" s="18" t="s">
        <v>1509</v>
      </c>
      <c r="D537" s="14" t="s">
        <v>653</v>
      </c>
      <c r="E537" s="18" t="s">
        <v>10</v>
      </c>
      <c r="F537" s="14" t="s">
        <v>560</v>
      </c>
      <c r="G537" s="14" t="s">
        <v>518</v>
      </c>
      <c r="H537" s="18" t="s">
        <v>5</v>
      </c>
      <c r="I537" s="14" t="s">
        <v>134</v>
      </c>
      <c r="J537" s="14">
        <v>2</v>
      </c>
      <c r="K537" s="14" t="s">
        <v>832</v>
      </c>
      <c r="L537" s="14"/>
      <c r="M537" s="14">
        <v>1</v>
      </c>
      <c r="N537" s="15">
        <v>145000</v>
      </c>
      <c r="O537" s="15">
        <f t="shared" si="21"/>
        <v>145000</v>
      </c>
      <c r="P537" s="15"/>
      <c r="Q537" s="14" t="s">
        <v>520</v>
      </c>
      <c r="R537" s="25">
        <v>45290</v>
      </c>
      <c r="S537" s="22" t="str">
        <f>TEXT(Table1[[#This Row],[End Date]],"MMMM")</f>
        <v>December</v>
      </c>
      <c r="T537" s="23" t="str">
        <f>TEXT(Table1[[#This Row],[End Date]],"YYYY")</f>
        <v>2023</v>
      </c>
      <c r="U537" s="24">
        <f t="shared" ca="1" si="22"/>
        <v>-157</v>
      </c>
      <c r="V537" s="14" t="str" cm="1">
        <f t="array" aca="1" ref="V537" ca="1">_xlfn.IFS(Table1[[#This Row],[Agreement Days]]&gt;=0,"Expired",Table1[[#This Row],[Agreement Days]]&gt;=-30,"Expires &lt; 30 Days",Table1[[#This Row],[Agreement Days]]&gt;=-60,"Expires &lt; 60 Days",Table1[[#This Row],[Agreement Days]]&lt;-60,"Valid Contract")</f>
        <v>Valid Contract</v>
      </c>
      <c r="W537" s="14" t="s">
        <v>12</v>
      </c>
      <c r="X537" s="14" t="s">
        <v>1510</v>
      </c>
      <c r="Y537" s="16" t="s">
        <v>1511</v>
      </c>
      <c r="Z537" s="17" t="s">
        <v>1512</v>
      </c>
      <c r="AA537" s="17"/>
      <c r="AB537" s="116"/>
      <c r="AC537" s="116"/>
    </row>
    <row r="538" spans="1:29" hidden="1" x14ac:dyDescent="0.3">
      <c r="A538" s="18" t="s">
        <v>1513</v>
      </c>
      <c r="B538" s="18" t="s">
        <v>404</v>
      </c>
      <c r="C538" s="18" t="s">
        <v>544</v>
      </c>
      <c r="D538" s="14" t="s">
        <v>545</v>
      </c>
      <c r="E538" s="18" t="s">
        <v>9</v>
      </c>
      <c r="F538" s="14" t="s">
        <v>517</v>
      </c>
      <c r="G538" s="14" t="s">
        <v>518</v>
      </c>
      <c r="H538" s="18" t="s">
        <v>5</v>
      </c>
      <c r="I538" s="14" t="s">
        <v>115</v>
      </c>
      <c r="J538" s="14"/>
      <c r="K538" s="18" t="s">
        <v>642</v>
      </c>
      <c r="L538" s="14"/>
      <c r="M538" s="14">
        <v>1</v>
      </c>
      <c r="N538" s="15">
        <v>101694.92</v>
      </c>
      <c r="O538" s="15">
        <f t="shared" si="21"/>
        <v>101694.92</v>
      </c>
      <c r="P538" s="15"/>
      <c r="Q538" s="14" t="s">
        <v>520</v>
      </c>
      <c r="R538" s="25">
        <v>45291</v>
      </c>
      <c r="S538" s="22" t="str">
        <f>TEXT(Table1[[#This Row],[End Date]],"MMMM")</f>
        <v>December</v>
      </c>
      <c r="T538" s="23" t="str">
        <f>TEXT(Table1[[#This Row],[End Date]],"YYYY")</f>
        <v>2023</v>
      </c>
      <c r="U538" s="24">
        <f t="shared" ca="1" si="22"/>
        <v>-158</v>
      </c>
      <c r="V538" s="14" t="str" cm="1">
        <f t="array" aca="1" ref="V538" ca="1">_xlfn.IFS(Table1[[#This Row],[Agreement Days]]&gt;=0,"Expired",Table1[[#This Row],[Agreement Days]]&gt;=-30,"Expires &lt; 30 Days",Table1[[#This Row],[Agreement Days]]&gt;=-60,"Expires &lt; 60 Days",Table1[[#This Row],[Agreement Days]]&lt;-60,"Valid Contract")</f>
        <v>Valid Contract</v>
      </c>
      <c r="W538" s="14" t="s">
        <v>19</v>
      </c>
      <c r="X538" s="14" t="s">
        <v>1514</v>
      </c>
      <c r="Y538" s="14" t="s">
        <v>1515</v>
      </c>
      <c r="Z538" s="17">
        <v>788674467</v>
      </c>
      <c r="AA538" s="17"/>
      <c r="AB538" s="116"/>
      <c r="AC538" s="116"/>
    </row>
    <row r="539" spans="1:29" hidden="1" x14ac:dyDescent="0.3">
      <c r="A539" s="18" t="s">
        <v>1513</v>
      </c>
      <c r="B539" s="18" t="s">
        <v>404</v>
      </c>
      <c r="C539" s="18" t="s">
        <v>544</v>
      </c>
      <c r="D539" s="14" t="s">
        <v>545</v>
      </c>
      <c r="E539" s="18" t="s">
        <v>9</v>
      </c>
      <c r="F539" s="14" t="s">
        <v>517</v>
      </c>
      <c r="G539" s="14" t="s">
        <v>518</v>
      </c>
      <c r="H539" s="18" t="s">
        <v>5</v>
      </c>
      <c r="I539" s="14" t="s">
        <v>115</v>
      </c>
      <c r="J539" s="14"/>
      <c r="K539" s="18" t="s">
        <v>643</v>
      </c>
      <c r="L539" s="14"/>
      <c r="M539" s="14">
        <v>1</v>
      </c>
      <c r="N539" s="15">
        <v>28305.084745762713</v>
      </c>
      <c r="O539" s="15">
        <f t="shared" si="21"/>
        <v>28305.084745762713</v>
      </c>
      <c r="P539" s="15"/>
      <c r="Q539" s="14" t="s">
        <v>520</v>
      </c>
      <c r="R539" s="25">
        <v>45291</v>
      </c>
      <c r="S539" s="22" t="str">
        <f>TEXT(Table1[[#This Row],[End Date]],"MMMM")</f>
        <v>December</v>
      </c>
      <c r="T539" s="23" t="str">
        <f>TEXT(Table1[[#This Row],[End Date]],"YYYY")</f>
        <v>2023</v>
      </c>
      <c r="U539" s="24">
        <f t="shared" ca="1" si="22"/>
        <v>-158</v>
      </c>
      <c r="V539" s="14" t="str" cm="1">
        <f t="array" aca="1" ref="V539" ca="1">_xlfn.IFS(Table1[[#This Row],[Agreement Days]]&gt;=0,"Expired",Table1[[#This Row],[Agreement Days]]&gt;=-30,"Expires &lt; 30 Days",Table1[[#This Row],[Agreement Days]]&gt;=-60,"Expires &lt; 60 Days",Table1[[#This Row],[Agreement Days]]&lt;-60,"Valid Contract")</f>
        <v>Valid Contract</v>
      </c>
      <c r="W539" s="14" t="s">
        <v>19</v>
      </c>
      <c r="X539" s="14" t="s">
        <v>1514</v>
      </c>
      <c r="Y539" s="14" t="s">
        <v>1515</v>
      </c>
      <c r="Z539" s="17">
        <v>788674467</v>
      </c>
      <c r="AA539" s="17"/>
      <c r="AB539" s="116"/>
      <c r="AC539" s="116"/>
    </row>
    <row r="540" spans="1:29" hidden="1" x14ac:dyDescent="0.3">
      <c r="A540" s="18" t="s">
        <v>1513</v>
      </c>
      <c r="B540" s="18" t="s">
        <v>404</v>
      </c>
      <c r="C540" s="18" t="s">
        <v>544</v>
      </c>
      <c r="D540" s="14" t="s">
        <v>545</v>
      </c>
      <c r="E540" s="18" t="s">
        <v>9</v>
      </c>
      <c r="F540" s="14" t="s">
        <v>517</v>
      </c>
      <c r="G540" s="14" t="s">
        <v>518</v>
      </c>
      <c r="H540" s="18" t="s">
        <v>5</v>
      </c>
      <c r="I540" s="14" t="s">
        <v>115</v>
      </c>
      <c r="J540" s="14"/>
      <c r="K540" s="18" t="s">
        <v>573</v>
      </c>
      <c r="L540" s="14"/>
      <c r="M540" s="14">
        <v>6</v>
      </c>
      <c r="N540" s="15">
        <v>19491.53</v>
      </c>
      <c r="O540" s="15">
        <f t="shared" si="21"/>
        <v>116949.18</v>
      </c>
      <c r="P540" s="15"/>
      <c r="Q540" s="14" t="s">
        <v>520</v>
      </c>
      <c r="R540" s="25">
        <v>45291</v>
      </c>
      <c r="S540" s="22" t="str">
        <f>TEXT(Table1[[#This Row],[End Date]],"MMMM")</f>
        <v>December</v>
      </c>
      <c r="T540" s="23" t="str">
        <f>TEXT(Table1[[#This Row],[End Date]],"YYYY")</f>
        <v>2023</v>
      </c>
      <c r="U540" s="24">
        <f t="shared" ca="1" si="22"/>
        <v>-158</v>
      </c>
      <c r="V540" s="14" t="str" cm="1">
        <f t="array" aca="1" ref="V540" ca="1">_xlfn.IFS(Table1[[#This Row],[Agreement Days]]&gt;=0,"Expired",Table1[[#This Row],[Agreement Days]]&gt;=-30,"Expires &lt; 30 Days",Table1[[#This Row],[Agreement Days]]&gt;=-60,"Expires &lt; 60 Days",Table1[[#This Row],[Agreement Days]]&lt;-60,"Valid Contract")</f>
        <v>Valid Contract</v>
      </c>
      <c r="W540" s="14" t="s">
        <v>19</v>
      </c>
      <c r="X540" s="14" t="s">
        <v>1514</v>
      </c>
      <c r="Y540" s="14" t="s">
        <v>1515</v>
      </c>
      <c r="Z540" s="17">
        <v>788674467</v>
      </c>
      <c r="AA540" s="17"/>
      <c r="AB540" s="116"/>
      <c r="AC540" s="116"/>
    </row>
    <row r="541" spans="1:29" x14ac:dyDescent="0.3">
      <c r="A541" s="18" t="s">
        <v>1516</v>
      </c>
      <c r="B541" s="18" t="s">
        <v>254</v>
      </c>
      <c r="C541" s="18" t="s">
        <v>1517</v>
      </c>
      <c r="D541" s="14" t="s">
        <v>653</v>
      </c>
      <c r="E541" s="18" t="s">
        <v>9</v>
      </c>
      <c r="F541" s="14" t="s">
        <v>1518</v>
      </c>
      <c r="G541" s="14" t="s">
        <v>518</v>
      </c>
      <c r="H541" s="18" t="s">
        <v>5</v>
      </c>
      <c r="I541" s="14" t="s">
        <v>117</v>
      </c>
      <c r="J541" s="14">
        <v>20</v>
      </c>
      <c r="K541" s="14" t="s">
        <v>794</v>
      </c>
      <c r="L541" s="14"/>
      <c r="M541" s="14">
        <v>1</v>
      </c>
      <c r="N541" s="15">
        <f>1062000/1.18</f>
        <v>900000</v>
      </c>
      <c r="O541" s="15">
        <f t="shared" si="21"/>
        <v>900000</v>
      </c>
      <c r="P541" s="15"/>
      <c r="Q541" s="14" t="s">
        <v>520</v>
      </c>
      <c r="R541" s="25">
        <v>45291</v>
      </c>
      <c r="S541" s="22" t="str">
        <f>TEXT(Table1[[#This Row],[End Date]],"MMMM")</f>
        <v>December</v>
      </c>
      <c r="T541" s="23" t="str">
        <f>TEXT(Table1[[#This Row],[End Date]],"YYYY")</f>
        <v>2023</v>
      </c>
      <c r="U541" s="24">
        <f t="shared" ca="1" si="22"/>
        <v>-158</v>
      </c>
      <c r="V541" s="14" t="str" cm="1">
        <f t="array" aca="1" ref="V541" ca="1">_xlfn.IFS(Table1[[#This Row],[Agreement Days]]&gt;=0,"Expired",Table1[[#This Row],[Agreement Days]]&gt;=-30,"Expires &lt; 30 Days",Table1[[#This Row],[Agreement Days]]&gt;=-60,"Expires &lt; 60 Days",Table1[[#This Row],[Agreement Days]]&lt;-60,"Valid Contract")</f>
        <v>Valid Contract</v>
      </c>
      <c r="W541" s="14" t="s">
        <v>12</v>
      </c>
      <c r="X541" s="14" t="s">
        <v>1519</v>
      </c>
      <c r="Y541" s="16" t="s">
        <v>1520</v>
      </c>
      <c r="Z541" s="17" t="s">
        <v>1521</v>
      </c>
      <c r="AA541" s="17"/>
      <c r="AB541" s="116"/>
      <c r="AC541" s="116"/>
    </row>
    <row r="542" spans="1:29" x14ac:dyDescent="0.3">
      <c r="A542" s="18" t="s">
        <v>1516</v>
      </c>
      <c r="B542" s="18" t="s">
        <v>254</v>
      </c>
      <c r="C542" s="18" t="s">
        <v>1522</v>
      </c>
      <c r="D542" s="14" t="s">
        <v>653</v>
      </c>
      <c r="E542" s="18" t="s">
        <v>9</v>
      </c>
      <c r="F542" s="14" t="s">
        <v>1518</v>
      </c>
      <c r="G542" s="14" t="s">
        <v>518</v>
      </c>
      <c r="H542" s="18" t="s">
        <v>5</v>
      </c>
      <c r="I542" s="14" t="s">
        <v>115</v>
      </c>
      <c r="J542" s="14"/>
      <c r="K542" s="14" t="s">
        <v>651</v>
      </c>
      <c r="L542" s="14"/>
      <c r="M542" s="14">
        <v>10</v>
      </c>
      <c r="N542" s="15">
        <v>81355.932203000004</v>
      </c>
      <c r="O542" s="15">
        <f t="shared" si="21"/>
        <v>813559.32203000004</v>
      </c>
      <c r="P542" s="15"/>
      <c r="Q542" s="14" t="s">
        <v>520</v>
      </c>
      <c r="R542" s="25">
        <v>45291</v>
      </c>
      <c r="S542" s="22" t="str">
        <f>TEXT(Table1[[#This Row],[End Date]],"MMMM")</f>
        <v>December</v>
      </c>
      <c r="T542" s="23" t="str">
        <f>TEXT(Table1[[#This Row],[End Date]],"YYYY")</f>
        <v>2023</v>
      </c>
      <c r="U542" s="24">
        <f t="shared" ca="1" si="22"/>
        <v>-158</v>
      </c>
      <c r="V542" s="14" t="str" cm="1">
        <f t="array" aca="1" ref="V542" ca="1">_xlfn.IFS(Table1[[#This Row],[Agreement Days]]&gt;=0,"Expired",Table1[[#This Row],[Agreement Days]]&gt;=-30,"Expires &lt; 30 Days",Table1[[#This Row],[Agreement Days]]&gt;=-60,"Expires &lt; 60 Days",Table1[[#This Row],[Agreement Days]]&lt;-60,"Valid Contract")</f>
        <v>Valid Contract</v>
      </c>
      <c r="W542" s="14" t="s">
        <v>12</v>
      </c>
      <c r="X542" s="14" t="s">
        <v>1519</v>
      </c>
      <c r="Y542" s="16" t="s">
        <v>1520</v>
      </c>
      <c r="Z542" s="17" t="s">
        <v>1521</v>
      </c>
      <c r="AA542" s="17"/>
      <c r="AB542" s="116"/>
      <c r="AC542" s="116"/>
    </row>
    <row r="543" spans="1:29" hidden="1" x14ac:dyDescent="0.3">
      <c r="A543" s="18" t="s">
        <v>1523</v>
      </c>
      <c r="B543" s="18" t="s">
        <v>71</v>
      </c>
      <c r="C543" s="18" t="s">
        <v>71</v>
      </c>
      <c r="D543" s="14" t="s">
        <v>653</v>
      </c>
      <c r="E543" s="18" t="s">
        <v>9</v>
      </c>
      <c r="F543" s="14" t="s">
        <v>631</v>
      </c>
      <c r="G543" s="14" t="s">
        <v>518</v>
      </c>
      <c r="H543" s="18" t="s">
        <v>5</v>
      </c>
      <c r="I543" s="14" t="s">
        <v>117</v>
      </c>
      <c r="J543" s="18">
        <v>3</v>
      </c>
      <c r="K543" s="18" t="s">
        <v>632</v>
      </c>
      <c r="L543" s="18"/>
      <c r="M543" s="14">
        <v>1</v>
      </c>
      <c r="N543" s="15">
        <f>212400/1.18</f>
        <v>180000</v>
      </c>
      <c r="O543" s="15">
        <f t="shared" si="21"/>
        <v>180000</v>
      </c>
      <c r="P543" s="15"/>
      <c r="Q543" s="14" t="s">
        <v>520</v>
      </c>
      <c r="R543" s="25">
        <v>45291</v>
      </c>
      <c r="S543" s="34" t="str">
        <f>TEXT(Table1[[#This Row],[End Date]],"MMMM")</f>
        <v>December</v>
      </c>
      <c r="T543" s="34" t="str">
        <f>TEXT(Table1[[#This Row],[End Date]],"YYYY")</f>
        <v>2023</v>
      </c>
      <c r="U543" s="24">
        <f t="shared" ca="1" si="22"/>
        <v>-158</v>
      </c>
      <c r="V543" s="14" t="str" cm="1">
        <f t="array" aca="1" ref="V543" ca="1">_xlfn.IFS(Table1[[#This Row],[Agreement Days]]&gt;=0,"Expired",Table1[[#This Row],[Agreement Days]]&gt;=-30,"Expires &lt; 30 Days",Table1[[#This Row],[Agreement Days]]&gt;=-60,"Expires &lt; 60 Days",Table1[[#This Row],[Agreement Days]]&lt;-60,"Valid Contract")</f>
        <v>Valid Contract</v>
      </c>
      <c r="W543" s="18" t="s">
        <v>13</v>
      </c>
      <c r="X543" s="18" t="s">
        <v>1524</v>
      </c>
      <c r="Y543" s="35" t="s">
        <v>1525</v>
      </c>
      <c r="Z543" s="27">
        <v>788600976</v>
      </c>
      <c r="AA543" s="27"/>
      <c r="AB543" s="116"/>
      <c r="AC543" s="116"/>
    </row>
    <row r="544" spans="1:29" hidden="1" x14ac:dyDescent="0.3">
      <c r="A544" s="18" t="s">
        <v>1526</v>
      </c>
      <c r="B544" s="18" t="s">
        <v>330</v>
      </c>
      <c r="C544" s="18" t="s">
        <v>330</v>
      </c>
      <c r="D544" s="14" t="s">
        <v>545</v>
      </c>
      <c r="E544" s="18" t="s">
        <v>10</v>
      </c>
      <c r="F544" s="14" t="s">
        <v>560</v>
      </c>
      <c r="G544" s="14" t="s">
        <v>518</v>
      </c>
      <c r="H544" s="18" t="s">
        <v>2</v>
      </c>
      <c r="I544" s="14" t="s">
        <v>134</v>
      </c>
      <c r="J544" s="14">
        <v>10</v>
      </c>
      <c r="K544" s="14" t="s">
        <v>1257</v>
      </c>
      <c r="L544" s="14"/>
      <c r="M544" s="14">
        <v>1</v>
      </c>
      <c r="N544" s="15">
        <v>745500</v>
      </c>
      <c r="O544" s="15">
        <f t="shared" si="21"/>
        <v>745500</v>
      </c>
      <c r="P544" s="15"/>
      <c r="Q544" s="14" t="s">
        <v>520</v>
      </c>
      <c r="R544" s="25">
        <v>45291</v>
      </c>
      <c r="S544" s="22" t="str">
        <f>TEXT(Table1[[#This Row],[End Date]],"MMMM")</f>
        <v>December</v>
      </c>
      <c r="T544" s="23" t="str">
        <f>TEXT(Table1[[#This Row],[End Date]],"YYYY")</f>
        <v>2023</v>
      </c>
      <c r="U544" s="24">
        <f t="shared" ca="1" si="22"/>
        <v>-158</v>
      </c>
      <c r="V544" s="14" t="str" cm="1">
        <f t="array" aca="1" ref="V544" ca="1">_xlfn.IFS(Table1[[#This Row],[Agreement Days]]&gt;=0,"Expired",Table1[[#This Row],[Agreement Days]]&gt;=-30,"Expires &lt; 30 Days",Table1[[#This Row],[Agreement Days]]&gt;=-60,"Expires &lt; 60 Days",Table1[[#This Row],[Agreement Days]]&lt;-60,"Valid Contract")</f>
        <v>Valid Contract</v>
      </c>
      <c r="W544" s="14" t="s">
        <v>20</v>
      </c>
      <c r="X544" s="14" t="s">
        <v>1527</v>
      </c>
      <c r="Y544" s="16" t="s">
        <v>1528</v>
      </c>
      <c r="Z544" s="17" t="s">
        <v>1529</v>
      </c>
      <c r="AA544" s="19"/>
      <c r="AB544" s="116"/>
      <c r="AC544" s="116"/>
    </row>
    <row r="545" spans="1:29" hidden="1" x14ac:dyDescent="0.3">
      <c r="A545" s="18" t="s">
        <v>1219</v>
      </c>
      <c r="B545" s="18" t="s">
        <v>245</v>
      </c>
      <c r="C545" s="18" t="s">
        <v>1220</v>
      </c>
      <c r="D545" s="14" t="s">
        <v>810</v>
      </c>
      <c r="E545" s="18" t="s">
        <v>9</v>
      </c>
      <c r="F545" s="14" t="s">
        <v>693</v>
      </c>
      <c r="G545" s="14" t="s">
        <v>518</v>
      </c>
      <c r="H545" s="18" t="s">
        <v>5</v>
      </c>
      <c r="I545" s="14" t="s">
        <v>115</v>
      </c>
      <c r="J545" s="26"/>
      <c r="K545" s="18" t="s">
        <v>573</v>
      </c>
      <c r="L545" s="26"/>
      <c r="M545" s="19">
        <v>6</v>
      </c>
      <c r="N545" s="15">
        <v>19491.53</v>
      </c>
      <c r="O545" s="15">
        <f t="shared" si="21"/>
        <v>116949.18</v>
      </c>
      <c r="P545" s="15"/>
      <c r="Q545" s="14" t="s">
        <v>520</v>
      </c>
      <c r="R545" s="25">
        <v>45291</v>
      </c>
      <c r="S545" s="34" t="str">
        <f>TEXT(Table1[[#This Row],[End Date]],"MMMM")</f>
        <v>December</v>
      </c>
      <c r="T545" s="34" t="str">
        <f>TEXT(Table1[[#This Row],[End Date]],"YYYY")</f>
        <v>2023</v>
      </c>
      <c r="U545" s="24">
        <f t="shared" ca="1" si="22"/>
        <v>-158</v>
      </c>
      <c r="V545" s="14" t="str" cm="1">
        <f t="array" aca="1" ref="V545" ca="1">_xlfn.IFS(Table1[[#This Row],[Agreement Days]]&gt;=0,"Expired",Table1[[#This Row],[Agreement Days]]&gt;=-30,"Expires &lt; 30 Days",Table1[[#This Row],[Agreement Days]]&gt;=-60,"Expires &lt; 60 Days",Table1[[#This Row],[Agreement Days]]&lt;-60,"Valid Contract")</f>
        <v>Valid Contract</v>
      </c>
      <c r="W545" s="26" t="s">
        <v>17</v>
      </c>
      <c r="X545" s="26" t="s">
        <v>1163</v>
      </c>
      <c r="Y545" s="18" t="s">
        <v>1164</v>
      </c>
      <c r="Z545" s="27">
        <v>788807096</v>
      </c>
      <c r="AA545" s="27"/>
      <c r="AB545" s="116"/>
      <c r="AC545" s="116"/>
    </row>
    <row r="546" spans="1:29" hidden="1" x14ac:dyDescent="0.3">
      <c r="A546" s="18" t="s">
        <v>1530</v>
      </c>
      <c r="B546" s="18" t="s">
        <v>468</v>
      </c>
      <c r="C546" s="18" t="s">
        <v>544</v>
      </c>
      <c r="D546" s="14" t="s">
        <v>619</v>
      </c>
      <c r="E546" s="18" t="s">
        <v>9</v>
      </c>
      <c r="F546" s="14" t="s">
        <v>517</v>
      </c>
      <c r="G546" s="14" t="s">
        <v>546</v>
      </c>
      <c r="H546" s="18" t="s">
        <v>5</v>
      </c>
      <c r="I546" s="14" t="s">
        <v>115</v>
      </c>
      <c r="J546" s="18"/>
      <c r="K546" s="26" t="s">
        <v>573</v>
      </c>
      <c r="L546" s="18"/>
      <c r="M546" s="20">
        <v>1</v>
      </c>
      <c r="N546" s="15">
        <v>19491.53</v>
      </c>
      <c r="O546" s="15">
        <f t="shared" si="21"/>
        <v>19491.53</v>
      </c>
      <c r="P546" s="15"/>
      <c r="Q546" s="14" t="s">
        <v>520</v>
      </c>
      <c r="R546" s="25">
        <v>45291</v>
      </c>
      <c r="S546" s="34" t="str">
        <f>TEXT(Table1[[#This Row],[End Date]],"MMMM")</f>
        <v>December</v>
      </c>
      <c r="T546" s="34" t="str">
        <f>TEXT(Table1[[#This Row],[End Date]],"YYYY")</f>
        <v>2023</v>
      </c>
      <c r="U546" s="24">
        <f t="shared" ca="1" si="22"/>
        <v>-158</v>
      </c>
      <c r="V546" s="14" t="str" cm="1">
        <f t="array" aca="1" ref="V546" ca="1">_xlfn.IFS(Table1[[#This Row],[Agreement Days]]&gt;=0,"Expired",Table1[[#This Row],[Agreement Days]]&gt;=-30,"Expires &lt; 30 Days",Table1[[#This Row],[Agreement Days]]&gt;=-60,"Expires &lt; 60 Days",Table1[[#This Row],[Agreement Days]]&lt;-60,"Valid Contract")</f>
        <v>Valid Contract</v>
      </c>
      <c r="W546" s="18" t="s">
        <v>16</v>
      </c>
      <c r="X546" s="18" t="s">
        <v>1531</v>
      </c>
      <c r="Y546" s="18" t="s">
        <v>1532</v>
      </c>
      <c r="Z546" s="27" t="s">
        <v>1533</v>
      </c>
      <c r="AA546" s="27"/>
      <c r="AB546" s="116"/>
      <c r="AC546" s="116"/>
    </row>
    <row r="547" spans="1:29" hidden="1" x14ac:dyDescent="0.3">
      <c r="A547" s="18" t="s">
        <v>652</v>
      </c>
      <c r="B547" s="18" t="s">
        <v>468</v>
      </c>
      <c r="C547" s="18" t="s">
        <v>227</v>
      </c>
      <c r="D547" s="14" t="s">
        <v>653</v>
      </c>
      <c r="E547" s="18" t="s">
        <v>9</v>
      </c>
      <c r="F547" s="14" t="s">
        <v>517</v>
      </c>
      <c r="G547" s="14" t="s">
        <v>546</v>
      </c>
      <c r="H547" s="18" t="s">
        <v>5</v>
      </c>
      <c r="I547" s="14" t="s">
        <v>115</v>
      </c>
      <c r="J547" s="14"/>
      <c r="K547" s="18" t="s">
        <v>573</v>
      </c>
      <c r="L547" s="14"/>
      <c r="M547" s="14">
        <v>2</v>
      </c>
      <c r="N547" s="15">
        <v>19491.53</v>
      </c>
      <c r="O547" s="15">
        <f t="shared" si="21"/>
        <v>38983.06</v>
      </c>
      <c r="P547" s="15"/>
      <c r="Q547" s="14" t="s">
        <v>520</v>
      </c>
      <c r="R547" s="25">
        <v>45291</v>
      </c>
      <c r="S547" s="22" t="str">
        <f>TEXT(Table1[[#This Row],[End Date]],"MMMM")</f>
        <v>December</v>
      </c>
      <c r="T547" s="23" t="str">
        <f>TEXT(Table1[[#This Row],[End Date]],"YYYY")</f>
        <v>2023</v>
      </c>
      <c r="U547" s="24">
        <f t="shared" ca="1" si="22"/>
        <v>-158</v>
      </c>
      <c r="V547" s="14" t="str" cm="1">
        <f t="array" aca="1" ref="V547" ca="1">_xlfn.IFS(Table1[[#This Row],[Agreement Days]]&gt;=0,"Expired",Table1[[#This Row],[Agreement Days]]&gt;=-30,"Expires &lt; 30 Days",Table1[[#This Row],[Agreement Days]]&gt;=-60,"Expires &lt; 60 Days",Table1[[#This Row],[Agreement Days]]&lt;-60,"Valid Contract")</f>
        <v>Valid Contract</v>
      </c>
      <c r="W547" s="14" t="s">
        <v>19</v>
      </c>
      <c r="X547" s="14" t="s">
        <v>655</v>
      </c>
      <c r="Y547" s="14" t="s">
        <v>656</v>
      </c>
      <c r="Z547" s="17">
        <v>788313458</v>
      </c>
      <c r="AA547" s="17"/>
      <c r="AB547" s="116"/>
      <c r="AC547" s="116"/>
    </row>
    <row r="548" spans="1:29" hidden="1" x14ac:dyDescent="0.3">
      <c r="A548" s="18" t="s">
        <v>1534</v>
      </c>
      <c r="B548" s="18" t="s">
        <v>463</v>
      </c>
      <c r="C548" s="18" t="s">
        <v>1535</v>
      </c>
      <c r="D548" s="14" t="s">
        <v>545</v>
      </c>
      <c r="E548" s="18" t="s">
        <v>10</v>
      </c>
      <c r="F548" s="20" t="s">
        <v>1536</v>
      </c>
      <c r="G548" s="20" t="s">
        <v>518</v>
      </c>
      <c r="H548" s="18" t="s">
        <v>5</v>
      </c>
      <c r="I548" s="14" t="s">
        <v>115</v>
      </c>
      <c r="J548" s="14"/>
      <c r="K548" s="14" t="s">
        <v>1537</v>
      </c>
      <c r="L548" s="14"/>
      <c r="M548" s="14">
        <v>1</v>
      </c>
      <c r="N548" s="15">
        <f>78000/1.18</f>
        <v>66101.694915254237</v>
      </c>
      <c r="O548" s="15">
        <f t="shared" si="21"/>
        <v>66101.694915254237</v>
      </c>
      <c r="P548" s="15"/>
      <c r="Q548" s="14" t="s">
        <v>520</v>
      </c>
      <c r="R548" s="25">
        <v>45291</v>
      </c>
      <c r="S548" s="22" t="str">
        <f>TEXT(Table1[[#This Row],[End Date]],"MMMM")</f>
        <v>December</v>
      </c>
      <c r="T548" s="34" t="str">
        <f>TEXT(Table1[[#This Row],[End Date]],"YYYY")</f>
        <v>2023</v>
      </c>
      <c r="U548" s="24">
        <f t="shared" ca="1" si="22"/>
        <v>-158</v>
      </c>
      <c r="V548" s="14" t="str" cm="1">
        <f t="array" aca="1" ref="V548" ca="1">_xlfn.IFS(Table1[[#This Row],[Agreement Days]]&gt;=0,"Expired",Table1[[#This Row],[Agreement Days]]&gt;=-30,"Expires &lt; 30 Days",Table1[[#This Row],[Agreement Days]]&gt;=-60,"Expires &lt; 60 Days",Table1[[#This Row],[Agreement Days]]&lt;-60,"Valid Contract")</f>
        <v>Valid Contract</v>
      </c>
      <c r="W548" s="18" t="s">
        <v>17</v>
      </c>
      <c r="X548" s="14" t="s">
        <v>1538</v>
      </c>
      <c r="Y548" s="33" t="s">
        <v>1539</v>
      </c>
      <c r="Z548" s="62" t="s">
        <v>1540</v>
      </c>
      <c r="AA548" s="14"/>
      <c r="AB548" s="116"/>
      <c r="AC548" s="116"/>
    </row>
    <row r="549" spans="1:29" hidden="1" x14ac:dyDescent="0.3">
      <c r="A549" s="18" t="s">
        <v>1541</v>
      </c>
      <c r="B549" s="18" t="s">
        <v>88</v>
      </c>
      <c r="C549" s="18" t="s">
        <v>88</v>
      </c>
      <c r="D549" s="14" t="s">
        <v>662</v>
      </c>
      <c r="E549" s="18" t="s">
        <v>9</v>
      </c>
      <c r="F549" s="14" t="s">
        <v>631</v>
      </c>
      <c r="G549" s="14" t="s">
        <v>518</v>
      </c>
      <c r="H549" s="18" t="s">
        <v>5</v>
      </c>
      <c r="I549" s="14" t="s">
        <v>117</v>
      </c>
      <c r="J549" s="14">
        <v>3</v>
      </c>
      <c r="K549" s="14" t="s">
        <v>632</v>
      </c>
      <c r="L549" s="14"/>
      <c r="M549" s="14">
        <v>1</v>
      </c>
      <c r="N549" s="15">
        <v>180000</v>
      </c>
      <c r="O549" s="15">
        <f t="shared" si="21"/>
        <v>180000</v>
      </c>
      <c r="P549" s="15"/>
      <c r="Q549" s="14" t="s">
        <v>520</v>
      </c>
      <c r="R549" s="25">
        <v>45291</v>
      </c>
      <c r="S549" s="22" t="str">
        <f>TEXT(Table1[[#This Row],[End Date]],"MMMM")</f>
        <v>December</v>
      </c>
      <c r="T549" s="23" t="str">
        <f>TEXT(Table1[[#This Row],[End Date]],"YYYY")</f>
        <v>2023</v>
      </c>
      <c r="U549" s="24">
        <f t="shared" ca="1" si="22"/>
        <v>-158</v>
      </c>
      <c r="V549" s="14" t="str" cm="1">
        <f t="array" aca="1" ref="V549" ca="1">_xlfn.IFS(Table1[[#This Row],[Agreement Days]]&gt;=0,"Expired",Table1[[#This Row],[Agreement Days]]&gt;=-30,"Expires &lt; 30 Days",Table1[[#This Row],[Agreement Days]]&gt;=-60,"Expires &lt; 60 Days",Table1[[#This Row],[Agreement Days]]&lt;-60,"Valid Contract")</f>
        <v>Valid Contract</v>
      </c>
      <c r="W549" s="14" t="s">
        <v>13</v>
      </c>
      <c r="X549" s="14" t="s">
        <v>1542</v>
      </c>
      <c r="Y549" s="43" t="s">
        <v>1543</v>
      </c>
      <c r="Z549" s="17" t="s">
        <v>1544</v>
      </c>
      <c r="AA549" s="17"/>
      <c r="AB549" s="116"/>
      <c r="AC549" s="116"/>
    </row>
    <row r="550" spans="1:29" hidden="1" x14ac:dyDescent="0.3">
      <c r="A550" s="18" t="s">
        <v>1490</v>
      </c>
      <c r="B550" s="18" t="s">
        <v>48</v>
      </c>
      <c r="C550" s="18" t="s">
        <v>48</v>
      </c>
      <c r="D550" s="14" t="s">
        <v>619</v>
      </c>
      <c r="E550" s="18" t="s">
        <v>9</v>
      </c>
      <c r="F550" s="14" t="s">
        <v>631</v>
      </c>
      <c r="G550" s="14" t="s">
        <v>518</v>
      </c>
      <c r="H550" s="18" t="s">
        <v>4</v>
      </c>
      <c r="I550" s="14" t="s">
        <v>118</v>
      </c>
      <c r="J550" s="14"/>
      <c r="K550" s="14" t="s">
        <v>1545</v>
      </c>
      <c r="L550" s="14"/>
      <c r="M550" s="14">
        <v>1</v>
      </c>
      <c r="N550" s="15">
        <v>203266.8</v>
      </c>
      <c r="O550" s="15">
        <f t="shared" si="21"/>
        <v>203266.8</v>
      </c>
      <c r="P550" s="15"/>
      <c r="Q550" s="14" t="s">
        <v>520</v>
      </c>
      <c r="R550" s="25">
        <v>45291</v>
      </c>
      <c r="S550" s="22" t="str">
        <f>TEXT(Table1[[#This Row],[End Date]],"MMMM")</f>
        <v>December</v>
      </c>
      <c r="T550" s="23" t="str">
        <f>TEXT(Table1[[#This Row],[End Date]],"YYYY")</f>
        <v>2023</v>
      </c>
      <c r="U550" s="24">
        <f t="shared" ca="1" si="22"/>
        <v>-158</v>
      </c>
      <c r="V550" s="14" t="str" cm="1">
        <f t="array" aca="1" ref="V550" ca="1">_xlfn.IFS(Table1[[#This Row],[Agreement Days]]&gt;=0,"Expired",Table1[[#This Row],[Agreement Days]]&gt;=-30,"Expires &lt; 30 Days",Table1[[#This Row],[Agreement Days]]&gt;=-60,"Expires &lt; 60 Days",Table1[[#This Row],[Agreement Days]]&lt;-60,"Valid Contract")</f>
        <v>Valid Contract</v>
      </c>
      <c r="W550" s="14" t="s">
        <v>13</v>
      </c>
      <c r="X550" s="14" t="s">
        <v>1130</v>
      </c>
      <c r="Y550" s="16" t="s">
        <v>1492</v>
      </c>
      <c r="Z550" s="17">
        <v>788411508</v>
      </c>
      <c r="AA550" s="17"/>
      <c r="AB550" s="116"/>
      <c r="AC550" s="116"/>
    </row>
    <row r="551" spans="1:29" hidden="1" x14ac:dyDescent="0.3">
      <c r="A551" s="18" t="s">
        <v>1490</v>
      </c>
      <c r="B551" s="18" t="s">
        <v>48</v>
      </c>
      <c r="C551" s="18" t="s">
        <v>48</v>
      </c>
      <c r="D551" s="14" t="s">
        <v>619</v>
      </c>
      <c r="E551" s="18" t="s">
        <v>9</v>
      </c>
      <c r="F551" s="14" t="s">
        <v>631</v>
      </c>
      <c r="G551" s="14" t="s">
        <v>518</v>
      </c>
      <c r="H551" s="18" t="s">
        <v>5</v>
      </c>
      <c r="I551" s="14" t="s">
        <v>115</v>
      </c>
      <c r="J551" s="14"/>
      <c r="K551" s="14" t="s">
        <v>643</v>
      </c>
      <c r="L551" s="14"/>
      <c r="M551" s="14">
        <v>2</v>
      </c>
      <c r="N551" s="15">
        <f>33400/1.18</f>
        <v>28305.084745762713</v>
      </c>
      <c r="O551" s="15">
        <f t="shared" si="21"/>
        <v>56610.169491525427</v>
      </c>
      <c r="P551" s="15"/>
      <c r="Q551" s="14" t="s">
        <v>520</v>
      </c>
      <c r="R551" s="25">
        <v>45291</v>
      </c>
      <c r="S551" s="22" t="str">
        <f>TEXT(Table1[[#This Row],[End Date]],"MMMM")</f>
        <v>December</v>
      </c>
      <c r="T551" s="23" t="str">
        <f>TEXT(Table1[[#This Row],[End Date]],"YYYY")</f>
        <v>2023</v>
      </c>
      <c r="U551" s="24">
        <f t="shared" ca="1" si="22"/>
        <v>-158</v>
      </c>
      <c r="V551" s="14" t="str" cm="1">
        <f t="array" aca="1" ref="V551" ca="1">_xlfn.IFS(Table1[[#This Row],[Agreement Days]]&gt;=0,"Expired",Table1[[#This Row],[Agreement Days]]&gt;=-30,"Expires &lt; 30 Days",Table1[[#This Row],[Agreement Days]]&gt;=-60,"Expires &lt; 60 Days",Table1[[#This Row],[Agreement Days]]&lt;-60,"Valid Contract")</f>
        <v>Valid Contract</v>
      </c>
      <c r="W551" s="14" t="s">
        <v>13</v>
      </c>
      <c r="X551" s="14" t="s">
        <v>1130</v>
      </c>
      <c r="Y551" s="16" t="s">
        <v>1492</v>
      </c>
      <c r="Z551" s="17">
        <v>788411508</v>
      </c>
      <c r="AA551" s="17"/>
      <c r="AB551" s="116"/>
      <c r="AC551" s="116"/>
    </row>
    <row r="552" spans="1:29" x14ac:dyDescent="0.3">
      <c r="A552" s="18" t="s">
        <v>1546</v>
      </c>
      <c r="B552" s="18" t="s">
        <v>291</v>
      </c>
      <c r="C552" s="18" t="s">
        <v>1547</v>
      </c>
      <c r="D552" s="14" t="s">
        <v>545</v>
      </c>
      <c r="E552" s="18" t="s">
        <v>9</v>
      </c>
      <c r="F552" s="14" t="s">
        <v>517</v>
      </c>
      <c r="G552" s="14" t="s">
        <v>518</v>
      </c>
      <c r="H552" s="18" t="s">
        <v>5</v>
      </c>
      <c r="I552" s="14" t="s">
        <v>117</v>
      </c>
      <c r="J552" s="14">
        <v>15</v>
      </c>
      <c r="K552" s="14" t="s">
        <v>1548</v>
      </c>
      <c r="L552" s="14"/>
      <c r="M552" s="14">
        <v>1</v>
      </c>
      <c r="N552" s="15">
        <f>849600/1.18</f>
        <v>720000</v>
      </c>
      <c r="O552" s="15">
        <f t="shared" si="21"/>
        <v>720000</v>
      </c>
      <c r="P552" s="15"/>
      <c r="Q552" s="14" t="s">
        <v>520</v>
      </c>
      <c r="R552" s="25">
        <v>45291</v>
      </c>
      <c r="S552" s="22" t="str">
        <f>TEXT(Table1[[#This Row],[End Date]],"MMMM")</f>
        <v>December</v>
      </c>
      <c r="T552" s="23" t="str">
        <f>TEXT(Table1[[#This Row],[End Date]],"YYYY")</f>
        <v>2023</v>
      </c>
      <c r="U552" s="24">
        <f t="shared" ca="1" si="22"/>
        <v>-158</v>
      </c>
      <c r="V552" s="14" t="str" cm="1">
        <f t="array" aca="1" ref="V552" ca="1">_xlfn.IFS(Table1[[#This Row],[Agreement Days]]&gt;=0,"Expired",Table1[[#This Row],[Agreement Days]]&gt;=-30,"Expires &lt; 30 Days",Table1[[#This Row],[Agreement Days]]&gt;=-60,"Expires &lt; 60 Days",Table1[[#This Row],[Agreement Days]]&lt;-60,"Valid Contract")</f>
        <v>Valid Contract</v>
      </c>
      <c r="W552" s="14" t="s">
        <v>12</v>
      </c>
      <c r="X552" s="14" t="s">
        <v>1549</v>
      </c>
      <c r="Y552" s="16" t="s">
        <v>1550</v>
      </c>
      <c r="Z552" s="17" t="s">
        <v>1551</v>
      </c>
      <c r="AA552" s="17"/>
      <c r="AB552" s="116"/>
      <c r="AC552" s="116"/>
    </row>
    <row r="553" spans="1:29" x14ac:dyDescent="0.3">
      <c r="A553" s="18" t="s">
        <v>1546</v>
      </c>
      <c r="B553" s="18" t="s">
        <v>291</v>
      </c>
      <c r="C553" s="18" t="s">
        <v>1552</v>
      </c>
      <c r="D553" s="14" t="s">
        <v>545</v>
      </c>
      <c r="E553" s="18" t="s">
        <v>9</v>
      </c>
      <c r="F553" s="14" t="s">
        <v>517</v>
      </c>
      <c r="G553" s="14" t="s">
        <v>518</v>
      </c>
      <c r="H553" s="18" t="s">
        <v>5</v>
      </c>
      <c r="I553" s="14" t="s">
        <v>115</v>
      </c>
      <c r="J553" s="14"/>
      <c r="K553" s="18" t="s">
        <v>643</v>
      </c>
      <c r="L553" s="14"/>
      <c r="M553" s="14">
        <v>1</v>
      </c>
      <c r="N553" s="15">
        <v>28305.08</v>
      </c>
      <c r="O553" s="15">
        <f t="shared" si="21"/>
        <v>28305.08</v>
      </c>
      <c r="P553" s="15"/>
      <c r="Q553" s="14" t="s">
        <v>520</v>
      </c>
      <c r="R553" s="25">
        <v>45291</v>
      </c>
      <c r="S553" s="22" t="str">
        <f>TEXT(Table1[[#This Row],[End Date]],"MMMM")</f>
        <v>December</v>
      </c>
      <c r="T553" s="23" t="str">
        <f>TEXT(Table1[[#This Row],[End Date]],"YYYY")</f>
        <v>2023</v>
      </c>
      <c r="U553" s="24">
        <f t="shared" ca="1" si="22"/>
        <v>-158</v>
      </c>
      <c r="V553" s="14" t="str" cm="1">
        <f t="array" aca="1" ref="V553" ca="1">_xlfn.IFS(Table1[[#This Row],[Agreement Days]]&gt;=0,"Expired",Table1[[#This Row],[Agreement Days]]&gt;=-30,"Expires &lt; 30 Days",Table1[[#This Row],[Agreement Days]]&gt;=-60,"Expires &lt; 60 Days",Table1[[#This Row],[Agreement Days]]&lt;-60,"Valid Contract")</f>
        <v>Valid Contract</v>
      </c>
      <c r="W553" s="14" t="s">
        <v>12</v>
      </c>
      <c r="X553" s="14" t="s">
        <v>1549</v>
      </c>
      <c r="Y553" s="16" t="s">
        <v>1550</v>
      </c>
      <c r="Z553" s="17" t="s">
        <v>1551</v>
      </c>
      <c r="AA553" s="17"/>
      <c r="AB553" s="116"/>
      <c r="AC553" s="116"/>
    </row>
    <row r="554" spans="1:29" x14ac:dyDescent="0.3">
      <c r="A554" s="18" t="s">
        <v>1546</v>
      </c>
      <c r="B554" s="18" t="s">
        <v>291</v>
      </c>
      <c r="C554" s="18" t="s">
        <v>1393</v>
      </c>
      <c r="D554" s="14" t="s">
        <v>545</v>
      </c>
      <c r="E554" s="18" t="s">
        <v>9</v>
      </c>
      <c r="F554" s="14" t="s">
        <v>517</v>
      </c>
      <c r="G554" s="14" t="s">
        <v>518</v>
      </c>
      <c r="H554" s="18" t="s">
        <v>2</v>
      </c>
      <c r="I554" s="14" t="s">
        <v>118</v>
      </c>
      <c r="J554" s="14"/>
      <c r="K554" s="14" t="s">
        <v>721</v>
      </c>
      <c r="L554" s="14"/>
      <c r="M554" s="14">
        <v>1</v>
      </c>
      <c r="N554" s="15">
        <v>369325</v>
      </c>
      <c r="O554" s="15">
        <f t="shared" si="21"/>
        <v>369325</v>
      </c>
      <c r="P554" s="15"/>
      <c r="Q554" s="14" t="s">
        <v>520</v>
      </c>
      <c r="R554" s="25">
        <v>45291</v>
      </c>
      <c r="S554" s="22" t="str">
        <f>TEXT(Table1[[#This Row],[End Date]],"MMMM")</f>
        <v>December</v>
      </c>
      <c r="T554" s="23" t="str">
        <f>TEXT(Table1[[#This Row],[End Date]],"YYYY")</f>
        <v>2023</v>
      </c>
      <c r="U554" s="24">
        <f t="shared" ca="1" si="22"/>
        <v>-158</v>
      </c>
      <c r="V554" s="14" t="str" cm="1">
        <f t="array" aca="1" ref="V554" ca="1">_xlfn.IFS(Table1[[#This Row],[Agreement Days]]&gt;=0,"Expired",Table1[[#This Row],[Agreement Days]]&gt;=-30,"Expires &lt; 30 Days",Table1[[#This Row],[Agreement Days]]&gt;=-60,"Expires &lt; 60 Days",Table1[[#This Row],[Agreement Days]]&lt;-60,"Valid Contract")</f>
        <v>Valid Contract</v>
      </c>
      <c r="W554" s="14" t="s">
        <v>12</v>
      </c>
      <c r="X554" s="14" t="s">
        <v>1549</v>
      </c>
      <c r="Y554" s="16" t="s">
        <v>1550</v>
      </c>
      <c r="Z554" s="17" t="s">
        <v>1551</v>
      </c>
      <c r="AA554" s="17"/>
      <c r="AB554" s="120"/>
      <c r="AC554" s="120"/>
    </row>
    <row r="555" spans="1:29" hidden="1" x14ac:dyDescent="0.3">
      <c r="A555" s="18" t="s">
        <v>652</v>
      </c>
      <c r="B555" s="18" t="s">
        <v>227</v>
      </c>
      <c r="C555" s="18" t="s">
        <v>1553</v>
      </c>
      <c r="D555" s="14" t="s">
        <v>653</v>
      </c>
      <c r="E555" s="18" t="s">
        <v>9</v>
      </c>
      <c r="F555" s="14" t="s">
        <v>517</v>
      </c>
      <c r="G555" s="14" t="s">
        <v>518</v>
      </c>
      <c r="H555" s="18" t="s">
        <v>5</v>
      </c>
      <c r="I555" s="14" t="s">
        <v>115</v>
      </c>
      <c r="J555" s="14"/>
      <c r="K555" s="18" t="s">
        <v>643</v>
      </c>
      <c r="L555" s="14"/>
      <c r="M555" s="14">
        <v>30</v>
      </c>
      <c r="N555" s="15">
        <v>28305.08</v>
      </c>
      <c r="O555" s="15">
        <f t="shared" si="21"/>
        <v>849152.4</v>
      </c>
      <c r="P555" s="15"/>
      <c r="Q555" s="14" t="s">
        <v>520</v>
      </c>
      <c r="R555" s="25">
        <v>45291</v>
      </c>
      <c r="S555" s="22" t="str">
        <f>TEXT(Table1[[#This Row],[End Date]],"MMMM")</f>
        <v>December</v>
      </c>
      <c r="T555" s="23" t="str">
        <f>TEXT(Table1[[#This Row],[End Date]],"YYYY")</f>
        <v>2023</v>
      </c>
      <c r="U555" s="24">
        <f t="shared" ca="1" si="22"/>
        <v>-158</v>
      </c>
      <c r="V555" s="14" t="str" cm="1">
        <f t="array" aca="1" ref="V555" ca="1">_xlfn.IFS(Table1[[#This Row],[Agreement Days]]&gt;=0,"Expired",Table1[[#This Row],[Agreement Days]]&gt;=-30,"Expires &lt; 30 Days",Table1[[#This Row],[Agreement Days]]&gt;=-60,"Expires &lt; 60 Days",Table1[[#This Row],[Agreement Days]]&lt;-60,"Valid Contract")</f>
        <v>Valid Contract</v>
      </c>
      <c r="W555" s="14" t="s">
        <v>19</v>
      </c>
      <c r="X555" s="14" t="s">
        <v>655</v>
      </c>
      <c r="Y555" s="14" t="s">
        <v>656</v>
      </c>
      <c r="Z555" s="17">
        <v>788313458</v>
      </c>
      <c r="AA555" s="17"/>
      <c r="AB555" s="116"/>
      <c r="AC555" s="116"/>
    </row>
    <row r="556" spans="1:29" x14ac:dyDescent="0.3">
      <c r="A556" s="18" t="s">
        <v>1554</v>
      </c>
      <c r="B556" s="18" t="s">
        <v>169</v>
      </c>
      <c r="C556" s="18" t="s">
        <v>1555</v>
      </c>
      <c r="D556" s="14" t="s">
        <v>653</v>
      </c>
      <c r="E556" s="18" t="s">
        <v>10</v>
      </c>
      <c r="F556" s="14" t="s">
        <v>527</v>
      </c>
      <c r="G556" s="14" t="s">
        <v>518</v>
      </c>
      <c r="H556" s="18" t="s">
        <v>5</v>
      </c>
      <c r="I556" s="14" t="s">
        <v>134</v>
      </c>
      <c r="J556" s="14">
        <v>10</v>
      </c>
      <c r="K556" s="14" t="s">
        <v>1391</v>
      </c>
      <c r="L556" s="14"/>
      <c r="M556" s="14">
        <v>1</v>
      </c>
      <c r="N556" s="15">
        <f>601800/1.18</f>
        <v>510000</v>
      </c>
      <c r="O556" s="15">
        <f t="shared" si="21"/>
        <v>510000</v>
      </c>
      <c r="P556" s="15"/>
      <c r="Q556" s="14" t="s">
        <v>520</v>
      </c>
      <c r="R556" s="25">
        <v>45291</v>
      </c>
      <c r="S556" s="22" t="str">
        <f>TEXT(Table1[[#This Row],[End Date]],"MMMM")</f>
        <v>December</v>
      </c>
      <c r="T556" s="23" t="str">
        <f>TEXT(Table1[[#This Row],[End Date]],"YYYY")</f>
        <v>2023</v>
      </c>
      <c r="U556" s="24">
        <f t="shared" ca="1" si="22"/>
        <v>-158</v>
      </c>
      <c r="V556" s="14" t="str" cm="1">
        <f t="array" aca="1" ref="V556" ca="1">_xlfn.IFS(Table1[[#This Row],[Agreement Days]]&gt;=0,"Expired",Table1[[#This Row],[Agreement Days]]&gt;=-30,"Expires &lt; 30 Days",Table1[[#This Row],[Agreement Days]]&gt;=-60,"Expires &lt; 60 Days",Table1[[#This Row],[Agreement Days]]&lt;-60,"Valid Contract")</f>
        <v>Valid Contract</v>
      </c>
      <c r="W556" s="14" t="s">
        <v>12</v>
      </c>
      <c r="X556" s="14" t="s">
        <v>1556</v>
      </c>
      <c r="Y556" s="16" t="s">
        <v>1557</v>
      </c>
      <c r="Z556" s="17" t="s">
        <v>1558</v>
      </c>
      <c r="AA556" s="17"/>
      <c r="AB556" s="122"/>
      <c r="AC556" s="122"/>
    </row>
    <row r="557" spans="1:29" x14ac:dyDescent="0.3">
      <c r="A557" s="18" t="s">
        <v>1554</v>
      </c>
      <c r="B557" s="18" t="s">
        <v>169</v>
      </c>
      <c r="C557" s="18" t="s">
        <v>1559</v>
      </c>
      <c r="D557" s="14" t="s">
        <v>653</v>
      </c>
      <c r="E557" s="18" t="s">
        <v>10</v>
      </c>
      <c r="F557" s="14" t="s">
        <v>527</v>
      </c>
      <c r="G557" s="14" t="s">
        <v>518</v>
      </c>
      <c r="H557" s="18" t="s">
        <v>5</v>
      </c>
      <c r="I557" s="14" t="s">
        <v>134</v>
      </c>
      <c r="J557" s="14">
        <v>10</v>
      </c>
      <c r="K557" s="14" t="s">
        <v>1391</v>
      </c>
      <c r="L557" s="14"/>
      <c r="M557" s="14">
        <v>1</v>
      </c>
      <c r="N557" s="15">
        <v>510000</v>
      </c>
      <c r="O557" s="15">
        <f t="shared" si="21"/>
        <v>510000</v>
      </c>
      <c r="P557" s="15"/>
      <c r="Q557" s="14" t="s">
        <v>520</v>
      </c>
      <c r="R557" s="25">
        <v>45291</v>
      </c>
      <c r="S557" s="22" t="str">
        <f>TEXT(Table1[[#This Row],[End Date]],"MMMM")</f>
        <v>December</v>
      </c>
      <c r="T557" s="23" t="str">
        <f>TEXT(Table1[[#This Row],[End Date]],"YYYY")</f>
        <v>2023</v>
      </c>
      <c r="U557" s="24">
        <f t="shared" ca="1" si="22"/>
        <v>-158</v>
      </c>
      <c r="V557" s="14" t="str" cm="1">
        <f t="array" aca="1" ref="V557" ca="1">_xlfn.IFS(Table1[[#This Row],[Agreement Days]]&gt;=0,"Expired",Table1[[#This Row],[Agreement Days]]&gt;=-30,"Expires &lt; 30 Days",Table1[[#This Row],[Agreement Days]]&gt;=-60,"Expires &lt; 60 Days",Table1[[#This Row],[Agreement Days]]&lt;-60,"Valid Contract")</f>
        <v>Valid Contract</v>
      </c>
      <c r="W557" s="14" t="s">
        <v>12</v>
      </c>
      <c r="X557" s="14" t="s">
        <v>1556</v>
      </c>
      <c r="Y557" s="16" t="s">
        <v>1557</v>
      </c>
      <c r="Z557" s="17" t="s">
        <v>1558</v>
      </c>
      <c r="AA557" s="17"/>
      <c r="AB557" s="122"/>
      <c r="AC557" s="122"/>
    </row>
    <row r="558" spans="1:29" x14ac:dyDescent="0.3">
      <c r="A558" s="18" t="s">
        <v>1554</v>
      </c>
      <c r="B558" s="18" t="s">
        <v>169</v>
      </c>
      <c r="C558" s="18" t="s">
        <v>1560</v>
      </c>
      <c r="D558" s="14" t="s">
        <v>545</v>
      </c>
      <c r="E558" s="18" t="s">
        <v>10</v>
      </c>
      <c r="F558" s="14" t="s">
        <v>527</v>
      </c>
      <c r="G558" s="14" t="s">
        <v>518</v>
      </c>
      <c r="H558" s="18" t="s">
        <v>5</v>
      </c>
      <c r="I558" s="14" t="s">
        <v>134</v>
      </c>
      <c r="J558" s="14">
        <v>10</v>
      </c>
      <c r="K558" s="14" t="s">
        <v>1561</v>
      </c>
      <c r="L558" s="14"/>
      <c r="M558" s="14">
        <v>1</v>
      </c>
      <c r="N558" s="15">
        <f>1486800/1.18</f>
        <v>1260000</v>
      </c>
      <c r="O558" s="15">
        <f t="shared" si="21"/>
        <v>1260000</v>
      </c>
      <c r="P558" s="15"/>
      <c r="Q558" s="14" t="s">
        <v>520</v>
      </c>
      <c r="R558" s="25">
        <v>45291</v>
      </c>
      <c r="S558" s="22" t="str">
        <f>TEXT(Table1[[#This Row],[End Date]],"MMMM")</f>
        <v>December</v>
      </c>
      <c r="T558" s="23" t="str">
        <f>TEXT(Table1[[#This Row],[End Date]],"YYYY")</f>
        <v>2023</v>
      </c>
      <c r="U558" s="24">
        <f t="shared" ca="1" si="22"/>
        <v>-158</v>
      </c>
      <c r="V558" s="14" t="str" cm="1">
        <f t="array" aca="1" ref="V558" ca="1">_xlfn.IFS(Table1[[#This Row],[Agreement Days]]&gt;=0,"Expired",Table1[[#This Row],[Agreement Days]]&gt;=-30,"Expires &lt; 30 Days",Table1[[#This Row],[Agreement Days]]&gt;=-60,"Expires &lt; 60 Days",Table1[[#This Row],[Agreement Days]]&lt;-60,"Valid Contract")</f>
        <v>Valid Contract</v>
      </c>
      <c r="W558" s="14" t="s">
        <v>12</v>
      </c>
      <c r="X558" s="14" t="s">
        <v>1556</v>
      </c>
      <c r="Y558" s="16" t="s">
        <v>1557</v>
      </c>
      <c r="Z558" s="17" t="s">
        <v>1558</v>
      </c>
      <c r="AA558" s="17"/>
      <c r="AB558" s="116"/>
      <c r="AC558" s="116"/>
    </row>
    <row r="559" spans="1:29" x14ac:dyDescent="0.3">
      <c r="A559" s="18" t="s">
        <v>1554</v>
      </c>
      <c r="B559" s="18" t="s">
        <v>169</v>
      </c>
      <c r="C559" s="18" t="s">
        <v>1562</v>
      </c>
      <c r="D559" s="14" t="s">
        <v>545</v>
      </c>
      <c r="E559" s="18" t="s">
        <v>10</v>
      </c>
      <c r="F559" s="14" t="s">
        <v>527</v>
      </c>
      <c r="G559" s="14" t="s">
        <v>518</v>
      </c>
      <c r="H559" s="18" t="s">
        <v>5</v>
      </c>
      <c r="I559" s="14" t="s">
        <v>134</v>
      </c>
      <c r="J559" s="14">
        <v>10</v>
      </c>
      <c r="K559" s="14" t="s">
        <v>1391</v>
      </c>
      <c r="L559" s="14"/>
      <c r="M559" s="14">
        <v>1</v>
      </c>
      <c r="N559" s="15">
        <v>510000</v>
      </c>
      <c r="O559" s="15">
        <f t="shared" si="21"/>
        <v>510000</v>
      </c>
      <c r="P559" s="15"/>
      <c r="Q559" s="14" t="s">
        <v>520</v>
      </c>
      <c r="R559" s="25">
        <v>45291</v>
      </c>
      <c r="S559" s="22" t="str">
        <f>TEXT(Table1[[#This Row],[End Date]],"MMMM")</f>
        <v>December</v>
      </c>
      <c r="T559" s="23" t="str">
        <f>TEXT(Table1[[#This Row],[End Date]],"YYYY")</f>
        <v>2023</v>
      </c>
      <c r="U559" s="24">
        <f t="shared" ca="1" si="22"/>
        <v>-158</v>
      </c>
      <c r="V559" s="14" t="str" cm="1">
        <f t="array" aca="1" ref="V559" ca="1">_xlfn.IFS(Table1[[#This Row],[Agreement Days]]&gt;=0,"Expired",Table1[[#This Row],[Agreement Days]]&gt;=-30,"Expires &lt; 30 Days",Table1[[#This Row],[Agreement Days]]&gt;=-60,"Expires &lt; 60 Days",Table1[[#This Row],[Agreement Days]]&lt;-60,"Valid Contract")</f>
        <v>Valid Contract</v>
      </c>
      <c r="W559" s="14" t="s">
        <v>12</v>
      </c>
      <c r="X559" s="14" t="s">
        <v>1556</v>
      </c>
      <c r="Y559" s="16" t="s">
        <v>1557</v>
      </c>
      <c r="Z559" s="17" t="s">
        <v>1558</v>
      </c>
      <c r="AA559" s="17"/>
      <c r="AB559" s="116"/>
      <c r="AC559" s="116"/>
    </row>
    <row r="560" spans="1:29" hidden="1" x14ac:dyDescent="0.3">
      <c r="A560" s="18" t="s">
        <v>1563</v>
      </c>
      <c r="B560" s="18" t="s">
        <v>276</v>
      </c>
      <c r="C560" s="18" t="s">
        <v>276</v>
      </c>
      <c r="D560" s="14" t="s">
        <v>735</v>
      </c>
      <c r="E560" s="18" t="s">
        <v>9</v>
      </c>
      <c r="F560" s="14" t="s">
        <v>631</v>
      </c>
      <c r="G560" s="14" t="s">
        <v>518</v>
      </c>
      <c r="H560" s="18" t="s">
        <v>5</v>
      </c>
      <c r="I560" s="14" t="s">
        <v>115</v>
      </c>
      <c r="J560" s="14"/>
      <c r="K560" s="14" t="s">
        <v>1564</v>
      </c>
      <c r="L560" s="14"/>
      <c r="M560" s="14">
        <v>4</v>
      </c>
      <c r="N560" s="15">
        <v>310847</v>
      </c>
      <c r="O560" s="15">
        <f t="shared" si="21"/>
        <v>1243388</v>
      </c>
      <c r="P560" s="15"/>
      <c r="Q560" s="14" t="s">
        <v>520</v>
      </c>
      <c r="R560" s="25">
        <v>45291</v>
      </c>
      <c r="S560" s="22" t="s">
        <v>1565</v>
      </c>
      <c r="T560" s="34" t="str">
        <f>TEXT(Table1[[#This Row],[End Date]],"YYYY")</f>
        <v>2023</v>
      </c>
      <c r="U560" s="24">
        <f t="shared" ca="1" si="22"/>
        <v>-158</v>
      </c>
      <c r="V560" s="14" t="str" cm="1">
        <f t="array" aca="1" ref="V560" ca="1">_xlfn.IFS(Table1[[#This Row],[Agreement Days]]&gt;=0,"Expired",Table1[[#This Row],[Agreement Days]]&gt;=-30,"Expires &lt; 30 Days",Table1[[#This Row],[Agreement Days]]&gt;=-60,"Expires &lt; 60 Days",Table1[[#This Row],[Agreement Days]]&lt;-60,"Valid Contract")</f>
        <v>Valid Contract</v>
      </c>
      <c r="W560" s="14" t="s">
        <v>13</v>
      </c>
      <c r="X560" s="14" t="s">
        <v>1566</v>
      </c>
      <c r="Y560" s="63" t="s">
        <v>1567</v>
      </c>
      <c r="Z560" s="17">
        <v>788689002</v>
      </c>
      <c r="AA560" s="17"/>
      <c r="AB560" s="116"/>
      <c r="AC560" s="116"/>
    </row>
    <row r="561" spans="1:29" x14ac:dyDescent="0.3">
      <c r="A561" s="18" t="s">
        <v>1554</v>
      </c>
      <c r="B561" s="18" t="s">
        <v>169</v>
      </c>
      <c r="C561" s="18" t="s">
        <v>1568</v>
      </c>
      <c r="D561" s="14" t="s">
        <v>545</v>
      </c>
      <c r="E561" s="18" t="s">
        <v>10</v>
      </c>
      <c r="F561" s="14" t="s">
        <v>527</v>
      </c>
      <c r="G561" s="14" t="s">
        <v>518</v>
      </c>
      <c r="H561" s="18" t="s">
        <v>5</v>
      </c>
      <c r="I561" s="14" t="s">
        <v>134</v>
      </c>
      <c r="J561" s="14">
        <v>10</v>
      </c>
      <c r="K561" s="14" t="s">
        <v>1391</v>
      </c>
      <c r="L561" s="14"/>
      <c r="M561" s="14">
        <v>1</v>
      </c>
      <c r="N561" s="15">
        <v>510000</v>
      </c>
      <c r="O561" s="15">
        <f t="shared" si="21"/>
        <v>510000</v>
      </c>
      <c r="P561" s="15"/>
      <c r="Q561" s="14" t="s">
        <v>520</v>
      </c>
      <c r="R561" s="25">
        <v>45291</v>
      </c>
      <c r="S561" s="22" t="str">
        <f>TEXT(Table1[[#This Row],[End Date]],"MMMM")</f>
        <v>December</v>
      </c>
      <c r="T561" s="23" t="str">
        <f>TEXT(Table1[[#This Row],[End Date]],"YYYY")</f>
        <v>2023</v>
      </c>
      <c r="U561" s="24">
        <f t="shared" ca="1" si="22"/>
        <v>-158</v>
      </c>
      <c r="V561" s="14" t="str" cm="1">
        <f t="array" aca="1" ref="V561" ca="1">_xlfn.IFS(Table1[[#This Row],[Agreement Days]]&gt;=0,"Expired",Table1[[#This Row],[Agreement Days]]&gt;=-30,"Expires &lt; 30 Days",Table1[[#This Row],[Agreement Days]]&gt;=-60,"Expires &lt; 60 Days",Table1[[#This Row],[Agreement Days]]&lt;-60,"Valid Contract")</f>
        <v>Valid Contract</v>
      </c>
      <c r="W561" s="14" t="s">
        <v>12</v>
      </c>
      <c r="X561" s="14" t="s">
        <v>1556</v>
      </c>
      <c r="Y561" s="16" t="s">
        <v>1557</v>
      </c>
      <c r="Z561" s="17" t="s">
        <v>1558</v>
      </c>
      <c r="AA561" s="17"/>
      <c r="AB561" s="116"/>
      <c r="AC561" s="116"/>
    </row>
    <row r="562" spans="1:29" x14ac:dyDescent="0.3">
      <c r="A562" s="18" t="s">
        <v>1554</v>
      </c>
      <c r="B562" s="18" t="s">
        <v>169</v>
      </c>
      <c r="C562" s="18" t="s">
        <v>1569</v>
      </c>
      <c r="D562" s="14" t="s">
        <v>545</v>
      </c>
      <c r="E562" s="18" t="s">
        <v>10</v>
      </c>
      <c r="F562" s="14" t="s">
        <v>527</v>
      </c>
      <c r="G562" s="14" t="s">
        <v>518</v>
      </c>
      <c r="H562" s="18" t="s">
        <v>5</v>
      </c>
      <c r="I562" s="14" t="s">
        <v>134</v>
      </c>
      <c r="J562" s="14">
        <v>50</v>
      </c>
      <c r="K562" s="14" t="s">
        <v>1570</v>
      </c>
      <c r="L562" s="14"/>
      <c r="M562" s="14">
        <v>1</v>
      </c>
      <c r="N562" s="15">
        <f>2124000/1.18</f>
        <v>1800000</v>
      </c>
      <c r="O562" s="15">
        <f t="shared" si="21"/>
        <v>1800000</v>
      </c>
      <c r="P562" s="15"/>
      <c r="Q562" s="14" t="s">
        <v>520</v>
      </c>
      <c r="R562" s="25">
        <v>45291</v>
      </c>
      <c r="S562" s="22" t="str">
        <f>TEXT(Table1[[#This Row],[End Date]],"MMMM")</f>
        <v>December</v>
      </c>
      <c r="T562" s="23" t="str">
        <f>TEXT(Table1[[#This Row],[End Date]],"YYYY")</f>
        <v>2023</v>
      </c>
      <c r="U562" s="24">
        <f t="shared" ca="1" si="22"/>
        <v>-158</v>
      </c>
      <c r="V562" s="14" t="str" cm="1">
        <f t="array" aca="1" ref="V562" ca="1">_xlfn.IFS(Table1[[#This Row],[Agreement Days]]&gt;=0,"Expired",Table1[[#This Row],[Agreement Days]]&gt;=-30,"Expires &lt; 30 Days",Table1[[#This Row],[Agreement Days]]&gt;=-60,"Expires &lt; 60 Days",Table1[[#This Row],[Agreement Days]]&lt;-60,"Valid Contract")</f>
        <v>Valid Contract</v>
      </c>
      <c r="W562" s="14" t="s">
        <v>12</v>
      </c>
      <c r="X562" s="14" t="s">
        <v>1556</v>
      </c>
      <c r="Y562" s="16" t="s">
        <v>1557</v>
      </c>
      <c r="Z562" s="17" t="s">
        <v>1558</v>
      </c>
      <c r="AA562" s="17"/>
      <c r="AB562" s="116"/>
      <c r="AC562" s="116"/>
    </row>
    <row r="563" spans="1:29" x14ac:dyDescent="0.3">
      <c r="A563" s="18" t="s">
        <v>1571</v>
      </c>
      <c r="B563" s="18" t="s">
        <v>168</v>
      </c>
      <c r="C563" s="18" t="s">
        <v>1572</v>
      </c>
      <c r="D563" s="14" t="s">
        <v>579</v>
      </c>
      <c r="E563" s="18" t="s">
        <v>10</v>
      </c>
      <c r="F563" s="14" t="s">
        <v>527</v>
      </c>
      <c r="G563" s="14" t="s">
        <v>518</v>
      </c>
      <c r="H563" s="18" t="s">
        <v>2</v>
      </c>
      <c r="I563" s="14" t="s">
        <v>134</v>
      </c>
      <c r="J563" s="14">
        <v>100</v>
      </c>
      <c r="K563" s="14" t="s">
        <v>1573</v>
      </c>
      <c r="L563" s="14"/>
      <c r="M563" s="14">
        <v>1</v>
      </c>
      <c r="N563" s="15">
        <f>(4900*1105)</f>
        <v>5414500</v>
      </c>
      <c r="O563" s="15">
        <f t="shared" si="21"/>
        <v>5414500</v>
      </c>
      <c r="P563" s="15"/>
      <c r="Q563" s="14" t="s">
        <v>520</v>
      </c>
      <c r="R563" s="25">
        <v>45291</v>
      </c>
      <c r="S563" s="22" t="str">
        <f>TEXT(Table1[[#This Row],[End Date]],"MMMM")</f>
        <v>December</v>
      </c>
      <c r="T563" s="23" t="str">
        <f>TEXT(Table1[[#This Row],[End Date]],"YYYY")</f>
        <v>2023</v>
      </c>
      <c r="U563" s="24">
        <f t="shared" ca="1" si="22"/>
        <v>-158</v>
      </c>
      <c r="V563" s="14" t="str" cm="1">
        <f t="array" aca="1" ref="V563" ca="1">_xlfn.IFS(Table1[[#This Row],[Agreement Days]]&gt;=0,"Expired",Table1[[#This Row],[Agreement Days]]&gt;=-30,"Expires &lt; 30 Days",Table1[[#This Row],[Agreement Days]]&gt;=-60,"Expires &lt; 60 Days",Table1[[#This Row],[Agreement Days]]&lt;-60,"Valid Contract")</f>
        <v>Valid Contract</v>
      </c>
      <c r="W563" s="14" t="s">
        <v>12</v>
      </c>
      <c r="X563" s="14" t="s">
        <v>1574</v>
      </c>
      <c r="Y563" s="16" t="s">
        <v>1575</v>
      </c>
      <c r="Z563" s="17" t="s">
        <v>1576</v>
      </c>
      <c r="AA563" s="17"/>
      <c r="AB563" s="116"/>
      <c r="AC563" s="116"/>
    </row>
    <row r="564" spans="1:29" hidden="1" x14ac:dyDescent="0.3">
      <c r="A564" s="18" t="s">
        <v>1394</v>
      </c>
      <c r="B564" s="18" t="s">
        <v>309</v>
      </c>
      <c r="C564" s="18" t="s">
        <v>1395</v>
      </c>
      <c r="D564" s="14" t="s">
        <v>873</v>
      </c>
      <c r="E564" s="18" t="s">
        <v>9</v>
      </c>
      <c r="F564" s="14" t="s">
        <v>688</v>
      </c>
      <c r="G564" s="14" t="s">
        <v>518</v>
      </c>
      <c r="H564" s="18" t="s">
        <v>2</v>
      </c>
      <c r="I564" s="14" t="s">
        <v>117</v>
      </c>
      <c r="J564" s="14">
        <v>5</v>
      </c>
      <c r="K564" s="18" t="s">
        <v>519</v>
      </c>
      <c r="L564" s="18"/>
      <c r="M564" s="14">
        <v>1</v>
      </c>
      <c r="N564" s="15">
        <v>270000</v>
      </c>
      <c r="O564" s="15">
        <f t="shared" si="21"/>
        <v>270000</v>
      </c>
      <c r="P564" s="15"/>
      <c r="Q564" s="14" t="s">
        <v>520</v>
      </c>
      <c r="R564" s="25">
        <v>45291</v>
      </c>
      <c r="S564" s="34" t="str">
        <f>TEXT(Table1[[#This Row],[End Date]],"MMMM")</f>
        <v>December</v>
      </c>
      <c r="T564" s="34" t="str">
        <f>TEXT(Table1[[#This Row],[End Date]],"YYYY")</f>
        <v>2023</v>
      </c>
      <c r="U564" s="24">
        <f t="shared" ca="1" si="22"/>
        <v>-158</v>
      </c>
      <c r="V564" s="14" t="str" cm="1">
        <f t="array" aca="1" ref="V564" ca="1">_xlfn.IFS(Table1[[#This Row],[Agreement Days]]&gt;=0,"Expired",Table1[[#This Row],[Agreement Days]]&gt;=-30,"Expires &lt; 30 Days",Table1[[#This Row],[Agreement Days]]&gt;=-60,"Expires &lt; 60 Days",Table1[[#This Row],[Agreement Days]]&lt;-60,"Valid Contract")</f>
        <v>Valid Contract</v>
      </c>
      <c r="W564" s="18" t="s">
        <v>21</v>
      </c>
      <c r="X564" s="18" t="s">
        <v>1396</v>
      </c>
      <c r="Y564" s="42" t="s">
        <v>1397</v>
      </c>
      <c r="Z564" s="27">
        <v>788230183</v>
      </c>
      <c r="AA564" s="27"/>
      <c r="AB564" s="120"/>
      <c r="AC564" s="120"/>
    </row>
    <row r="565" spans="1:29" x14ac:dyDescent="0.3">
      <c r="A565" s="18" t="s">
        <v>1577</v>
      </c>
      <c r="B565" s="18" t="s">
        <v>152</v>
      </c>
      <c r="C565" s="18" t="s">
        <v>1578</v>
      </c>
      <c r="D565" s="14" t="s">
        <v>545</v>
      </c>
      <c r="E565" s="18" t="s">
        <v>9</v>
      </c>
      <c r="F565" s="14" t="s">
        <v>517</v>
      </c>
      <c r="G565" s="14" t="s">
        <v>518</v>
      </c>
      <c r="H565" s="18" t="s">
        <v>5</v>
      </c>
      <c r="I565" s="14" t="s">
        <v>117</v>
      </c>
      <c r="J565" s="14">
        <v>30</v>
      </c>
      <c r="K565" s="14" t="s">
        <v>1579</v>
      </c>
      <c r="L565" s="14"/>
      <c r="M565" s="14">
        <v>1</v>
      </c>
      <c r="N565" s="15">
        <v>1800000</v>
      </c>
      <c r="O565" s="15">
        <f t="shared" si="21"/>
        <v>1800000</v>
      </c>
      <c r="P565" s="15"/>
      <c r="Q565" s="14" t="s">
        <v>520</v>
      </c>
      <c r="R565" s="25">
        <v>45307</v>
      </c>
      <c r="S565" s="22" t="str">
        <f>TEXT(Table1[[#This Row],[End Date]],"MMMM")</f>
        <v>January</v>
      </c>
      <c r="T565" s="23" t="str">
        <f>TEXT(Table1[[#This Row],[End Date]],"YYYY")</f>
        <v>2024</v>
      </c>
      <c r="U565" s="24">
        <f t="shared" ca="1" si="22"/>
        <v>-174</v>
      </c>
      <c r="V565" s="14" t="str" cm="1">
        <f t="array" aca="1" ref="V565" ca="1">_xlfn.IFS(Table1[[#This Row],[Agreement Days]]&gt;=0,"Expired",Table1[[#This Row],[Agreement Days]]&gt;=-30,"Expires &lt; 30 Days",Table1[[#This Row],[Agreement Days]]&gt;=-60,"Expires &lt; 60 Days",Table1[[#This Row],[Agreement Days]]&lt;-60,"Valid Contract")</f>
        <v>Valid Contract</v>
      </c>
      <c r="W565" s="14" t="s">
        <v>12</v>
      </c>
      <c r="X565" s="14" t="s">
        <v>1580</v>
      </c>
      <c r="Y565" s="16" t="s">
        <v>1581</v>
      </c>
      <c r="Z565" s="17" t="s">
        <v>1582</v>
      </c>
      <c r="AA565" s="17"/>
      <c r="AB565" s="116"/>
      <c r="AC565" s="116"/>
    </row>
    <row r="566" spans="1:29" x14ac:dyDescent="0.3">
      <c r="A566" s="18" t="s">
        <v>1577</v>
      </c>
      <c r="B566" s="18" t="s">
        <v>152</v>
      </c>
      <c r="C566" s="18" t="s">
        <v>1393</v>
      </c>
      <c r="D566" s="14" t="s">
        <v>545</v>
      </c>
      <c r="E566" s="18" t="s">
        <v>9</v>
      </c>
      <c r="F566" s="14" t="s">
        <v>517</v>
      </c>
      <c r="G566" s="14" t="s">
        <v>518</v>
      </c>
      <c r="H566" s="18" t="s">
        <v>2</v>
      </c>
      <c r="I566" s="14" t="s">
        <v>118</v>
      </c>
      <c r="J566" s="14"/>
      <c r="K566" s="14" t="s">
        <v>721</v>
      </c>
      <c r="L566" s="14"/>
      <c r="M566" s="14">
        <v>1</v>
      </c>
      <c r="N566" s="15">
        <f>N563</f>
        <v>5414500</v>
      </c>
      <c r="O566" s="15">
        <f t="shared" si="21"/>
        <v>5414500</v>
      </c>
      <c r="P566" s="15"/>
      <c r="Q566" s="14" t="s">
        <v>520</v>
      </c>
      <c r="R566" s="25">
        <v>45307</v>
      </c>
      <c r="S566" s="22" t="str">
        <f>TEXT(Table1[[#This Row],[End Date]],"MMMM")</f>
        <v>January</v>
      </c>
      <c r="T566" s="23" t="str">
        <f>TEXT(Table1[[#This Row],[End Date]],"YYYY")</f>
        <v>2024</v>
      </c>
      <c r="U566" s="24">
        <f t="shared" ca="1" si="22"/>
        <v>-174</v>
      </c>
      <c r="V566" s="14" t="str" cm="1">
        <f t="array" aca="1" ref="V566" ca="1">_xlfn.IFS(Table1[[#This Row],[Agreement Days]]&gt;=0,"Expired",Table1[[#This Row],[Agreement Days]]&gt;=-30,"Expires &lt; 30 Days",Table1[[#This Row],[Agreement Days]]&gt;=-60,"Expires &lt; 60 Days",Table1[[#This Row],[Agreement Days]]&lt;-60,"Valid Contract")</f>
        <v>Valid Contract</v>
      </c>
      <c r="W566" s="14" t="s">
        <v>12</v>
      </c>
      <c r="X566" s="14" t="s">
        <v>1580</v>
      </c>
      <c r="Y566" s="16" t="s">
        <v>1581</v>
      </c>
      <c r="Z566" s="17" t="s">
        <v>1582</v>
      </c>
      <c r="AA566" s="17"/>
      <c r="AB566" s="116"/>
      <c r="AC566" s="116"/>
    </row>
    <row r="567" spans="1:29" x14ac:dyDescent="0.3">
      <c r="A567" s="18" t="s">
        <v>1577</v>
      </c>
      <c r="B567" s="18" t="s">
        <v>152</v>
      </c>
      <c r="C567" s="18" t="s">
        <v>974</v>
      </c>
      <c r="D567" s="14" t="s">
        <v>545</v>
      </c>
      <c r="E567" s="18" t="s">
        <v>9</v>
      </c>
      <c r="F567" s="14" t="s">
        <v>517</v>
      </c>
      <c r="G567" s="14" t="s">
        <v>518</v>
      </c>
      <c r="H567" s="18" t="s">
        <v>2</v>
      </c>
      <c r="I567" s="14" t="s">
        <v>131</v>
      </c>
      <c r="J567" s="14"/>
      <c r="K567" s="14" t="s">
        <v>1583</v>
      </c>
      <c r="L567" s="14"/>
      <c r="M567" s="14">
        <v>1</v>
      </c>
      <c r="N567" s="15">
        <v>78000</v>
      </c>
      <c r="O567" s="15">
        <f t="shared" si="21"/>
        <v>78000</v>
      </c>
      <c r="P567" s="15"/>
      <c r="Q567" s="14" t="s">
        <v>520</v>
      </c>
      <c r="R567" s="25">
        <v>45307</v>
      </c>
      <c r="S567" s="22" t="str">
        <f>TEXT(Table1[[#This Row],[End Date]],"MMMM")</f>
        <v>January</v>
      </c>
      <c r="T567" s="23" t="str">
        <f>TEXT(Table1[[#This Row],[End Date]],"YYYY")</f>
        <v>2024</v>
      </c>
      <c r="U567" s="24">
        <f t="shared" ca="1" si="22"/>
        <v>-174</v>
      </c>
      <c r="V567" s="14" t="str" cm="1">
        <f t="array" aca="1" ref="V567" ca="1">_xlfn.IFS(Table1[[#This Row],[Agreement Days]]&gt;=0,"Expired",Table1[[#This Row],[Agreement Days]]&gt;=-30,"Expires &lt; 30 Days",Table1[[#This Row],[Agreement Days]]&gt;=-60,"Expires &lt; 60 Days",Table1[[#This Row],[Agreement Days]]&lt;-60,"Valid Contract")</f>
        <v>Valid Contract</v>
      </c>
      <c r="W567" s="14" t="s">
        <v>12</v>
      </c>
      <c r="X567" s="14" t="s">
        <v>1580</v>
      </c>
      <c r="Y567" s="16" t="s">
        <v>1581</v>
      </c>
      <c r="Z567" s="17" t="s">
        <v>1582</v>
      </c>
      <c r="AA567" s="17"/>
      <c r="AB567" s="116"/>
      <c r="AC567" s="116"/>
    </row>
    <row r="568" spans="1:29" hidden="1" x14ac:dyDescent="0.3">
      <c r="A568" s="18" t="s">
        <v>1584</v>
      </c>
      <c r="B568" s="18" t="s">
        <v>375</v>
      </c>
      <c r="C568" s="18" t="s">
        <v>375</v>
      </c>
      <c r="D568" s="14" t="s">
        <v>929</v>
      </c>
      <c r="E568" s="18" t="s">
        <v>10</v>
      </c>
      <c r="F568" s="20" t="s">
        <v>1536</v>
      </c>
      <c r="G568" s="20" t="s">
        <v>518</v>
      </c>
      <c r="H568" s="18" t="s">
        <v>5</v>
      </c>
      <c r="I568" s="14" t="s">
        <v>134</v>
      </c>
      <c r="J568" s="14">
        <v>4</v>
      </c>
      <c r="K568" s="14" t="s">
        <v>1585</v>
      </c>
      <c r="L568" s="14"/>
      <c r="M568" s="14">
        <v>1</v>
      </c>
      <c r="N568" s="15">
        <v>397000</v>
      </c>
      <c r="O568" s="15">
        <f t="shared" si="21"/>
        <v>397000</v>
      </c>
      <c r="P568" s="15"/>
      <c r="Q568" s="14" t="s">
        <v>520</v>
      </c>
      <c r="R568" s="25">
        <v>45308</v>
      </c>
      <c r="S568" s="22" t="str">
        <f>TEXT(Table1[[#This Row],[End Date]],"MMMM")</f>
        <v>January</v>
      </c>
      <c r="T568" s="22" t="str">
        <f>TEXT(Table1[[#This Row],[End Date]],"YYYY")</f>
        <v>2024</v>
      </c>
      <c r="U568" s="28">
        <f t="shared" ca="1" si="22"/>
        <v>-175</v>
      </c>
      <c r="V568" s="14" t="str" cm="1">
        <f t="array" aca="1" ref="V568" ca="1">_xlfn.IFS(Table1[[#This Row],[Agreement Days]]&gt;=0,"Expired",Table1[[#This Row],[Agreement Days]]&gt;=-30,"Expires &lt; 30 Days",Table1[[#This Row],[Agreement Days]]&gt;=-60,"Expires &lt; 60 Days",Table1[[#This Row],[Agreement Days]]&lt;-60,"Valid Contract")</f>
        <v>Valid Contract</v>
      </c>
      <c r="W568" s="14" t="s">
        <v>20</v>
      </c>
      <c r="X568" s="14" t="s">
        <v>1586</v>
      </c>
      <c r="Y568" s="45" t="s">
        <v>1587</v>
      </c>
      <c r="Z568" s="27" t="s">
        <v>1588</v>
      </c>
      <c r="AA568" s="14"/>
      <c r="AB568" s="116"/>
      <c r="AC568" s="116"/>
    </row>
    <row r="569" spans="1:29" x14ac:dyDescent="0.3">
      <c r="A569" s="18" t="s">
        <v>1589</v>
      </c>
      <c r="B569" s="18" t="s">
        <v>477</v>
      </c>
      <c r="C569" s="18" t="s">
        <v>1590</v>
      </c>
      <c r="D569" s="14" t="s">
        <v>540</v>
      </c>
      <c r="E569" s="18" t="s">
        <v>10</v>
      </c>
      <c r="F569" s="14" t="s">
        <v>560</v>
      </c>
      <c r="G569" s="14" t="s">
        <v>518</v>
      </c>
      <c r="H569" s="18" t="s">
        <v>2</v>
      </c>
      <c r="I569" s="14" t="s">
        <v>123</v>
      </c>
      <c r="J569" s="14"/>
      <c r="K569" s="14" t="s">
        <v>1591</v>
      </c>
      <c r="L569" s="14"/>
      <c r="M569" s="14">
        <v>1</v>
      </c>
      <c r="N569" s="15">
        <v>14451</v>
      </c>
      <c r="O569" s="15">
        <f t="shared" si="21"/>
        <v>14451</v>
      </c>
      <c r="P569" s="15"/>
      <c r="Q569" s="14" t="s">
        <v>520</v>
      </c>
      <c r="R569" s="25">
        <v>45308</v>
      </c>
      <c r="S569" s="22" t="str">
        <f>TEXT(Table1[[#This Row],[End Date]],"MMMM")</f>
        <v>January</v>
      </c>
      <c r="T569" s="23" t="str">
        <f>TEXT(Table1[[#This Row],[End Date]],"YYYY")</f>
        <v>2024</v>
      </c>
      <c r="U569" s="24">
        <f t="shared" ca="1" si="22"/>
        <v>-175</v>
      </c>
      <c r="V569" s="14" t="str" cm="1">
        <f t="array" aca="1" ref="V569" ca="1">_xlfn.IFS(Table1[[#This Row],[Agreement Days]]&gt;=0,"Expired",Table1[[#This Row],[Agreement Days]]&gt;=-30,"Expires &lt; 30 Days",Table1[[#This Row],[Agreement Days]]&gt;=-60,"Expires &lt; 60 Days",Table1[[#This Row],[Agreement Days]]&lt;-60,"Valid Contract")</f>
        <v>Valid Contract</v>
      </c>
      <c r="W569" s="14" t="s">
        <v>12</v>
      </c>
      <c r="X569" s="14" t="s">
        <v>1592</v>
      </c>
      <c r="Y569" s="16" t="s">
        <v>1593</v>
      </c>
      <c r="Z569" s="27" t="s">
        <v>1594</v>
      </c>
      <c r="AA569" s="17"/>
      <c r="AB569" s="116"/>
      <c r="AC569" s="116"/>
    </row>
    <row r="570" spans="1:29" x14ac:dyDescent="0.3">
      <c r="A570" s="18" t="s">
        <v>1577</v>
      </c>
      <c r="B570" s="18" t="s">
        <v>152</v>
      </c>
      <c r="C570" s="18" t="s">
        <v>1595</v>
      </c>
      <c r="D570" s="14" t="s">
        <v>545</v>
      </c>
      <c r="E570" s="18" t="s">
        <v>9</v>
      </c>
      <c r="F570" s="14" t="s">
        <v>517</v>
      </c>
      <c r="G570" s="14" t="s">
        <v>518</v>
      </c>
      <c r="H570" s="18" t="s">
        <v>5</v>
      </c>
      <c r="I570" s="14" t="s">
        <v>115</v>
      </c>
      <c r="J570" s="14"/>
      <c r="K570" s="18" t="s">
        <v>643</v>
      </c>
      <c r="L570" s="14"/>
      <c r="M570" s="14">
        <v>29</v>
      </c>
      <c r="N570" s="15">
        <v>28305.084746</v>
      </c>
      <c r="O570" s="15">
        <f t="shared" si="21"/>
        <v>820847.45763399999</v>
      </c>
      <c r="P570" s="15"/>
      <c r="Q570" s="14" t="s">
        <v>520</v>
      </c>
      <c r="R570" s="25">
        <v>45309</v>
      </c>
      <c r="S570" s="22" t="str">
        <f>TEXT(Table1[[#This Row],[End Date]],"MMMM")</f>
        <v>January</v>
      </c>
      <c r="T570" s="23" t="str">
        <f>TEXT(Table1[[#This Row],[End Date]],"YYYY")</f>
        <v>2024</v>
      </c>
      <c r="U570" s="24">
        <f t="shared" ca="1" si="22"/>
        <v>-176</v>
      </c>
      <c r="V570" s="14" t="str" cm="1">
        <f t="array" aca="1" ref="V570" ca="1">_xlfn.IFS(Table1[[#This Row],[Agreement Days]]&gt;=0,"Expired",Table1[[#This Row],[Agreement Days]]&gt;=-30,"Expires &lt; 30 Days",Table1[[#This Row],[Agreement Days]]&gt;=-60,"Expires &lt; 60 Days",Table1[[#This Row],[Agreement Days]]&lt;-60,"Valid Contract")</f>
        <v>Valid Contract</v>
      </c>
      <c r="W570" s="14" t="s">
        <v>12</v>
      </c>
      <c r="X570" s="14" t="s">
        <v>1580</v>
      </c>
      <c r="Y570" s="16" t="s">
        <v>1581</v>
      </c>
      <c r="Z570" s="27" t="s">
        <v>1582</v>
      </c>
      <c r="AA570" s="17"/>
      <c r="AB570" s="116"/>
      <c r="AC570" s="116"/>
    </row>
    <row r="571" spans="1:29" hidden="1" x14ac:dyDescent="0.3">
      <c r="A571" s="18" t="s">
        <v>1596</v>
      </c>
      <c r="B571" s="18" t="s">
        <v>119</v>
      </c>
      <c r="C571" s="18" t="s">
        <v>1597</v>
      </c>
      <c r="D571" s="14" t="s">
        <v>545</v>
      </c>
      <c r="E571" s="18" t="s">
        <v>9</v>
      </c>
      <c r="F571" s="14" t="s">
        <v>601</v>
      </c>
      <c r="G571" s="14" t="s">
        <v>546</v>
      </c>
      <c r="H571" s="18" t="s">
        <v>5</v>
      </c>
      <c r="I571" s="14" t="s">
        <v>115</v>
      </c>
      <c r="J571" s="14"/>
      <c r="K571" s="14" t="s">
        <v>1598</v>
      </c>
      <c r="L571" s="14"/>
      <c r="M571" s="20">
        <v>1</v>
      </c>
      <c r="N571" s="15">
        <v>531660</v>
      </c>
      <c r="O571" s="15">
        <f t="shared" si="21"/>
        <v>531660</v>
      </c>
      <c r="P571" s="15"/>
      <c r="Q571" s="14" t="s">
        <v>520</v>
      </c>
      <c r="R571" s="32">
        <v>45312</v>
      </c>
      <c r="S571" s="22" t="str">
        <f>TEXT(Table1[[#This Row],[End Date]],"MMMM")</f>
        <v>January</v>
      </c>
      <c r="T571" s="22" t="str">
        <f>TEXT(Table1[[#This Row],[End Date]],"YYYY")</f>
        <v>2024</v>
      </c>
      <c r="U571" s="24">
        <f t="shared" ca="1" si="22"/>
        <v>-179</v>
      </c>
      <c r="V571" s="14" t="str" cm="1">
        <f t="array" aca="1" ref="V571" ca="1">_xlfn.IFS(Table1[[#This Row],[Agreement Days]]&gt;=0,"Expired",Table1[[#This Row],[Agreement Days]]&gt;=-30,"Expires &lt; 30 Days",Table1[[#This Row],[Agreement Days]]&gt;=-60,"Expires &lt; 60 Days",Table1[[#This Row],[Agreement Days]]&lt;-60,"Valid Contract")</f>
        <v>Valid Contract</v>
      </c>
      <c r="W571" s="14" t="s">
        <v>13</v>
      </c>
      <c r="X571" s="14" t="s">
        <v>1599</v>
      </c>
      <c r="Y571" s="16" t="s">
        <v>1600</v>
      </c>
      <c r="Z571" s="17">
        <v>788315241</v>
      </c>
      <c r="AA571" s="17"/>
      <c r="AB571" s="116"/>
      <c r="AC571" s="116"/>
    </row>
    <row r="572" spans="1:29" hidden="1" x14ac:dyDescent="0.3">
      <c r="A572" s="18" t="s">
        <v>1596</v>
      </c>
      <c r="B572" s="18" t="s">
        <v>119</v>
      </c>
      <c r="C572" s="18" t="s">
        <v>1597</v>
      </c>
      <c r="D572" s="14" t="s">
        <v>545</v>
      </c>
      <c r="E572" s="18" t="s">
        <v>9</v>
      </c>
      <c r="F572" s="14" t="s">
        <v>601</v>
      </c>
      <c r="G572" s="14" t="s">
        <v>546</v>
      </c>
      <c r="H572" s="18" t="s">
        <v>5</v>
      </c>
      <c r="I572" s="14" t="s">
        <v>115</v>
      </c>
      <c r="J572" s="14"/>
      <c r="K572" s="18" t="s">
        <v>1601</v>
      </c>
      <c r="L572" s="18"/>
      <c r="M572" s="14">
        <v>1</v>
      </c>
      <c r="N572" s="15">
        <v>19492</v>
      </c>
      <c r="O572" s="15">
        <f t="shared" si="21"/>
        <v>19492</v>
      </c>
      <c r="P572" s="15"/>
      <c r="Q572" s="14" t="s">
        <v>520</v>
      </c>
      <c r="R572" s="32">
        <v>45312</v>
      </c>
      <c r="S572" s="34" t="str">
        <f>TEXT(Table1[[#This Row],[End Date]],"MMMM")</f>
        <v>January</v>
      </c>
      <c r="T572" s="22" t="str">
        <f>TEXT(Table1[[#This Row],[End Date]],"YYYY")</f>
        <v>2024</v>
      </c>
      <c r="U572" s="24">
        <f t="shared" ca="1" si="22"/>
        <v>-179</v>
      </c>
      <c r="V572" s="14" t="str" cm="1">
        <f t="array" aca="1" ref="V572" ca="1">_xlfn.IFS(Table1[[#This Row],[Agreement Days]]&gt;=0,"Expired",Table1[[#This Row],[Agreement Days]]&gt;=-30,"Expires &lt; 30 Days",Table1[[#This Row],[Agreement Days]]&gt;=-60,"Expires &lt; 60 Days",Table1[[#This Row],[Agreement Days]]&lt;-60,"Valid Contract")</f>
        <v>Valid Contract</v>
      </c>
      <c r="W572" s="14" t="s">
        <v>13</v>
      </c>
      <c r="X572" s="14" t="s">
        <v>1599</v>
      </c>
      <c r="Y572" s="16" t="s">
        <v>1600</v>
      </c>
      <c r="Z572" s="17">
        <v>788315241</v>
      </c>
      <c r="AA572" s="27"/>
      <c r="AB572" s="116"/>
      <c r="AC572" s="116"/>
    </row>
    <row r="573" spans="1:29" hidden="1" x14ac:dyDescent="0.3">
      <c r="A573" s="18" t="s">
        <v>1596</v>
      </c>
      <c r="B573" s="18" t="s">
        <v>119</v>
      </c>
      <c r="C573" s="18" t="s">
        <v>1597</v>
      </c>
      <c r="D573" s="14" t="s">
        <v>545</v>
      </c>
      <c r="E573" s="18" t="s">
        <v>9</v>
      </c>
      <c r="F573" s="14" t="s">
        <v>601</v>
      </c>
      <c r="G573" s="14" t="s">
        <v>546</v>
      </c>
      <c r="H573" s="18" t="s">
        <v>5</v>
      </c>
      <c r="I573" s="14" t="s">
        <v>115</v>
      </c>
      <c r="J573" s="14"/>
      <c r="K573" s="18" t="s">
        <v>1602</v>
      </c>
      <c r="L573" s="14"/>
      <c r="M573" s="14">
        <v>2</v>
      </c>
      <c r="N573" s="15">
        <v>28305</v>
      </c>
      <c r="O573" s="15">
        <f t="shared" si="21"/>
        <v>56610</v>
      </c>
      <c r="P573" s="15"/>
      <c r="Q573" s="14" t="s">
        <v>520</v>
      </c>
      <c r="R573" s="32">
        <v>45312</v>
      </c>
      <c r="S573" s="22" t="str">
        <f>TEXT(Table1[[#This Row],[End Date]],"MMMM")</f>
        <v>January</v>
      </c>
      <c r="T573" s="22" t="str">
        <f>TEXT(Table1[[#This Row],[End Date]],"YYYY")</f>
        <v>2024</v>
      </c>
      <c r="U573" s="24">
        <f t="shared" ca="1" si="22"/>
        <v>-179</v>
      </c>
      <c r="V573" s="14" t="str" cm="1">
        <f t="array" aca="1" ref="V573" ca="1">_xlfn.IFS(Table1[[#This Row],[Agreement Days]]&gt;=0,"Expired",Table1[[#This Row],[Agreement Days]]&gt;=-30,"Expires &lt; 30 Days",Table1[[#This Row],[Agreement Days]]&gt;=-60,"Expires &lt; 60 Days",Table1[[#This Row],[Agreement Days]]&lt;-60,"Valid Contract")</f>
        <v>Valid Contract</v>
      </c>
      <c r="W573" s="14" t="s">
        <v>13</v>
      </c>
      <c r="X573" s="14" t="s">
        <v>1599</v>
      </c>
      <c r="Y573" s="16" t="s">
        <v>1600</v>
      </c>
      <c r="Z573" s="17">
        <v>788315241</v>
      </c>
      <c r="AA573" s="17"/>
      <c r="AB573" s="116"/>
      <c r="AC573" s="116"/>
    </row>
    <row r="574" spans="1:29" hidden="1" x14ac:dyDescent="0.3">
      <c r="A574" s="18" t="s">
        <v>1596</v>
      </c>
      <c r="B574" s="18" t="s">
        <v>119</v>
      </c>
      <c r="C574" s="18" t="s">
        <v>1597</v>
      </c>
      <c r="D574" s="14" t="s">
        <v>545</v>
      </c>
      <c r="E574" s="18" t="s">
        <v>9</v>
      </c>
      <c r="F574" s="14" t="s">
        <v>601</v>
      </c>
      <c r="G574" s="14" t="s">
        <v>546</v>
      </c>
      <c r="H574" s="18" t="s">
        <v>5</v>
      </c>
      <c r="I574" s="14" t="s">
        <v>115</v>
      </c>
      <c r="J574" s="14"/>
      <c r="K574" s="18" t="s">
        <v>651</v>
      </c>
      <c r="L574" s="14"/>
      <c r="M574" s="14">
        <v>3</v>
      </c>
      <c r="N574" s="15">
        <v>81355.929999999993</v>
      </c>
      <c r="O574" s="15">
        <f t="shared" si="21"/>
        <v>244067.78999999998</v>
      </c>
      <c r="P574" s="15"/>
      <c r="Q574" s="14" t="s">
        <v>520</v>
      </c>
      <c r="R574" s="32">
        <v>45312</v>
      </c>
      <c r="S574" s="22" t="str">
        <f>TEXT(Table1[[#This Row],[End Date]],"MMMM")</f>
        <v>January</v>
      </c>
      <c r="T574" s="22" t="str">
        <f>TEXT(Table1[[#This Row],[End Date]],"YYYY")</f>
        <v>2024</v>
      </c>
      <c r="U574" s="24">
        <f t="shared" ca="1" si="22"/>
        <v>-179</v>
      </c>
      <c r="V574" s="14" t="str" cm="1">
        <f t="array" aca="1" ref="V574" ca="1">_xlfn.IFS(Table1[[#This Row],[Agreement Days]]&gt;=0,"Expired",Table1[[#This Row],[Agreement Days]]&gt;=-30,"Expires &lt; 30 Days",Table1[[#This Row],[Agreement Days]]&gt;=-60,"Expires &lt; 60 Days",Table1[[#This Row],[Agreement Days]]&lt;-60,"Valid Contract")</f>
        <v>Valid Contract</v>
      </c>
      <c r="W574" s="14" t="s">
        <v>13</v>
      </c>
      <c r="X574" s="14" t="s">
        <v>1599</v>
      </c>
      <c r="Y574" s="16" t="s">
        <v>1600</v>
      </c>
      <c r="Z574" s="17">
        <v>788315241</v>
      </c>
      <c r="AA574" s="17"/>
      <c r="AB574" s="116"/>
      <c r="AC574" s="116"/>
    </row>
    <row r="575" spans="1:29" hidden="1" x14ac:dyDescent="0.3">
      <c r="A575" s="18" t="s">
        <v>1596</v>
      </c>
      <c r="B575" s="18" t="s">
        <v>119</v>
      </c>
      <c r="C575" s="18" t="s">
        <v>1597</v>
      </c>
      <c r="D575" s="14" t="s">
        <v>545</v>
      </c>
      <c r="E575" s="18" t="s">
        <v>9</v>
      </c>
      <c r="F575" s="14" t="s">
        <v>601</v>
      </c>
      <c r="G575" s="14" t="s">
        <v>546</v>
      </c>
      <c r="H575" s="18" t="s">
        <v>5</v>
      </c>
      <c r="I575" s="14" t="s">
        <v>115</v>
      </c>
      <c r="J575" s="14"/>
      <c r="K575" s="18" t="s">
        <v>638</v>
      </c>
      <c r="L575" s="14"/>
      <c r="M575" s="14">
        <v>5</v>
      </c>
      <c r="N575" s="15">
        <v>107727</v>
      </c>
      <c r="O575" s="15">
        <f t="shared" si="21"/>
        <v>538635</v>
      </c>
      <c r="P575" s="15"/>
      <c r="Q575" s="14" t="s">
        <v>520</v>
      </c>
      <c r="R575" s="32">
        <v>45312</v>
      </c>
      <c r="S575" s="22" t="str">
        <f>TEXT(Table1[[#This Row],[End Date]],"MMMM")</f>
        <v>January</v>
      </c>
      <c r="T575" s="22" t="str">
        <f>TEXT(Table1[[#This Row],[End Date]],"YYYY")</f>
        <v>2024</v>
      </c>
      <c r="U575" s="24">
        <f t="shared" ca="1" si="22"/>
        <v>-179</v>
      </c>
      <c r="V575" s="14" t="str" cm="1">
        <f t="array" aca="1" ref="V575" ca="1">_xlfn.IFS(Table1[[#This Row],[Agreement Days]]&gt;=0,"Expired",Table1[[#This Row],[Agreement Days]]&gt;=-30,"Expires &lt; 30 Days",Table1[[#This Row],[Agreement Days]]&gt;=-60,"Expires &lt; 60 Days",Table1[[#This Row],[Agreement Days]]&lt;-60,"Valid Contract")</f>
        <v>Valid Contract</v>
      </c>
      <c r="W575" s="14" t="s">
        <v>13</v>
      </c>
      <c r="X575" s="14" t="s">
        <v>1599</v>
      </c>
      <c r="Y575" s="16" t="s">
        <v>1600</v>
      </c>
      <c r="Z575" s="17">
        <v>788315241</v>
      </c>
      <c r="AA575" s="17"/>
      <c r="AB575" s="116"/>
      <c r="AC575" s="116"/>
    </row>
    <row r="576" spans="1:29" hidden="1" x14ac:dyDescent="0.3">
      <c r="A576" s="18" t="s">
        <v>1596</v>
      </c>
      <c r="B576" s="18" t="s">
        <v>119</v>
      </c>
      <c r="C576" s="18" t="s">
        <v>1597</v>
      </c>
      <c r="D576" s="14" t="s">
        <v>545</v>
      </c>
      <c r="E576" s="18" t="s">
        <v>9</v>
      </c>
      <c r="F576" s="14" t="s">
        <v>601</v>
      </c>
      <c r="G576" s="14" t="s">
        <v>546</v>
      </c>
      <c r="H576" s="18" t="s">
        <v>5</v>
      </c>
      <c r="I576" s="14" t="s">
        <v>115</v>
      </c>
      <c r="J576" s="14"/>
      <c r="K576" s="18" t="s">
        <v>1603</v>
      </c>
      <c r="L576" s="14"/>
      <c r="M576" s="14">
        <v>51</v>
      </c>
      <c r="N576" s="15">
        <v>77712</v>
      </c>
      <c r="O576" s="15">
        <f t="shared" si="21"/>
        <v>3963312</v>
      </c>
      <c r="P576" s="15"/>
      <c r="Q576" s="14" t="s">
        <v>520</v>
      </c>
      <c r="R576" s="32">
        <v>45312</v>
      </c>
      <c r="S576" s="22" t="str">
        <f>TEXT(Table1[[#This Row],[End Date]],"MMMM")</f>
        <v>January</v>
      </c>
      <c r="T576" s="22" t="str">
        <f>TEXT(Table1[[#This Row],[End Date]],"YYYY")</f>
        <v>2024</v>
      </c>
      <c r="U576" s="24">
        <f t="shared" ca="1" si="22"/>
        <v>-179</v>
      </c>
      <c r="V576" s="14" t="str" cm="1">
        <f t="array" aca="1" ref="V576" ca="1">_xlfn.IFS(Table1[[#This Row],[Agreement Days]]&gt;=0,"Expired",Table1[[#This Row],[Agreement Days]]&gt;=-30,"Expires &lt; 30 Days",Table1[[#This Row],[Agreement Days]]&gt;=-60,"Expires &lt; 60 Days",Table1[[#This Row],[Agreement Days]]&lt;-60,"Valid Contract")</f>
        <v>Valid Contract</v>
      </c>
      <c r="W576" s="14" t="s">
        <v>13</v>
      </c>
      <c r="X576" s="14" t="s">
        <v>1599</v>
      </c>
      <c r="Y576" s="16" t="s">
        <v>1600</v>
      </c>
      <c r="Z576" s="17">
        <v>788315241</v>
      </c>
      <c r="AA576" s="17"/>
      <c r="AB576" s="116"/>
      <c r="AC576" s="116"/>
    </row>
    <row r="577" spans="1:29" hidden="1" x14ac:dyDescent="0.3">
      <c r="A577" s="18" t="s">
        <v>1596</v>
      </c>
      <c r="B577" s="18" t="s">
        <v>119</v>
      </c>
      <c r="C577" s="18" t="s">
        <v>1597</v>
      </c>
      <c r="D577" s="14" t="s">
        <v>545</v>
      </c>
      <c r="E577" s="18" t="s">
        <v>9</v>
      </c>
      <c r="F577" s="14" t="s">
        <v>601</v>
      </c>
      <c r="G577" s="14" t="s">
        <v>546</v>
      </c>
      <c r="H577" s="18" t="s">
        <v>5</v>
      </c>
      <c r="I577" s="14" t="s">
        <v>115</v>
      </c>
      <c r="J577" s="14"/>
      <c r="K577" s="18" t="s">
        <v>642</v>
      </c>
      <c r="L577" s="14"/>
      <c r="M577" s="14">
        <v>68</v>
      </c>
      <c r="N577" s="15">
        <v>101695</v>
      </c>
      <c r="O577" s="15">
        <f t="shared" si="21"/>
        <v>6915260</v>
      </c>
      <c r="P577" s="15"/>
      <c r="Q577" s="14" t="s">
        <v>520</v>
      </c>
      <c r="R577" s="32">
        <v>45312</v>
      </c>
      <c r="S577" s="22" t="str">
        <f>TEXT(Table1[[#This Row],[End Date]],"MMMM")</f>
        <v>January</v>
      </c>
      <c r="T577" s="22" t="str">
        <f>TEXT(Table1[[#This Row],[End Date]],"YYYY")</f>
        <v>2024</v>
      </c>
      <c r="U577" s="24">
        <f t="shared" ca="1" si="22"/>
        <v>-179</v>
      </c>
      <c r="V577" s="14" t="str" cm="1">
        <f t="array" aca="1" ref="V577" ca="1">_xlfn.IFS(Table1[[#This Row],[Agreement Days]]&gt;=0,"Expired",Table1[[#This Row],[Agreement Days]]&gt;=-30,"Expires &lt; 30 Days",Table1[[#This Row],[Agreement Days]]&gt;=-60,"Expires &lt; 60 Days",Table1[[#This Row],[Agreement Days]]&lt;-60,"Valid Contract")</f>
        <v>Valid Contract</v>
      </c>
      <c r="W577" s="14" t="s">
        <v>13</v>
      </c>
      <c r="X577" s="14" t="s">
        <v>1599</v>
      </c>
      <c r="Y577" s="16" t="s">
        <v>1600</v>
      </c>
      <c r="Z577" s="17">
        <v>788315241</v>
      </c>
      <c r="AA577" s="17"/>
      <c r="AB577" s="116"/>
      <c r="AC577" s="116"/>
    </row>
    <row r="578" spans="1:29" hidden="1" x14ac:dyDescent="0.3">
      <c r="A578" s="18" t="s">
        <v>1596</v>
      </c>
      <c r="B578" s="18" t="s">
        <v>119</v>
      </c>
      <c r="C578" s="18" t="s">
        <v>1597</v>
      </c>
      <c r="D578" s="14" t="s">
        <v>545</v>
      </c>
      <c r="E578" s="18" t="s">
        <v>9</v>
      </c>
      <c r="F578" s="14" t="s">
        <v>601</v>
      </c>
      <c r="G578" s="14" t="s">
        <v>546</v>
      </c>
      <c r="H578" s="18" t="s">
        <v>5</v>
      </c>
      <c r="I578" s="14" t="s">
        <v>115</v>
      </c>
      <c r="J578" s="14"/>
      <c r="K578" s="18" t="s">
        <v>1604</v>
      </c>
      <c r="L578" s="14"/>
      <c r="M578" s="14">
        <v>176</v>
      </c>
      <c r="N578" s="15">
        <v>45339</v>
      </c>
      <c r="O578" s="15">
        <f t="shared" si="21"/>
        <v>7979664</v>
      </c>
      <c r="P578" s="15"/>
      <c r="Q578" s="14" t="s">
        <v>520</v>
      </c>
      <c r="R578" s="32">
        <v>45312</v>
      </c>
      <c r="S578" s="22" t="str">
        <f>TEXT(Table1[[#This Row],[End Date]],"MMMM")</f>
        <v>January</v>
      </c>
      <c r="T578" s="22" t="str">
        <f>TEXT(Table1[[#This Row],[End Date]],"YYYY")</f>
        <v>2024</v>
      </c>
      <c r="U578" s="24">
        <f t="shared" ca="1" si="22"/>
        <v>-179</v>
      </c>
      <c r="V578" s="14" t="str" cm="1">
        <f t="array" aca="1" ref="V578" ca="1">_xlfn.IFS(Table1[[#This Row],[Agreement Days]]&gt;=0,"Expired",Table1[[#This Row],[Agreement Days]]&gt;=-30,"Expires &lt; 30 Days",Table1[[#This Row],[Agreement Days]]&gt;=-60,"Expires &lt; 60 Days",Table1[[#This Row],[Agreement Days]]&lt;-60,"Valid Contract")</f>
        <v>Valid Contract</v>
      </c>
      <c r="W578" s="14" t="s">
        <v>13</v>
      </c>
      <c r="X578" s="14" t="s">
        <v>1599</v>
      </c>
      <c r="Y578" s="16" t="s">
        <v>1600</v>
      </c>
      <c r="Z578" s="17">
        <v>788315241</v>
      </c>
      <c r="AA578" s="17"/>
      <c r="AB578" s="116"/>
      <c r="AC578" s="116"/>
    </row>
    <row r="579" spans="1:29" hidden="1" x14ac:dyDescent="0.3">
      <c r="A579" s="18" t="s">
        <v>524</v>
      </c>
      <c r="B579" s="18" t="s">
        <v>132</v>
      </c>
      <c r="C579" s="18" t="s">
        <v>544</v>
      </c>
      <c r="D579" s="14" t="s">
        <v>545</v>
      </c>
      <c r="E579" s="18" t="s">
        <v>10</v>
      </c>
      <c r="F579" s="14" t="s">
        <v>527</v>
      </c>
      <c r="G579" s="14" t="s">
        <v>518</v>
      </c>
      <c r="H579" s="18" t="s">
        <v>2</v>
      </c>
      <c r="I579" s="14" t="s">
        <v>123</v>
      </c>
      <c r="J579" s="18"/>
      <c r="K579" s="18" t="s">
        <v>700</v>
      </c>
      <c r="L579" s="18"/>
      <c r="M579" s="14">
        <v>1</v>
      </c>
      <c r="N579" s="15">
        <f>2478000/1.18</f>
        <v>2100000</v>
      </c>
      <c r="O579" s="15">
        <f t="shared" si="21"/>
        <v>2100000</v>
      </c>
      <c r="P579" s="15"/>
      <c r="Q579" s="14" t="s">
        <v>520</v>
      </c>
      <c r="R579" s="25">
        <v>45314</v>
      </c>
      <c r="S579" s="34" t="str">
        <f>TEXT(Table1[[#This Row],[End Date]],"MMMM")</f>
        <v>January</v>
      </c>
      <c r="T579" s="34" t="str">
        <f>TEXT(Table1[[#This Row],[End Date]],"YYYY")</f>
        <v>2024</v>
      </c>
      <c r="U579" s="24">
        <f t="shared" ca="1" si="22"/>
        <v>-181</v>
      </c>
      <c r="V579" s="14" t="str" cm="1">
        <f t="array" aca="1" ref="V579" ca="1">_xlfn.IFS(Table1[[#This Row],[Agreement Days]]&gt;=0,"Expired",Table1[[#This Row],[Agreement Days]]&gt;=-30,"Expires &lt; 30 Days",Table1[[#This Row],[Agreement Days]]&gt;=-60,"Expires &lt; 60 Days",Table1[[#This Row],[Agreement Days]]&lt;-60,"Valid Contract")</f>
        <v>Valid Contract</v>
      </c>
      <c r="W579" s="18" t="s">
        <v>18</v>
      </c>
      <c r="X579" s="18" t="s">
        <v>529</v>
      </c>
      <c r="Y579" s="35" t="s">
        <v>530</v>
      </c>
      <c r="Z579" s="27" t="s">
        <v>531</v>
      </c>
      <c r="AA579" s="36"/>
      <c r="AB579" s="116"/>
      <c r="AC579" s="116"/>
    </row>
    <row r="580" spans="1:29" x14ac:dyDescent="0.3">
      <c r="A580" s="18" t="s">
        <v>1605</v>
      </c>
      <c r="B580" s="18" t="s">
        <v>41</v>
      </c>
      <c r="C580" s="18" t="s">
        <v>1606</v>
      </c>
      <c r="D580" s="14" t="s">
        <v>808</v>
      </c>
      <c r="E580" s="18" t="s">
        <v>9</v>
      </c>
      <c r="F580" s="14" t="s">
        <v>631</v>
      </c>
      <c r="G580" s="14" t="s">
        <v>518</v>
      </c>
      <c r="H580" s="18" t="s">
        <v>5</v>
      </c>
      <c r="I580" s="14" t="s">
        <v>117</v>
      </c>
      <c r="J580" s="14">
        <v>10</v>
      </c>
      <c r="K580" s="14" t="s">
        <v>1160</v>
      </c>
      <c r="L580" s="14"/>
      <c r="M580" s="14">
        <v>1</v>
      </c>
      <c r="N580" s="15">
        <v>720000</v>
      </c>
      <c r="O580" s="15">
        <f t="shared" si="21"/>
        <v>720000</v>
      </c>
      <c r="P580" s="15"/>
      <c r="Q580" s="14" t="s">
        <v>520</v>
      </c>
      <c r="R580" s="32">
        <v>45315</v>
      </c>
      <c r="S580" s="22" t="str">
        <f>TEXT(Table1[[#This Row],[End Date]],"MMMM")</f>
        <v>January</v>
      </c>
      <c r="T580" s="22" t="str">
        <f>TEXT(Table1[[#This Row],[End Date]],"YYYY")</f>
        <v>2024</v>
      </c>
      <c r="U580" s="24">
        <f t="shared" ca="1" si="22"/>
        <v>-182</v>
      </c>
      <c r="V580" s="14" t="str" cm="1">
        <f t="array" aca="1" ref="V580" ca="1">_xlfn.IFS(Table1[[#This Row],[Agreement Days]]&gt;=0,"Expired",Table1[[#This Row],[Agreement Days]]&gt;=-30,"Expires &lt; 30 Days",Table1[[#This Row],[Agreement Days]]&gt;=-60,"Expires &lt; 60 Days",Table1[[#This Row],[Agreement Days]]&lt;-60,"Valid Contract")</f>
        <v>Valid Contract</v>
      </c>
      <c r="W580" s="14" t="s">
        <v>12</v>
      </c>
      <c r="X580" s="14" t="s">
        <v>1607</v>
      </c>
      <c r="Y580" s="16" t="s">
        <v>1608</v>
      </c>
      <c r="Z580" s="17" t="s">
        <v>1609</v>
      </c>
      <c r="AA580" s="17"/>
      <c r="AB580" s="116"/>
      <c r="AC580" s="116"/>
    </row>
    <row r="581" spans="1:29" x14ac:dyDescent="0.3">
      <c r="A581" s="18" t="s">
        <v>1605</v>
      </c>
      <c r="B581" s="18" t="s">
        <v>41</v>
      </c>
      <c r="C581" s="18" t="s">
        <v>1610</v>
      </c>
      <c r="D581" s="14" t="s">
        <v>808</v>
      </c>
      <c r="E581" s="18" t="s">
        <v>9</v>
      </c>
      <c r="F581" s="14" t="s">
        <v>631</v>
      </c>
      <c r="G581" s="14" t="s">
        <v>518</v>
      </c>
      <c r="H581" s="18" t="s">
        <v>5</v>
      </c>
      <c r="I581" s="14" t="s">
        <v>117</v>
      </c>
      <c r="J581" s="14">
        <v>15</v>
      </c>
      <c r="K581" s="14" t="s">
        <v>1548</v>
      </c>
      <c r="L581" s="14"/>
      <c r="M581" s="14">
        <v>1</v>
      </c>
      <c r="N581" s="15">
        <v>1080000</v>
      </c>
      <c r="O581" s="15">
        <f t="shared" si="21"/>
        <v>1080000</v>
      </c>
      <c r="P581" s="15"/>
      <c r="Q581" s="14" t="s">
        <v>520</v>
      </c>
      <c r="R581" s="32">
        <v>45315</v>
      </c>
      <c r="S581" s="22" t="str">
        <f>TEXT(Table1[[#This Row],[End Date]],"MMMM")</f>
        <v>January</v>
      </c>
      <c r="T581" s="22" t="str">
        <f>TEXT(Table1[[#This Row],[End Date]],"YYYY")</f>
        <v>2024</v>
      </c>
      <c r="U581" s="24">
        <f t="shared" ca="1" si="22"/>
        <v>-182</v>
      </c>
      <c r="V581" s="14" t="str" cm="1">
        <f t="array" aca="1" ref="V581" ca="1">_xlfn.IFS(Table1[[#This Row],[Agreement Days]]&gt;=0,"Expired",Table1[[#This Row],[Agreement Days]]&gt;=-30,"Expires &lt; 30 Days",Table1[[#This Row],[Agreement Days]]&gt;=-60,"Expires &lt; 60 Days",Table1[[#This Row],[Agreement Days]]&lt;-60,"Valid Contract")</f>
        <v>Valid Contract</v>
      </c>
      <c r="W581" s="14" t="s">
        <v>12</v>
      </c>
      <c r="X581" s="14" t="s">
        <v>1607</v>
      </c>
      <c r="Y581" s="16" t="s">
        <v>1608</v>
      </c>
      <c r="Z581" s="17" t="s">
        <v>1609</v>
      </c>
      <c r="AA581" s="17"/>
      <c r="AB581" s="116"/>
      <c r="AC581" s="116"/>
    </row>
    <row r="582" spans="1:29" hidden="1" x14ac:dyDescent="0.3">
      <c r="A582" s="18" t="s">
        <v>820</v>
      </c>
      <c r="B582" s="18" t="s">
        <v>268</v>
      </c>
      <c r="C582" s="18" t="s">
        <v>1611</v>
      </c>
      <c r="D582" s="14" t="s">
        <v>545</v>
      </c>
      <c r="E582" s="18" t="s">
        <v>10</v>
      </c>
      <c r="F582" s="14" t="s">
        <v>822</v>
      </c>
      <c r="G582" s="14" t="s">
        <v>518</v>
      </c>
      <c r="H582" s="18" t="s">
        <v>5</v>
      </c>
      <c r="I582" s="14" t="s">
        <v>134</v>
      </c>
      <c r="J582" s="14">
        <v>1</v>
      </c>
      <c r="K582" s="18" t="s">
        <v>1612</v>
      </c>
      <c r="L582" s="18"/>
      <c r="M582" s="14">
        <v>1</v>
      </c>
      <c r="N582" s="15">
        <v>97457.63</v>
      </c>
      <c r="O582" s="15">
        <f t="shared" si="21"/>
        <v>97457.63</v>
      </c>
      <c r="P582" s="15"/>
      <c r="Q582" s="14" t="s">
        <v>520</v>
      </c>
      <c r="R582" s="25">
        <v>45321</v>
      </c>
      <c r="S582" s="34" t="str">
        <f>TEXT(Table1[[#This Row],[End Date]],"MMMM")</f>
        <v>January</v>
      </c>
      <c r="T582" s="34" t="str">
        <f>TEXT(Table1[[#This Row],[End Date]],"YYYY")</f>
        <v>2024</v>
      </c>
      <c r="U582" s="24">
        <f t="shared" ca="1" si="22"/>
        <v>-188</v>
      </c>
      <c r="V582" s="14" t="str" cm="1">
        <f t="array" aca="1" ref="V582" ca="1">_xlfn.IFS(Table1[[#This Row],[Agreement Days]]&gt;=0,"Expired",Table1[[#This Row],[Agreement Days]]&gt;=-30,"Expires &lt; 30 Days",Table1[[#This Row],[Agreement Days]]&gt;=-60,"Expires &lt; 60 Days",Table1[[#This Row],[Agreement Days]]&lt;-60,"Valid Contract")</f>
        <v>Valid Contract</v>
      </c>
      <c r="W582" s="18" t="s">
        <v>18</v>
      </c>
      <c r="X582" s="18" t="s">
        <v>1613</v>
      </c>
      <c r="Y582" s="35" t="s">
        <v>1614</v>
      </c>
      <c r="Z582" s="27" t="s">
        <v>1615</v>
      </c>
      <c r="AA582" s="27"/>
      <c r="AB582" s="116"/>
      <c r="AC582" s="116"/>
    </row>
    <row r="583" spans="1:29" hidden="1" x14ac:dyDescent="0.3">
      <c r="A583" s="18" t="s">
        <v>1616</v>
      </c>
      <c r="B583" s="18" t="s">
        <v>268</v>
      </c>
      <c r="C583" s="18" t="s">
        <v>544</v>
      </c>
      <c r="D583" s="14" t="s">
        <v>653</v>
      </c>
      <c r="E583" s="18" t="s">
        <v>10</v>
      </c>
      <c r="F583" s="14" t="s">
        <v>822</v>
      </c>
      <c r="G583" s="14" t="s">
        <v>518</v>
      </c>
      <c r="H583" s="18" t="s">
        <v>5</v>
      </c>
      <c r="I583" s="14" t="s">
        <v>134</v>
      </c>
      <c r="J583" s="14">
        <v>30</v>
      </c>
      <c r="K583" s="18" t="s">
        <v>1617</v>
      </c>
      <c r="L583" s="18"/>
      <c r="M583" s="14">
        <v>1</v>
      </c>
      <c r="N583" s="15">
        <f>1472050/1.18</f>
        <v>1247500</v>
      </c>
      <c r="O583" s="15">
        <f t="shared" ref="O583:O646" si="23">N583*M583</f>
        <v>1247500</v>
      </c>
      <c r="P583" s="15"/>
      <c r="Q583" s="14" t="s">
        <v>520</v>
      </c>
      <c r="R583" s="25">
        <v>45321</v>
      </c>
      <c r="S583" s="34" t="str">
        <f>TEXT(Table1[[#This Row],[End Date]],"MMMM")</f>
        <v>January</v>
      </c>
      <c r="T583" s="34" t="str">
        <f>TEXT(Table1[[#This Row],[End Date]],"YYYY")</f>
        <v>2024</v>
      </c>
      <c r="U583" s="24">
        <f t="shared" ref="U583:U646" ca="1" si="24">TODAY()-R583</f>
        <v>-188</v>
      </c>
      <c r="V583" s="14" t="str" cm="1">
        <f t="array" aca="1" ref="V583" ca="1">_xlfn.IFS(Table1[[#This Row],[Agreement Days]]&gt;=0,"Expired",Table1[[#This Row],[Agreement Days]]&gt;=-30,"Expires &lt; 30 Days",Table1[[#This Row],[Agreement Days]]&gt;=-60,"Expires &lt; 60 Days",Table1[[#This Row],[Agreement Days]]&lt;-60,"Valid Contract")</f>
        <v>Valid Contract</v>
      </c>
      <c r="W583" s="18" t="s">
        <v>18</v>
      </c>
      <c r="X583" s="18" t="s">
        <v>1613</v>
      </c>
      <c r="Y583" s="35" t="s">
        <v>1614</v>
      </c>
      <c r="Z583" s="27" t="s">
        <v>1615</v>
      </c>
      <c r="AA583" s="27"/>
      <c r="AB583" s="116"/>
      <c r="AC583" s="116"/>
    </row>
    <row r="584" spans="1:29" hidden="1" x14ac:dyDescent="0.3">
      <c r="A584" s="18" t="s">
        <v>1616</v>
      </c>
      <c r="B584" s="18" t="s">
        <v>268</v>
      </c>
      <c r="C584" s="18" t="s">
        <v>544</v>
      </c>
      <c r="D584" s="14" t="s">
        <v>653</v>
      </c>
      <c r="E584" s="18" t="s">
        <v>10</v>
      </c>
      <c r="F584" s="14" t="s">
        <v>822</v>
      </c>
      <c r="G584" s="14" t="s">
        <v>518</v>
      </c>
      <c r="H584" s="18" t="s">
        <v>5</v>
      </c>
      <c r="I584" s="14" t="s">
        <v>115</v>
      </c>
      <c r="J584" s="18"/>
      <c r="K584" s="18" t="s">
        <v>1618</v>
      </c>
      <c r="L584" s="18"/>
      <c r="M584" s="14">
        <v>1</v>
      </c>
      <c r="N584" s="15">
        <v>20338.98</v>
      </c>
      <c r="O584" s="15">
        <f t="shared" si="23"/>
        <v>20338.98</v>
      </c>
      <c r="P584" s="15"/>
      <c r="Q584" s="14" t="s">
        <v>520</v>
      </c>
      <c r="R584" s="25">
        <v>45321</v>
      </c>
      <c r="S584" s="34" t="str">
        <f>TEXT(Table1[[#This Row],[End Date]],"MMMM")</f>
        <v>January</v>
      </c>
      <c r="T584" s="34" t="str">
        <f>TEXT(Table1[[#This Row],[End Date]],"YYYY")</f>
        <v>2024</v>
      </c>
      <c r="U584" s="24">
        <f t="shared" ca="1" si="24"/>
        <v>-188</v>
      </c>
      <c r="V584" s="14" t="str" cm="1">
        <f t="array" aca="1" ref="V584" ca="1">_xlfn.IFS(Table1[[#This Row],[Agreement Days]]&gt;=0,"Expired",Table1[[#This Row],[Agreement Days]]&gt;=-30,"Expires &lt; 30 Days",Table1[[#This Row],[Agreement Days]]&gt;=-60,"Expires &lt; 60 Days",Table1[[#This Row],[Agreement Days]]&lt;-60,"Valid Contract")</f>
        <v>Valid Contract</v>
      </c>
      <c r="W584" s="18" t="s">
        <v>18</v>
      </c>
      <c r="X584" s="18" t="s">
        <v>1613</v>
      </c>
      <c r="Y584" s="35" t="s">
        <v>1614</v>
      </c>
      <c r="Z584" s="27" t="s">
        <v>1615</v>
      </c>
      <c r="AA584" s="36"/>
      <c r="AB584" s="116"/>
      <c r="AC584" s="116"/>
    </row>
    <row r="585" spans="1:29" x14ac:dyDescent="0.3">
      <c r="A585" s="18" t="s">
        <v>1619</v>
      </c>
      <c r="B585" s="18" t="s">
        <v>212</v>
      </c>
      <c r="C585" s="18" t="s">
        <v>1620</v>
      </c>
      <c r="D585" s="14" t="s">
        <v>540</v>
      </c>
      <c r="E585" s="18" t="s">
        <v>9</v>
      </c>
      <c r="F585" s="14" t="s">
        <v>517</v>
      </c>
      <c r="G585" s="14" t="s">
        <v>518</v>
      </c>
      <c r="H585" s="18" t="s">
        <v>5</v>
      </c>
      <c r="I585" s="14" t="s">
        <v>117</v>
      </c>
      <c r="J585" s="14">
        <v>25</v>
      </c>
      <c r="K585" s="14" t="s">
        <v>1621</v>
      </c>
      <c r="L585" s="14"/>
      <c r="M585" s="14">
        <v>1</v>
      </c>
      <c r="N585" s="15">
        <f>1274400/1.18</f>
        <v>1080000</v>
      </c>
      <c r="O585" s="15">
        <f t="shared" si="23"/>
        <v>1080000</v>
      </c>
      <c r="P585" s="15"/>
      <c r="Q585" s="14" t="s">
        <v>520</v>
      </c>
      <c r="R585" s="21">
        <v>45322</v>
      </c>
      <c r="S585" s="22" t="str">
        <f>TEXT(Table1[[#This Row],[End Date]],"MMMM")</f>
        <v>January</v>
      </c>
      <c r="T585" s="23" t="str">
        <f>TEXT(Table1[[#This Row],[End Date]],"YYYY")</f>
        <v>2024</v>
      </c>
      <c r="U585" s="24">
        <f t="shared" ca="1" si="24"/>
        <v>-189</v>
      </c>
      <c r="V585" s="14" t="str" cm="1">
        <f t="array" aca="1" ref="V585" ca="1">_xlfn.IFS(Table1[[#This Row],[Agreement Days]]&gt;=0,"Expired",Table1[[#This Row],[Agreement Days]]&gt;=-30,"Expires &lt; 30 Days",Table1[[#This Row],[Agreement Days]]&gt;=-60,"Expires &lt; 60 Days",Table1[[#This Row],[Agreement Days]]&lt;-60,"Valid Contract")</f>
        <v>Valid Contract</v>
      </c>
      <c r="W585" s="14" t="s">
        <v>12</v>
      </c>
      <c r="X585" s="14" t="s">
        <v>1622</v>
      </c>
      <c r="Y585" s="16" t="s">
        <v>1623</v>
      </c>
      <c r="Z585" s="17" t="s">
        <v>1624</v>
      </c>
      <c r="AA585" s="17"/>
      <c r="AB585" s="98"/>
      <c r="AC585" s="98"/>
    </row>
    <row r="586" spans="1:29" x14ac:dyDescent="0.3">
      <c r="A586" s="18" t="s">
        <v>1619</v>
      </c>
      <c r="B586" s="18" t="s">
        <v>212</v>
      </c>
      <c r="C586" s="18" t="s">
        <v>1625</v>
      </c>
      <c r="D586" s="14" t="s">
        <v>540</v>
      </c>
      <c r="E586" s="18" t="s">
        <v>9</v>
      </c>
      <c r="F586" s="14" t="s">
        <v>517</v>
      </c>
      <c r="G586" s="14" t="s">
        <v>518</v>
      </c>
      <c r="H586" s="18" t="s">
        <v>5</v>
      </c>
      <c r="I586" s="14" t="s">
        <v>117</v>
      </c>
      <c r="J586" s="14">
        <v>30</v>
      </c>
      <c r="K586" s="14" t="s">
        <v>796</v>
      </c>
      <c r="L586" s="14"/>
      <c r="M586" s="14">
        <v>1</v>
      </c>
      <c r="N586" s="15">
        <v>1260000</v>
      </c>
      <c r="O586" s="15">
        <f t="shared" si="23"/>
        <v>1260000</v>
      </c>
      <c r="P586" s="15"/>
      <c r="Q586" s="14" t="s">
        <v>520</v>
      </c>
      <c r="R586" s="21">
        <v>45322</v>
      </c>
      <c r="S586" s="22" t="str">
        <f>TEXT(Table1[[#This Row],[End Date]],"MMMM")</f>
        <v>January</v>
      </c>
      <c r="T586" s="23" t="str">
        <f>TEXT(Table1[[#This Row],[End Date]],"YYYY")</f>
        <v>2024</v>
      </c>
      <c r="U586" s="24">
        <f t="shared" ca="1" si="24"/>
        <v>-189</v>
      </c>
      <c r="V586" s="14" t="str" cm="1">
        <f t="array" aca="1" ref="V586" ca="1">_xlfn.IFS(Table1[[#This Row],[Agreement Days]]&gt;=0,"Expired",Table1[[#This Row],[Agreement Days]]&gt;=-30,"Expires &lt; 30 Days",Table1[[#This Row],[Agreement Days]]&gt;=-60,"Expires &lt; 60 Days",Table1[[#This Row],[Agreement Days]]&lt;-60,"Valid Contract")</f>
        <v>Valid Contract</v>
      </c>
      <c r="W586" s="14" t="s">
        <v>12</v>
      </c>
      <c r="X586" s="14" t="s">
        <v>1622</v>
      </c>
      <c r="Y586" s="16" t="s">
        <v>1623</v>
      </c>
      <c r="Z586" s="17" t="s">
        <v>1624</v>
      </c>
      <c r="AA586" s="17"/>
      <c r="AB586" s="98"/>
      <c r="AC586" s="98"/>
    </row>
    <row r="587" spans="1:29" s="41" customFormat="1" x14ac:dyDescent="0.3">
      <c r="A587" s="18" t="s">
        <v>1619</v>
      </c>
      <c r="B587" s="18" t="s">
        <v>212</v>
      </c>
      <c r="C587" s="18" t="s">
        <v>1021</v>
      </c>
      <c r="D587" s="14" t="s">
        <v>540</v>
      </c>
      <c r="E587" s="18" t="s">
        <v>9</v>
      </c>
      <c r="F587" s="14" t="s">
        <v>517</v>
      </c>
      <c r="G587" s="14" t="s">
        <v>518</v>
      </c>
      <c r="H587" s="18" t="s">
        <v>2</v>
      </c>
      <c r="I587" s="14" t="s">
        <v>118</v>
      </c>
      <c r="J587" s="14"/>
      <c r="K587" s="14" t="s">
        <v>721</v>
      </c>
      <c r="L587" s="14"/>
      <c r="M587" s="14">
        <v>1</v>
      </c>
      <c r="N587" s="15">
        <f>435804/1.18</f>
        <v>369325.42372881359</v>
      </c>
      <c r="O587" s="15">
        <f t="shared" si="23"/>
        <v>369325.42372881359</v>
      </c>
      <c r="P587" s="15"/>
      <c r="Q587" s="14" t="s">
        <v>520</v>
      </c>
      <c r="R587" s="21">
        <v>45322</v>
      </c>
      <c r="S587" s="22" t="str">
        <f>TEXT(Table1[[#This Row],[End Date]],"MMMM")</f>
        <v>January</v>
      </c>
      <c r="T587" s="23" t="str">
        <f>TEXT(Table1[[#This Row],[End Date]],"YYYY")</f>
        <v>2024</v>
      </c>
      <c r="U587" s="24">
        <f t="shared" ca="1" si="24"/>
        <v>-189</v>
      </c>
      <c r="V587" s="14" t="str" cm="1">
        <f t="array" aca="1" ref="V587" ca="1">_xlfn.IFS(Table1[[#This Row],[Agreement Days]]&gt;=0,"Expired",Table1[[#This Row],[Agreement Days]]&gt;=-30,"Expires &lt; 30 Days",Table1[[#This Row],[Agreement Days]]&gt;=-60,"Expires &lt; 60 Days",Table1[[#This Row],[Agreement Days]]&lt;-60,"Valid Contract")</f>
        <v>Valid Contract</v>
      </c>
      <c r="W587" s="14" t="s">
        <v>12</v>
      </c>
      <c r="X587" s="14" t="s">
        <v>1622</v>
      </c>
      <c r="Y587" s="16" t="s">
        <v>1623</v>
      </c>
      <c r="Z587" s="17" t="s">
        <v>1624</v>
      </c>
      <c r="AA587" s="17"/>
      <c r="AB587" s="98"/>
      <c r="AC587" s="98"/>
    </row>
    <row r="588" spans="1:29" hidden="1" x14ac:dyDescent="0.3">
      <c r="A588" s="18" t="s">
        <v>1626</v>
      </c>
      <c r="B588" s="18" t="s">
        <v>58</v>
      </c>
      <c r="C588" s="18" t="s">
        <v>1627</v>
      </c>
      <c r="D588" s="14" t="s">
        <v>761</v>
      </c>
      <c r="E588" s="18" t="s">
        <v>9</v>
      </c>
      <c r="F588" s="14" t="s">
        <v>631</v>
      </c>
      <c r="G588" s="14" t="s">
        <v>518</v>
      </c>
      <c r="H588" s="18" t="s">
        <v>5</v>
      </c>
      <c r="I588" s="14" t="s">
        <v>117</v>
      </c>
      <c r="J588" s="14">
        <v>5</v>
      </c>
      <c r="K588" s="14" t="s">
        <v>763</v>
      </c>
      <c r="L588" s="14"/>
      <c r="M588" s="14">
        <v>1</v>
      </c>
      <c r="N588" s="15">
        <f>318600/1.18</f>
        <v>270000</v>
      </c>
      <c r="O588" s="15">
        <f t="shared" si="23"/>
        <v>270000</v>
      </c>
      <c r="P588" s="15"/>
      <c r="Q588" s="14" t="s">
        <v>520</v>
      </c>
      <c r="R588" s="32">
        <v>45322</v>
      </c>
      <c r="S588" s="22" t="str">
        <f>TEXT(Table1[[#This Row],[End Date]],"MMMM")</f>
        <v>January</v>
      </c>
      <c r="T588" s="22" t="str">
        <f>TEXT(Table1[[#This Row],[End Date]],"YYYY")</f>
        <v>2024</v>
      </c>
      <c r="U588" s="24">
        <f t="shared" ca="1" si="24"/>
        <v>-189</v>
      </c>
      <c r="V588" s="14" t="str" cm="1">
        <f t="array" aca="1" ref="V588" ca="1">_xlfn.IFS(Table1[[#This Row],[Agreement Days]]&gt;=0,"Expired",Table1[[#This Row],[Agreement Days]]&gt;=-30,"Expires &lt; 30 Days",Table1[[#This Row],[Agreement Days]]&gt;=-60,"Expires &lt; 60 Days",Table1[[#This Row],[Agreement Days]]&lt;-60,"Valid Contract")</f>
        <v>Valid Contract</v>
      </c>
      <c r="W588" s="14" t="s">
        <v>13</v>
      </c>
      <c r="X588" s="14" t="s">
        <v>58</v>
      </c>
      <c r="Y588" s="16" t="s">
        <v>1628</v>
      </c>
      <c r="Z588" s="17">
        <v>788302084</v>
      </c>
      <c r="AA588" s="17"/>
      <c r="AB588" s="116"/>
      <c r="AC588" s="116"/>
    </row>
    <row r="589" spans="1:29" hidden="1" x14ac:dyDescent="0.3">
      <c r="A589" s="18" t="s">
        <v>1629</v>
      </c>
      <c r="B589" s="18" t="s">
        <v>443</v>
      </c>
      <c r="C589" s="18" t="s">
        <v>544</v>
      </c>
      <c r="D589" s="14" t="s">
        <v>540</v>
      </c>
      <c r="E589" s="18" t="s">
        <v>9</v>
      </c>
      <c r="F589" s="14" t="s">
        <v>517</v>
      </c>
      <c r="G589" s="14" t="s">
        <v>518</v>
      </c>
      <c r="H589" s="18" t="s">
        <v>5</v>
      </c>
      <c r="I589" s="14" t="s">
        <v>115</v>
      </c>
      <c r="J589" s="18"/>
      <c r="K589" s="18" t="s">
        <v>642</v>
      </c>
      <c r="L589" s="18"/>
      <c r="M589" s="14">
        <v>1</v>
      </c>
      <c r="N589" s="15">
        <v>101694.92</v>
      </c>
      <c r="O589" s="15">
        <f t="shared" si="23"/>
        <v>101694.92</v>
      </c>
      <c r="P589" s="15"/>
      <c r="Q589" s="14" t="s">
        <v>520</v>
      </c>
      <c r="R589" s="25">
        <v>45322</v>
      </c>
      <c r="S589" s="34" t="str">
        <f>TEXT(Table1[[#This Row],[End Date]],"MMMM")</f>
        <v>January</v>
      </c>
      <c r="T589" s="34" t="str">
        <f>TEXT(Table1[[#This Row],[End Date]],"YYYY")</f>
        <v>2024</v>
      </c>
      <c r="U589" s="24">
        <f t="shared" ca="1" si="24"/>
        <v>-189</v>
      </c>
      <c r="V589" s="14" t="str" cm="1">
        <f t="array" aca="1" ref="V589" ca="1">_xlfn.IFS(Table1[[#This Row],[Agreement Days]]&gt;=0,"Expired",Table1[[#This Row],[Agreement Days]]&gt;=-30,"Expires &lt; 30 Days",Table1[[#This Row],[Agreement Days]]&gt;=-60,"Expires &lt; 60 Days",Table1[[#This Row],[Agreement Days]]&lt;-60,"Valid Contract")</f>
        <v>Valid Contract</v>
      </c>
      <c r="W589" s="18" t="s">
        <v>18</v>
      </c>
      <c r="X589" s="18" t="s">
        <v>1630</v>
      </c>
      <c r="Y589" s="35" t="s">
        <v>1631</v>
      </c>
      <c r="Z589" s="27" t="s">
        <v>1632</v>
      </c>
      <c r="AA589" s="36"/>
      <c r="AB589" s="116"/>
      <c r="AC589" s="116"/>
    </row>
    <row r="590" spans="1:29" hidden="1" x14ac:dyDescent="0.3">
      <c r="A590" s="18" t="s">
        <v>1633</v>
      </c>
      <c r="B590" s="18" t="s">
        <v>110</v>
      </c>
      <c r="C590" s="18" t="s">
        <v>111</v>
      </c>
      <c r="D590" s="14" t="s">
        <v>545</v>
      </c>
      <c r="E590" s="18" t="s">
        <v>10</v>
      </c>
      <c r="F590" s="20" t="s">
        <v>631</v>
      </c>
      <c r="G590" s="20" t="s">
        <v>518</v>
      </c>
      <c r="H590" s="18" t="s">
        <v>5</v>
      </c>
      <c r="I590" s="14" t="s">
        <v>115</v>
      </c>
      <c r="J590" s="14"/>
      <c r="K590" s="14" t="s">
        <v>1634</v>
      </c>
      <c r="L590" s="14"/>
      <c r="M590" s="14">
        <v>24</v>
      </c>
      <c r="N590" s="15">
        <f>168000/1.18</f>
        <v>142372.88135593222</v>
      </c>
      <c r="O590" s="15">
        <f t="shared" si="23"/>
        <v>3416949.1525423732</v>
      </c>
      <c r="P590" s="15"/>
      <c r="Q590" s="14" t="s">
        <v>520</v>
      </c>
      <c r="R590" s="25">
        <v>45322</v>
      </c>
      <c r="S590" s="22" t="str">
        <f>TEXT(Table1[[#This Row],[End Date]],"MMMM")</f>
        <v>January</v>
      </c>
      <c r="T590" s="23" t="str">
        <f>TEXT(Table1[[#This Row],[End Date]],"YYYY")</f>
        <v>2024</v>
      </c>
      <c r="U590" s="24">
        <f t="shared" ca="1" si="24"/>
        <v>-189</v>
      </c>
      <c r="V590" s="14" t="str" cm="1">
        <f t="array" aca="1" ref="V590" ca="1">_xlfn.IFS(Table1[[#This Row],[Agreement Days]]&gt;=0,"Expired",Table1[[#This Row],[Agreement Days]]&gt;=-30,"Expires &lt; 30 Days",Table1[[#This Row],[Agreement Days]]&gt;=-60,"Expires &lt; 60 Days",Table1[[#This Row],[Agreement Days]]&lt;-60,"Valid Contract")</f>
        <v>Valid Contract</v>
      </c>
      <c r="W590" s="14" t="s">
        <v>21</v>
      </c>
      <c r="X590" s="14" t="s">
        <v>1635</v>
      </c>
      <c r="Y590" s="45" t="s">
        <v>1636</v>
      </c>
      <c r="Z590" s="27" t="s">
        <v>1637</v>
      </c>
      <c r="AA590" s="19"/>
      <c r="AB590" s="116"/>
      <c r="AC590" s="116"/>
    </row>
    <row r="591" spans="1:29" s="13" customFormat="1" hidden="1" x14ac:dyDescent="0.3">
      <c r="A591" s="18" t="s">
        <v>1633</v>
      </c>
      <c r="B591" s="18" t="s">
        <v>111</v>
      </c>
      <c r="C591" s="18" t="s">
        <v>111</v>
      </c>
      <c r="D591" s="14" t="s">
        <v>545</v>
      </c>
      <c r="E591" s="18" t="s">
        <v>10</v>
      </c>
      <c r="F591" s="20" t="s">
        <v>631</v>
      </c>
      <c r="G591" s="20" t="s">
        <v>518</v>
      </c>
      <c r="H591" s="18" t="s">
        <v>5</v>
      </c>
      <c r="I591" s="14" t="s">
        <v>115</v>
      </c>
      <c r="J591" s="14"/>
      <c r="K591" s="14" t="s">
        <v>1638</v>
      </c>
      <c r="L591" s="14"/>
      <c r="M591" s="14">
        <v>1</v>
      </c>
      <c r="N591" s="15">
        <f>100000/1.18</f>
        <v>84745.762711864416</v>
      </c>
      <c r="O591" s="15">
        <f t="shared" si="23"/>
        <v>84745.762711864416</v>
      </c>
      <c r="P591" s="15"/>
      <c r="Q591" s="14" t="s">
        <v>520</v>
      </c>
      <c r="R591" s="25">
        <v>45322</v>
      </c>
      <c r="S591" s="22" t="str">
        <f>TEXT(Table1[[#This Row],[End Date]],"MMMM")</f>
        <v>January</v>
      </c>
      <c r="T591" s="23" t="str">
        <f>TEXT(Table1[[#This Row],[End Date]],"YYYY")</f>
        <v>2024</v>
      </c>
      <c r="U591" s="24">
        <f t="shared" ca="1" si="24"/>
        <v>-189</v>
      </c>
      <c r="V591" s="14" t="str" cm="1">
        <f t="array" aca="1" ref="V591" ca="1">_xlfn.IFS(Table1[[#This Row],[Agreement Days]]&gt;=0,"Expired",Table1[[#This Row],[Agreement Days]]&gt;=-30,"Expires &lt; 30 Days",Table1[[#This Row],[Agreement Days]]&gt;=-60,"Expires &lt; 60 Days",Table1[[#This Row],[Agreement Days]]&lt;-60,"Valid Contract")</f>
        <v>Valid Contract</v>
      </c>
      <c r="W591" s="14" t="s">
        <v>21</v>
      </c>
      <c r="X591" s="14" t="s">
        <v>1635</v>
      </c>
      <c r="Y591" s="45" t="s">
        <v>1636</v>
      </c>
      <c r="Z591" s="27" t="s">
        <v>1637</v>
      </c>
      <c r="AA591" s="19"/>
      <c r="AB591" s="116"/>
      <c r="AC591" s="116"/>
    </row>
    <row r="592" spans="1:29" s="13" customFormat="1" hidden="1" x14ac:dyDescent="0.3">
      <c r="A592" s="18" t="s">
        <v>1639</v>
      </c>
      <c r="B592" s="18" t="s">
        <v>64</v>
      </c>
      <c r="C592" s="18" t="s">
        <v>64</v>
      </c>
      <c r="D592" s="14" t="s">
        <v>579</v>
      </c>
      <c r="E592" s="18" t="s">
        <v>9</v>
      </c>
      <c r="F592" s="14" t="s">
        <v>631</v>
      </c>
      <c r="G592" s="14" t="s">
        <v>518</v>
      </c>
      <c r="H592" s="18" t="s">
        <v>5</v>
      </c>
      <c r="I592" s="14" t="s">
        <v>117</v>
      </c>
      <c r="J592" s="14">
        <v>5</v>
      </c>
      <c r="K592" s="14" t="s">
        <v>763</v>
      </c>
      <c r="L592" s="14"/>
      <c r="M592" s="14">
        <v>1</v>
      </c>
      <c r="N592" s="15">
        <f>318600/1.18</f>
        <v>270000</v>
      </c>
      <c r="O592" s="15">
        <f t="shared" si="23"/>
        <v>270000</v>
      </c>
      <c r="P592" s="15"/>
      <c r="Q592" s="14" t="s">
        <v>520</v>
      </c>
      <c r="R592" s="25">
        <v>45322</v>
      </c>
      <c r="S592" s="22" t="str">
        <f>TEXT(Table1[[#This Row],[End Date]],"MMMM")</f>
        <v>January</v>
      </c>
      <c r="T592" s="23" t="str">
        <f>TEXT(Table1[[#This Row],[End Date]],"YYYY")</f>
        <v>2024</v>
      </c>
      <c r="U592" s="24">
        <f t="shared" ca="1" si="24"/>
        <v>-189</v>
      </c>
      <c r="V592" s="14" t="str" cm="1">
        <f t="array" aca="1" ref="V592" ca="1">_xlfn.IFS(Table1[[#This Row],[Agreement Days]]&gt;=0,"Expired",Table1[[#This Row],[Agreement Days]]&gt;=-30,"Expires &lt; 30 Days",Table1[[#This Row],[Agreement Days]]&gt;=-60,"Expires &lt; 60 Days",Table1[[#This Row],[Agreement Days]]&lt;-60,"Valid Contract")</f>
        <v>Valid Contract</v>
      </c>
      <c r="W592" s="14" t="s">
        <v>13</v>
      </c>
      <c r="X592" s="14" t="s">
        <v>1640</v>
      </c>
      <c r="Y592" s="43" t="s">
        <v>1641</v>
      </c>
      <c r="Z592" s="27" t="s">
        <v>1642</v>
      </c>
      <c r="AA592" s="17"/>
      <c r="AB592" s="116"/>
      <c r="AC592" s="116"/>
    </row>
    <row r="593" spans="1:29" s="56" customFormat="1" hidden="1" x14ac:dyDescent="0.3">
      <c r="A593" s="18" t="s">
        <v>1639</v>
      </c>
      <c r="B593" s="18" t="s">
        <v>54</v>
      </c>
      <c r="C593" s="18" t="s">
        <v>1643</v>
      </c>
      <c r="D593" s="14" t="s">
        <v>946</v>
      </c>
      <c r="E593" s="18" t="s">
        <v>9</v>
      </c>
      <c r="F593" s="14" t="s">
        <v>631</v>
      </c>
      <c r="G593" s="14" t="s">
        <v>518</v>
      </c>
      <c r="H593" s="18" t="s">
        <v>5</v>
      </c>
      <c r="I593" s="14" t="s">
        <v>117</v>
      </c>
      <c r="J593" s="14">
        <v>10</v>
      </c>
      <c r="K593" s="14" t="s">
        <v>547</v>
      </c>
      <c r="L593" s="14"/>
      <c r="M593" s="14">
        <v>1</v>
      </c>
      <c r="N593" s="15">
        <f>601800/1.18</f>
        <v>510000</v>
      </c>
      <c r="O593" s="15">
        <f t="shared" si="23"/>
        <v>510000</v>
      </c>
      <c r="P593" s="15"/>
      <c r="Q593" s="14" t="s">
        <v>520</v>
      </c>
      <c r="R593" s="25">
        <v>45322</v>
      </c>
      <c r="S593" s="22" t="str">
        <f>TEXT(Table1[[#This Row],[End Date]],"MMMM")</f>
        <v>January</v>
      </c>
      <c r="T593" s="23" t="str">
        <f>TEXT(Table1[[#This Row],[End Date]],"YYYY")</f>
        <v>2024</v>
      </c>
      <c r="U593" s="24">
        <f t="shared" ca="1" si="24"/>
        <v>-189</v>
      </c>
      <c r="V593" s="14" t="str" cm="1">
        <f t="array" aca="1" ref="V593" ca="1">_xlfn.IFS(Table1[[#This Row],[Agreement Days]]&gt;=0,"Expired",Table1[[#This Row],[Agreement Days]]&gt;=-30,"Expires &lt; 30 Days",Table1[[#This Row],[Agreement Days]]&gt;=-60,"Expires &lt; 60 Days",Table1[[#This Row],[Agreement Days]]&lt;-60,"Valid Contract")</f>
        <v>Valid Contract</v>
      </c>
      <c r="W593" s="14" t="s">
        <v>13</v>
      </c>
      <c r="X593" s="14" t="s">
        <v>1640</v>
      </c>
      <c r="Y593" s="49" t="s">
        <v>1641</v>
      </c>
      <c r="Z593" s="27" t="s">
        <v>1642</v>
      </c>
      <c r="AA593" s="17"/>
      <c r="AB593" s="116"/>
      <c r="AC593" s="116"/>
    </row>
    <row r="594" spans="1:29" s="56" customFormat="1" hidden="1" x14ac:dyDescent="0.3">
      <c r="A594" s="18" t="s">
        <v>1639</v>
      </c>
      <c r="B594" s="18" t="s">
        <v>54</v>
      </c>
      <c r="C594" s="18" t="s">
        <v>1643</v>
      </c>
      <c r="D594" s="14" t="s">
        <v>946</v>
      </c>
      <c r="E594" s="18" t="s">
        <v>9</v>
      </c>
      <c r="F594" s="20" t="s">
        <v>631</v>
      </c>
      <c r="G594" s="20" t="s">
        <v>518</v>
      </c>
      <c r="H594" s="18" t="s">
        <v>5</v>
      </c>
      <c r="I594" s="14" t="s">
        <v>115</v>
      </c>
      <c r="J594" s="14"/>
      <c r="K594" s="14" t="s">
        <v>1644</v>
      </c>
      <c r="L594" s="14"/>
      <c r="M594" s="14">
        <v>5</v>
      </c>
      <c r="N594" s="15">
        <v>19491.525000000001</v>
      </c>
      <c r="O594" s="15">
        <f t="shared" si="23"/>
        <v>97457.625</v>
      </c>
      <c r="P594" s="15"/>
      <c r="Q594" s="14" t="s">
        <v>520</v>
      </c>
      <c r="R594" s="25">
        <v>45322</v>
      </c>
      <c r="S594" s="22" t="s">
        <v>1645</v>
      </c>
      <c r="T594" s="23" t="str">
        <f>TEXT(Table1[[#This Row],[End Date]],"YYYY")</f>
        <v>2024</v>
      </c>
      <c r="U594" s="24">
        <f t="shared" ca="1" si="24"/>
        <v>-189</v>
      </c>
      <c r="V594" s="14" t="str" cm="1">
        <f t="array" aca="1" ref="V594" ca="1">_xlfn.IFS(Table1[[#This Row],[Agreement Days]]&gt;=0,"Expired",Table1[[#This Row],[Agreement Days]]&gt;=-30,"Expires &lt; 30 Days",Table1[[#This Row],[Agreement Days]]&gt;=-60,"Expires &lt; 60 Days",Table1[[#This Row],[Agreement Days]]&lt;-60,"Valid Contract")</f>
        <v>Valid Contract</v>
      </c>
      <c r="W594" s="14" t="s">
        <v>13</v>
      </c>
      <c r="X594" s="14" t="s">
        <v>1640</v>
      </c>
      <c r="Y594" s="64" t="s">
        <v>1641</v>
      </c>
      <c r="Z594" s="27" t="s">
        <v>1642</v>
      </c>
      <c r="AA594" s="17"/>
      <c r="AB594" s="116"/>
      <c r="AC594" s="116"/>
    </row>
    <row r="595" spans="1:29" hidden="1" x14ac:dyDescent="0.3">
      <c r="A595" s="18" t="s">
        <v>1639</v>
      </c>
      <c r="B595" s="18" t="s">
        <v>55</v>
      </c>
      <c r="C595" s="18" t="s">
        <v>1643</v>
      </c>
      <c r="D595" s="14" t="s">
        <v>946</v>
      </c>
      <c r="E595" s="18" t="s">
        <v>9</v>
      </c>
      <c r="F595" s="20" t="s">
        <v>631</v>
      </c>
      <c r="G595" s="20" t="s">
        <v>518</v>
      </c>
      <c r="H595" s="18" t="s">
        <v>5</v>
      </c>
      <c r="I595" s="14" t="s">
        <v>117</v>
      </c>
      <c r="J595" s="20">
        <v>10</v>
      </c>
      <c r="K595" s="18" t="s">
        <v>1646</v>
      </c>
      <c r="L595" s="18"/>
      <c r="M595" s="20">
        <v>1</v>
      </c>
      <c r="N595" s="15">
        <v>510000</v>
      </c>
      <c r="O595" s="15">
        <f t="shared" si="23"/>
        <v>510000</v>
      </c>
      <c r="P595" s="15"/>
      <c r="Q595" s="14" t="s">
        <v>520</v>
      </c>
      <c r="R595" s="25">
        <v>45322</v>
      </c>
      <c r="S595" s="34" t="str">
        <f>TEXT(Table1[[#This Row],[End Date]],"MMMM")</f>
        <v>January</v>
      </c>
      <c r="T595" s="22" t="str">
        <f>TEXT(Table1[[#This Row],[End Date]],"YYYY")</f>
        <v>2024</v>
      </c>
      <c r="U595" s="28">
        <f t="shared" ca="1" si="24"/>
        <v>-189</v>
      </c>
      <c r="V595" s="14" t="str" cm="1">
        <f t="array" aca="1" ref="V595" ca="1">_xlfn.IFS(Table1[[#This Row],[Agreement Days]]&gt;=0,"Expired",Table1[[#This Row],[Agreement Days]]&gt;=-30,"Expires &lt; 30 Days",Table1[[#This Row],[Agreement Days]]&gt;=-60,"Expires &lt; 60 Days",Table1[[#This Row],[Agreement Days]]&lt;-60,"Valid Contract")</f>
        <v>Valid Contract</v>
      </c>
      <c r="W595" s="18" t="s">
        <v>13</v>
      </c>
      <c r="X595" s="18" t="s">
        <v>1640</v>
      </c>
      <c r="Y595" s="65" t="s">
        <v>1641</v>
      </c>
      <c r="Z595" s="27" t="s">
        <v>1642</v>
      </c>
      <c r="AA595" s="27"/>
      <c r="AB595" s="116"/>
      <c r="AC595" s="116"/>
    </row>
    <row r="596" spans="1:29" hidden="1" x14ac:dyDescent="0.3">
      <c r="A596" s="18" t="s">
        <v>1639</v>
      </c>
      <c r="B596" s="18" t="s">
        <v>65</v>
      </c>
      <c r="C596" s="18" t="s">
        <v>1643</v>
      </c>
      <c r="D596" s="14" t="s">
        <v>946</v>
      </c>
      <c r="E596" s="18" t="s">
        <v>9</v>
      </c>
      <c r="F596" s="20" t="s">
        <v>631</v>
      </c>
      <c r="G596" s="20" t="s">
        <v>518</v>
      </c>
      <c r="H596" s="18" t="s">
        <v>5</v>
      </c>
      <c r="I596" s="14" t="s">
        <v>117</v>
      </c>
      <c r="J596" s="20">
        <v>5</v>
      </c>
      <c r="K596" s="18" t="s">
        <v>519</v>
      </c>
      <c r="L596" s="18"/>
      <c r="M596" s="20">
        <v>1</v>
      </c>
      <c r="N596" s="15">
        <v>270000</v>
      </c>
      <c r="O596" s="15">
        <f t="shared" si="23"/>
        <v>270000</v>
      </c>
      <c r="P596" s="15"/>
      <c r="Q596" s="14" t="s">
        <v>520</v>
      </c>
      <c r="R596" s="25">
        <v>45322</v>
      </c>
      <c r="S596" s="34" t="str">
        <f>TEXT(Table1[[#This Row],[End Date]],"MMMM")</f>
        <v>January</v>
      </c>
      <c r="T596" s="22" t="str">
        <f>TEXT(Table1[[#This Row],[End Date]],"YYYY")</f>
        <v>2024</v>
      </c>
      <c r="U596" s="28">
        <f t="shared" ca="1" si="24"/>
        <v>-189</v>
      </c>
      <c r="V596" s="14" t="str" cm="1">
        <f t="array" aca="1" ref="V596" ca="1">_xlfn.IFS(Table1[[#This Row],[Agreement Days]]&gt;=0,"Expired",Table1[[#This Row],[Agreement Days]]&gt;=-30,"Expires &lt; 30 Days",Table1[[#This Row],[Agreement Days]]&gt;=-60,"Expires &lt; 60 Days",Table1[[#This Row],[Agreement Days]]&lt;-60,"Valid Contract")</f>
        <v>Valid Contract</v>
      </c>
      <c r="W596" s="18" t="s">
        <v>13</v>
      </c>
      <c r="X596" s="18" t="s">
        <v>1640</v>
      </c>
      <c r="Y596" s="65" t="s">
        <v>1641</v>
      </c>
      <c r="Z596" s="27" t="s">
        <v>1642</v>
      </c>
      <c r="AA596" s="27"/>
      <c r="AB596" s="116"/>
      <c r="AC596" s="116"/>
    </row>
    <row r="597" spans="1:29" s="41" customFormat="1" x14ac:dyDescent="0.3">
      <c r="A597" s="18" t="s">
        <v>1647</v>
      </c>
      <c r="B597" s="18" t="s">
        <v>264</v>
      </c>
      <c r="C597" s="18" t="s">
        <v>1648</v>
      </c>
      <c r="D597" s="14" t="s">
        <v>545</v>
      </c>
      <c r="E597" s="18" t="s">
        <v>9</v>
      </c>
      <c r="F597" s="14" t="s">
        <v>517</v>
      </c>
      <c r="G597" s="14" t="s">
        <v>518</v>
      </c>
      <c r="H597" s="18" t="s">
        <v>5</v>
      </c>
      <c r="I597" s="14" t="s">
        <v>117</v>
      </c>
      <c r="J597" s="14">
        <v>20</v>
      </c>
      <c r="K597" s="14" t="s">
        <v>794</v>
      </c>
      <c r="L597" s="14"/>
      <c r="M597" s="14">
        <v>1</v>
      </c>
      <c r="N597" s="15">
        <f>1062000/1.18</f>
        <v>900000</v>
      </c>
      <c r="O597" s="15">
        <f t="shared" si="23"/>
        <v>900000</v>
      </c>
      <c r="P597" s="15"/>
      <c r="Q597" s="14" t="s">
        <v>520</v>
      </c>
      <c r="R597" s="25">
        <v>45322</v>
      </c>
      <c r="S597" s="22" t="str">
        <f>TEXT(Table1[[#This Row],[End Date]],"MMMM")</f>
        <v>January</v>
      </c>
      <c r="T597" s="23" t="str">
        <f>TEXT(Table1[[#This Row],[End Date]],"YYYY")</f>
        <v>2024</v>
      </c>
      <c r="U597" s="24">
        <f t="shared" ca="1" si="24"/>
        <v>-189</v>
      </c>
      <c r="V597" s="14" t="str" cm="1">
        <f t="array" aca="1" ref="V597" ca="1">_xlfn.IFS(Table1[[#This Row],[Agreement Days]]&gt;=0,"Expired",Table1[[#This Row],[Agreement Days]]&gt;=-30,"Expires &lt; 30 Days",Table1[[#This Row],[Agreement Days]]&gt;=-60,"Expires &lt; 60 Days",Table1[[#This Row],[Agreement Days]]&lt;-60,"Valid Contract")</f>
        <v>Valid Contract</v>
      </c>
      <c r="W597" s="14" t="s">
        <v>12</v>
      </c>
      <c r="X597" s="14" t="s">
        <v>1649</v>
      </c>
      <c r="Y597" s="16" t="s">
        <v>1650</v>
      </c>
      <c r="Z597" s="27" t="s">
        <v>1651</v>
      </c>
      <c r="AA597" s="17"/>
      <c r="AB597" s="116"/>
      <c r="AC597" s="116"/>
    </row>
    <row r="598" spans="1:29" x14ac:dyDescent="0.3">
      <c r="A598" s="18" t="s">
        <v>1647</v>
      </c>
      <c r="B598" s="18" t="s">
        <v>264</v>
      </c>
      <c r="C598" s="18" t="s">
        <v>1393</v>
      </c>
      <c r="D598" s="14" t="s">
        <v>545</v>
      </c>
      <c r="E598" s="18" t="s">
        <v>9</v>
      </c>
      <c r="F598" s="14" t="s">
        <v>517</v>
      </c>
      <c r="G598" s="14" t="s">
        <v>518</v>
      </c>
      <c r="H598" s="18" t="s">
        <v>2</v>
      </c>
      <c r="I598" s="14" t="s">
        <v>118</v>
      </c>
      <c r="J598" s="14"/>
      <c r="K598" s="14" t="s">
        <v>721</v>
      </c>
      <c r="L598" s="14"/>
      <c r="M598" s="14">
        <v>1</v>
      </c>
      <c r="N598" s="15">
        <v>369325</v>
      </c>
      <c r="O598" s="15">
        <f t="shared" si="23"/>
        <v>369325</v>
      </c>
      <c r="P598" s="15"/>
      <c r="Q598" s="14" t="s">
        <v>520</v>
      </c>
      <c r="R598" s="25">
        <v>45322</v>
      </c>
      <c r="S598" s="22" t="str">
        <f>TEXT(Table1[[#This Row],[End Date]],"MMMM")</f>
        <v>January</v>
      </c>
      <c r="T598" s="23" t="str">
        <f>TEXT(Table1[[#This Row],[End Date]],"YYYY")</f>
        <v>2024</v>
      </c>
      <c r="U598" s="24">
        <f t="shared" ca="1" si="24"/>
        <v>-189</v>
      </c>
      <c r="V598" s="14" t="str" cm="1">
        <f t="array" aca="1" ref="V598" ca="1">_xlfn.IFS(Table1[[#This Row],[Agreement Days]]&gt;=0,"Expired",Table1[[#This Row],[Agreement Days]]&gt;=-30,"Expires &lt; 30 Days",Table1[[#This Row],[Agreement Days]]&gt;=-60,"Expires &lt; 60 Days",Table1[[#This Row],[Agreement Days]]&lt;-60,"Valid Contract")</f>
        <v>Valid Contract</v>
      </c>
      <c r="W598" s="14" t="s">
        <v>12</v>
      </c>
      <c r="X598" s="14" t="s">
        <v>1649</v>
      </c>
      <c r="Y598" s="16" t="s">
        <v>1650</v>
      </c>
      <c r="Z598" s="27" t="s">
        <v>1651</v>
      </c>
      <c r="AA598" s="17"/>
      <c r="AB598" s="116"/>
      <c r="AC598" s="116"/>
    </row>
    <row r="599" spans="1:29" x14ac:dyDescent="0.3">
      <c r="A599" s="18" t="s">
        <v>1647</v>
      </c>
      <c r="B599" s="18" t="s">
        <v>264</v>
      </c>
      <c r="C599" s="18" t="s">
        <v>968</v>
      </c>
      <c r="D599" s="14" t="s">
        <v>545</v>
      </c>
      <c r="E599" s="18" t="s">
        <v>9</v>
      </c>
      <c r="F599" s="14" t="s">
        <v>517</v>
      </c>
      <c r="G599" s="14" t="s">
        <v>518</v>
      </c>
      <c r="H599" s="18" t="s">
        <v>2</v>
      </c>
      <c r="I599" s="14" t="s">
        <v>120</v>
      </c>
      <c r="J599" s="14"/>
      <c r="K599" s="14" t="s">
        <v>970</v>
      </c>
      <c r="L599" s="14"/>
      <c r="M599" s="14">
        <v>1</v>
      </c>
      <c r="N599" s="15">
        <f>304493/1.18</f>
        <v>258044.9152542373</v>
      </c>
      <c r="O599" s="15">
        <f t="shared" si="23"/>
        <v>258044.9152542373</v>
      </c>
      <c r="P599" s="15"/>
      <c r="Q599" s="14" t="s">
        <v>520</v>
      </c>
      <c r="R599" s="25">
        <v>45322</v>
      </c>
      <c r="S599" s="22" t="str">
        <f>TEXT(Table1[[#This Row],[End Date]],"MMMM")</f>
        <v>January</v>
      </c>
      <c r="T599" s="23" t="str">
        <f>TEXT(Table1[[#This Row],[End Date]],"YYYY")</f>
        <v>2024</v>
      </c>
      <c r="U599" s="24">
        <f t="shared" ca="1" si="24"/>
        <v>-189</v>
      </c>
      <c r="V599" s="14" t="str" cm="1">
        <f t="array" aca="1" ref="V599" ca="1">_xlfn.IFS(Table1[[#This Row],[Agreement Days]]&gt;=0,"Expired",Table1[[#This Row],[Agreement Days]]&gt;=-30,"Expires &lt; 30 Days",Table1[[#This Row],[Agreement Days]]&gt;=-60,"Expires &lt; 60 Days",Table1[[#This Row],[Agreement Days]]&lt;-60,"Valid Contract")</f>
        <v>Valid Contract</v>
      </c>
      <c r="W599" s="14" t="s">
        <v>12</v>
      </c>
      <c r="X599" s="14" t="s">
        <v>1649</v>
      </c>
      <c r="Y599" s="16" t="s">
        <v>1650</v>
      </c>
      <c r="Z599" s="27" t="s">
        <v>1651</v>
      </c>
      <c r="AA599" s="17"/>
      <c r="AB599" s="116"/>
      <c r="AC599" s="116"/>
    </row>
    <row r="600" spans="1:29" hidden="1" x14ac:dyDescent="0.3">
      <c r="A600" s="18" t="s">
        <v>1652</v>
      </c>
      <c r="B600" s="18" t="s">
        <v>163</v>
      </c>
      <c r="C600" s="18" t="s">
        <v>544</v>
      </c>
      <c r="D600" s="14" t="s">
        <v>875</v>
      </c>
      <c r="E600" s="18" t="s">
        <v>9</v>
      </c>
      <c r="F600" s="14" t="s">
        <v>517</v>
      </c>
      <c r="G600" s="14" t="s">
        <v>518</v>
      </c>
      <c r="H600" s="18" t="s">
        <v>5</v>
      </c>
      <c r="I600" s="14" t="s">
        <v>117</v>
      </c>
      <c r="J600" s="14">
        <v>3</v>
      </c>
      <c r="K600" s="14" t="s">
        <v>646</v>
      </c>
      <c r="L600" s="14"/>
      <c r="M600" s="14">
        <v>1</v>
      </c>
      <c r="N600" s="15">
        <v>180000</v>
      </c>
      <c r="O600" s="15">
        <f t="shared" si="23"/>
        <v>180000</v>
      </c>
      <c r="P600" s="15"/>
      <c r="Q600" s="14" t="s">
        <v>520</v>
      </c>
      <c r="R600" s="25">
        <v>45322</v>
      </c>
      <c r="S600" s="22" t="str">
        <f>TEXT(Table1[[#This Row],[End Date]],"MMMM")</f>
        <v>January</v>
      </c>
      <c r="T600" s="23" t="str">
        <f>TEXT(Table1[[#This Row],[End Date]],"YYYY")</f>
        <v>2024</v>
      </c>
      <c r="U600" s="24">
        <f t="shared" ca="1" si="24"/>
        <v>-189</v>
      </c>
      <c r="V600" s="14" t="str" cm="1">
        <f t="array" aca="1" ref="V600" ca="1">_xlfn.IFS(Table1[[#This Row],[Agreement Days]]&gt;=0,"Expired",Table1[[#This Row],[Agreement Days]]&gt;=-30,"Expires &lt; 30 Days",Table1[[#This Row],[Agreement Days]]&gt;=-60,"Expires &lt; 60 Days",Table1[[#This Row],[Agreement Days]]&lt;-60,"Valid Contract")</f>
        <v>Valid Contract</v>
      </c>
      <c r="W600" s="14" t="s">
        <v>19</v>
      </c>
      <c r="X600" s="14" t="s">
        <v>1653</v>
      </c>
      <c r="Y600" s="14" t="s">
        <v>1654</v>
      </c>
      <c r="Z600" s="27">
        <v>735298667</v>
      </c>
      <c r="AA600" s="17"/>
      <c r="AB600" s="116"/>
      <c r="AC600" s="116"/>
    </row>
    <row r="601" spans="1:29" hidden="1" x14ac:dyDescent="0.3">
      <c r="A601" s="18" t="s">
        <v>1652</v>
      </c>
      <c r="B601" s="18" t="s">
        <v>163</v>
      </c>
      <c r="C601" s="18" t="s">
        <v>544</v>
      </c>
      <c r="D601" s="14" t="s">
        <v>875</v>
      </c>
      <c r="E601" s="18" t="s">
        <v>9</v>
      </c>
      <c r="F601" s="14" t="s">
        <v>517</v>
      </c>
      <c r="G601" s="14" t="s">
        <v>518</v>
      </c>
      <c r="H601" s="18" t="s">
        <v>5</v>
      </c>
      <c r="I601" s="14" t="s">
        <v>117</v>
      </c>
      <c r="J601" s="14">
        <v>3</v>
      </c>
      <c r="K601" s="14" t="s">
        <v>646</v>
      </c>
      <c r="L601" s="14"/>
      <c r="M601" s="14">
        <v>1</v>
      </c>
      <c r="N601" s="15">
        <v>180000</v>
      </c>
      <c r="O601" s="15">
        <f t="shared" si="23"/>
        <v>180000</v>
      </c>
      <c r="P601" s="15"/>
      <c r="Q601" s="14" t="s">
        <v>520</v>
      </c>
      <c r="R601" s="25">
        <v>45322</v>
      </c>
      <c r="S601" s="22" t="str">
        <f>TEXT(Table1[[#This Row],[End Date]],"MMMM")</f>
        <v>January</v>
      </c>
      <c r="T601" s="23" t="str">
        <f>TEXT(Table1[[#This Row],[End Date]],"YYYY")</f>
        <v>2024</v>
      </c>
      <c r="U601" s="24">
        <f t="shared" ca="1" si="24"/>
        <v>-189</v>
      </c>
      <c r="V601" s="14" t="str" cm="1">
        <f t="array" aca="1" ref="V601" ca="1">_xlfn.IFS(Table1[[#This Row],[Agreement Days]]&gt;=0,"Expired",Table1[[#This Row],[Agreement Days]]&gt;=-30,"Expires &lt; 30 Days",Table1[[#This Row],[Agreement Days]]&gt;=-60,"Expires &lt; 60 Days",Table1[[#This Row],[Agreement Days]]&lt;-60,"Valid Contract")</f>
        <v>Valid Contract</v>
      </c>
      <c r="W601" s="14" t="s">
        <v>19</v>
      </c>
      <c r="X601" s="14" t="s">
        <v>1653</v>
      </c>
      <c r="Y601" s="14" t="s">
        <v>1654</v>
      </c>
      <c r="Z601" s="27">
        <v>735298667</v>
      </c>
      <c r="AA601" s="17"/>
      <c r="AB601" s="116"/>
      <c r="AC601" s="116"/>
    </row>
    <row r="602" spans="1:29" hidden="1" x14ac:dyDescent="0.3">
      <c r="A602" s="18" t="s">
        <v>1652</v>
      </c>
      <c r="B602" s="18" t="s">
        <v>163</v>
      </c>
      <c r="C602" s="18" t="s">
        <v>544</v>
      </c>
      <c r="D602" s="14" t="s">
        <v>875</v>
      </c>
      <c r="E602" s="18" t="s">
        <v>9</v>
      </c>
      <c r="F602" s="14" t="s">
        <v>517</v>
      </c>
      <c r="G602" s="14" t="s">
        <v>518</v>
      </c>
      <c r="H602" s="18" t="s">
        <v>5</v>
      </c>
      <c r="I602" s="14" t="s">
        <v>117</v>
      </c>
      <c r="J602" s="14">
        <v>5</v>
      </c>
      <c r="K602" s="14" t="s">
        <v>519</v>
      </c>
      <c r="L602" s="14"/>
      <c r="M602" s="14">
        <v>1</v>
      </c>
      <c r="N602" s="15">
        <v>270000</v>
      </c>
      <c r="O602" s="15">
        <f t="shared" si="23"/>
        <v>270000</v>
      </c>
      <c r="P602" s="15"/>
      <c r="Q602" s="14" t="s">
        <v>520</v>
      </c>
      <c r="R602" s="25">
        <v>45322</v>
      </c>
      <c r="S602" s="22" t="str">
        <f>TEXT(Table1[[#This Row],[End Date]],"MMMM")</f>
        <v>January</v>
      </c>
      <c r="T602" s="23" t="str">
        <f>TEXT(Table1[[#This Row],[End Date]],"YYYY")</f>
        <v>2024</v>
      </c>
      <c r="U602" s="24">
        <f t="shared" ca="1" si="24"/>
        <v>-189</v>
      </c>
      <c r="V602" s="14" t="str" cm="1">
        <f t="array" aca="1" ref="V602" ca="1">_xlfn.IFS(Table1[[#This Row],[Agreement Days]]&gt;=0,"Expired",Table1[[#This Row],[Agreement Days]]&gt;=-30,"Expires &lt; 30 Days",Table1[[#This Row],[Agreement Days]]&gt;=-60,"Expires &lt; 60 Days",Table1[[#This Row],[Agreement Days]]&lt;-60,"Valid Contract")</f>
        <v>Valid Contract</v>
      </c>
      <c r="W602" s="14" t="s">
        <v>19</v>
      </c>
      <c r="X602" s="14" t="s">
        <v>1653</v>
      </c>
      <c r="Y602" s="14" t="s">
        <v>1654</v>
      </c>
      <c r="Z602" s="27">
        <v>735298667</v>
      </c>
      <c r="AA602" s="17"/>
      <c r="AB602" s="116"/>
      <c r="AC602" s="116"/>
    </row>
    <row r="603" spans="1:29" hidden="1" x14ac:dyDescent="0.3">
      <c r="A603" s="18" t="s">
        <v>1652</v>
      </c>
      <c r="B603" s="18" t="s">
        <v>163</v>
      </c>
      <c r="C603" s="18" t="s">
        <v>544</v>
      </c>
      <c r="D603" s="14" t="s">
        <v>875</v>
      </c>
      <c r="E603" s="18" t="s">
        <v>9</v>
      </c>
      <c r="F603" s="14" t="s">
        <v>517</v>
      </c>
      <c r="G603" s="14" t="s">
        <v>518</v>
      </c>
      <c r="H603" s="18" t="s">
        <v>5</v>
      </c>
      <c r="I603" s="14" t="s">
        <v>117</v>
      </c>
      <c r="J603" s="14">
        <v>5</v>
      </c>
      <c r="K603" s="14" t="s">
        <v>519</v>
      </c>
      <c r="L603" s="14"/>
      <c r="M603" s="14">
        <v>1</v>
      </c>
      <c r="N603" s="15">
        <v>270000</v>
      </c>
      <c r="O603" s="15">
        <f t="shared" si="23"/>
        <v>270000</v>
      </c>
      <c r="P603" s="15"/>
      <c r="Q603" s="14" t="s">
        <v>520</v>
      </c>
      <c r="R603" s="25">
        <v>45322</v>
      </c>
      <c r="S603" s="22" t="str">
        <f>TEXT(Table1[[#This Row],[End Date]],"MMMM")</f>
        <v>January</v>
      </c>
      <c r="T603" s="23" t="str">
        <f>TEXT(Table1[[#This Row],[End Date]],"YYYY")</f>
        <v>2024</v>
      </c>
      <c r="U603" s="24">
        <f t="shared" ca="1" si="24"/>
        <v>-189</v>
      </c>
      <c r="V603" s="14" t="str" cm="1">
        <f t="array" aca="1" ref="V603" ca="1">_xlfn.IFS(Table1[[#This Row],[Agreement Days]]&gt;=0,"Expired",Table1[[#This Row],[Agreement Days]]&gt;=-30,"Expires &lt; 30 Days",Table1[[#This Row],[Agreement Days]]&gt;=-60,"Expires &lt; 60 Days",Table1[[#This Row],[Agreement Days]]&lt;-60,"Valid Contract")</f>
        <v>Valid Contract</v>
      </c>
      <c r="W603" s="14" t="s">
        <v>19</v>
      </c>
      <c r="X603" s="14" t="s">
        <v>1653</v>
      </c>
      <c r="Y603" s="14" t="s">
        <v>1654</v>
      </c>
      <c r="Z603" s="27">
        <v>735298667</v>
      </c>
      <c r="AA603" s="17"/>
      <c r="AB603" s="116"/>
      <c r="AC603" s="116"/>
    </row>
    <row r="604" spans="1:29" hidden="1" x14ac:dyDescent="0.3">
      <c r="A604" s="18" t="s">
        <v>1652</v>
      </c>
      <c r="B604" s="18" t="s">
        <v>163</v>
      </c>
      <c r="C604" s="18" t="s">
        <v>909</v>
      </c>
      <c r="D604" s="14" t="s">
        <v>875</v>
      </c>
      <c r="E604" s="18" t="s">
        <v>9</v>
      </c>
      <c r="F604" s="14" t="s">
        <v>517</v>
      </c>
      <c r="G604" s="14" t="s">
        <v>518</v>
      </c>
      <c r="H604" s="18" t="s">
        <v>5</v>
      </c>
      <c r="I604" s="14" t="s">
        <v>115</v>
      </c>
      <c r="J604" s="14"/>
      <c r="K604" s="18" t="s">
        <v>651</v>
      </c>
      <c r="L604" s="14"/>
      <c r="M604" s="14">
        <v>1</v>
      </c>
      <c r="N604" s="15">
        <f t="shared" ref="N604:N615" si="25">96000/1.18</f>
        <v>81355.932203389835</v>
      </c>
      <c r="O604" s="15">
        <f t="shared" si="23"/>
        <v>81355.932203389835</v>
      </c>
      <c r="P604" s="15"/>
      <c r="Q604" s="14" t="s">
        <v>520</v>
      </c>
      <c r="R604" s="25">
        <v>45322</v>
      </c>
      <c r="S604" s="22" t="str">
        <f>TEXT(Table1[[#This Row],[End Date]],"MMMM")</f>
        <v>January</v>
      </c>
      <c r="T604" s="23" t="str">
        <f>TEXT(Table1[[#This Row],[End Date]],"YYYY")</f>
        <v>2024</v>
      </c>
      <c r="U604" s="24">
        <f t="shared" ca="1" si="24"/>
        <v>-189</v>
      </c>
      <c r="V604" s="14" t="str" cm="1">
        <f t="array" aca="1" ref="V604" ca="1">_xlfn.IFS(Table1[[#This Row],[Agreement Days]]&gt;=0,"Expired",Table1[[#This Row],[Agreement Days]]&gt;=-30,"Expires &lt; 30 Days",Table1[[#This Row],[Agreement Days]]&gt;=-60,"Expires &lt; 60 Days",Table1[[#This Row],[Agreement Days]]&lt;-60,"Valid Contract")</f>
        <v>Valid Contract</v>
      </c>
      <c r="W604" s="14" t="s">
        <v>19</v>
      </c>
      <c r="X604" s="14" t="s">
        <v>1653</v>
      </c>
      <c r="Y604" s="14" t="s">
        <v>1654</v>
      </c>
      <c r="Z604" s="27">
        <v>735298667</v>
      </c>
      <c r="AA604" s="17"/>
      <c r="AB604" s="116"/>
      <c r="AC604" s="116"/>
    </row>
    <row r="605" spans="1:29" hidden="1" x14ac:dyDescent="0.3">
      <c r="A605" s="18" t="s">
        <v>1652</v>
      </c>
      <c r="B605" s="18" t="s">
        <v>163</v>
      </c>
      <c r="C605" s="18" t="s">
        <v>909</v>
      </c>
      <c r="D605" s="14" t="s">
        <v>875</v>
      </c>
      <c r="E605" s="18" t="s">
        <v>9</v>
      </c>
      <c r="F605" s="14" t="s">
        <v>517</v>
      </c>
      <c r="G605" s="14" t="s">
        <v>518</v>
      </c>
      <c r="H605" s="18" t="s">
        <v>5</v>
      </c>
      <c r="I605" s="14" t="s">
        <v>115</v>
      </c>
      <c r="J605" s="14"/>
      <c r="K605" s="18" t="s">
        <v>651</v>
      </c>
      <c r="L605" s="14"/>
      <c r="M605" s="14">
        <v>1</v>
      </c>
      <c r="N605" s="15">
        <f t="shared" si="25"/>
        <v>81355.932203389835</v>
      </c>
      <c r="O605" s="15">
        <f t="shared" si="23"/>
        <v>81355.932203389835</v>
      </c>
      <c r="P605" s="15"/>
      <c r="Q605" s="14" t="s">
        <v>520</v>
      </c>
      <c r="R605" s="25">
        <v>45322</v>
      </c>
      <c r="S605" s="22" t="str">
        <f>TEXT(Table1[[#This Row],[End Date]],"MMMM")</f>
        <v>January</v>
      </c>
      <c r="T605" s="23" t="str">
        <f>TEXT(Table1[[#This Row],[End Date]],"YYYY")</f>
        <v>2024</v>
      </c>
      <c r="U605" s="24">
        <f t="shared" ca="1" si="24"/>
        <v>-189</v>
      </c>
      <c r="V605" s="14" t="str" cm="1">
        <f t="array" aca="1" ref="V605" ca="1">_xlfn.IFS(Table1[[#This Row],[Agreement Days]]&gt;=0,"Expired",Table1[[#This Row],[Agreement Days]]&gt;=-30,"Expires &lt; 30 Days",Table1[[#This Row],[Agreement Days]]&gt;=-60,"Expires &lt; 60 Days",Table1[[#This Row],[Agreement Days]]&lt;-60,"Valid Contract")</f>
        <v>Valid Contract</v>
      </c>
      <c r="W605" s="14" t="s">
        <v>19</v>
      </c>
      <c r="X605" s="14" t="s">
        <v>1653</v>
      </c>
      <c r="Y605" s="14" t="s">
        <v>1654</v>
      </c>
      <c r="Z605" s="27">
        <v>735298667</v>
      </c>
      <c r="AA605" s="17"/>
      <c r="AB605" s="116"/>
      <c r="AC605" s="116"/>
    </row>
    <row r="606" spans="1:29" hidden="1" x14ac:dyDescent="0.3">
      <c r="A606" s="18" t="s">
        <v>1652</v>
      </c>
      <c r="B606" s="18" t="s">
        <v>163</v>
      </c>
      <c r="C606" s="18" t="s">
        <v>909</v>
      </c>
      <c r="D606" s="14" t="s">
        <v>875</v>
      </c>
      <c r="E606" s="18" t="s">
        <v>9</v>
      </c>
      <c r="F606" s="14" t="s">
        <v>517</v>
      </c>
      <c r="G606" s="14" t="s">
        <v>518</v>
      </c>
      <c r="H606" s="18" t="s">
        <v>5</v>
      </c>
      <c r="I606" s="14" t="s">
        <v>115</v>
      </c>
      <c r="J606" s="14"/>
      <c r="K606" s="18" t="s">
        <v>651</v>
      </c>
      <c r="L606" s="14"/>
      <c r="M606" s="14">
        <v>1</v>
      </c>
      <c r="N606" s="15">
        <f t="shared" si="25"/>
        <v>81355.932203389835</v>
      </c>
      <c r="O606" s="15">
        <f t="shared" si="23"/>
        <v>81355.932203389835</v>
      </c>
      <c r="P606" s="15"/>
      <c r="Q606" s="14" t="s">
        <v>520</v>
      </c>
      <c r="R606" s="25">
        <v>45322</v>
      </c>
      <c r="S606" s="22" t="str">
        <f>TEXT(Table1[[#This Row],[End Date]],"MMMM")</f>
        <v>January</v>
      </c>
      <c r="T606" s="23" t="str">
        <f>TEXT(Table1[[#This Row],[End Date]],"YYYY")</f>
        <v>2024</v>
      </c>
      <c r="U606" s="24">
        <f t="shared" ca="1" si="24"/>
        <v>-189</v>
      </c>
      <c r="V606" s="14" t="str" cm="1">
        <f t="array" aca="1" ref="V606" ca="1">_xlfn.IFS(Table1[[#This Row],[Agreement Days]]&gt;=0,"Expired",Table1[[#This Row],[Agreement Days]]&gt;=-30,"Expires &lt; 30 Days",Table1[[#This Row],[Agreement Days]]&gt;=-60,"Expires &lt; 60 Days",Table1[[#This Row],[Agreement Days]]&lt;-60,"Valid Contract")</f>
        <v>Valid Contract</v>
      </c>
      <c r="W606" s="14" t="s">
        <v>19</v>
      </c>
      <c r="X606" s="14" t="s">
        <v>1653</v>
      </c>
      <c r="Y606" s="14" t="s">
        <v>1654</v>
      </c>
      <c r="Z606" s="27">
        <v>735298667</v>
      </c>
      <c r="AA606" s="17"/>
      <c r="AB606" s="116"/>
      <c r="AC606" s="116"/>
    </row>
    <row r="607" spans="1:29" hidden="1" x14ac:dyDescent="0.3">
      <c r="A607" s="18" t="s">
        <v>1652</v>
      </c>
      <c r="B607" s="18" t="s">
        <v>163</v>
      </c>
      <c r="C607" s="18" t="s">
        <v>909</v>
      </c>
      <c r="D607" s="14" t="s">
        <v>875</v>
      </c>
      <c r="E607" s="18" t="s">
        <v>9</v>
      </c>
      <c r="F607" s="14" t="s">
        <v>517</v>
      </c>
      <c r="G607" s="14" t="s">
        <v>518</v>
      </c>
      <c r="H607" s="18" t="s">
        <v>5</v>
      </c>
      <c r="I607" s="14" t="s">
        <v>115</v>
      </c>
      <c r="J607" s="14"/>
      <c r="K607" s="18" t="s">
        <v>651</v>
      </c>
      <c r="L607" s="14"/>
      <c r="M607" s="14">
        <v>1</v>
      </c>
      <c r="N607" s="15">
        <f t="shared" si="25"/>
        <v>81355.932203389835</v>
      </c>
      <c r="O607" s="15">
        <f t="shared" si="23"/>
        <v>81355.932203389835</v>
      </c>
      <c r="P607" s="15"/>
      <c r="Q607" s="14" t="s">
        <v>520</v>
      </c>
      <c r="R607" s="25">
        <v>45322</v>
      </c>
      <c r="S607" s="22" t="str">
        <f>TEXT(Table1[[#This Row],[End Date]],"MMMM")</f>
        <v>January</v>
      </c>
      <c r="T607" s="23" t="str">
        <f>TEXT(Table1[[#This Row],[End Date]],"YYYY")</f>
        <v>2024</v>
      </c>
      <c r="U607" s="24">
        <f t="shared" ca="1" si="24"/>
        <v>-189</v>
      </c>
      <c r="V607" s="14" t="str" cm="1">
        <f t="array" aca="1" ref="V607" ca="1">_xlfn.IFS(Table1[[#This Row],[Agreement Days]]&gt;=0,"Expired",Table1[[#This Row],[Agreement Days]]&gt;=-30,"Expires &lt; 30 Days",Table1[[#This Row],[Agreement Days]]&gt;=-60,"Expires &lt; 60 Days",Table1[[#This Row],[Agreement Days]]&lt;-60,"Valid Contract")</f>
        <v>Valid Contract</v>
      </c>
      <c r="W607" s="14" t="s">
        <v>19</v>
      </c>
      <c r="X607" s="14" t="s">
        <v>1653</v>
      </c>
      <c r="Y607" s="14" t="s">
        <v>1654</v>
      </c>
      <c r="Z607" s="27">
        <v>735298667</v>
      </c>
      <c r="AA607" s="17"/>
      <c r="AB607" s="116"/>
      <c r="AC607" s="116"/>
    </row>
    <row r="608" spans="1:29" hidden="1" x14ac:dyDescent="0.3">
      <c r="A608" s="18" t="s">
        <v>1652</v>
      </c>
      <c r="B608" s="18" t="s">
        <v>163</v>
      </c>
      <c r="C608" s="18" t="s">
        <v>909</v>
      </c>
      <c r="D608" s="14" t="s">
        <v>875</v>
      </c>
      <c r="E608" s="18" t="s">
        <v>9</v>
      </c>
      <c r="F608" s="14" t="s">
        <v>517</v>
      </c>
      <c r="G608" s="14" t="s">
        <v>518</v>
      </c>
      <c r="H608" s="18" t="s">
        <v>5</v>
      </c>
      <c r="I608" s="14" t="s">
        <v>115</v>
      </c>
      <c r="J608" s="14"/>
      <c r="K608" s="18" t="s">
        <v>651</v>
      </c>
      <c r="L608" s="14"/>
      <c r="M608" s="14">
        <v>1</v>
      </c>
      <c r="N608" s="15">
        <f t="shared" si="25"/>
        <v>81355.932203389835</v>
      </c>
      <c r="O608" s="15">
        <f t="shared" si="23"/>
        <v>81355.932203389835</v>
      </c>
      <c r="P608" s="15"/>
      <c r="Q608" s="14" t="s">
        <v>520</v>
      </c>
      <c r="R608" s="25">
        <v>45322</v>
      </c>
      <c r="S608" s="22" t="str">
        <f>TEXT(Table1[[#This Row],[End Date]],"MMMM")</f>
        <v>January</v>
      </c>
      <c r="T608" s="23" t="str">
        <f>TEXT(Table1[[#This Row],[End Date]],"YYYY")</f>
        <v>2024</v>
      </c>
      <c r="U608" s="24">
        <f t="shared" ca="1" si="24"/>
        <v>-189</v>
      </c>
      <c r="V608" s="14" t="str" cm="1">
        <f t="array" aca="1" ref="V608" ca="1">_xlfn.IFS(Table1[[#This Row],[Agreement Days]]&gt;=0,"Expired",Table1[[#This Row],[Agreement Days]]&gt;=-30,"Expires &lt; 30 Days",Table1[[#This Row],[Agreement Days]]&gt;=-60,"Expires &lt; 60 Days",Table1[[#This Row],[Agreement Days]]&lt;-60,"Valid Contract")</f>
        <v>Valid Contract</v>
      </c>
      <c r="W608" s="14" t="s">
        <v>19</v>
      </c>
      <c r="X608" s="14" t="s">
        <v>1653</v>
      </c>
      <c r="Y608" s="14" t="s">
        <v>1654</v>
      </c>
      <c r="Z608" s="27">
        <v>735298667</v>
      </c>
      <c r="AA608" s="17"/>
      <c r="AB608" s="116"/>
      <c r="AC608" s="116"/>
    </row>
    <row r="609" spans="1:29" hidden="1" x14ac:dyDescent="0.3">
      <c r="A609" s="18" t="s">
        <v>1652</v>
      </c>
      <c r="B609" s="18" t="s">
        <v>163</v>
      </c>
      <c r="C609" s="18" t="s">
        <v>909</v>
      </c>
      <c r="D609" s="14" t="s">
        <v>875</v>
      </c>
      <c r="E609" s="18" t="s">
        <v>9</v>
      </c>
      <c r="F609" s="14" t="s">
        <v>517</v>
      </c>
      <c r="G609" s="14" t="s">
        <v>518</v>
      </c>
      <c r="H609" s="18" t="s">
        <v>5</v>
      </c>
      <c r="I609" s="14" t="s">
        <v>115</v>
      </c>
      <c r="J609" s="14"/>
      <c r="K609" s="18" t="s">
        <v>651</v>
      </c>
      <c r="L609" s="14"/>
      <c r="M609" s="14">
        <v>1</v>
      </c>
      <c r="N609" s="15">
        <f t="shared" si="25"/>
        <v>81355.932203389835</v>
      </c>
      <c r="O609" s="15">
        <f t="shared" si="23"/>
        <v>81355.932203389835</v>
      </c>
      <c r="P609" s="15"/>
      <c r="Q609" s="14" t="s">
        <v>520</v>
      </c>
      <c r="R609" s="25">
        <v>45322</v>
      </c>
      <c r="S609" s="22" t="str">
        <f>TEXT(Table1[[#This Row],[End Date]],"MMMM")</f>
        <v>January</v>
      </c>
      <c r="T609" s="23" t="str">
        <f>TEXT(Table1[[#This Row],[End Date]],"YYYY")</f>
        <v>2024</v>
      </c>
      <c r="U609" s="24">
        <f t="shared" ca="1" si="24"/>
        <v>-189</v>
      </c>
      <c r="V609" s="14" t="str" cm="1">
        <f t="array" aca="1" ref="V609" ca="1">_xlfn.IFS(Table1[[#This Row],[Agreement Days]]&gt;=0,"Expired",Table1[[#This Row],[Agreement Days]]&gt;=-30,"Expires &lt; 30 Days",Table1[[#This Row],[Agreement Days]]&gt;=-60,"Expires &lt; 60 Days",Table1[[#This Row],[Agreement Days]]&lt;-60,"Valid Contract")</f>
        <v>Valid Contract</v>
      </c>
      <c r="W609" s="14" t="s">
        <v>19</v>
      </c>
      <c r="X609" s="14" t="s">
        <v>1653</v>
      </c>
      <c r="Y609" s="14" t="s">
        <v>1654</v>
      </c>
      <c r="Z609" s="27">
        <v>735298667</v>
      </c>
      <c r="AA609" s="17"/>
      <c r="AB609" s="116"/>
      <c r="AC609" s="116"/>
    </row>
    <row r="610" spans="1:29" hidden="1" x14ac:dyDescent="0.3">
      <c r="A610" s="18" t="s">
        <v>1652</v>
      </c>
      <c r="B610" s="18" t="s">
        <v>163</v>
      </c>
      <c r="C610" s="18" t="s">
        <v>909</v>
      </c>
      <c r="D610" s="14" t="s">
        <v>875</v>
      </c>
      <c r="E610" s="18" t="s">
        <v>9</v>
      </c>
      <c r="F610" s="14" t="s">
        <v>517</v>
      </c>
      <c r="G610" s="14" t="s">
        <v>518</v>
      </c>
      <c r="H610" s="18" t="s">
        <v>5</v>
      </c>
      <c r="I610" s="14" t="s">
        <v>115</v>
      </c>
      <c r="J610" s="14"/>
      <c r="K610" s="18" t="s">
        <v>651</v>
      </c>
      <c r="L610" s="14"/>
      <c r="M610" s="14">
        <v>1</v>
      </c>
      <c r="N610" s="15">
        <f t="shared" si="25"/>
        <v>81355.932203389835</v>
      </c>
      <c r="O610" s="15">
        <f t="shared" si="23"/>
        <v>81355.932203389835</v>
      </c>
      <c r="P610" s="15"/>
      <c r="Q610" s="14" t="s">
        <v>520</v>
      </c>
      <c r="R610" s="25">
        <v>45322</v>
      </c>
      <c r="S610" s="22" t="str">
        <f>TEXT(Table1[[#This Row],[End Date]],"MMMM")</f>
        <v>January</v>
      </c>
      <c r="T610" s="23" t="str">
        <f>TEXT(Table1[[#This Row],[End Date]],"YYYY")</f>
        <v>2024</v>
      </c>
      <c r="U610" s="24">
        <f t="shared" ca="1" si="24"/>
        <v>-189</v>
      </c>
      <c r="V610" s="14" t="str" cm="1">
        <f t="array" aca="1" ref="V610" ca="1">_xlfn.IFS(Table1[[#This Row],[Agreement Days]]&gt;=0,"Expired",Table1[[#This Row],[Agreement Days]]&gt;=-30,"Expires &lt; 30 Days",Table1[[#This Row],[Agreement Days]]&gt;=-60,"Expires &lt; 60 Days",Table1[[#This Row],[Agreement Days]]&lt;-60,"Valid Contract")</f>
        <v>Valid Contract</v>
      </c>
      <c r="W610" s="14" t="s">
        <v>19</v>
      </c>
      <c r="X610" s="14" t="s">
        <v>1653</v>
      </c>
      <c r="Y610" s="14" t="s">
        <v>1654</v>
      </c>
      <c r="Z610" s="27">
        <v>735298667</v>
      </c>
      <c r="AA610" s="17"/>
      <c r="AB610" s="116"/>
      <c r="AC610" s="116"/>
    </row>
    <row r="611" spans="1:29" hidden="1" x14ac:dyDescent="0.3">
      <c r="A611" s="18" t="s">
        <v>1652</v>
      </c>
      <c r="B611" s="18" t="s">
        <v>163</v>
      </c>
      <c r="C611" s="18" t="s">
        <v>909</v>
      </c>
      <c r="D611" s="14" t="s">
        <v>875</v>
      </c>
      <c r="E611" s="18" t="s">
        <v>9</v>
      </c>
      <c r="F611" s="14" t="s">
        <v>517</v>
      </c>
      <c r="G611" s="14" t="s">
        <v>518</v>
      </c>
      <c r="H611" s="18" t="s">
        <v>5</v>
      </c>
      <c r="I611" s="14" t="s">
        <v>115</v>
      </c>
      <c r="J611" s="14"/>
      <c r="K611" s="18" t="s">
        <v>651</v>
      </c>
      <c r="L611" s="14"/>
      <c r="M611" s="14">
        <v>1</v>
      </c>
      <c r="N611" s="15">
        <f t="shared" si="25"/>
        <v>81355.932203389835</v>
      </c>
      <c r="O611" s="15">
        <f t="shared" si="23"/>
        <v>81355.932203389835</v>
      </c>
      <c r="P611" s="15"/>
      <c r="Q611" s="14" t="s">
        <v>520</v>
      </c>
      <c r="R611" s="25">
        <v>45322</v>
      </c>
      <c r="S611" s="22" t="str">
        <f>TEXT(Table1[[#This Row],[End Date]],"MMMM")</f>
        <v>January</v>
      </c>
      <c r="T611" s="23" t="str">
        <f>TEXT(Table1[[#This Row],[End Date]],"YYYY")</f>
        <v>2024</v>
      </c>
      <c r="U611" s="24">
        <f t="shared" ca="1" si="24"/>
        <v>-189</v>
      </c>
      <c r="V611" s="14" t="str" cm="1">
        <f t="array" aca="1" ref="V611" ca="1">_xlfn.IFS(Table1[[#This Row],[Agreement Days]]&gt;=0,"Expired",Table1[[#This Row],[Agreement Days]]&gt;=-30,"Expires &lt; 30 Days",Table1[[#This Row],[Agreement Days]]&gt;=-60,"Expires &lt; 60 Days",Table1[[#This Row],[Agreement Days]]&lt;-60,"Valid Contract")</f>
        <v>Valid Contract</v>
      </c>
      <c r="W611" s="14" t="s">
        <v>19</v>
      </c>
      <c r="X611" s="14" t="s">
        <v>1653</v>
      </c>
      <c r="Y611" s="14" t="s">
        <v>1654</v>
      </c>
      <c r="Z611" s="27">
        <v>735298667</v>
      </c>
      <c r="AA611" s="17"/>
      <c r="AB611" s="116"/>
      <c r="AC611" s="116"/>
    </row>
    <row r="612" spans="1:29" hidden="1" x14ac:dyDescent="0.3">
      <c r="A612" s="18" t="s">
        <v>1652</v>
      </c>
      <c r="B612" s="18" t="s">
        <v>163</v>
      </c>
      <c r="C612" s="18" t="s">
        <v>909</v>
      </c>
      <c r="D612" s="14" t="s">
        <v>875</v>
      </c>
      <c r="E612" s="18" t="s">
        <v>9</v>
      </c>
      <c r="F612" s="14" t="s">
        <v>517</v>
      </c>
      <c r="G612" s="14" t="s">
        <v>518</v>
      </c>
      <c r="H612" s="18" t="s">
        <v>5</v>
      </c>
      <c r="I612" s="14" t="s">
        <v>115</v>
      </c>
      <c r="J612" s="14"/>
      <c r="K612" s="18" t="s">
        <v>651</v>
      </c>
      <c r="L612" s="14"/>
      <c r="M612" s="14">
        <v>1</v>
      </c>
      <c r="N612" s="15">
        <f t="shared" si="25"/>
        <v>81355.932203389835</v>
      </c>
      <c r="O612" s="15">
        <f t="shared" si="23"/>
        <v>81355.932203389835</v>
      </c>
      <c r="P612" s="15"/>
      <c r="Q612" s="14" t="s">
        <v>520</v>
      </c>
      <c r="R612" s="25">
        <v>45322</v>
      </c>
      <c r="S612" s="22" t="str">
        <f>TEXT(Table1[[#This Row],[End Date]],"MMMM")</f>
        <v>January</v>
      </c>
      <c r="T612" s="23" t="str">
        <f>TEXT(Table1[[#This Row],[End Date]],"YYYY")</f>
        <v>2024</v>
      </c>
      <c r="U612" s="24">
        <f t="shared" ca="1" si="24"/>
        <v>-189</v>
      </c>
      <c r="V612" s="14" t="str" cm="1">
        <f t="array" aca="1" ref="V612" ca="1">_xlfn.IFS(Table1[[#This Row],[Agreement Days]]&gt;=0,"Expired",Table1[[#This Row],[Agreement Days]]&gt;=-30,"Expires &lt; 30 Days",Table1[[#This Row],[Agreement Days]]&gt;=-60,"Expires &lt; 60 Days",Table1[[#This Row],[Agreement Days]]&lt;-60,"Valid Contract")</f>
        <v>Valid Contract</v>
      </c>
      <c r="W612" s="14" t="s">
        <v>19</v>
      </c>
      <c r="X612" s="14" t="s">
        <v>1653</v>
      </c>
      <c r="Y612" s="14" t="s">
        <v>1654</v>
      </c>
      <c r="Z612" s="27">
        <v>735298667</v>
      </c>
      <c r="AA612" s="17"/>
      <c r="AB612" s="116"/>
      <c r="AC612" s="116"/>
    </row>
    <row r="613" spans="1:29" hidden="1" x14ac:dyDescent="0.3">
      <c r="A613" s="18" t="s">
        <v>1652</v>
      </c>
      <c r="B613" s="18" t="s">
        <v>163</v>
      </c>
      <c r="C613" s="18" t="s">
        <v>909</v>
      </c>
      <c r="D613" s="14" t="s">
        <v>875</v>
      </c>
      <c r="E613" s="18" t="s">
        <v>9</v>
      </c>
      <c r="F613" s="14" t="s">
        <v>517</v>
      </c>
      <c r="G613" s="14" t="s">
        <v>518</v>
      </c>
      <c r="H613" s="18" t="s">
        <v>5</v>
      </c>
      <c r="I613" s="14" t="s">
        <v>115</v>
      </c>
      <c r="J613" s="14"/>
      <c r="K613" s="18" t="s">
        <v>651</v>
      </c>
      <c r="L613" s="14"/>
      <c r="M613" s="14">
        <v>1</v>
      </c>
      <c r="N613" s="15">
        <f t="shared" si="25"/>
        <v>81355.932203389835</v>
      </c>
      <c r="O613" s="15">
        <f t="shared" si="23"/>
        <v>81355.932203389835</v>
      </c>
      <c r="P613" s="15"/>
      <c r="Q613" s="14" t="s">
        <v>520</v>
      </c>
      <c r="R613" s="25">
        <v>45322</v>
      </c>
      <c r="S613" s="22" t="str">
        <f>TEXT(Table1[[#This Row],[End Date]],"MMMM")</f>
        <v>January</v>
      </c>
      <c r="T613" s="23" t="str">
        <f>TEXT(Table1[[#This Row],[End Date]],"YYYY")</f>
        <v>2024</v>
      </c>
      <c r="U613" s="24">
        <f t="shared" ca="1" si="24"/>
        <v>-189</v>
      </c>
      <c r="V613" s="14" t="str" cm="1">
        <f t="array" aca="1" ref="V613" ca="1">_xlfn.IFS(Table1[[#This Row],[Agreement Days]]&gt;=0,"Expired",Table1[[#This Row],[Agreement Days]]&gt;=-30,"Expires &lt; 30 Days",Table1[[#This Row],[Agreement Days]]&gt;=-60,"Expires &lt; 60 Days",Table1[[#This Row],[Agreement Days]]&lt;-60,"Valid Contract")</f>
        <v>Valid Contract</v>
      </c>
      <c r="W613" s="14" t="s">
        <v>19</v>
      </c>
      <c r="X613" s="14" t="s">
        <v>1653</v>
      </c>
      <c r="Y613" s="14" t="s">
        <v>1654</v>
      </c>
      <c r="Z613" s="27">
        <v>735298667</v>
      </c>
      <c r="AA613" s="17"/>
      <c r="AB613" s="116"/>
      <c r="AC613" s="116"/>
    </row>
    <row r="614" spans="1:29" hidden="1" x14ac:dyDescent="0.3">
      <c r="A614" s="18" t="s">
        <v>1652</v>
      </c>
      <c r="B614" s="18" t="s">
        <v>163</v>
      </c>
      <c r="C614" s="18" t="s">
        <v>909</v>
      </c>
      <c r="D614" s="14" t="s">
        <v>875</v>
      </c>
      <c r="E614" s="18" t="s">
        <v>9</v>
      </c>
      <c r="F614" s="14" t="s">
        <v>517</v>
      </c>
      <c r="G614" s="14" t="s">
        <v>518</v>
      </c>
      <c r="H614" s="18" t="s">
        <v>5</v>
      </c>
      <c r="I614" s="14" t="s">
        <v>115</v>
      </c>
      <c r="J614" s="14"/>
      <c r="K614" s="18" t="s">
        <v>651</v>
      </c>
      <c r="L614" s="14"/>
      <c r="M614" s="14">
        <v>1</v>
      </c>
      <c r="N614" s="15">
        <f t="shared" si="25"/>
        <v>81355.932203389835</v>
      </c>
      <c r="O614" s="15">
        <f t="shared" si="23"/>
        <v>81355.932203389835</v>
      </c>
      <c r="P614" s="15"/>
      <c r="Q614" s="14" t="s">
        <v>520</v>
      </c>
      <c r="R614" s="25">
        <v>45322</v>
      </c>
      <c r="S614" s="22" t="str">
        <f>TEXT(Table1[[#This Row],[End Date]],"MMMM")</f>
        <v>January</v>
      </c>
      <c r="T614" s="23" t="str">
        <f>TEXT(Table1[[#This Row],[End Date]],"YYYY")</f>
        <v>2024</v>
      </c>
      <c r="U614" s="24">
        <f t="shared" ca="1" si="24"/>
        <v>-189</v>
      </c>
      <c r="V614" s="14" t="str" cm="1">
        <f t="array" aca="1" ref="V614" ca="1">_xlfn.IFS(Table1[[#This Row],[Agreement Days]]&gt;=0,"Expired",Table1[[#This Row],[Agreement Days]]&gt;=-30,"Expires &lt; 30 Days",Table1[[#This Row],[Agreement Days]]&gt;=-60,"Expires &lt; 60 Days",Table1[[#This Row],[Agreement Days]]&lt;-60,"Valid Contract")</f>
        <v>Valid Contract</v>
      </c>
      <c r="W614" s="14" t="s">
        <v>19</v>
      </c>
      <c r="X614" s="14" t="s">
        <v>1653</v>
      </c>
      <c r="Y614" s="14" t="s">
        <v>1654</v>
      </c>
      <c r="Z614" s="27">
        <v>735298667</v>
      </c>
      <c r="AA614" s="17"/>
      <c r="AB614" s="116"/>
      <c r="AC614" s="116"/>
    </row>
    <row r="615" spans="1:29" hidden="1" x14ac:dyDescent="0.3">
      <c r="A615" s="18" t="s">
        <v>1652</v>
      </c>
      <c r="B615" s="18" t="s">
        <v>163</v>
      </c>
      <c r="C615" s="18" t="s">
        <v>909</v>
      </c>
      <c r="D615" s="14" t="s">
        <v>875</v>
      </c>
      <c r="E615" s="18" t="s">
        <v>9</v>
      </c>
      <c r="F615" s="14" t="s">
        <v>517</v>
      </c>
      <c r="G615" s="14" t="s">
        <v>518</v>
      </c>
      <c r="H615" s="18" t="s">
        <v>5</v>
      </c>
      <c r="I615" s="14" t="s">
        <v>115</v>
      </c>
      <c r="J615" s="14"/>
      <c r="K615" s="18" t="s">
        <v>651</v>
      </c>
      <c r="L615" s="14"/>
      <c r="M615" s="14">
        <v>1</v>
      </c>
      <c r="N615" s="15">
        <f t="shared" si="25"/>
        <v>81355.932203389835</v>
      </c>
      <c r="O615" s="15">
        <f t="shared" si="23"/>
        <v>81355.932203389835</v>
      </c>
      <c r="P615" s="15"/>
      <c r="Q615" s="14" t="s">
        <v>520</v>
      </c>
      <c r="R615" s="25">
        <v>45322</v>
      </c>
      <c r="S615" s="22" t="str">
        <f>TEXT(Table1[[#This Row],[End Date]],"MMMM")</f>
        <v>January</v>
      </c>
      <c r="T615" s="23" t="str">
        <f>TEXT(Table1[[#This Row],[End Date]],"YYYY")</f>
        <v>2024</v>
      </c>
      <c r="U615" s="24">
        <f t="shared" ca="1" si="24"/>
        <v>-189</v>
      </c>
      <c r="V615" s="14" t="str" cm="1">
        <f t="array" aca="1" ref="V615" ca="1">_xlfn.IFS(Table1[[#This Row],[Agreement Days]]&gt;=0,"Expired",Table1[[#This Row],[Agreement Days]]&gt;=-30,"Expires &lt; 30 Days",Table1[[#This Row],[Agreement Days]]&gt;=-60,"Expires &lt; 60 Days",Table1[[#This Row],[Agreement Days]]&lt;-60,"Valid Contract")</f>
        <v>Valid Contract</v>
      </c>
      <c r="W615" s="14" t="s">
        <v>19</v>
      </c>
      <c r="X615" s="14" t="s">
        <v>1653</v>
      </c>
      <c r="Y615" s="14" t="s">
        <v>1654</v>
      </c>
      <c r="Z615" s="27">
        <v>735298667</v>
      </c>
      <c r="AA615" s="17"/>
      <c r="AB615" s="116"/>
      <c r="AC615" s="116"/>
    </row>
    <row r="616" spans="1:29" hidden="1" x14ac:dyDescent="0.3">
      <c r="A616" s="18" t="s">
        <v>1652</v>
      </c>
      <c r="B616" s="18" t="s">
        <v>163</v>
      </c>
      <c r="C616" s="18" t="s">
        <v>544</v>
      </c>
      <c r="D616" s="14" t="s">
        <v>875</v>
      </c>
      <c r="E616" s="18" t="s">
        <v>9</v>
      </c>
      <c r="F616" s="14" t="s">
        <v>517</v>
      </c>
      <c r="G616" s="14" t="s">
        <v>518</v>
      </c>
      <c r="H616" s="18" t="s">
        <v>2</v>
      </c>
      <c r="I616" s="14" t="s">
        <v>120</v>
      </c>
      <c r="J616" s="14"/>
      <c r="K616" s="14" t="s">
        <v>649</v>
      </c>
      <c r="L616" s="14"/>
      <c r="M616" s="14">
        <v>1</v>
      </c>
      <c r="N616" s="15">
        <v>258044.92</v>
      </c>
      <c r="O616" s="15">
        <f t="shared" si="23"/>
        <v>258044.92</v>
      </c>
      <c r="P616" s="15"/>
      <c r="Q616" s="14" t="s">
        <v>520</v>
      </c>
      <c r="R616" s="25">
        <v>45322</v>
      </c>
      <c r="S616" s="22" t="str">
        <f>TEXT(Table1[[#This Row],[End Date]],"MMMM")</f>
        <v>January</v>
      </c>
      <c r="T616" s="23" t="str">
        <f>TEXT(Table1[[#This Row],[End Date]],"YYYY")</f>
        <v>2024</v>
      </c>
      <c r="U616" s="24">
        <f t="shared" ca="1" si="24"/>
        <v>-189</v>
      </c>
      <c r="V616" s="14" t="str" cm="1">
        <f t="array" aca="1" ref="V616" ca="1">_xlfn.IFS(Table1[[#This Row],[Agreement Days]]&gt;=0,"Expired",Table1[[#This Row],[Agreement Days]]&gt;=-30,"Expires &lt; 30 Days",Table1[[#This Row],[Agreement Days]]&gt;=-60,"Expires &lt; 60 Days",Table1[[#This Row],[Agreement Days]]&lt;-60,"Valid Contract")</f>
        <v>Valid Contract</v>
      </c>
      <c r="W616" s="14" t="s">
        <v>19</v>
      </c>
      <c r="X616" s="14" t="s">
        <v>1653</v>
      </c>
      <c r="Y616" s="14" t="s">
        <v>1654</v>
      </c>
      <c r="Z616" s="27">
        <v>735298667</v>
      </c>
      <c r="AA616" s="17"/>
      <c r="AB616" s="116"/>
      <c r="AC616" s="116"/>
    </row>
    <row r="617" spans="1:29" hidden="1" x14ac:dyDescent="0.3">
      <c r="A617" s="18" t="s">
        <v>1652</v>
      </c>
      <c r="B617" s="18" t="s">
        <v>163</v>
      </c>
      <c r="C617" s="18" t="s">
        <v>544</v>
      </c>
      <c r="D617" s="14" t="s">
        <v>875</v>
      </c>
      <c r="E617" s="18" t="s">
        <v>9</v>
      </c>
      <c r="F617" s="14" t="s">
        <v>517</v>
      </c>
      <c r="G617" s="14" t="s">
        <v>518</v>
      </c>
      <c r="H617" s="18" t="s">
        <v>4</v>
      </c>
      <c r="I617" s="14" t="s">
        <v>118</v>
      </c>
      <c r="J617" s="14"/>
      <c r="K617" s="14" t="s">
        <v>650</v>
      </c>
      <c r="L617" s="14"/>
      <c r="M617" s="14">
        <v>1</v>
      </c>
      <c r="N617" s="15">
        <v>369325.42</v>
      </c>
      <c r="O617" s="15">
        <f t="shared" si="23"/>
        <v>369325.42</v>
      </c>
      <c r="P617" s="15"/>
      <c r="Q617" s="14" t="s">
        <v>520</v>
      </c>
      <c r="R617" s="25">
        <v>45322</v>
      </c>
      <c r="S617" s="22" t="str">
        <f>TEXT(Table1[[#This Row],[End Date]],"MMMM")</f>
        <v>January</v>
      </c>
      <c r="T617" s="23" t="str">
        <f>TEXT(Table1[[#This Row],[End Date]],"YYYY")</f>
        <v>2024</v>
      </c>
      <c r="U617" s="24">
        <f t="shared" ca="1" si="24"/>
        <v>-189</v>
      </c>
      <c r="V617" s="14" t="str" cm="1">
        <f t="array" aca="1" ref="V617" ca="1">_xlfn.IFS(Table1[[#This Row],[Agreement Days]]&gt;=0,"Expired",Table1[[#This Row],[Agreement Days]]&gt;=-30,"Expires &lt; 30 Days",Table1[[#This Row],[Agreement Days]]&gt;=-60,"Expires &lt; 60 Days",Table1[[#This Row],[Agreement Days]]&lt;-60,"Valid Contract")</f>
        <v>Valid Contract</v>
      </c>
      <c r="W617" s="14" t="s">
        <v>19</v>
      </c>
      <c r="X617" s="14" t="s">
        <v>1653</v>
      </c>
      <c r="Y617" s="14" t="s">
        <v>1654</v>
      </c>
      <c r="Z617" s="27">
        <v>735298667</v>
      </c>
      <c r="AA617" s="17"/>
      <c r="AB617" s="116"/>
      <c r="AC617" s="116"/>
    </row>
    <row r="618" spans="1:29" hidden="1" x14ac:dyDescent="0.3">
      <c r="A618" s="18" t="s">
        <v>1652</v>
      </c>
      <c r="B618" s="18" t="s">
        <v>163</v>
      </c>
      <c r="C618" s="18" t="s">
        <v>909</v>
      </c>
      <c r="D618" s="14" t="s">
        <v>875</v>
      </c>
      <c r="E618" s="18" t="s">
        <v>9</v>
      </c>
      <c r="F618" s="14" t="s">
        <v>517</v>
      </c>
      <c r="G618" s="14" t="s">
        <v>518</v>
      </c>
      <c r="H618" s="18" t="s">
        <v>5</v>
      </c>
      <c r="I618" s="14" t="s">
        <v>115</v>
      </c>
      <c r="J618" s="14"/>
      <c r="K618" s="18" t="s">
        <v>651</v>
      </c>
      <c r="L618" s="14"/>
      <c r="M618" s="14">
        <v>1</v>
      </c>
      <c r="N618" s="15">
        <f>96000/1.18</f>
        <v>81355.932203389835</v>
      </c>
      <c r="O618" s="15">
        <f t="shared" si="23"/>
        <v>81355.932203389835</v>
      </c>
      <c r="P618" s="15"/>
      <c r="Q618" s="14" t="s">
        <v>520</v>
      </c>
      <c r="R618" s="25">
        <v>45322</v>
      </c>
      <c r="S618" s="22" t="str">
        <f>TEXT(Table1[[#This Row],[End Date]],"MMMM")</f>
        <v>January</v>
      </c>
      <c r="T618" s="23" t="str">
        <f>TEXT(Table1[[#This Row],[End Date]],"YYYY")</f>
        <v>2024</v>
      </c>
      <c r="U618" s="24">
        <f t="shared" ca="1" si="24"/>
        <v>-189</v>
      </c>
      <c r="V618" s="14" t="str" cm="1">
        <f t="array" aca="1" ref="V618" ca="1">_xlfn.IFS(Table1[[#This Row],[Agreement Days]]&gt;=0,"Expired",Table1[[#This Row],[Agreement Days]]&gt;=-30,"Expires &lt; 30 Days",Table1[[#This Row],[Agreement Days]]&gt;=-60,"Expires &lt; 60 Days",Table1[[#This Row],[Agreement Days]]&lt;-60,"Valid Contract")</f>
        <v>Valid Contract</v>
      </c>
      <c r="W618" s="14" t="s">
        <v>19</v>
      </c>
      <c r="X618" s="14" t="s">
        <v>1653</v>
      </c>
      <c r="Y618" s="14" t="s">
        <v>1654</v>
      </c>
      <c r="Z618" s="27">
        <v>735298667</v>
      </c>
      <c r="AA618" s="17"/>
      <c r="AB618" s="116"/>
      <c r="AC618" s="116"/>
    </row>
    <row r="619" spans="1:29" hidden="1" x14ac:dyDescent="0.3">
      <c r="A619" s="18" t="s">
        <v>1652</v>
      </c>
      <c r="B619" s="18" t="s">
        <v>163</v>
      </c>
      <c r="C619" s="18" t="s">
        <v>909</v>
      </c>
      <c r="D619" s="14" t="s">
        <v>875</v>
      </c>
      <c r="E619" s="18" t="s">
        <v>9</v>
      </c>
      <c r="F619" s="14" t="s">
        <v>517</v>
      </c>
      <c r="G619" s="14" t="s">
        <v>518</v>
      </c>
      <c r="H619" s="18" t="s">
        <v>5</v>
      </c>
      <c r="I619" s="14" t="s">
        <v>115</v>
      </c>
      <c r="J619" s="14"/>
      <c r="K619" s="18" t="s">
        <v>651</v>
      </c>
      <c r="L619" s="14"/>
      <c r="M619" s="14">
        <v>1</v>
      </c>
      <c r="N619" s="15">
        <f>96000/1.18</f>
        <v>81355.932203389835</v>
      </c>
      <c r="O619" s="15">
        <f t="shared" si="23"/>
        <v>81355.932203389835</v>
      </c>
      <c r="P619" s="15"/>
      <c r="Q619" s="14" t="s">
        <v>520</v>
      </c>
      <c r="R619" s="25">
        <v>45322</v>
      </c>
      <c r="S619" s="22" t="str">
        <f>TEXT(Table1[[#This Row],[End Date]],"MMMM")</f>
        <v>January</v>
      </c>
      <c r="T619" s="23" t="str">
        <f>TEXT(Table1[[#This Row],[End Date]],"YYYY")</f>
        <v>2024</v>
      </c>
      <c r="U619" s="24">
        <f t="shared" ca="1" si="24"/>
        <v>-189</v>
      </c>
      <c r="V619" s="14" t="str" cm="1">
        <f t="array" aca="1" ref="V619" ca="1">_xlfn.IFS(Table1[[#This Row],[Agreement Days]]&gt;=0,"Expired",Table1[[#This Row],[Agreement Days]]&gt;=-30,"Expires &lt; 30 Days",Table1[[#This Row],[Agreement Days]]&gt;=-60,"Expires &lt; 60 Days",Table1[[#This Row],[Agreement Days]]&lt;-60,"Valid Contract")</f>
        <v>Valid Contract</v>
      </c>
      <c r="W619" s="14" t="s">
        <v>19</v>
      </c>
      <c r="X619" s="14" t="s">
        <v>1653</v>
      </c>
      <c r="Y619" s="14" t="s">
        <v>1654</v>
      </c>
      <c r="Z619" s="27">
        <v>735298667</v>
      </c>
      <c r="AA619" s="17"/>
      <c r="AB619" s="116"/>
      <c r="AC619" s="116"/>
    </row>
    <row r="620" spans="1:29" hidden="1" x14ac:dyDescent="0.3">
      <c r="A620" s="18" t="s">
        <v>1652</v>
      </c>
      <c r="B620" s="18" t="s">
        <v>163</v>
      </c>
      <c r="C620" s="18" t="s">
        <v>909</v>
      </c>
      <c r="D620" s="14" t="s">
        <v>875</v>
      </c>
      <c r="E620" s="18" t="s">
        <v>9</v>
      </c>
      <c r="F620" s="14" t="s">
        <v>517</v>
      </c>
      <c r="G620" s="14" t="s">
        <v>518</v>
      </c>
      <c r="H620" s="18" t="s">
        <v>5</v>
      </c>
      <c r="I620" s="14" t="s">
        <v>115</v>
      </c>
      <c r="J620" s="14"/>
      <c r="K620" s="18" t="s">
        <v>642</v>
      </c>
      <c r="L620" s="14"/>
      <c r="M620" s="14">
        <v>2</v>
      </c>
      <c r="N620" s="15">
        <v>101694.92</v>
      </c>
      <c r="O620" s="15">
        <f t="shared" si="23"/>
        <v>203389.84</v>
      </c>
      <c r="P620" s="15"/>
      <c r="Q620" s="14" t="s">
        <v>520</v>
      </c>
      <c r="R620" s="25">
        <v>45322</v>
      </c>
      <c r="S620" s="22" t="str">
        <f>TEXT(Table1[[#This Row],[End Date]],"MMMM")</f>
        <v>January</v>
      </c>
      <c r="T620" s="23" t="str">
        <f>TEXT(Table1[[#This Row],[End Date]],"YYYY")</f>
        <v>2024</v>
      </c>
      <c r="U620" s="24">
        <f t="shared" ca="1" si="24"/>
        <v>-189</v>
      </c>
      <c r="V620" s="14" t="str" cm="1">
        <f t="array" aca="1" ref="V620" ca="1">_xlfn.IFS(Table1[[#This Row],[Agreement Days]]&gt;=0,"Expired",Table1[[#This Row],[Agreement Days]]&gt;=-30,"Expires &lt; 30 Days",Table1[[#This Row],[Agreement Days]]&gt;=-60,"Expires &lt; 60 Days",Table1[[#This Row],[Agreement Days]]&lt;-60,"Valid Contract")</f>
        <v>Valid Contract</v>
      </c>
      <c r="W620" s="14" t="s">
        <v>19</v>
      </c>
      <c r="X620" s="14" t="s">
        <v>1653</v>
      </c>
      <c r="Y620" s="14" t="s">
        <v>1654</v>
      </c>
      <c r="Z620" s="27">
        <v>735298667</v>
      </c>
      <c r="AA620" s="17"/>
      <c r="AB620" s="116"/>
      <c r="AC620" s="116"/>
    </row>
    <row r="621" spans="1:29" hidden="1" x14ac:dyDescent="0.3">
      <c r="A621" s="18" t="s">
        <v>1652</v>
      </c>
      <c r="B621" s="18" t="s">
        <v>163</v>
      </c>
      <c r="C621" s="18" t="s">
        <v>909</v>
      </c>
      <c r="D621" s="14" t="s">
        <v>875</v>
      </c>
      <c r="E621" s="18" t="s">
        <v>9</v>
      </c>
      <c r="F621" s="14" t="s">
        <v>517</v>
      </c>
      <c r="G621" s="14" t="s">
        <v>518</v>
      </c>
      <c r="H621" s="18" t="s">
        <v>5</v>
      </c>
      <c r="I621" s="14" t="s">
        <v>115</v>
      </c>
      <c r="J621" s="14"/>
      <c r="K621" s="18" t="s">
        <v>657</v>
      </c>
      <c r="L621" s="14"/>
      <c r="M621" s="14">
        <v>3</v>
      </c>
      <c r="N621" s="15">
        <v>45338.98</v>
      </c>
      <c r="O621" s="15">
        <f t="shared" si="23"/>
        <v>136016.94</v>
      </c>
      <c r="P621" s="15"/>
      <c r="Q621" s="14" t="s">
        <v>520</v>
      </c>
      <c r="R621" s="25">
        <v>45322</v>
      </c>
      <c r="S621" s="22" t="str">
        <f>TEXT(Table1[[#This Row],[End Date]],"MMMM")</f>
        <v>January</v>
      </c>
      <c r="T621" s="23" t="str">
        <f>TEXT(Table1[[#This Row],[End Date]],"YYYY")</f>
        <v>2024</v>
      </c>
      <c r="U621" s="24">
        <f t="shared" ca="1" si="24"/>
        <v>-189</v>
      </c>
      <c r="V621" s="14" t="str" cm="1">
        <f t="array" aca="1" ref="V621" ca="1">_xlfn.IFS(Table1[[#This Row],[Agreement Days]]&gt;=0,"Expired",Table1[[#This Row],[Agreement Days]]&gt;=-30,"Expires &lt; 30 Days",Table1[[#This Row],[Agreement Days]]&gt;=-60,"Expires &lt; 60 Days",Table1[[#This Row],[Agreement Days]]&lt;-60,"Valid Contract")</f>
        <v>Valid Contract</v>
      </c>
      <c r="W621" s="14" t="s">
        <v>19</v>
      </c>
      <c r="X621" s="14" t="s">
        <v>1653</v>
      </c>
      <c r="Y621" s="14" t="s">
        <v>1654</v>
      </c>
      <c r="Z621" s="27">
        <v>735298667</v>
      </c>
      <c r="AA621" s="17"/>
      <c r="AB621" s="116"/>
      <c r="AC621" s="116"/>
    </row>
    <row r="622" spans="1:29" hidden="1" x14ac:dyDescent="0.3">
      <c r="A622" s="18" t="s">
        <v>1652</v>
      </c>
      <c r="B622" s="18" t="s">
        <v>163</v>
      </c>
      <c r="C622" s="18" t="s">
        <v>909</v>
      </c>
      <c r="D622" s="14" t="s">
        <v>875</v>
      </c>
      <c r="E622" s="18" t="s">
        <v>9</v>
      </c>
      <c r="F622" s="14" t="s">
        <v>517</v>
      </c>
      <c r="G622" s="14" t="s">
        <v>518</v>
      </c>
      <c r="H622" s="18" t="s">
        <v>5</v>
      </c>
      <c r="I622" s="14" t="s">
        <v>115</v>
      </c>
      <c r="J622" s="14"/>
      <c r="K622" s="18" t="s">
        <v>1246</v>
      </c>
      <c r="L622" s="14"/>
      <c r="M622" s="14">
        <v>11</v>
      </c>
      <c r="N622" s="15">
        <v>54237.29</v>
      </c>
      <c r="O622" s="15">
        <f t="shared" si="23"/>
        <v>596610.19000000006</v>
      </c>
      <c r="P622" s="15"/>
      <c r="Q622" s="14" t="s">
        <v>520</v>
      </c>
      <c r="R622" s="25">
        <v>45322</v>
      </c>
      <c r="S622" s="22" t="str">
        <f>TEXT(Table1[[#This Row],[End Date]],"MMMM")</f>
        <v>January</v>
      </c>
      <c r="T622" s="23" t="str">
        <f>TEXT(Table1[[#This Row],[End Date]],"YYYY")</f>
        <v>2024</v>
      </c>
      <c r="U622" s="24">
        <f t="shared" ca="1" si="24"/>
        <v>-189</v>
      </c>
      <c r="V622" s="14" t="str" cm="1">
        <f t="array" aca="1" ref="V622" ca="1">_xlfn.IFS(Table1[[#This Row],[Agreement Days]]&gt;=0,"Expired",Table1[[#This Row],[Agreement Days]]&gt;=-30,"Expires &lt; 30 Days",Table1[[#This Row],[Agreement Days]]&gt;=-60,"Expires &lt; 60 Days",Table1[[#This Row],[Agreement Days]]&lt;-60,"Valid Contract")</f>
        <v>Valid Contract</v>
      </c>
      <c r="W622" s="14" t="s">
        <v>19</v>
      </c>
      <c r="X622" s="14" t="s">
        <v>1653</v>
      </c>
      <c r="Y622" s="14" t="s">
        <v>1654</v>
      </c>
      <c r="Z622" s="27">
        <v>735298667</v>
      </c>
      <c r="AA622" s="17"/>
      <c r="AB622" s="116"/>
      <c r="AC622" s="116"/>
    </row>
    <row r="623" spans="1:29" hidden="1" x14ac:dyDescent="0.3">
      <c r="A623" s="18" t="s">
        <v>1652</v>
      </c>
      <c r="B623" s="18" t="s">
        <v>163</v>
      </c>
      <c r="C623" s="18" t="s">
        <v>909</v>
      </c>
      <c r="D623" s="14" t="s">
        <v>875</v>
      </c>
      <c r="E623" s="18" t="s">
        <v>9</v>
      </c>
      <c r="F623" s="14" t="s">
        <v>517</v>
      </c>
      <c r="G623" s="14" t="s">
        <v>518</v>
      </c>
      <c r="H623" s="18" t="s">
        <v>5</v>
      </c>
      <c r="I623" s="14" t="s">
        <v>115</v>
      </c>
      <c r="J623" s="14"/>
      <c r="K623" s="18" t="s">
        <v>573</v>
      </c>
      <c r="L623" s="14"/>
      <c r="M623" s="14">
        <v>19</v>
      </c>
      <c r="N623" s="15">
        <v>19491.53</v>
      </c>
      <c r="O623" s="15">
        <f t="shared" si="23"/>
        <v>370339.06999999995</v>
      </c>
      <c r="P623" s="15"/>
      <c r="Q623" s="14" t="s">
        <v>520</v>
      </c>
      <c r="R623" s="25">
        <v>45322</v>
      </c>
      <c r="S623" s="22" t="str">
        <f>TEXT(Table1[[#This Row],[End Date]],"MMMM")</f>
        <v>January</v>
      </c>
      <c r="T623" s="23" t="str">
        <f>TEXT(Table1[[#This Row],[End Date]],"YYYY")</f>
        <v>2024</v>
      </c>
      <c r="U623" s="24">
        <f t="shared" ca="1" si="24"/>
        <v>-189</v>
      </c>
      <c r="V623" s="14" t="str" cm="1">
        <f t="array" aca="1" ref="V623" ca="1">_xlfn.IFS(Table1[[#This Row],[Agreement Days]]&gt;=0,"Expired",Table1[[#This Row],[Agreement Days]]&gt;=-30,"Expires &lt; 30 Days",Table1[[#This Row],[Agreement Days]]&gt;=-60,"Expires &lt; 60 Days",Table1[[#This Row],[Agreement Days]]&lt;-60,"Valid Contract")</f>
        <v>Valid Contract</v>
      </c>
      <c r="W623" s="14" t="s">
        <v>19</v>
      </c>
      <c r="X623" s="14" t="s">
        <v>1653</v>
      </c>
      <c r="Y623" s="14" t="s">
        <v>1654</v>
      </c>
      <c r="Z623" s="27">
        <v>735298667</v>
      </c>
      <c r="AA623" s="17"/>
      <c r="AB623" s="116"/>
      <c r="AC623" s="116"/>
    </row>
    <row r="624" spans="1:29" hidden="1" x14ac:dyDescent="0.3">
      <c r="A624" s="18" t="s">
        <v>1652</v>
      </c>
      <c r="B624" s="18" t="s">
        <v>163</v>
      </c>
      <c r="C624" s="18" t="s">
        <v>909</v>
      </c>
      <c r="D624" s="14" t="s">
        <v>875</v>
      </c>
      <c r="E624" s="18" t="s">
        <v>9</v>
      </c>
      <c r="F624" s="14" t="s">
        <v>517</v>
      </c>
      <c r="G624" s="14" t="s">
        <v>518</v>
      </c>
      <c r="H624" s="18" t="s">
        <v>5</v>
      </c>
      <c r="I624" s="14" t="s">
        <v>115</v>
      </c>
      <c r="J624" s="14"/>
      <c r="K624" s="18" t="s">
        <v>643</v>
      </c>
      <c r="L624" s="14"/>
      <c r="M624" s="14">
        <v>72</v>
      </c>
      <c r="N624" s="15">
        <v>28305.08</v>
      </c>
      <c r="O624" s="15">
        <f t="shared" si="23"/>
        <v>2037965.7600000002</v>
      </c>
      <c r="P624" s="15"/>
      <c r="Q624" s="14" t="s">
        <v>520</v>
      </c>
      <c r="R624" s="25">
        <v>45322</v>
      </c>
      <c r="S624" s="22" t="str">
        <f>TEXT(Table1[[#This Row],[End Date]],"MMMM")</f>
        <v>January</v>
      </c>
      <c r="T624" s="23" t="str">
        <f>TEXT(Table1[[#This Row],[End Date]],"YYYY")</f>
        <v>2024</v>
      </c>
      <c r="U624" s="24">
        <f t="shared" ca="1" si="24"/>
        <v>-189</v>
      </c>
      <c r="V624" s="14" t="str" cm="1">
        <f t="array" aca="1" ref="V624" ca="1">_xlfn.IFS(Table1[[#This Row],[Agreement Days]]&gt;=0,"Expired",Table1[[#This Row],[Agreement Days]]&gt;=-30,"Expires &lt; 30 Days",Table1[[#This Row],[Agreement Days]]&gt;=-60,"Expires &lt; 60 Days",Table1[[#This Row],[Agreement Days]]&lt;-60,"Valid Contract")</f>
        <v>Valid Contract</v>
      </c>
      <c r="W624" s="14" t="s">
        <v>19</v>
      </c>
      <c r="X624" s="14" t="s">
        <v>1653</v>
      </c>
      <c r="Y624" s="14" t="s">
        <v>1654</v>
      </c>
      <c r="Z624" s="27">
        <v>735298667</v>
      </c>
      <c r="AA624" s="17"/>
      <c r="AB624" s="116"/>
      <c r="AC624" s="116"/>
    </row>
    <row r="625" spans="1:29" hidden="1" x14ac:dyDescent="0.3">
      <c r="A625" s="18" t="s">
        <v>1655</v>
      </c>
      <c r="B625" s="18" t="s">
        <v>329</v>
      </c>
      <c r="C625" s="18" t="s">
        <v>544</v>
      </c>
      <c r="D625" s="14" t="s">
        <v>653</v>
      </c>
      <c r="E625" s="18" t="s">
        <v>9</v>
      </c>
      <c r="F625" s="14" t="s">
        <v>517</v>
      </c>
      <c r="G625" s="14" t="s">
        <v>518</v>
      </c>
      <c r="H625" s="18" t="s">
        <v>2</v>
      </c>
      <c r="I625" s="14" t="s">
        <v>117</v>
      </c>
      <c r="J625" s="19">
        <v>10</v>
      </c>
      <c r="K625" s="26" t="s">
        <v>1656</v>
      </c>
      <c r="L625" s="26"/>
      <c r="M625" s="19">
        <v>1</v>
      </c>
      <c r="N625" s="15">
        <v>510000</v>
      </c>
      <c r="O625" s="15">
        <f t="shared" si="23"/>
        <v>510000</v>
      </c>
      <c r="P625" s="15"/>
      <c r="Q625" s="14" t="s">
        <v>520</v>
      </c>
      <c r="R625" s="25">
        <v>45322</v>
      </c>
      <c r="S625" s="34" t="str">
        <f>TEXT(Table1[[#This Row],[End Date]],"MMMM")</f>
        <v>January</v>
      </c>
      <c r="T625" s="34" t="str">
        <f>TEXT(Table1[[#This Row],[End Date]],"YYYY")</f>
        <v>2024</v>
      </c>
      <c r="U625" s="24">
        <f t="shared" ca="1" si="24"/>
        <v>-189</v>
      </c>
      <c r="V625" s="14" t="str" cm="1">
        <f t="array" aca="1" ref="V625" ca="1">_xlfn.IFS(Table1[[#This Row],[Agreement Days]]&gt;=0,"Expired",Table1[[#This Row],[Agreement Days]]&gt;=-30,"Expires &lt; 30 Days",Table1[[#This Row],[Agreement Days]]&gt;=-60,"Expires &lt; 60 Days",Table1[[#This Row],[Agreement Days]]&lt;-60,"Valid Contract")</f>
        <v>Valid Contract</v>
      </c>
      <c r="W625" s="26" t="s">
        <v>17</v>
      </c>
      <c r="X625" s="26" t="s">
        <v>1657</v>
      </c>
      <c r="Y625" s="35" t="s">
        <v>1658</v>
      </c>
      <c r="Z625" s="27">
        <v>788690667</v>
      </c>
      <c r="AA625" s="27"/>
      <c r="AB625" s="116"/>
      <c r="AC625" s="116"/>
    </row>
    <row r="626" spans="1:29" hidden="1" x14ac:dyDescent="0.3">
      <c r="A626" s="18" t="s">
        <v>1655</v>
      </c>
      <c r="B626" s="18" t="s">
        <v>329</v>
      </c>
      <c r="C626" s="18" t="s">
        <v>544</v>
      </c>
      <c r="D626" s="14" t="s">
        <v>653</v>
      </c>
      <c r="E626" s="18" t="s">
        <v>9</v>
      </c>
      <c r="F626" s="14" t="s">
        <v>517</v>
      </c>
      <c r="G626" s="14" t="s">
        <v>518</v>
      </c>
      <c r="H626" s="18" t="s">
        <v>4</v>
      </c>
      <c r="I626" s="14" t="s">
        <v>118</v>
      </c>
      <c r="J626" s="26"/>
      <c r="K626" s="26" t="s">
        <v>594</v>
      </c>
      <c r="L626" s="26"/>
      <c r="M626" s="19">
        <v>1</v>
      </c>
      <c r="N626" s="15">
        <v>86130</v>
      </c>
      <c r="O626" s="15">
        <f t="shared" si="23"/>
        <v>86130</v>
      </c>
      <c r="P626" s="15"/>
      <c r="Q626" s="14" t="s">
        <v>520</v>
      </c>
      <c r="R626" s="25">
        <v>45322</v>
      </c>
      <c r="S626" s="34" t="str">
        <f>TEXT(Table1[[#This Row],[End Date]],"MMMM")</f>
        <v>January</v>
      </c>
      <c r="T626" s="34" t="str">
        <f>TEXT(Table1[[#This Row],[End Date]],"YYYY")</f>
        <v>2024</v>
      </c>
      <c r="U626" s="24">
        <f t="shared" ca="1" si="24"/>
        <v>-189</v>
      </c>
      <c r="V626" s="14" t="str" cm="1">
        <f t="array" aca="1" ref="V626" ca="1">_xlfn.IFS(Table1[[#This Row],[Agreement Days]]&gt;=0,"Expired",Table1[[#This Row],[Agreement Days]]&gt;=-30,"Expires &lt; 30 Days",Table1[[#This Row],[Agreement Days]]&gt;=-60,"Expires &lt; 60 Days",Table1[[#This Row],[Agreement Days]]&lt;-60,"Valid Contract")</f>
        <v>Valid Contract</v>
      </c>
      <c r="W626" s="26" t="s">
        <v>17</v>
      </c>
      <c r="X626" s="26" t="s">
        <v>1657</v>
      </c>
      <c r="Y626" s="35" t="s">
        <v>1658</v>
      </c>
      <c r="Z626" s="27">
        <v>788690667</v>
      </c>
      <c r="AA626" s="27"/>
      <c r="AB626" s="116"/>
      <c r="AC626" s="116"/>
    </row>
    <row r="627" spans="1:29" hidden="1" x14ac:dyDescent="0.3">
      <c r="A627" s="18" t="s">
        <v>1655</v>
      </c>
      <c r="B627" s="18" t="s">
        <v>329</v>
      </c>
      <c r="C627" s="18" t="s">
        <v>544</v>
      </c>
      <c r="D627" s="14" t="s">
        <v>653</v>
      </c>
      <c r="E627" s="18" t="s">
        <v>9</v>
      </c>
      <c r="F627" s="14" t="s">
        <v>517</v>
      </c>
      <c r="G627" s="14" t="s">
        <v>518</v>
      </c>
      <c r="H627" s="18" t="s">
        <v>5</v>
      </c>
      <c r="I627" s="14" t="s">
        <v>115</v>
      </c>
      <c r="J627" s="26"/>
      <c r="K627" s="18" t="s">
        <v>643</v>
      </c>
      <c r="L627" s="26"/>
      <c r="M627" s="19">
        <v>7</v>
      </c>
      <c r="N627" s="15">
        <v>28305.08</v>
      </c>
      <c r="O627" s="15">
        <f t="shared" si="23"/>
        <v>198135.56</v>
      </c>
      <c r="P627" s="15"/>
      <c r="Q627" s="14" t="s">
        <v>520</v>
      </c>
      <c r="R627" s="25">
        <v>45322</v>
      </c>
      <c r="S627" s="34" t="str">
        <f>TEXT(Table1[[#This Row],[End Date]],"MMMM")</f>
        <v>January</v>
      </c>
      <c r="T627" s="34" t="str">
        <f>TEXT(Table1[[#This Row],[End Date]],"YYYY")</f>
        <v>2024</v>
      </c>
      <c r="U627" s="24">
        <f t="shared" ca="1" si="24"/>
        <v>-189</v>
      </c>
      <c r="V627" s="14" t="str" cm="1">
        <f t="array" aca="1" ref="V627" ca="1">_xlfn.IFS(Table1[[#This Row],[Agreement Days]]&gt;=0,"Expired",Table1[[#This Row],[Agreement Days]]&gt;=-30,"Expires &lt; 30 Days",Table1[[#This Row],[Agreement Days]]&gt;=-60,"Expires &lt; 60 Days",Table1[[#This Row],[Agreement Days]]&lt;-60,"Valid Contract")</f>
        <v>Valid Contract</v>
      </c>
      <c r="W627" s="26" t="s">
        <v>17</v>
      </c>
      <c r="X627" s="26" t="s">
        <v>1657</v>
      </c>
      <c r="Y627" s="35" t="s">
        <v>1658</v>
      </c>
      <c r="Z627" s="27">
        <v>788690667</v>
      </c>
      <c r="AA627" s="27"/>
      <c r="AB627" s="116"/>
      <c r="AC627" s="116"/>
    </row>
    <row r="628" spans="1:29" hidden="1" x14ac:dyDescent="0.3">
      <c r="A628" s="18" t="s">
        <v>862</v>
      </c>
      <c r="B628" s="18" t="s">
        <v>217</v>
      </c>
      <c r="C628" s="18" t="s">
        <v>1659</v>
      </c>
      <c r="D628" s="14" t="s">
        <v>545</v>
      </c>
      <c r="E628" s="18" t="s">
        <v>9</v>
      </c>
      <c r="F628" s="20" t="s">
        <v>601</v>
      </c>
      <c r="G628" s="20" t="s">
        <v>518</v>
      </c>
      <c r="H628" s="18" t="s">
        <v>5</v>
      </c>
      <c r="I628" s="14" t="s">
        <v>117</v>
      </c>
      <c r="J628" s="14">
        <v>10</v>
      </c>
      <c r="K628" s="14" t="s">
        <v>882</v>
      </c>
      <c r="L628" s="14"/>
      <c r="M628" s="14">
        <v>2</v>
      </c>
      <c r="N628" s="15">
        <v>270000</v>
      </c>
      <c r="O628" s="15">
        <f t="shared" si="23"/>
        <v>540000</v>
      </c>
      <c r="P628" s="15"/>
      <c r="Q628" s="14" t="s">
        <v>520</v>
      </c>
      <c r="R628" s="25">
        <v>45323</v>
      </c>
      <c r="S628" s="22" t="str">
        <f>TEXT(Table1[[#This Row],[End Date]],"MMMM")</f>
        <v>February</v>
      </c>
      <c r="T628" s="23" t="str">
        <f>TEXT(Table1[[#This Row],[End Date]],"YYYY")</f>
        <v>2024</v>
      </c>
      <c r="U628" s="24">
        <f t="shared" ca="1" si="24"/>
        <v>-190</v>
      </c>
      <c r="V628" s="14" t="str" cm="1">
        <f t="array" aca="1" ref="V628" ca="1">_xlfn.IFS(Table1[[#This Row],[Agreement Days]]&gt;=0,"Expired",Table1[[#This Row],[Agreement Days]]&gt;=-30,"Expires &lt; 30 Days",Table1[[#This Row],[Agreement Days]]&gt;=-60,"Expires &lt; 60 Days",Table1[[#This Row],[Agreement Days]]&lt;-60,"Valid Contract")</f>
        <v>Valid Contract</v>
      </c>
      <c r="W628" s="14" t="s">
        <v>19</v>
      </c>
      <c r="X628" s="14" t="s">
        <v>1660</v>
      </c>
      <c r="Y628" s="45" t="s">
        <v>866</v>
      </c>
      <c r="Z628" s="27">
        <v>788203416</v>
      </c>
      <c r="AA628" s="17"/>
      <c r="AB628" s="116"/>
      <c r="AC628" s="116"/>
    </row>
    <row r="629" spans="1:29" hidden="1" x14ac:dyDescent="0.3">
      <c r="A629" s="18" t="s">
        <v>1661</v>
      </c>
      <c r="B629" s="18" t="s">
        <v>79</v>
      </c>
      <c r="C629" s="18" t="s">
        <v>1662</v>
      </c>
      <c r="D629" s="14" t="s">
        <v>808</v>
      </c>
      <c r="E629" s="18" t="s">
        <v>9</v>
      </c>
      <c r="F629" s="14" t="s">
        <v>631</v>
      </c>
      <c r="G629" s="14" t="s">
        <v>518</v>
      </c>
      <c r="H629" s="18" t="s">
        <v>5</v>
      </c>
      <c r="I629" s="14" t="s">
        <v>117</v>
      </c>
      <c r="J629" s="14">
        <v>3</v>
      </c>
      <c r="K629" s="14" t="s">
        <v>646</v>
      </c>
      <c r="L629" s="14"/>
      <c r="M629" s="14">
        <v>1</v>
      </c>
      <c r="N629" s="15">
        <v>180000</v>
      </c>
      <c r="O629" s="15">
        <f t="shared" si="23"/>
        <v>180000</v>
      </c>
      <c r="P629" s="15"/>
      <c r="Q629" s="14" t="s">
        <v>520</v>
      </c>
      <c r="R629" s="25">
        <v>45325</v>
      </c>
      <c r="S629" s="22" t="str">
        <f>TEXT(Table1[[#This Row],[End Date]],"MMMM")</f>
        <v>February</v>
      </c>
      <c r="T629" s="23" t="str">
        <f>TEXT(Table1[[#This Row],[End Date]],"YYYY")</f>
        <v>2024</v>
      </c>
      <c r="U629" s="24">
        <f t="shared" ca="1" si="24"/>
        <v>-192</v>
      </c>
      <c r="V629" s="14" t="str" cm="1">
        <f t="array" aca="1" ref="V629" ca="1">_xlfn.IFS(Table1[[#This Row],[Agreement Days]]&gt;=0,"Expired",Table1[[#This Row],[Agreement Days]]&gt;=-30,"Expires &lt; 30 Days",Table1[[#This Row],[Agreement Days]]&gt;=-60,"Expires &lt; 60 Days",Table1[[#This Row],[Agreement Days]]&lt;-60,"Valid Contract")</f>
        <v>Valid Contract</v>
      </c>
      <c r="W629" s="14" t="s">
        <v>13</v>
      </c>
      <c r="X629" s="14" t="s">
        <v>1663</v>
      </c>
      <c r="Y629" s="43" t="s">
        <v>1664</v>
      </c>
      <c r="Z629" s="27">
        <v>788824735</v>
      </c>
      <c r="AA629" s="17"/>
      <c r="AB629" s="116"/>
      <c r="AC629" s="116"/>
    </row>
    <row r="630" spans="1:29" hidden="1" x14ac:dyDescent="0.3">
      <c r="A630" s="18" t="s">
        <v>1665</v>
      </c>
      <c r="B630" s="18" t="s">
        <v>159</v>
      </c>
      <c r="C630" s="18" t="s">
        <v>544</v>
      </c>
      <c r="D630" s="14" t="s">
        <v>946</v>
      </c>
      <c r="E630" s="18" t="s">
        <v>9</v>
      </c>
      <c r="F630" s="14" t="s">
        <v>517</v>
      </c>
      <c r="G630" s="14" t="s">
        <v>518</v>
      </c>
      <c r="H630" s="18" t="s">
        <v>5</v>
      </c>
      <c r="I630" s="14" t="s">
        <v>117</v>
      </c>
      <c r="J630" s="14">
        <v>3</v>
      </c>
      <c r="K630" s="14" t="s">
        <v>646</v>
      </c>
      <c r="L630" s="14"/>
      <c r="M630" s="14">
        <v>1</v>
      </c>
      <c r="N630" s="15">
        <v>180000</v>
      </c>
      <c r="O630" s="15">
        <f t="shared" si="23"/>
        <v>180000</v>
      </c>
      <c r="P630" s="15"/>
      <c r="Q630" s="14" t="s">
        <v>520</v>
      </c>
      <c r="R630" s="25">
        <v>45325</v>
      </c>
      <c r="S630" s="22" t="str">
        <f>TEXT(Table1[[#This Row],[End Date]],"MMMM")</f>
        <v>February</v>
      </c>
      <c r="T630" s="23" t="str">
        <f>TEXT(Table1[[#This Row],[End Date]],"YYYY")</f>
        <v>2024</v>
      </c>
      <c r="U630" s="24">
        <f t="shared" ca="1" si="24"/>
        <v>-192</v>
      </c>
      <c r="V630" s="14" t="str" cm="1">
        <f t="array" aca="1" ref="V630" ca="1">_xlfn.IFS(Table1[[#This Row],[Agreement Days]]&gt;=0,"Expired",Table1[[#This Row],[Agreement Days]]&gt;=-30,"Expires &lt; 30 Days",Table1[[#This Row],[Agreement Days]]&gt;=-60,"Expires &lt; 60 Days",Table1[[#This Row],[Agreement Days]]&lt;-60,"Valid Contract")</f>
        <v>Valid Contract</v>
      </c>
      <c r="W630" s="14" t="s">
        <v>19</v>
      </c>
      <c r="X630" s="14" t="s">
        <v>1666</v>
      </c>
      <c r="Y630" s="43" t="s">
        <v>1667</v>
      </c>
      <c r="Z630" s="27">
        <v>787912221</v>
      </c>
      <c r="AA630" s="17"/>
      <c r="AB630" s="116"/>
      <c r="AC630" s="116"/>
    </row>
    <row r="631" spans="1:29" hidden="1" x14ac:dyDescent="0.3">
      <c r="A631" s="18" t="s">
        <v>1665</v>
      </c>
      <c r="B631" s="18" t="s">
        <v>159</v>
      </c>
      <c r="C631" s="18" t="s">
        <v>544</v>
      </c>
      <c r="D631" s="14" t="s">
        <v>946</v>
      </c>
      <c r="E631" s="18" t="s">
        <v>9</v>
      </c>
      <c r="F631" s="14" t="s">
        <v>517</v>
      </c>
      <c r="G631" s="14" t="s">
        <v>518</v>
      </c>
      <c r="H631" s="18" t="s">
        <v>5</v>
      </c>
      <c r="I631" s="14" t="s">
        <v>117</v>
      </c>
      <c r="J631" s="14">
        <v>15</v>
      </c>
      <c r="K631" s="14" t="s">
        <v>899</v>
      </c>
      <c r="L631" s="14"/>
      <c r="M631" s="14">
        <v>1</v>
      </c>
      <c r="N631" s="15">
        <v>720000</v>
      </c>
      <c r="O631" s="15">
        <f t="shared" si="23"/>
        <v>720000</v>
      </c>
      <c r="P631" s="15"/>
      <c r="Q631" s="14" t="s">
        <v>520</v>
      </c>
      <c r="R631" s="25">
        <v>45325</v>
      </c>
      <c r="S631" s="22" t="str">
        <f>TEXT(Table1[[#This Row],[End Date]],"MMMM")</f>
        <v>February</v>
      </c>
      <c r="T631" s="23" t="str">
        <f>TEXT(Table1[[#This Row],[End Date]],"YYYY")</f>
        <v>2024</v>
      </c>
      <c r="U631" s="24">
        <f t="shared" ca="1" si="24"/>
        <v>-192</v>
      </c>
      <c r="V631" s="14" t="str" cm="1">
        <f t="array" aca="1" ref="V631" ca="1">_xlfn.IFS(Table1[[#This Row],[Agreement Days]]&gt;=0,"Expired",Table1[[#This Row],[Agreement Days]]&gt;=-30,"Expires &lt; 30 Days",Table1[[#This Row],[Agreement Days]]&gt;=-60,"Expires &lt; 60 Days",Table1[[#This Row],[Agreement Days]]&lt;-60,"Valid Contract")</f>
        <v>Valid Contract</v>
      </c>
      <c r="W631" s="14" t="s">
        <v>19</v>
      </c>
      <c r="X631" s="14" t="s">
        <v>1666</v>
      </c>
      <c r="Y631" s="43" t="s">
        <v>1667</v>
      </c>
      <c r="Z631" s="27">
        <v>787912221</v>
      </c>
      <c r="AA631" s="17"/>
      <c r="AB631" s="116"/>
      <c r="AC631" s="116"/>
    </row>
    <row r="632" spans="1:29" hidden="1" x14ac:dyDescent="0.3">
      <c r="A632" s="18" t="s">
        <v>1665</v>
      </c>
      <c r="B632" s="18" t="s">
        <v>159</v>
      </c>
      <c r="C632" s="18" t="s">
        <v>544</v>
      </c>
      <c r="D632" s="14" t="s">
        <v>946</v>
      </c>
      <c r="E632" s="18" t="s">
        <v>9</v>
      </c>
      <c r="F632" s="14" t="s">
        <v>517</v>
      </c>
      <c r="G632" s="14" t="s">
        <v>518</v>
      </c>
      <c r="H632" s="18" t="s">
        <v>2</v>
      </c>
      <c r="I632" s="14" t="s">
        <v>120</v>
      </c>
      <c r="J632" s="14"/>
      <c r="K632" s="14" t="s">
        <v>649</v>
      </c>
      <c r="L632" s="14"/>
      <c r="M632" s="14">
        <v>1</v>
      </c>
      <c r="N632" s="15">
        <v>258044.92</v>
      </c>
      <c r="O632" s="15">
        <f t="shared" si="23"/>
        <v>258044.92</v>
      </c>
      <c r="P632" s="15"/>
      <c r="Q632" s="14" t="s">
        <v>520</v>
      </c>
      <c r="R632" s="25">
        <v>45325</v>
      </c>
      <c r="S632" s="22" t="str">
        <f>TEXT(Table1[[#This Row],[End Date]],"MMMM")</f>
        <v>February</v>
      </c>
      <c r="T632" s="23" t="str">
        <f>TEXT(Table1[[#This Row],[End Date]],"YYYY")</f>
        <v>2024</v>
      </c>
      <c r="U632" s="24">
        <f t="shared" ca="1" si="24"/>
        <v>-192</v>
      </c>
      <c r="V632" s="14" t="str" cm="1">
        <f t="array" aca="1" ref="V632" ca="1">_xlfn.IFS(Table1[[#This Row],[Agreement Days]]&gt;=0,"Expired",Table1[[#This Row],[Agreement Days]]&gt;=-30,"Expires &lt; 30 Days",Table1[[#This Row],[Agreement Days]]&gt;=-60,"Expires &lt; 60 Days",Table1[[#This Row],[Agreement Days]]&lt;-60,"Valid Contract")</f>
        <v>Valid Contract</v>
      </c>
      <c r="W632" s="14" t="s">
        <v>19</v>
      </c>
      <c r="X632" s="14" t="s">
        <v>1666</v>
      </c>
      <c r="Y632" s="43" t="s">
        <v>1667</v>
      </c>
      <c r="Z632" s="27">
        <v>787912221</v>
      </c>
      <c r="AA632" s="17"/>
      <c r="AB632" s="116"/>
      <c r="AC632" s="116"/>
    </row>
    <row r="633" spans="1:29" hidden="1" x14ac:dyDescent="0.3">
      <c r="A633" s="18" t="s">
        <v>1665</v>
      </c>
      <c r="B633" s="18" t="s">
        <v>159</v>
      </c>
      <c r="C633" s="18" t="s">
        <v>909</v>
      </c>
      <c r="D633" s="14" t="s">
        <v>946</v>
      </c>
      <c r="E633" s="18" t="s">
        <v>9</v>
      </c>
      <c r="F633" s="14" t="s">
        <v>517</v>
      </c>
      <c r="G633" s="14" t="s">
        <v>518</v>
      </c>
      <c r="H633" s="18" t="s">
        <v>5</v>
      </c>
      <c r="I633" s="14" t="s">
        <v>115</v>
      </c>
      <c r="J633" s="14"/>
      <c r="K633" s="18" t="s">
        <v>657</v>
      </c>
      <c r="L633" s="14"/>
      <c r="M633" s="14">
        <v>12</v>
      </c>
      <c r="N633" s="15">
        <v>45338.98</v>
      </c>
      <c r="O633" s="15">
        <f t="shared" si="23"/>
        <v>544067.76</v>
      </c>
      <c r="P633" s="15"/>
      <c r="Q633" s="14" t="s">
        <v>520</v>
      </c>
      <c r="R633" s="25">
        <v>45325</v>
      </c>
      <c r="S633" s="22" t="str">
        <f>TEXT(Table1[[#This Row],[End Date]],"MMMM")</f>
        <v>February</v>
      </c>
      <c r="T633" s="23" t="str">
        <f>TEXT(Table1[[#This Row],[End Date]],"YYYY")</f>
        <v>2024</v>
      </c>
      <c r="U633" s="24">
        <f t="shared" ca="1" si="24"/>
        <v>-192</v>
      </c>
      <c r="V633" s="14" t="str" cm="1">
        <f t="array" aca="1" ref="V633" ca="1">_xlfn.IFS(Table1[[#This Row],[Agreement Days]]&gt;=0,"Expired",Table1[[#This Row],[Agreement Days]]&gt;=-30,"Expires &lt; 30 Days",Table1[[#This Row],[Agreement Days]]&gt;=-60,"Expires &lt; 60 Days",Table1[[#This Row],[Agreement Days]]&lt;-60,"Valid Contract")</f>
        <v>Valid Contract</v>
      </c>
      <c r="W633" s="14" t="s">
        <v>19</v>
      </c>
      <c r="X633" s="14" t="s">
        <v>1666</v>
      </c>
      <c r="Y633" s="43" t="s">
        <v>1667</v>
      </c>
      <c r="Z633" s="27">
        <v>787912221</v>
      </c>
      <c r="AA633" s="17"/>
      <c r="AB633" s="116"/>
      <c r="AC633" s="116"/>
    </row>
    <row r="634" spans="1:29" hidden="1" x14ac:dyDescent="0.3">
      <c r="A634" s="18" t="s">
        <v>1665</v>
      </c>
      <c r="B634" s="18" t="s">
        <v>159</v>
      </c>
      <c r="C634" s="18" t="s">
        <v>544</v>
      </c>
      <c r="D634" s="14" t="s">
        <v>946</v>
      </c>
      <c r="E634" s="18" t="s">
        <v>9</v>
      </c>
      <c r="F634" s="14" t="s">
        <v>517</v>
      </c>
      <c r="G634" s="14" t="s">
        <v>518</v>
      </c>
      <c r="H634" s="18" t="s">
        <v>5</v>
      </c>
      <c r="I634" s="14" t="s">
        <v>115</v>
      </c>
      <c r="J634" s="14"/>
      <c r="K634" s="18" t="s">
        <v>651</v>
      </c>
      <c r="L634" s="14"/>
      <c r="M634" s="14">
        <v>19</v>
      </c>
      <c r="N634" s="15">
        <f>96000/1.18</f>
        <v>81355.932203389835</v>
      </c>
      <c r="O634" s="15">
        <f t="shared" si="23"/>
        <v>1545762.7118644069</v>
      </c>
      <c r="P634" s="15"/>
      <c r="Q634" s="14" t="s">
        <v>520</v>
      </c>
      <c r="R634" s="25">
        <v>45325</v>
      </c>
      <c r="S634" s="22" t="str">
        <f>TEXT(Table1[[#This Row],[End Date]],"MMMM")</f>
        <v>February</v>
      </c>
      <c r="T634" s="23" t="str">
        <f>TEXT(Table1[[#This Row],[End Date]],"YYYY")</f>
        <v>2024</v>
      </c>
      <c r="U634" s="24">
        <f t="shared" ca="1" si="24"/>
        <v>-192</v>
      </c>
      <c r="V634" s="14" t="str" cm="1">
        <f t="array" aca="1" ref="V634" ca="1">_xlfn.IFS(Table1[[#This Row],[Agreement Days]]&gt;=0,"Expired",Table1[[#This Row],[Agreement Days]]&gt;=-30,"Expires &lt; 30 Days",Table1[[#This Row],[Agreement Days]]&gt;=-60,"Expires &lt; 60 Days",Table1[[#This Row],[Agreement Days]]&lt;-60,"Valid Contract")</f>
        <v>Valid Contract</v>
      </c>
      <c r="W634" s="14" t="s">
        <v>19</v>
      </c>
      <c r="X634" s="14" t="s">
        <v>1666</v>
      </c>
      <c r="Y634" s="43" t="s">
        <v>1667</v>
      </c>
      <c r="Z634" s="27">
        <v>787912221</v>
      </c>
      <c r="AA634" s="17"/>
      <c r="AB634" s="116"/>
      <c r="AC634" s="116"/>
    </row>
    <row r="635" spans="1:29" hidden="1" x14ac:dyDescent="0.3">
      <c r="A635" s="18" t="s">
        <v>1665</v>
      </c>
      <c r="B635" s="18" t="s">
        <v>159</v>
      </c>
      <c r="C635" s="18" t="s">
        <v>909</v>
      </c>
      <c r="D635" s="14" t="s">
        <v>946</v>
      </c>
      <c r="E635" s="18" t="s">
        <v>9</v>
      </c>
      <c r="F635" s="14" t="s">
        <v>517</v>
      </c>
      <c r="G635" s="14" t="s">
        <v>518</v>
      </c>
      <c r="H635" s="18" t="s">
        <v>5</v>
      </c>
      <c r="I635" s="14" t="s">
        <v>115</v>
      </c>
      <c r="J635" s="14"/>
      <c r="K635" s="18" t="s">
        <v>813</v>
      </c>
      <c r="L635" s="14"/>
      <c r="M635" s="14">
        <v>20</v>
      </c>
      <c r="N635" s="15">
        <v>19491.53</v>
      </c>
      <c r="O635" s="15">
        <f t="shared" si="23"/>
        <v>389830.6</v>
      </c>
      <c r="P635" s="15"/>
      <c r="Q635" s="14" t="s">
        <v>520</v>
      </c>
      <c r="R635" s="25">
        <v>45325</v>
      </c>
      <c r="S635" s="22" t="str">
        <f>TEXT(Table1[[#This Row],[End Date]],"MMMM")</f>
        <v>February</v>
      </c>
      <c r="T635" s="23" t="str">
        <f>TEXT(Table1[[#This Row],[End Date]],"YYYY")</f>
        <v>2024</v>
      </c>
      <c r="U635" s="24">
        <f t="shared" ca="1" si="24"/>
        <v>-192</v>
      </c>
      <c r="V635" s="14" t="str" cm="1">
        <f t="array" aca="1" ref="V635" ca="1">_xlfn.IFS(Table1[[#This Row],[Agreement Days]]&gt;=0,"Expired",Table1[[#This Row],[Agreement Days]]&gt;=-30,"Expires &lt; 30 Days",Table1[[#This Row],[Agreement Days]]&gt;=-60,"Expires &lt; 60 Days",Table1[[#This Row],[Agreement Days]]&lt;-60,"Valid Contract")</f>
        <v>Valid Contract</v>
      </c>
      <c r="W635" s="14" t="s">
        <v>19</v>
      </c>
      <c r="X635" s="14" t="s">
        <v>1666</v>
      </c>
      <c r="Y635" s="43" t="s">
        <v>1667</v>
      </c>
      <c r="Z635" s="27">
        <v>787912221</v>
      </c>
      <c r="AA635" s="17"/>
      <c r="AB635" s="116"/>
      <c r="AC635" s="116"/>
    </row>
    <row r="636" spans="1:29" hidden="1" x14ac:dyDescent="0.3">
      <c r="A636" s="18" t="s">
        <v>1665</v>
      </c>
      <c r="B636" s="18" t="s">
        <v>159</v>
      </c>
      <c r="C636" s="18" t="s">
        <v>909</v>
      </c>
      <c r="D636" s="14" t="s">
        <v>946</v>
      </c>
      <c r="E636" s="18" t="s">
        <v>9</v>
      </c>
      <c r="F636" s="14" t="s">
        <v>517</v>
      </c>
      <c r="G636" s="14" t="s">
        <v>518</v>
      </c>
      <c r="H636" s="18" t="s">
        <v>5</v>
      </c>
      <c r="I636" s="14" t="s">
        <v>115</v>
      </c>
      <c r="J636" s="14"/>
      <c r="K636" s="18" t="s">
        <v>643</v>
      </c>
      <c r="L636" s="14"/>
      <c r="M636" s="14">
        <v>45</v>
      </c>
      <c r="N636" s="15">
        <v>28305.08</v>
      </c>
      <c r="O636" s="15">
        <f t="shared" si="23"/>
        <v>1273728.6000000001</v>
      </c>
      <c r="P636" s="15"/>
      <c r="Q636" s="14" t="s">
        <v>520</v>
      </c>
      <c r="R636" s="25">
        <v>45325</v>
      </c>
      <c r="S636" s="22" t="str">
        <f>TEXT(Table1[[#This Row],[End Date]],"MMMM")</f>
        <v>February</v>
      </c>
      <c r="T636" s="23" t="str">
        <f>TEXT(Table1[[#This Row],[End Date]],"YYYY")</f>
        <v>2024</v>
      </c>
      <c r="U636" s="24">
        <f t="shared" ca="1" si="24"/>
        <v>-192</v>
      </c>
      <c r="V636" s="14" t="str" cm="1">
        <f t="array" aca="1" ref="V636" ca="1">_xlfn.IFS(Table1[[#This Row],[Agreement Days]]&gt;=0,"Expired",Table1[[#This Row],[Agreement Days]]&gt;=-30,"Expires &lt; 30 Days",Table1[[#This Row],[Agreement Days]]&gt;=-60,"Expires &lt; 60 Days",Table1[[#This Row],[Agreement Days]]&lt;-60,"Valid Contract")</f>
        <v>Valid Contract</v>
      </c>
      <c r="W636" s="14" t="s">
        <v>19</v>
      </c>
      <c r="X636" s="14" t="s">
        <v>1666</v>
      </c>
      <c r="Y636" s="43" t="s">
        <v>1667</v>
      </c>
      <c r="Z636" s="27">
        <v>787912221</v>
      </c>
      <c r="AA636" s="17"/>
      <c r="AB636" s="116"/>
      <c r="AC636" s="116"/>
    </row>
    <row r="637" spans="1:29" hidden="1" x14ac:dyDescent="0.3">
      <c r="A637" s="18" t="s">
        <v>1665</v>
      </c>
      <c r="B637" s="18" t="s">
        <v>159</v>
      </c>
      <c r="C637" s="18" t="s">
        <v>909</v>
      </c>
      <c r="D637" s="14" t="s">
        <v>946</v>
      </c>
      <c r="E637" s="18" t="s">
        <v>9</v>
      </c>
      <c r="F637" s="14" t="s">
        <v>517</v>
      </c>
      <c r="G637" s="14" t="s">
        <v>518</v>
      </c>
      <c r="H637" s="18" t="s">
        <v>5</v>
      </c>
      <c r="I637" s="14" t="s">
        <v>115</v>
      </c>
      <c r="J637" s="14"/>
      <c r="K637" s="18" t="s">
        <v>643</v>
      </c>
      <c r="L637" s="14"/>
      <c r="M637" s="14">
        <v>49</v>
      </c>
      <c r="N637" s="15">
        <v>28305.08</v>
      </c>
      <c r="O637" s="15">
        <f t="shared" si="23"/>
        <v>1386948.9200000002</v>
      </c>
      <c r="P637" s="15"/>
      <c r="Q637" s="14" t="s">
        <v>520</v>
      </c>
      <c r="R637" s="25">
        <v>45325</v>
      </c>
      <c r="S637" s="22" t="str">
        <f>TEXT(Table1[[#This Row],[End Date]],"MMMM")</f>
        <v>February</v>
      </c>
      <c r="T637" s="23" t="str">
        <f>TEXT(Table1[[#This Row],[End Date]],"YYYY")</f>
        <v>2024</v>
      </c>
      <c r="U637" s="24">
        <f t="shared" ca="1" si="24"/>
        <v>-192</v>
      </c>
      <c r="V637" s="14" t="str" cm="1">
        <f t="array" aca="1" ref="V637" ca="1">_xlfn.IFS(Table1[[#This Row],[Agreement Days]]&gt;=0,"Expired",Table1[[#This Row],[Agreement Days]]&gt;=-30,"Expires &lt; 30 Days",Table1[[#This Row],[Agreement Days]]&gt;=-60,"Expires &lt; 60 Days",Table1[[#This Row],[Agreement Days]]&lt;-60,"Valid Contract")</f>
        <v>Valid Contract</v>
      </c>
      <c r="W637" s="14" t="s">
        <v>19</v>
      </c>
      <c r="X637" s="14" t="s">
        <v>1666</v>
      </c>
      <c r="Y637" s="43" t="s">
        <v>1667</v>
      </c>
      <c r="Z637" s="27">
        <v>787912221</v>
      </c>
      <c r="AA637" s="17"/>
      <c r="AB637" s="116"/>
      <c r="AC637" s="116"/>
    </row>
    <row r="638" spans="1:29" x14ac:dyDescent="0.3">
      <c r="A638" s="18" t="s">
        <v>1668</v>
      </c>
      <c r="B638" s="18" t="s">
        <v>275</v>
      </c>
      <c r="C638" s="18" t="s">
        <v>544</v>
      </c>
      <c r="D638" s="14" t="s">
        <v>545</v>
      </c>
      <c r="E638" s="18" t="s">
        <v>9</v>
      </c>
      <c r="F638" s="14" t="s">
        <v>517</v>
      </c>
      <c r="G638" s="14" t="s">
        <v>518</v>
      </c>
      <c r="H638" s="18" t="s">
        <v>5</v>
      </c>
      <c r="I638" s="14" t="s">
        <v>115</v>
      </c>
      <c r="J638" s="14"/>
      <c r="K638" s="14" t="s">
        <v>651</v>
      </c>
      <c r="L638" s="14"/>
      <c r="M638" s="14">
        <v>1</v>
      </c>
      <c r="N638" s="15">
        <v>81355.932203000004</v>
      </c>
      <c r="O638" s="15">
        <f t="shared" si="23"/>
        <v>81355.932203000004</v>
      </c>
      <c r="P638" s="15"/>
      <c r="Q638" s="14" t="s">
        <v>520</v>
      </c>
      <c r="R638" s="25">
        <v>45330</v>
      </c>
      <c r="S638" s="22" t="str">
        <f>TEXT(Table1[[#This Row],[End Date]],"MMMM")</f>
        <v>February</v>
      </c>
      <c r="T638" s="23" t="str">
        <f>TEXT(Table1[[#This Row],[End Date]],"YYYY")</f>
        <v>2024</v>
      </c>
      <c r="U638" s="24">
        <f t="shared" ca="1" si="24"/>
        <v>-197</v>
      </c>
      <c r="V638" s="14" t="str" cm="1">
        <f t="array" aca="1" ref="V638" ca="1">_xlfn.IFS(Table1[[#This Row],[Agreement Days]]&gt;=0,"Expired",Table1[[#This Row],[Agreement Days]]&gt;=-30,"Expires &lt; 30 Days",Table1[[#This Row],[Agreement Days]]&gt;=-60,"Expires &lt; 60 Days",Table1[[#This Row],[Agreement Days]]&lt;-60,"Valid Contract")</f>
        <v>Valid Contract</v>
      </c>
      <c r="W638" s="14" t="s">
        <v>12</v>
      </c>
      <c r="X638" s="14" t="s">
        <v>1669</v>
      </c>
      <c r="Y638" s="16" t="s">
        <v>1670</v>
      </c>
      <c r="Z638" s="27" t="s">
        <v>1671</v>
      </c>
      <c r="AA638" s="17"/>
      <c r="AB638" s="116"/>
      <c r="AC638" s="116"/>
    </row>
    <row r="639" spans="1:29" x14ac:dyDescent="0.3">
      <c r="A639" s="18" t="s">
        <v>1668</v>
      </c>
      <c r="B639" s="18" t="s">
        <v>275</v>
      </c>
      <c r="C639" s="18" t="s">
        <v>544</v>
      </c>
      <c r="D639" s="14" t="s">
        <v>545</v>
      </c>
      <c r="E639" s="18" t="s">
        <v>9</v>
      </c>
      <c r="F639" s="14" t="s">
        <v>517</v>
      </c>
      <c r="G639" s="14" t="s">
        <v>518</v>
      </c>
      <c r="H639" s="18" t="s">
        <v>5</v>
      </c>
      <c r="I639" s="14" t="s">
        <v>115</v>
      </c>
      <c r="J639" s="14"/>
      <c r="K639" s="14" t="s">
        <v>642</v>
      </c>
      <c r="L639" s="14"/>
      <c r="M639" s="14">
        <v>3</v>
      </c>
      <c r="N639" s="15">
        <v>101694.91525400001</v>
      </c>
      <c r="O639" s="15">
        <f t="shared" si="23"/>
        <v>305084.74576200004</v>
      </c>
      <c r="P639" s="15"/>
      <c r="Q639" s="14" t="s">
        <v>520</v>
      </c>
      <c r="R639" s="25">
        <v>45330</v>
      </c>
      <c r="S639" s="22" t="str">
        <f>TEXT(Table1[[#This Row],[End Date]],"MMMM")</f>
        <v>February</v>
      </c>
      <c r="T639" s="23" t="str">
        <f>TEXT(Table1[[#This Row],[End Date]],"YYYY")</f>
        <v>2024</v>
      </c>
      <c r="U639" s="24">
        <f t="shared" ca="1" si="24"/>
        <v>-197</v>
      </c>
      <c r="V639" s="14" t="str" cm="1">
        <f t="array" aca="1" ref="V639" ca="1">_xlfn.IFS(Table1[[#This Row],[Agreement Days]]&gt;=0,"Expired",Table1[[#This Row],[Agreement Days]]&gt;=-30,"Expires &lt; 30 Days",Table1[[#This Row],[Agreement Days]]&gt;=-60,"Expires &lt; 60 Days",Table1[[#This Row],[Agreement Days]]&lt;-60,"Valid Contract")</f>
        <v>Valid Contract</v>
      </c>
      <c r="W639" s="14" t="s">
        <v>12</v>
      </c>
      <c r="X639" s="14" t="s">
        <v>1669</v>
      </c>
      <c r="Y639" s="16" t="s">
        <v>1670</v>
      </c>
      <c r="Z639" s="27" t="s">
        <v>1671</v>
      </c>
      <c r="AA639" s="17"/>
      <c r="AB639" s="116"/>
      <c r="AC639" s="116"/>
    </row>
    <row r="640" spans="1:29" x14ac:dyDescent="0.3">
      <c r="A640" s="18" t="s">
        <v>1668</v>
      </c>
      <c r="B640" s="18" t="s">
        <v>275</v>
      </c>
      <c r="C640" s="18" t="s">
        <v>1672</v>
      </c>
      <c r="D640" s="14" t="s">
        <v>545</v>
      </c>
      <c r="E640" s="18" t="s">
        <v>9</v>
      </c>
      <c r="F640" s="14" t="s">
        <v>517</v>
      </c>
      <c r="G640" s="14" t="s">
        <v>518</v>
      </c>
      <c r="H640" s="18" t="s">
        <v>5</v>
      </c>
      <c r="I640" s="14" t="s">
        <v>115</v>
      </c>
      <c r="J640" s="14"/>
      <c r="K640" s="18" t="s">
        <v>643</v>
      </c>
      <c r="L640" s="14"/>
      <c r="M640" s="14">
        <v>6</v>
      </c>
      <c r="N640" s="15">
        <v>28305.08</v>
      </c>
      <c r="O640" s="15">
        <f t="shared" si="23"/>
        <v>169830.48</v>
      </c>
      <c r="P640" s="15"/>
      <c r="Q640" s="14" t="s">
        <v>520</v>
      </c>
      <c r="R640" s="25">
        <v>45330</v>
      </c>
      <c r="S640" s="22" t="str">
        <f>TEXT(Table1[[#This Row],[End Date]],"MMMM")</f>
        <v>February</v>
      </c>
      <c r="T640" s="23" t="str">
        <f>TEXT(Table1[[#This Row],[End Date]],"YYYY")</f>
        <v>2024</v>
      </c>
      <c r="U640" s="24">
        <f t="shared" ca="1" si="24"/>
        <v>-197</v>
      </c>
      <c r="V640" s="14" t="str" cm="1">
        <f t="array" aca="1" ref="V640" ca="1">_xlfn.IFS(Table1[[#This Row],[Agreement Days]]&gt;=0,"Expired",Table1[[#This Row],[Agreement Days]]&gt;=-30,"Expires &lt; 30 Days",Table1[[#This Row],[Agreement Days]]&gt;=-60,"Expires &lt; 60 Days",Table1[[#This Row],[Agreement Days]]&lt;-60,"Valid Contract")</f>
        <v>Valid Contract</v>
      </c>
      <c r="W640" s="14" t="s">
        <v>12</v>
      </c>
      <c r="X640" s="14" t="s">
        <v>1669</v>
      </c>
      <c r="Y640" s="16" t="s">
        <v>1670</v>
      </c>
      <c r="Z640" s="27" t="s">
        <v>1671</v>
      </c>
      <c r="AA640" s="17"/>
      <c r="AB640" s="116"/>
      <c r="AC640" s="116"/>
    </row>
    <row r="641" spans="1:29" x14ac:dyDescent="0.3">
      <c r="A641" s="18" t="s">
        <v>1673</v>
      </c>
      <c r="B641" s="18" t="s">
        <v>146</v>
      </c>
      <c r="C641" s="18" t="s">
        <v>1674</v>
      </c>
      <c r="D641" s="14" t="s">
        <v>532</v>
      </c>
      <c r="E641" s="18" t="s">
        <v>10</v>
      </c>
      <c r="F641" s="14" t="s">
        <v>527</v>
      </c>
      <c r="G641" s="14" t="s">
        <v>518</v>
      </c>
      <c r="H641" s="18" t="s">
        <v>3</v>
      </c>
      <c r="I641" s="14" t="s">
        <v>116</v>
      </c>
      <c r="J641" s="14"/>
      <c r="K641" s="14" t="s">
        <v>533</v>
      </c>
      <c r="L641" s="14">
        <v>89</v>
      </c>
      <c r="M641" s="14">
        <v>1</v>
      </c>
      <c r="N641" s="15">
        <v>2225000</v>
      </c>
      <c r="O641" s="15">
        <f t="shared" si="23"/>
        <v>2225000</v>
      </c>
      <c r="P641" s="15"/>
      <c r="Q641" s="14" t="s">
        <v>520</v>
      </c>
      <c r="R641" s="32">
        <v>45335</v>
      </c>
      <c r="S641" s="22" t="str">
        <f>TEXT(Table1[[#This Row],[End Date]],"MMMM")</f>
        <v>February</v>
      </c>
      <c r="T641" s="22" t="str">
        <f>TEXT(Table1[[#This Row],[End Date]],"YYYY")</f>
        <v>2024</v>
      </c>
      <c r="U641" s="24">
        <f t="shared" ca="1" si="24"/>
        <v>-202</v>
      </c>
      <c r="V641" s="14" t="str" cm="1">
        <f t="array" aca="1" ref="V641" ca="1">_xlfn.IFS(Table1[[#This Row],[Agreement Days]]&gt;=0,"Expired",Table1[[#This Row],[Agreement Days]]&gt;=-30,"Expires &lt; 30 Days",Table1[[#This Row],[Agreement Days]]&gt;=-60,"Expires &lt; 60 Days",Table1[[#This Row],[Agreement Days]]&lt;-60,"Valid Contract")</f>
        <v>Valid Contract</v>
      </c>
      <c r="W641" s="14" t="s">
        <v>12</v>
      </c>
      <c r="X641" s="14" t="s">
        <v>1675</v>
      </c>
      <c r="Y641" s="16" t="s">
        <v>1676</v>
      </c>
      <c r="Z641" s="17" t="s">
        <v>1677</v>
      </c>
      <c r="AA641" s="17"/>
      <c r="AB641" s="116"/>
      <c r="AC641" s="116"/>
    </row>
    <row r="642" spans="1:29" x14ac:dyDescent="0.3">
      <c r="A642" s="18" t="s">
        <v>1673</v>
      </c>
      <c r="B642" s="18" t="s">
        <v>146</v>
      </c>
      <c r="C642" s="18" t="s">
        <v>1678</v>
      </c>
      <c r="D642" s="14" t="s">
        <v>875</v>
      </c>
      <c r="E642" s="18" t="s">
        <v>10</v>
      </c>
      <c r="F642" s="14" t="s">
        <v>527</v>
      </c>
      <c r="G642" s="14" t="s">
        <v>518</v>
      </c>
      <c r="H642" s="18" t="s">
        <v>3</v>
      </c>
      <c r="I642" s="14" t="s">
        <v>116</v>
      </c>
      <c r="J642" s="14"/>
      <c r="K642" s="14" t="s">
        <v>533</v>
      </c>
      <c r="L642" s="14">
        <v>134</v>
      </c>
      <c r="M642" s="14">
        <v>1</v>
      </c>
      <c r="N642" s="15">
        <v>3350000</v>
      </c>
      <c r="O642" s="15">
        <f t="shared" si="23"/>
        <v>3350000</v>
      </c>
      <c r="P642" s="15"/>
      <c r="Q642" s="14" t="s">
        <v>520</v>
      </c>
      <c r="R642" s="32">
        <v>45335</v>
      </c>
      <c r="S642" s="22" t="str">
        <f>TEXT(Table1[[#This Row],[End Date]],"MMMM")</f>
        <v>February</v>
      </c>
      <c r="T642" s="22" t="str">
        <f>TEXT(Table1[[#This Row],[End Date]],"YYYY")</f>
        <v>2024</v>
      </c>
      <c r="U642" s="24">
        <f t="shared" ca="1" si="24"/>
        <v>-202</v>
      </c>
      <c r="V642" s="14" t="str" cm="1">
        <f t="array" aca="1" ref="V642" ca="1">_xlfn.IFS(Table1[[#This Row],[Agreement Days]]&gt;=0,"Expired",Table1[[#This Row],[Agreement Days]]&gt;=-30,"Expires &lt; 30 Days",Table1[[#This Row],[Agreement Days]]&gt;=-60,"Expires &lt; 60 Days",Table1[[#This Row],[Agreement Days]]&lt;-60,"Valid Contract")</f>
        <v>Valid Contract</v>
      </c>
      <c r="W642" s="14" t="s">
        <v>12</v>
      </c>
      <c r="X642" s="14" t="s">
        <v>1675</v>
      </c>
      <c r="Y642" s="16" t="s">
        <v>1676</v>
      </c>
      <c r="Z642" s="17" t="s">
        <v>1677</v>
      </c>
      <c r="AA642" s="17"/>
      <c r="AB642" s="116"/>
      <c r="AC642" s="116"/>
    </row>
    <row r="643" spans="1:29" x14ac:dyDescent="0.3">
      <c r="A643" s="18" t="s">
        <v>1673</v>
      </c>
      <c r="B643" s="18" t="s">
        <v>146</v>
      </c>
      <c r="C643" s="18" t="s">
        <v>1679</v>
      </c>
      <c r="D643" s="14" t="s">
        <v>769</v>
      </c>
      <c r="E643" s="18" t="s">
        <v>10</v>
      </c>
      <c r="F643" s="14" t="s">
        <v>527</v>
      </c>
      <c r="G643" s="14" t="s">
        <v>518</v>
      </c>
      <c r="H643" s="18" t="s">
        <v>3</v>
      </c>
      <c r="I643" s="14" t="s">
        <v>116</v>
      </c>
      <c r="J643" s="14"/>
      <c r="K643" s="14" t="s">
        <v>533</v>
      </c>
      <c r="L643" s="14">
        <v>161</v>
      </c>
      <c r="M643" s="14">
        <v>1</v>
      </c>
      <c r="N643" s="15">
        <v>4025000</v>
      </c>
      <c r="O643" s="15">
        <f t="shared" si="23"/>
        <v>4025000</v>
      </c>
      <c r="P643" s="15"/>
      <c r="Q643" s="14" t="s">
        <v>520</v>
      </c>
      <c r="R643" s="32">
        <v>45335</v>
      </c>
      <c r="S643" s="22" t="str">
        <f>TEXT(Table1[[#This Row],[End Date]],"MMMM")</f>
        <v>February</v>
      </c>
      <c r="T643" s="22" t="str">
        <f>TEXT(Table1[[#This Row],[End Date]],"YYYY")</f>
        <v>2024</v>
      </c>
      <c r="U643" s="24">
        <f t="shared" ca="1" si="24"/>
        <v>-202</v>
      </c>
      <c r="V643" s="14" t="str" cm="1">
        <f t="array" aca="1" ref="V643" ca="1">_xlfn.IFS(Table1[[#This Row],[Agreement Days]]&gt;=0,"Expired",Table1[[#This Row],[Agreement Days]]&gt;=-30,"Expires &lt; 30 Days",Table1[[#This Row],[Agreement Days]]&gt;=-60,"Expires &lt; 60 Days",Table1[[#This Row],[Agreement Days]]&lt;-60,"Valid Contract")</f>
        <v>Valid Contract</v>
      </c>
      <c r="W643" s="14" t="s">
        <v>12</v>
      </c>
      <c r="X643" s="14" t="s">
        <v>1675</v>
      </c>
      <c r="Y643" s="16" t="s">
        <v>1676</v>
      </c>
      <c r="Z643" s="17" t="s">
        <v>1677</v>
      </c>
      <c r="AA643" s="17"/>
      <c r="AB643" s="116"/>
      <c r="AC643" s="116"/>
    </row>
    <row r="644" spans="1:29" hidden="1" x14ac:dyDescent="0.3">
      <c r="A644" s="18" t="s">
        <v>1680</v>
      </c>
      <c r="B644" s="18" t="s">
        <v>433</v>
      </c>
      <c r="C644" s="18" t="s">
        <v>433</v>
      </c>
      <c r="D644" s="14" t="s">
        <v>540</v>
      </c>
      <c r="E644" s="18" t="s">
        <v>10</v>
      </c>
      <c r="F644" s="14" t="s">
        <v>560</v>
      </c>
      <c r="G644" s="14" t="s">
        <v>518</v>
      </c>
      <c r="H644" s="18" t="s">
        <v>5</v>
      </c>
      <c r="I644" s="14" t="s">
        <v>115</v>
      </c>
      <c r="J644" s="14"/>
      <c r="K644" s="14" t="s">
        <v>722</v>
      </c>
      <c r="L644" s="14"/>
      <c r="M644" s="14">
        <v>1</v>
      </c>
      <c r="N644" s="15">
        <v>77711.86</v>
      </c>
      <c r="O644" s="15">
        <f t="shared" si="23"/>
        <v>77711.86</v>
      </c>
      <c r="P644" s="15"/>
      <c r="Q644" s="14" t="s">
        <v>520</v>
      </c>
      <c r="R644" s="25">
        <v>45336</v>
      </c>
      <c r="S644" s="22" t="str">
        <f>TEXT(Table1[[#This Row],[End Date]],"MMMM")</f>
        <v>February</v>
      </c>
      <c r="T644" s="23" t="str">
        <f>TEXT(Table1[[#This Row],[End Date]],"YYYY")</f>
        <v>2024</v>
      </c>
      <c r="U644" s="24">
        <f t="shared" ca="1" si="24"/>
        <v>-203</v>
      </c>
      <c r="V644" s="14" t="str" cm="1">
        <f t="array" aca="1" ref="V644" ca="1">_xlfn.IFS(Table1[[#This Row],[Agreement Days]]&gt;=0,"Expired",Table1[[#This Row],[Agreement Days]]&gt;=-30,"Expires &lt; 30 Days",Table1[[#This Row],[Agreement Days]]&gt;=-60,"Expires &lt; 60 Days",Table1[[#This Row],[Agreement Days]]&lt;-60,"Valid Contract")</f>
        <v>Valid Contract</v>
      </c>
      <c r="W644" s="14" t="s">
        <v>20</v>
      </c>
      <c r="X644" s="26" t="s">
        <v>1681</v>
      </c>
      <c r="Y644" s="16" t="s">
        <v>1682</v>
      </c>
      <c r="Z644" s="27" t="s">
        <v>1683</v>
      </c>
      <c r="AA644" s="19"/>
      <c r="AB644" s="116"/>
      <c r="AC644" s="116"/>
    </row>
    <row r="645" spans="1:29" hidden="1" x14ac:dyDescent="0.3">
      <c r="A645" s="18" t="s">
        <v>1680</v>
      </c>
      <c r="B645" s="18" t="s">
        <v>433</v>
      </c>
      <c r="C645" s="18" t="s">
        <v>433</v>
      </c>
      <c r="D645" s="14" t="s">
        <v>540</v>
      </c>
      <c r="E645" s="18" t="s">
        <v>10</v>
      </c>
      <c r="F645" s="14" t="s">
        <v>560</v>
      </c>
      <c r="G645" s="14" t="s">
        <v>518</v>
      </c>
      <c r="H645" s="18" t="s">
        <v>5</v>
      </c>
      <c r="I645" s="14" t="s">
        <v>115</v>
      </c>
      <c r="J645" s="14"/>
      <c r="K645" s="18" t="s">
        <v>1246</v>
      </c>
      <c r="L645" s="14"/>
      <c r="M645" s="14">
        <v>1</v>
      </c>
      <c r="N645" s="15">
        <v>54237.29</v>
      </c>
      <c r="O645" s="15">
        <f t="shared" si="23"/>
        <v>54237.29</v>
      </c>
      <c r="P645" s="15"/>
      <c r="Q645" s="14" t="s">
        <v>520</v>
      </c>
      <c r="R645" s="25">
        <v>45336</v>
      </c>
      <c r="S645" s="22" t="str">
        <f>TEXT(Table1[[#This Row],[End Date]],"MMMM")</f>
        <v>February</v>
      </c>
      <c r="T645" s="23" t="str">
        <f>TEXT(Table1[[#This Row],[End Date]],"YYYY")</f>
        <v>2024</v>
      </c>
      <c r="U645" s="24">
        <f t="shared" ca="1" si="24"/>
        <v>-203</v>
      </c>
      <c r="V645" s="14" t="str" cm="1">
        <f t="array" aca="1" ref="V645" ca="1">_xlfn.IFS(Table1[[#This Row],[Agreement Days]]&gt;=0,"Expired",Table1[[#This Row],[Agreement Days]]&gt;=-30,"Expires &lt; 30 Days",Table1[[#This Row],[Agreement Days]]&gt;=-60,"Expires &lt; 60 Days",Table1[[#This Row],[Agreement Days]]&lt;-60,"Valid Contract")</f>
        <v>Valid Contract</v>
      </c>
      <c r="W645" s="14" t="s">
        <v>20</v>
      </c>
      <c r="X645" s="26" t="s">
        <v>1681</v>
      </c>
      <c r="Y645" s="16" t="s">
        <v>1682</v>
      </c>
      <c r="Z645" s="27" t="s">
        <v>1683</v>
      </c>
      <c r="AA645" s="19"/>
      <c r="AB645" s="116"/>
      <c r="AC645" s="116"/>
    </row>
    <row r="646" spans="1:29" hidden="1" x14ac:dyDescent="0.3">
      <c r="A646" s="18" t="s">
        <v>1684</v>
      </c>
      <c r="B646" s="18" t="s">
        <v>360</v>
      </c>
      <c r="C646" s="18" t="s">
        <v>1685</v>
      </c>
      <c r="D646" s="14" t="s">
        <v>769</v>
      </c>
      <c r="E646" s="18" t="s">
        <v>10</v>
      </c>
      <c r="F646" s="14" t="s">
        <v>663</v>
      </c>
      <c r="G646" s="14" t="s">
        <v>518</v>
      </c>
      <c r="H646" s="18" t="s">
        <v>5</v>
      </c>
      <c r="I646" s="14" t="s">
        <v>134</v>
      </c>
      <c r="J646" s="14">
        <v>10</v>
      </c>
      <c r="K646" s="14" t="s">
        <v>547</v>
      </c>
      <c r="L646" s="14"/>
      <c r="M646" s="14">
        <v>1</v>
      </c>
      <c r="N646" s="15">
        <v>510000</v>
      </c>
      <c r="O646" s="15">
        <f t="shared" si="23"/>
        <v>510000</v>
      </c>
      <c r="P646" s="15"/>
      <c r="Q646" s="14" t="s">
        <v>520</v>
      </c>
      <c r="R646" s="25">
        <v>45336</v>
      </c>
      <c r="S646" s="22" t="str">
        <f>TEXT(Table1[[#This Row],[End Date]],"MMMM")</f>
        <v>February</v>
      </c>
      <c r="T646" s="23" t="str">
        <f>TEXT(Table1[[#This Row],[End Date]],"YYYY")</f>
        <v>2024</v>
      </c>
      <c r="U646" s="24">
        <f t="shared" ca="1" si="24"/>
        <v>-203</v>
      </c>
      <c r="V646" s="14" t="str" cm="1">
        <f t="array" aca="1" ref="V646" ca="1">_xlfn.IFS(Table1[[#This Row],[Agreement Days]]&gt;=0,"Expired",Table1[[#This Row],[Agreement Days]]&gt;=-30,"Expires &lt; 30 Days",Table1[[#This Row],[Agreement Days]]&gt;=-60,"Expires &lt; 60 Days",Table1[[#This Row],[Agreement Days]]&lt;-60,"Valid Contract")</f>
        <v>Valid Contract</v>
      </c>
      <c r="W646" s="14" t="s">
        <v>20</v>
      </c>
      <c r="X646" s="14" t="s">
        <v>1686</v>
      </c>
      <c r="Y646" s="16" t="s">
        <v>1687</v>
      </c>
      <c r="Z646" s="27" t="s">
        <v>1688</v>
      </c>
      <c r="AA646" s="19"/>
      <c r="AB646" s="116"/>
      <c r="AC646" s="116"/>
    </row>
    <row r="647" spans="1:29" x14ac:dyDescent="0.3">
      <c r="A647" s="18" t="s">
        <v>1668</v>
      </c>
      <c r="B647" s="18" t="s">
        <v>275</v>
      </c>
      <c r="C647" s="18" t="s">
        <v>1672</v>
      </c>
      <c r="D647" s="14" t="s">
        <v>545</v>
      </c>
      <c r="E647" s="18" t="s">
        <v>9</v>
      </c>
      <c r="F647" s="14" t="s">
        <v>517</v>
      </c>
      <c r="G647" s="14" t="s">
        <v>518</v>
      </c>
      <c r="H647" s="18" t="s">
        <v>5</v>
      </c>
      <c r="I647" s="14" t="s">
        <v>115</v>
      </c>
      <c r="J647" s="14"/>
      <c r="K647" s="18" t="s">
        <v>657</v>
      </c>
      <c r="L647" s="14"/>
      <c r="M647" s="14">
        <v>4</v>
      </c>
      <c r="N647" s="15">
        <v>45338.98</v>
      </c>
      <c r="O647" s="15">
        <f t="shared" ref="O647:O710" si="26">N647*M647</f>
        <v>181355.92</v>
      </c>
      <c r="P647" s="15"/>
      <c r="Q647" s="14" t="s">
        <v>520</v>
      </c>
      <c r="R647" s="25">
        <v>45343</v>
      </c>
      <c r="S647" s="22" t="str">
        <f>TEXT(Table1[[#This Row],[End Date]],"MMMM")</f>
        <v>February</v>
      </c>
      <c r="T647" s="23" t="str">
        <f>TEXT(Table1[[#This Row],[End Date]],"YYYY")</f>
        <v>2024</v>
      </c>
      <c r="U647" s="24">
        <f t="shared" ref="U647:U710" ca="1" si="27">TODAY()-R647</f>
        <v>-210</v>
      </c>
      <c r="V647" s="14" t="str" cm="1">
        <f t="array" aca="1" ref="V647" ca="1">_xlfn.IFS(Table1[[#This Row],[Agreement Days]]&gt;=0,"Expired",Table1[[#This Row],[Agreement Days]]&gt;=-30,"Expires &lt; 30 Days",Table1[[#This Row],[Agreement Days]]&gt;=-60,"Expires &lt; 60 Days",Table1[[#This Row],[Agreement Days]]&lt;-60,"Valid Contract")</f>
        <v>Valid Contract</v>
      </c>
      <c r="W647" s="14" t="s">
        <v>12</v>
      </c>
      <c r="X647" s="14" t="s">
        <v>1669</v>
      </c>
      <c r="Y647" s="16" t="s">
        <v>1670</v>
      </c>
      <c r="Z647" s="27" t="s">
        <v>1671</v>
      </c>
      <c r="AA647" s="17"/>
      <c r="AB647" s="116"/>
      <c r="AC647" s="116"/>
    </row>
    <row r="648" spans="1:29" x14ac:dyDescent="0.3">
      <c r="A648" s="18" t="s">
        <v>1689</v>
      </c>
      <c r="B648" s="18" t="s">
        <v>130</v>
      </c>
      <c r="C648" s="18" t="s">
        <v>1137</v>
      </c>
      <c r="D648" s="14" t="s">
        <v>545</v>
      </c>
      <c r="E648" s="18" t="s">
        <v>9</v>
      </c>
      <c r="F648" s="14" t="s">
        <v>969</v>
      </c>
      <c r="G648" s="14" t="s">
        <v>518</v>
      </c>
      <c r="H648" s="18" t="s">
        <v>2</v>
      </c>
      <c r="I648" s="14" t="s">
        <v>118</v>
      </c>
      <c r="J648" s="14"/>
      <c r="K648" s="14" t="s">
        <v>1138</v>
      </c>
      <c r="L648" s="14"/>
      <c r="M648" s="14">
        <v>1</v>
      </c>
      <c r="N648" s="15">
        <f>1744718/1.18</f>
        <v>1478574.5762711866</v>
      </c>
      <c r="O648" s="15">
        <f t="shared" si="26"/>
        <v>1478574.5762711866</v>
      </c>
      <c r="P648" s="15"/>
      <c r="Q648" s="14" t="s">
        <v>520</v>
      </c>
      <c r="R648" s="25">
        <v>45344</v>
      </c>
      <c r="S648" s="22" t="str">
        <f>TEXT(Table1[[#This Row],[End Date]],"MMMM")</f>
        <v>February</v>
      </c>
      <c r="T648" s="22" t="str">
        <f>TEXT(Table1[[#This Row],[End Date]],"YYYY")</f>
        <v>2024</v>
      </c>
      <c r="U648" s="24">
        <f t="shared" ca="1" si="27"/>
        <v>-211</v>
      </c>
      <c r="V648" s="14" t="str" cm="1">
        <f t="array" aca="1" ref="V648" ca="1">_xlfn.IFS(Table1[[#This Row],[Agreement Days]]&gt;=0,"Expired",Table1[[#This Row],[Agreement Days]]&gt;=-30,"Expires &lt; 30 Days",Table1[[#This Row],[Agreement Days]]&gt;=-60,"Expires &lt; 60 Days",Table1[[#This Row],[Agreement Days]]&lt;-60,"Valid Contract")</f>
        <v>Valid Contract</v>
      </c>
      <c r="W648" s="14" t="s">
        <v>12</v>
      </c>
      <c r="X648" s="20" t="s">
        <v>1690</v>
      </c>
      <c r="Y648" s="43" t="s">
        <v>1691</v>
      </c>
      <c r="Z648" s="27" t="s">
        <v>1692</v>
      </c>
      <c r="AA648" s="66"/>
      <c r="AB648" s="116"/>
      <c r="AC648" s="116"/>
    </row>
    <row r="649" spans="1:29" x14ac:dyDescent="0.3">
      <c r="A649" s="18" t="s">
        <v>1689</v>
      </c>
      <c r="B649" s="18" t="s">
        <v>130</v>
      </c>
      <c r="C649" s="18" t="s">
        <v>974</v>
      </c>
      <c r="D649" s="14" t="s">
        <v>545</v>
      </c>
      <c r="E649" s="18" t="s">
        <v>9</v>
      </c>
      <c r="F649" s="14" t="s">
        <v>969</v>
      </c>
      <c r="G649" s="14" t="s">
        <v>518</v>
      </c>
      <c r="H649" s="18" t="s">
        <v>2</v>
      </c>
      <c r="I649" s="14" t="s">
        <v>131</v>
      </c>
      <c r="J649" s="14"/>
      <c r="K649" s="26" t="s">
        <v>1693</v>
      </c>
      <c r="L649" s="14"/>
      <c r="M649" s="14">
        <v>1</v>
      </c>
      <c r="N649" s="15">
        <f>189000/1.18</f>
        <v>160169.49152542374</v>
      </c>
      <c r="O649" s="15">
        <f t="shared" si="26"/>
        <v>160169.49152542374</v>
      </c>
      <c r="P649" s="15"/>
      <c r="Q649" s="14" t="s">
        <v>520</v>
      </c>
      <c r="R649" s="25">
        <v>45344</v>
      </c>
      <c r="S649" s="22" t="str">
        <f>TEXT(Table1[[#This Row],[End Date]],"MMMM")</f>
        <v>February</v>
      </c>
      <c r="T649" s="22" t="str">
        <f>TEXT(Table1[[#This Row],[End Date]],"YYYY")</f>
        <v>2024</v>
      </c>
      <c r="U649" s="24">
        <f t="shared" ca="1" si="27"/>
        <v>-211</v>
      </c>
      <c r="V649" s="14" t="str" cm="1">
        <f t="array" aca="1" ref="V649" ca="1">_xlfn.IFS(Table1[[#This Row],[Agreement Days]]&gt;=0,"Expired",Table1[[#This Row],[Agreement Days]]&gt;=-30,"Expires &lt; 30 Days",Table1[[#This Row],[Agreement Days]]&gt;=-60,"Expires &lt; 60 Days",Table1[[#This Row],[Agreement Days]]&lt;-60,"Valid Contract")</f>
        <v>Valid Contract</v>
      </c>
      <c r="W649" s="14" t="s">
        <v>12</v>
      </c>
      <c r="X649" s="20" t="s">
        <v>1690</v>
      </c>
      <c r="Y649" s="43" t="s">
        <v>1691</v>
      </c>
      <c r="Z649" s="27" t="s">
        <v>1692</v>
      </c>
      <c r="AA649" s="66"/>
      <c r="AB649" s="116"/>
      <c r="AC649" s="116"/>
    </row>
    <row r="650" spans="1:29" hidden="1" x14ac:dyDescent="0.3">
      <c r="A650" s="18" t="s">
        <v>1694</v>
      </c>
      <c r="B650" s="18" t="s">
        <v>204</v>
      </c>
      <c r="C650" s="18" t="s">
        <v>1695</v>
      </c>
      <c r="D650" s="14" t="s">
        <v>739</v>
      </c>
      <c r="E650" s="18" t="s">
        <v>9</v>
      </c>
      <c r="F650" s="14" t="s">
        <v>517</v>
      </c>
      <c r="G650" s="14" t="s">
        <v>518</v>
      </c>
      <c r="H650" s="18" t="s">
        <v>5</v>
      </c>
      <c r="I650" s="14" t="s">
        <v>117</v>
      </c>
      <c r="J650" s="14">
        <v>1</v>
      </c>
      <c r="K650" s="14" t="s">
        <v>1696</v>
      </c>
      <c r="L650" s="14"/>
      <c r="M650" s="14">
        <v>1</v>
      </c>
      <c r="N650" s="15">
        <v>90000</v>
      </c>
      <c r="O650" s="15">
        <f t="shared" si="26"/>
        <v>90000</v>
      </c>
      <c r="P650" s="15"/>
      <c r="Q650" s="14" t="s">
        <v>520</v>
      </c>
      <c r="R650" s="25">
        <v>45350</v>
      </c>
      <c r="S650" s="22" t="str">
        <f>TEXT(Table1[[#This Row],[End Date]],"MMMM")</f>
        <v>February</v>
      </c>
      <c r="T650" s="23" t="str">
        <f>TEXT(Table1[[#This Row],[End Date]],"YYYY")</f>
        <v>2024</v>
      </c>
      <c r="U650" s="24">
        <f t="shared" ca="1" si="27"/>
        <v>-217</v>
      </c>
      <c r="V650" s="14" t="str" cm="1">
        <f t="array" aca="1" ref="V650" ca="1">_xlfn.IFS(Table1[[#This Row],[Agreement Days]]&gt;=0,"Expired",Table1[[#This Row],[Agreement Days]]&gt;=-30,"Expires &lt; 30 Days",Table1[[#This Row],[Agreement Days]]&gt;=-60,"Expires &lt; 60 Days",Table1[[#This Row],[Agreement Days]]&lt;-60,"Valid Contract")</f>
        <v>Valid Contract</v>
      </c>
      <c r="W650" s="14" t="s">
        <v>19</v>
      </c>
      <c r="X650" s="14" t="s">
        <v>1697</v>
      </c>
      <c r="Y650" s="43" t="s">
        <v>1698</v>
      </c>
      <c r="Z650" s="27">
        <v>788459057</v>
      </c>
      <c r="AA650" s="17"/>
      <c r="AB650" s="116"/>
      <c r="AC650" s="116"/>
    </row>
    <row r="651" spans="1:29" hidden="1" x14ac:dyDescent="0.3">
      <c r="A651" s="18" t="s">
        <v>1694</v>
      </c>
      <c r="B651" s="18" t="s">
        <v>204</v>
      </c>
      <c r="C651" s="18" t="s">
        <v>1699</v>
      </c>
      <c r="D651" s="14" t="s">
        <v>526</v>
      </c>
      <c r="E651" s="18" t="s">
        <v>9</v>
      </c>
      <c r="F651" s="14" t="s">
        <v>517</v>
      </c>
      <c r="G651" s="14" t="s">
        <v>518</v>
      </c>
      <c r="H651" s="18" t="s">
        <v>5</v>
      </c>
      <c r="I651" s="14" t="s">
        <v>117</v>
      </c>
      <c r="J651" s="14">
        <v>1</v>
      </c>
      <c r="K651" s="14" t="s">
        <v>1696</v>
      </c>
      <c r="L651" s="14"/>
      <c r="M651" s="14">
        <v>1</v>
      </c>
      <c r="N651" s="15">
        <v>90000</v>
      </c>
      <c r="O651" s="15">
        <f t="shared" si="26"/>
        <v>90000</v>
      </c>
      <c r="P651" s="15"/>
      <c r="Q651" s="14" t="s">
        <v>520</v>
      </c>
      <c r="R651" s="25">
        <v>45350</v>
      </c>
      <c r="S651" s="22" t="str">
        <f>TEXT(Table1[[#This Row],[End Date]],"MMMM")</f>
        <v>February</v>
      </c>
      <c r="T651" s="23" t="str">
        <f>TEXT(Table1[[#This Row],[End Date]],"YYYY")</f>
        <v>2024</v>
      </c>
      <c r="U651" s="24">
        <f t="shared" ca="1" si="27"/>
        <v>-217</v>
      </c>
      <c r="V651" s="14" t="str" cm="1">
        <f t="array" aca="1" ref="V651" ca="1">_xlfn.IFS(Table1[[#This Row],[Agreement Days]]&gt;=0,"Expired",Table1[[#This Row],[Agreement Days]]&gt;=-30,"Expires &lt; 30 Days",Table1[[#This Row],[Agreement Days]]&gt;=-60,"Expires &lt; 60 Days",Table1[[#This Row],[Agreement Days]]&lt;-60,"Valid Contract")</f>
        <v>Valid Contract</v>
      </c>
      <c r="W651" s="14" t="s">
        <v>19</v>
      </c>
      <c r="X651" s="14" t="s">
        <v>1697</v>
      </c>
      <c r="Y651" s="43" t="s">
        <v>1698</v>
      </c>
      <c r="Z651" s="27">
        <v>788459057</v>
      </c>
      <c r="AA651" s="17"/>
      <c r="AB651" s="116"/>
      <c r="AC651" s="116"/>
    </row>
    <row r="652" spans="1:29" hidden="1" x14ac:dyDescent="0.3">
      <c r="A652" s="18" t="s">
        <v>1694</v>
      </c>
      <c r="B652" s="18" t="s">
        <v>204</v>
      </c>
      <c r="C652" s="18" t="s">
        <v>1700</v>
      </c>
      <c r="D652" s="14" t="s">
        <v>545</v>
      </c>
      <c r="E652" s="18" t="s">
        <v>9</v>
      </c>
      <c r="F652" s="14" t="s">
        <v>517</v>
      </c>
      <c r="G652" s="14" t="s">
        <v>518</v>
      </c>
      <c r="H652" s="18" t="s">
        <v>5</v>
      </c>
      <c r="I652" s="14" t="s">
        <v>117</v>
      </c>
      <c r="J652" s="14">
        <v>1</v>
      </c>
      <c r="K652" s="14" t="s">
        <v>1696</v>
      </c>
      <c r="L652" s="14"/>
      <c r="M652" s="14">
        <v>1</v>
      </c>
      <c r="N652" s="15">
        <v>90000</v>
      </c>
      <c r="O652" s="15">
        <f t="shared" si="26"/>
        <v>90000</v>
      </c>
      <c r="P652" s="15"/>
      <c r="Q652" s="14" t="s">
        <v>520</v>
      </c>
      <c r="R652" s="25">
        <v>45350</v>
      </c>
      <c r="S652" s="22" t="str">
        <f>TEXT(Table1[[#This Row],[End Date]],"MMMM")</f>
        <v>February</v>
      </c>
      <c r="T652" s="23" t="str">
        <f>TEXT(Table1[[#This Row],[End Date]],"YYYY")</f>
        <v>2024</v>
      </c>
      <c r="U652" s="24">
        <f t="shared" ca="1" si="27"/>
        <v>-217</v>
      </c>
      <c r="V652" s="14" t="str" cm="1">
        <f t="array" aca="1" ref="V652" ca="1">_xlfn.IFS(Table1[[#This Row],[Agreement Days]]&gt;=0,"Expired",Table1[[#This Row],[Agreement Days]]&gt;=-30,"Expires &lt; 30 Days",Table1[[#This Row],[Agreement Days]]&gt;=-60,"Expires &lt; 60 Days",Table1[[#This Row],[Agreement Days]]&lt;-60,"Valid Contract")</f>
        <v>Valid Contract</v>
      </c>
      <c r="W652" s="14" t="s">
        <v>19</v>
      </c>
      <c r="X652" s="14" t="s">
        <v>1697</v>
      </c>
      <c r="Y652" s="43" t="s">
        <v>1698</v>
      </c>
      <c r="Z652" s="27">
        <v>788459057</v>
      </c>
      <c r="AA652" s="17"/>
      <c r="AB652" s="116"/>
      <c r="AC652" s="116"/>
    </row>
    <row r="653" spans="1:29" hidden="1" x14ac:dyDescent="0.3">
      <c r="A653" s="18" t="s">
        <v>1694</v>
      </c>
      <c r="B653" s="18" t="s">
        <v>204</v>
      </c>
      <c r="C653" s="18" t="s">
        <v>1701</v>
      </c>
      <c r="D653" s="14" t="s">
        <v>586</v>
      </c>
      <c r="E653" s="18" t="s">
        <v>9</v>
      </c>
      <c r="F653" s="14" t="s">
        <v>517</v>
      </c>
      <c r="G653" s="14" t="s">
        <v>518</v>
      </c>
      <c r="H653" s="18" t="s">
        <v>5</v>
      </c>
      <c r="I653" s="14" t="s">
        <v>117</v>
      </c>
      <c r="J653" s="14">
        <v>1</v>
      </c>
      <c r="K653" s="14" t="s">
        <v>1696</v>
      </c>
      <c r="L653" s="14"/>
      <c r="M653" s="14">
        <v>1</v>
      </c>
      <c r="N653" s="15">
        <v>90000</v>
      </c>
      <c r="O653" s="15">
        <f t="shared" si="26"/>
        <v>90000</v>
      </c>
      <c r="P653" s="15"/>
      <c r="Q653" s="14" t="s">
        <v>520</v>
      </c>
      <c r="R653" s="25">
        <v>45350</v>
      </c>
      <c r="S653" s="22" t="str">
        <f>TEXT(Table1[[#This Row],[End Date]],"MMMM")</f>
        <v>February</v>
      </c>
      <c r="T653" s="23" t="str">
        <f>TEXT(Table1[[#This Row],[End Date]],"YYYY")</f>
        <v>2024</v>
      </c>
      <c r="U653" s="24">
        <f t="shared" ca="1" si="27"/>
        <v>-217</v>
      </c>
      <c r="V653" s="14" t="str" cm="1">
        <f t="array" aca="1" ref="V653" ca="1">_xlfn.IFS(Table1[[#This Row],[Agreement Days]]&gt;=0,"Expired",Table1[[#This Row],[Agreement Days]]&gt;=-30,"Expires &lt; 30 Days",Table1[[#This Row],[Agreement Days]]&gt;=-60,"Expires &lt; 60 Days",Table1[[#This Row],[Agreement Days]]&lt;-60,"Valid Contract")</f>
        <v>Valid Contract</v>
      </c>
      <c r="W653" s="14" t="s">
        <v>19</v>
      </c>
      <c r="X653" s="14" t="s">
        <v>1697</v>
      </c>
      <c r="Y653" s="43" t="s">
        <v>1698</v>
      </c>
      <c r="Z653" s="27">
        <v>788459057</v>
      </c>
      <c r="AA653" s="17"/>
      <c r="AB653" s="116"/>
      <c r="AC653" s="116"/>
    </row>
    <row r="654" spans="1:29" hidden="1" x14ac:dyDescent="0.3">
      <c r="A654" s="18" t="s">
        <v>1694</v>
      </c>
      <c r="B654" s="18" t="s">
        <v>204</v>
      </c>
      <c r="C654" s="18" t="s">
        <v>1702</v>
      </c>
      <c r="D654" s="14" t="s">
        <v>532</v>
      </c>
      <c r="E654" s="18" t="s">
        <v>9</v>
      </c>
      <c r="F654" s="14" t="s">
        <v>517</v>
      </c>
      <c r="G654" s="14" t="s">
        <v>518</v>
      </c>
      <c r="H654" s="18" t="s">
        <v>5</v>
      </c>
      <c r="I654" s="14" t="s">
        <v>117</v>
      </c>
      <c r="J654" s="14">
        <v>1</v>
      </c>
      <c r="K654" s="14" t="s">
        <v>1696</v>
      </c>
      <c r="L654" s="14"/>
      <c r="M654" s="14">
        <v>1</v>
      </c>
      <c r="N654" s="15">
        <v>90000</v>
      </c>
      <c r="O654" s="15">
        <f t="shared" si="26"/>
        <v>90000</v>
      </c>
      <c r="P654" s="15"/>
      <c r="Q654" s="14" t="s">
        <v>520</v>
      </c>
      <c r="R654" s="25">
        <v>45350</v>
      </c>
      <c r="S654" s="22" t="str">
        <f>TEXT(Table1[[#This Row],[End Date]],"MMMM")</f>
        <v>February</v>
      </c>
      <c r="T654" s="23" t="str">
        <f>TEXT(Table1[[#This Row],[End Date]],"YYYY")</f>
        <v>2024</v>
      </c>
      <c r="U654" s="24">
        <f t="shared" ca="1" si="27"/>
        <v>-217</v>
      </c>
      <c r="V654" s="14" t="str" cm="1">
        <f t="array" aca="1" ref="V654" ca="1">_xlfn.IFS(Table1[[#This Row],[Agreement Days]]&gt;=0,"Expired",Table1[[#This Row],[Agreement Days]]&gt;=-30,"Expires &lt; 30 Days",Table1[[#This Row],[Agreement Days]]&gt;=-60,"Expires &lt; 60 Days",Table1[[#This Row],[Agreement Days]]&lt;-60,"Valid Contract")</f>
        <v>Valid Contract</v>
      </c>
      <c r="W654" s="14" t="s">
        <v>19</v>
      </c>
      <c r="X654" s="14" t="s">
        <v>1697</v>
      </c>
      <c r="Y654" s="43" t="s">
        <v>1698</v>
      </c>
      <c r="Z654" s="27">
        <v>788459057</v>
      </c>
      <c r="AA654" s="17"/>
      <c r="AB654" s="116"/>
      <c r="AC654" s="116"/>
    </row>
    <row r="655" spans="1:29" hidden="1" x14ac:dyDescent="0.3">
      <c r="A655" s="18" t="s">
        <v>1694</v>
      </c>
      <c r="B655" s="18" t="s">
        <v>204</v>
      </c>
      <c r="C655" s="18" t="s">
        <v>1703</v>
      </c>
      <c r="D655" s="14" t="s">
        <v>929</v>
      </c>
      <c r="E655" s="18" t="s">
        <v>9</v>
      </c>
      <c r="F655" s="14" t="s">
        <v>517</v>
      </c>
      <c r="G655" s="14" t="s">
        <v>518</v>
      </c>
      <c r="H655" s="18" t="s">
        <v>5</v>
      </c>
      <c r="I655" s="14" t="s">
        <v>117</v>
      </c>
      <c r="J655" s="14">
        <v>1</v>
      </c>
      <c r="K655" s="14" t="s">
        <v>1696</v>
      </c>
      <c r="L655" s="14"/>
      <c r="M655" s="14">
        <v>1</v>
      </c>
      <c r="N655" s="15">
        <v>90000</v>
      </c>
      <c r="O655" s="15">
        <f t="shared" si="26"/>
        <v>90000</v>
      </c>
      <c r="P655" s="15"/>
      <c r="Q655" s="14" t="s">
        <v>520</v>
      </c>
      <c r="R655" s="25">
        <v>45350</v>
      </c>
      <c r="S655" s="22" t="str">
        <f>TEXT(Table1[[#This Row],[End Date]],"MMMM")</f>
        <v>February</v>
      </c>
      <c r="T655" s="23" t="str">
        <f>TEXT(Table1[[#This Row],[End Date]],"YYYY")</f>
        <v>2024</v>
      </c>
      <c r="U655" s="24">
        <f t="shared" ca="1" si="27"/>
        <v>-217</v>
      </c>
      <c r="V655" s="14" t="str" cm="1">
        <f t="array" aca="1" ref="V655" ca="1">_xlfn.IFS(Table1[[#This Row],[Agreement Days]]&gt;=0,"Expired",Table1[[#This Row],[Agreement Days]]&gt;=-30,"Expires &lt; 30 Days",Table1[[#This Row],[Agreement Days]]&gt;=-60,"Expires &lt; 60 Days",Table1[[#This Row],[Agreement Days]]&lt;-60,"Valid Contract")</f>
        <v>Valid Contract</v>
      </c>
      <c r="W655" s="14" t="s">
        <v>19</v>
      </c>
      <c r="X655" s="14" t="s">
        <v>1697</v>
      </c>
      <c r="Y655" s="43" t="s">
        <v>1698</v>
      </c>
      <c r="Z655" s="27">
        <v>788459057</v>
      </c>
      <c r="AA655" s="17"/>
      <c r="AB655" s="116"/>
      <c r="AC655" s="116"/>
    </row>
    <row r="656" spans="1:29" hidden="1" x14ac:dyDescent="0.3">
      <c r="A656" s="18" t="s">
        <v>1694</v>
      </c>
      <c r="B656" s="18" t="s">
        <v>204</v>
      </c>
      <c r="C656" s="18" t="s">
        <v>1704</v>
      </c>
      <c r="D656" s="14" t="s">
        <v>808</v>
      </c>
      <c r="E656" s="18" t="s">
        <v>9</v>
      </c>
      <c r="F656" s="14" t="s">
        <v>517</v>
      </c>
      <c r="G656" s="14" t="s">
        <v>518</v>
      </c>
      <c r="H656" s="18" t="s">
        <v>5</v>
      </c>
      <c r="I656" s="14" t="s">
        <v>117</v>
      </c>
      <c r="J656" s="14">
        <v>1</v>
      </c>
      <c r="K656" s="14" t="s">
        <v>1696</v>
      </c>
      <c r="L656" s="14"/>
      <c r="M656" s="14">
        <v>1</v>
      </c>
      <c r="N656" s="15">
        <v>90000</v>
      </c>
      <c r="O656" s="15">
        <f t="shared" si="26"/>
        <v>90000</v>
      </c>
      <c r="P656" s="15"/>
      <c r="Q656" s="14" t="s">
        <v>520</v>
      </c>
      <c r="R656" s="25">
        <v>45350</v>
      </c>
      <c r="S656" s="22" t="str">
        <f>TEXT(Table1[[#This Row],[End Date]],"MMMM")</f>
        <v>February</v>
      </c>
      <c r="T656" s="23" t="str">
        <f>TEXT(Table1[[#This Row],[End Date]],"YYYY")</f>
        <v>2024</v>
      </c>
      <c r="U656" s="24">
        <f t="shared" ca="1" si="27"/>
        <v>-217</v>
      </c>
      <c r="V656" s="14" t="str" cm="1">
        <f t="array" aca="1" ref="V656" ca="1">_xlfn.IFS(Table1[[#This Row],[Agreement Days]]&gt;=0,"Expired",Table1[[#This Row],[Agreement Days]]&gt;=-30,"Expires &lt; 30 Days",Table1[[#This Row],[Agreement Days]]&gt;=-60,"Expires &lt; 60 Days",Table1[[#This Row],[Agreement Days]]&lt;-60,"Valid Contract")</f>
        <v>Valid Contract</v>
      </c>
      <c r="W656" s="14" t="s">
        <v>19</v>
      </c>
      <c r="X656" s="14" t="s">
        <v>1697</v>
      </c>
      <c r="Y656" s="43" t="s">
        <v>1698</v>
      </c>
      <c r="Z656" s="27">
        <v>788459057</v>
      </c>
      <c r="AA656" s="17"/>
      <c r="AB656" s="116"/>
      <c r="AC656" s="116"/>
    </row>
    <row r="657" spans="1:29" hidden="1" x14ac:dyDescent="0.3">
      <c r="A657" s="18" t="s">
        <v>1694</v>
      </c>
      <c r="B657" s="18" t="s">
        <v>204</v>
      </c>
      <c r="C657" s="18" t="s">
        <v>1705</v>
      </c>
      <c r="D657" s="14" t="s">
        <v>616</v>
      </c>
      <c r="E657" s="18" t="s">
        <v>9</v>
      </c>
      <c r="F657" s="14" t="s">
        <v>517</v>
      </c>
      <c r="G657" s="14" t="s">
        <v>518</v>
      </c>
      <c r="H657" s="18" t="s">
        <v>5</v>
      </c>
      <c r="I657" s="14" t="s">
        <v>117</v>
      </c>
      <c r="J657" s="14">
        <v>1</v>
      </c>
      <c r="K657" s="14" t="s">
        <v>1696</v>
      </c>
      <c r="L657" s="14"/>
      <c r="M657" s="14">
        <v>1</v>
      </c>
      <c r="N657" s="15">
        <v>90000</v>
      </c>
      <c r="O657" s="15">
        <f t="shared" si="26"/>
        <v>90000</v>
      </c>
      <c r="P657" s="15"/>
      <c r="Q657" s="14" t="s">
        <v>520</v>
      </c>
      <c r="R657" s="25">
        <v>45350</v>
      </c>
      <c r="S657" s="22" t="str">
        <f>TEXT(Table1[[#This Row],[End Date]],"MMMM")</f>
        <v>February</v>
      </c>
      <c r="T657" s="23" t="str">
        <f>TEXT(Table1[[#This Row],[End Date]],"YYYY")</f>
        <v>2024</v>
      </c>
      <c r="U657" s="24">
        <f t="shared" ca="1" si="27"/>
        <v>-217</v>
      </c>
      <c r="V657" s="14" t="str" cm="1">
        <f t="array" aca="1" ref="V657" ca="1">_xlfn.IFS(Table1[[#This Row],[Agreement Days]]&gt;=0,"Expired",Table1[[#This Row],[Agreement Days]]&gt;=-30,"Expires &lt; 30 Days",Table1[[#This Row],[Agreement Days]]&gt;=-60,"Expires &lt; 60 Days",Table1[[#This Row],[Agreement Days]]&lt;-60,"Valid Contract")</f>
        <v>Valid Contract</v>
      </c>
      <c r="W657" s="14" t="s">
        <v>19</v>
      </c>
      <c r="X657" s="14" t="s">
        <v>1697</v>
      </c>
      <c r="Y657" s="43" t="s">
        <v>1698</v>
      </c>
      <c r="Z657" s="27">
        <v>788459057</v>
      </c>
      <c r="AA657" s="17"/>
      <c r="AB657" s="116"/>
      <c r="AC657" s="116"/>
    </row>
    <row r="658" spans="1:29" hidden="1" x14ac:dyDescent="0.3">
      <c r="A658" s="18" t="s">
        <v>1694</v>
      </c>
      <c r="B658" s="18" t="s">
        <v>204</v>
      </c>
      <c r="C658" s="18" t="s">
        <v>1706</v>
      </c>
      <c r="D658" s="14" t="s">
        <v>848</v>
      </c>
      <c r="E658" s="18" t="s">
        <v>9</v>
      </c>
      <c r="F658" s="14" t="s">
        <v>517</v>
      </c>
      <c r="G658" s="14" t="s">
        <v>518</v>
      </c>
      <c r="H658" s="18" t="s">
        <v>5</v>
      </c>
      <c r="I658" s="14" t="s">
        <v>117</v>
      </c>
      <c r="J658" s="14">
        <v>1</v>
      </c>
      <c r="K658" s="14" t="s">
        <v>1696</v>
      </c>
      <c r="L658" s="14"/>
      <c r="M658" s="14">
        <v>1</v>
      </c>
      <c r="N658" s="15">
        <v>90000</v>
      </c>
      <c r="O658" s="15">
        <f t="shared" si="26"/>
        <v>90000</v>
      </c>
      <c r="P658" s="15"/>
      <c r="Q658" s="14" t="s">
        <v>520</v>
      </c>
      <c r="R658" s="25">
        <v>45350</v>
      </c>
      <c r="S658" s="22" t="str">
        <f>TEXT(Table1[[#This Row],[End Date]],"MMMM")</f>
        <v>February</v>
      </c>
      <c r="T658" s="23" t="str">
        <f>TEXT(Table1[[#This Row],[End Date]],"YYYY")</f>
        <v>2024</v>
      </c>
      <c r="U658" s="24">
        <f t="shared" ca="1" si="27"/>
        <v>-217</v>
      </c>
      <c r="V658" s="14" t="str" cm="1">
        <f t="array" aca="1" ref="V658" ca="1">_xlfn.IFS(Table1[[#This Row],[Agreement Days]]&gt;=0,"Expired",Table1[[#This Row],[Agreement Days]]&gt;=-30,"Expires &lt; 30 Days",Table1[[#This Row],[Agreement Days]]&gt;=-60,"Expires &lt; 60 Days",Table1[[#This Row],[Agreement Days]]&lt;-60,"Valid Contract")</f>
        <v>Valid Contract</v>
      </c>
      <c r="W658" s="14" t="s">
        <v>19</v>
      </c>
      <c r="X658" s="14" t="s">
        <v>1697</v>
      </c>
      <c r="Y658" s="43" t="s">
        <v>1698</v>
      </c>
      <c r="Z658" s="27">
        <v>788459057</v>
      </c>
      <c r="AA658" s="17"/>
      <c r="AB658" s="116"/>
      <c r="AC658" s="116"/>
    </row>
    <row r="659" spans="1:29" hidden="1" x14ac:dyDescent="0.3">
      <c r="A659" s="18" t="s">
        <v>1694</v>
      </c>
      <c r="B659" s="18" t="s">
        <v>204</v>
      </c>
      <c r="C659" s="18" t="s">
        <v>1707</v>
      </c>
      <c r="D659" s="14" t="s">
        <v>540</v>
      </c>
      <c r="E659" s="18" t="s">
        <v>9</v>
      </c>
      <c r="F659" s="14" t="s">
        <v>517</v>
      </c>
      <c r="G659" s="14" t="s">
        <v>518</v>
      </c>
      <c r="H659" s="18" t="s">
        <v>5</v>
      </c>
      <c r="I659" s="14" t="s">
        <v>117</v>
      </c>
      <c r="J659" s="14">
        <v>1</v>
      </c>
      <c r="K659" s="14" t="s">
        <v>1696</v>
      </c>
      <c r="L659" s="14"/>
      <c r="M659" s="14">
        <v>1</v>
      </c>
      <c r="N659" s="15">
        <v>90000</v>
      </c>
      <c r="O659" s="15">
        <f t="shared" si="26"/>
        <v>90000</v>
      </c>
      <c r="P659" s="15"/>
      <c r="Q659" s="14" t="s">
        <v>520</v>
      </c>
      <c r="R659" s="25">
        <v>45350</v>
      </c>
      <c r="S659" s="22" t="str">
        <f>TEXT(Table1[[#This Row],[End Date]],"MMMM")</f>
        <v>February</v>
      </c>
      <c r="T659" s="23" t="str">
        <f>TEXT(Table1[[#This Row],[End Date]],"YYYY")</f>
        <v>2024</v>
      </c>
      <c r="U659" s="24">
        <f t="shared" ca="1" si="27"/>
        <v>-217</v>
      </c>
      <c r="V659" s="14" t="str" cm="1">
        <f t="array" aca="1" ref="V659" ca="1">_xlfn.IFS(Table1[[#This Row],[Agreement Days]]&gt;=0,"Expired",Table1[[#This Row],[Agreement Days]]&gt;=-30,"Expires &lt; 30 Days",Table1[[#This Row],[Agreement Days]]&gt;=-60,"Expires &lt; 60 Days",Table1[[#This Row],[Agreement Days]]&lt;-60,"Valid Contract")</f>
        <v>Valid Contract</v>
      </c>
      <c r="W659" s="14" t="s">
        <v>19</v>
      </c>
      <c r="X659" s="14" t="s">
        <v>1697</v>
      </c>
      <c r="Y659" s="43" t="s">
        <v>1698</v>
      </c>
      <c r="Z659" s="27">
        <v>788459057</v>
      </c>
      <c r="AA659" s="17"/>
      <c r="AB659" s="116"/>
      <c r="AC659" s="116"/>
    </row>
    <row r="660" spans="1:29" hidden="1" x14ac:dyDescent="0.3">
      <c r="A660" s="18" t="s">
        <v>1694</v>
      </c>
      <c r="B660" s="18" t="s">
        <v>204</v>
      </c>
      <c r="C660" s="18" t="s">
        <v>1708</v>
      </c>
      <c r="D660" s="14" t="s">
        <v>759</v>
      </c>
      <c r="E660" s="18" t="s">
        <v>9</v>
      </c>
      <c r="F660" s="14" t="s">
        <v>517</v>
      </c>
      <c r="G660" s="14" t="s">
        <v>518</v>
      </c>
      <c r="H660" s="18" t="s">
        <v>5</v>
      </c>
      <c r="I660" s="14" t="s">
        <v>117</v>
      </c>
      <c r="J660" s="14">
        <v>1</v>
      </c>
      <c r="K660" s="14" t="s">
        <v>1696</v>
      </c>
      <c r="L660" s="14"/>
      <c r="M660" s="14">
        <v>1</v>
      </c>
      <c r="N660" s="15">
        <v>90000</v>
      </c>
      <c r="O660" s="15">
        <f t="shared" si="26"/>
        <v>90000</v>
      </c>
      <c r="P660" s="15"/>
      <c r="Q660" s="14" t="s">
        <v>520</v>
      </c>
      <c r="R660" s="25">
        <v>45350</v>
      </c>
      <c r="S660" s="22" t="str">
        <f>TEXT(Table1[[#This Row],[End Date]],"MMMM")</f>
        <v>February</v>
      </c>
      <c r="T660" s="23" t="str">
        <f>TEXT(Table1[[#This Row],[End Date]],"YYYY")</f>
        <v>2024</v>
      </c>
      <c r="U660" s="24">
        <f t="shared" ca="1" si="27"/>
        <v>-217</v>
      </c>
      <c r="V660" s="14" t="str" cm="1">
        <f t="array" aca="1" ref="V660" ca="1">_xlfn.IFS(Table1[[#This Row],[Agreement Days]]&gt;=0,"Expired",Table1[[#This Row],[Agreement Days]]&gt;=-30,"Expires &lt; 30 Days",Table1[[#This Row],[Agreement Days]]&gt;=-60,"Expires &lt; 60 Days",Table1[[#This Row],[Agreement Days]]&lt;-60,"Valid Contract")</f>
        <v>Valid Contract</v>
      </c>
      <c r="W660" s="14" t="s">
        <v>19</v>
      </c>
      <c r="X660" s="14" t="s">
        <v>1697</v>
      </c>
      <c r="Y660" s="43" t="s">
        <v>1698</v>
      </c>
      <c r="Z660" s="27">
        <v>788459057</v>
      </c>
      <c r="AA660" s="17"/>
      <c r="AB660" s="116"/>
      <c r="AC660" s="116"/>
    </row>
    <row r="661" spans="1:29" hidden="1" x14ac:dyDescent="0.3">
      <c r="A661" s="18" t="s">
        <v>1694</v>
      </c>
      <c r="B661" s="18" t="s">
        <v>204</v>
      </c>
      <c r="C661" s="18" t="s">
        <v>1709</v>
      </c>
      <c r="D661" s="14" t="s">
        <v>761</v>
      </c>
      <c r="E661" s="18" t="s">
        <v>9</v>
      </c>
      <c r="F661" s="14" t="s">
        <v>517</v>
      </c>
      <c r="G661" s="14" t="s">
        <v>518</v>
      </c>
      <c r="H661" s="18" t="s">
        <v>5</v>
      </c>
      <c r="I661" s="14" t="s">
        <v>117</v>
      </c>
      <c r="J661" s="14">
        <v>1</v>
      </c>
      <c r="K661" s="14" t="s">
        <v>1696</v>
      </c>
      <c r="L661" s="14"/>
      <c r="M661" s="14">
        <v>1</v>
      </c>
      <c r="N661" s="15">
        <v>90000</v>
      </c>
      <c r="O661" s="15">
        <f t="shared" si="26"/>
        <v>90000</v>
      </c>
      <c r="P661" s="15"/>
      <c r="Q661" s="14" t="s">
        <v>520</v>
      </c>
      <c r="R661" s="25">
        <v>45350</v>
      </c>
      <c r="S661" s="22" t="str">
        <f>TEXT(Table1[[#This Row],[End Date]],"MMMM")</f>
        <v>February</v>
      </c>
      <c r="T661" s="23" t="str">
        <f>TEXT(Table1[[#This Row],[End Date]],"YYYY")</f>
        <v>2024</v>
      </c>
      <c r="U661" s="24">
        <f t="shared" ca="1" si="27"/>
        <v>-217</v>
      </c>
      <c r="V661" s="14" t="str" cm="1">
        <f t="array" aca="1" ref="V661" ca="1">_xlfn.IFS(Table1[[#This Row],[Agreement Days]]&gt;=0,"Expired",Table1[[#This Row],[Agreement Days]]&gt;=-30,"Expires &lt; 30 Days",Table1[[#This Row],[Agreement Days]]&gt;=-60,"Expires &lt; 60 Days",Table1[[#This Row],[Agreement Days]]&lt;-60,"Valid Contract")</f>
        <v>Valid Contract</v>
      </c>
      <c r="W661" s="14" t="s">
        <v>19</v>
      </c>
      <c r="X661" s="14" t="s">
        <v>1697</v>
      </c>
      <c r="Y661" s="43" t="s">
        <v>1698</v>
      </c>
      <c r="Z661" s="27">
        <v>788459057</v>
      </c>
      <c r="AA661" s="17"/>
      <c r="AB661" s="116"/>
      <c r="AC661" s="116"/>
    </row>
    <row r="662" spans="1:29" hidden="1" x14ac:dyDescent="0.3">
      <c r="A662" s="18" t="s">
        <v>1694</v>
      </c>
      <c r="B662" s="18" t="s">
        <v>204</v>
      </c>
      <c r="C662" s="18" t="s">
        <v>1710</v>
      </c>
      <c r="D662" s="14" t="s">
        <v>619</v>
      </c>
      <c r="E662" s="18" t="s">
        <v>9</v>
      </c>
      <c r="F662" s="14" t="s">
        <v>517</v>
      </c>
      <c r="G662" s="14" t="s">
        <v>518</v>
      </c>
      <c r="H662" s="18" t="s">
        <v>5</v>
      </c>
      <c r="I662" s="14" t="s">
        <v>117</v>
      </c>
      <c r="J662" s="14">
        <v>1</v>
      </c>
      <c r="K662" s="14" t="s">
        <v>1696</v>
      </c>
      <c r="L662" s="14"/>
      <c r="M662" s="14">
        <v>1</v>
      </c>
      <c r="N662" s="15">
        <v>90000</v>
      </c>
      <c r="O662" s="15">
        <f t="shared" si="26"/>
        <v>90000</v>
      </c>
      <c r="P662" s="15"/>
      <c r="Q662" s="14" t="s">
        <v>520</v>
      </c>
      <c r="R662" s="25">
        <v>45350</v>
      </c>
      <c r="S662" s="22" t="str">
        <f>TEXT(Table1[[#This Row],[End Date]],"MMMM")</f>
        <v>February</v>
      </c>
      <c r="T662" s="23" t="str">
        <f>TEXT(Table1[[#This Row],[End Date]],"YYYY")</f>
        <v>2024</v>
      </c>
      <c r="U662" s="24">
        <f t="shared" ca="1" si="27"/>
        <v>-217</v>
      </c>
      <c r="V662" s="14" t="str" cm="1">
        <f t="array" aca="1" ref="V662" ca="1">_xlfn.IFS(Table1[[#This Row],[Agreement Days]]&gt;=0,"Expired",Table1[[#This Row],[Agreement Days]]&gt;=-30,"Expires &lt; 30 Days",Table1[[#This Row],[Agreement Days]]&gt;=-60,"Expires &lt; 60 Days",Table1[[#This Row],[Agreement Days]]&lt;-60,"Valid Contract")</f>
        <v>Valid Contract</v>
      </c>
      <c r="W662" s="14" t="s">
        <v>19</v>
      </c>
      <c r="X662" s="14" t="s">
        <v>1697</v>
      </c>
      <c r="Y662" s="43" t="s">
        <v>1698</v>
      </c>
      <c r="Z662" s="27">
        <v>788459057</v>
      </c>
      <c r="AA662" s="17"/>
      <c r="AB662" s="116"/>
      <c r="AC662" s="116"/>
    </row>
    <row r="663" spans="1:29" hidden="1" x14ac:dyDescent="0.3">
      <c r="A663" s="18" t="s">
        <v>1694</v>
      </c>
      <c r="B663" s="18" t="s">
        <v>204</v>
      </c>
      <c r="C663" s="18" t="s">
        <v>1711</v>
      </c>
      <c r="D663" s="14" t="s">
        <v>810</v>
      </c>
      <c r="E663" s="18" t="s">
        <v>9</v>
      </c>
      <c r="F663" s="14" t="s">
        <v>517</v>
      </c>
      <c r="G663" s="14" t="s">
        <v>518</v>
      </c>
      <c r="H663" s="18" t="s">
        <v>5</v>
      </c>
      <c r="I663" s="14" t="s">
        <v>117</v>
      </c>
      <c r="J663" s="14">
        <v>1</v>
      </c>
      <c r="K663" s="14" t="s">
        <v>1696</v>
      </c>
      <c r="L663" s="14"/>
      <c r="M663" s="14">
        <v>1</v>
      </c>
      <c r="N663" s="15">
        <v>90000</v>
      </c>
      <c r="O663" s="15">
        <f t="shared" si="26"/>
        <v>90000</v>
      </c>
      <c r="P663" s="15"/>
      <c r="Q663" s="14" t="s">
        <v>520</v>
      </c>
      <c r="R663" s="25">
        <v>45350</v>
      </c>
      <c r="S663" s="22" t="str">
        <f>TEXT(Table1[[#This Row],[End Date]],"MMMM")</f>
        <v>February</v>
      </c>
      <c r="T663" s="23" t="str">
        <f>TEXT(Table1[[#This Row],[End Date]],"YYYY")</f>
        <v>2024</v>
      </c>
      <c r="U663" s="24">
        <f t="shared" ca="1" si="27"/>
        <v>-217</v>
      </c>
      <c r="V663" s="14" t="str" cm="1">
        <f t="array" aca="1" ref="V663" ca="1">_xlfn.IFS(Table1[[#This Row],[Agreement Days]]&gt;=0,"Expired",Table1[[#This Row],[Agreement Days]]&gt;=-30,"Expires &lt; 30 Days",Table1[[#This Row],[Agreement Days]]&gt;=-60,"Expires &lt; 60 Days",Table1[[#This Row],[Agreement Days]]&lt;-60,"Valid Contract")</f>
        <v>Valid Contract</v>
      </c>
      <c r="W663" s="14" t="s">
        <v>19</v>
      </c>
      <c r="X663" s="14" t="s">
        <v>1697</v>
      </c>
      <c r="Y663" s="43" t="s">
        <v>1698</v>
      </c>
      <c r="Z663" s="27">
        <v>788459057</v>
      </c>
      <c r="AA663" s="17"/>
      <c r="AB663" s="116"/>
      <c r="AC663" s="116"/>
    </row>
    <row r="664" spans="1:29" hidden="1" x14ac:dyDescent="0.3">
      <c r="A664" s="18" t="s">
        <v>1694</v>
      </c>
      <c r="B664" s="18" t="s">
        <v>204</v>
      </c>
      <c r="C664" s="18" t="s">
        <v>1712</v>
      </c>
      <c r="D664" s="14" t="s">
        <v>873</v>
      </c>
      <c r="E664" s="18" t="s">
        <v>9</v>
      </c>
      <c r="F664" s="14" t="s">
        <v>517</v>
      </c>
      <c r="G664" s="14" t="s">
        <v>518</v>
      </c>
      <c r="H664" s="18" t="s">
        <v>5</v>
      </c>
      <c r="I664" s="14" t="s">
        <v>117</v>
      </c>
      <c r="J664" s="14">
        <v>1</v>
      </c>
      <c r="K664" s="14" t="s">
        <v>1696</v>
      </c>
      <c r="L664" s="14"/>
      <c r="M664" s="14">
        <v>1</v>
      </c>
      <c r="N664" s="15">
        <v>90000</v>
      </c>
      <c r="O664" s="15">
        <f t="shared" si="26"/>
        <v>90000</v>
      </c>
      <c r="P664" s="15"/>
      <c r="Q664" s="14" t="s">
        <v>520</v>
      </c>
      <c r="R664" s="25">
        <v>45350</v>
      </c>
      <c r="S664" s="22" t="str">
        <f>TEXT(Table1[[#This Row],[End Date]],"MMMM")</f>
        <v>February</v>
      </c>
      <c r="T664" s="23" t="str">
        <f>TEXT(Table1[[#This Row],[End Date]],"YYYY")</f>
        <v>2024</v>
      </c>
      <c r="U664" s="24">
        <f t="shared" ca="1" si="27"/>
        <v>-217</v>
      </c>
      <c r="V664" s="14" t="str" cm="1">
        <f t="array" aca="1" ref="V664" ca="1">_xlfn.IFS(Table1[[#This Row],[Agreement Days]]&gt;=0,"Expired",Table1[[#This Row],[Agreement Days]]&gt;=-30,"Expires &lt; 30 Days",Table1[[#This Row],[Agreement Days]]&gt;=-60,"Expires &lt; 60 Days",Table1[[#This Row],[Agreement Days]]&lt;-60,"Valid Contract")</f>
        <v>Valid Contract</v>
      </c>
      <c r="W664" s="14" t="s">
        <v>19</v>
      </c>
      <c r="X664" s="14" t="s">
        <v>1697</v>
      </c>
      <c r="Y664" s="43" t="s">
        <v>1698</v>
      </c>
      <c r="Z664" s="27">
        <v>788459057</v>
      </c>
      <c r="AA664" s="17"/>
      <c r="AB664" s="116"/>
      <c r="AC664" s="116"/>
    </row>
    <row r="665" spans="1:29" hidden="1" x14ac:dyDescent="0.3">
      <c r="A665" s="18" t="s">
        <v>1694</v>
      </c>
      <c r="B665" s="18" t="s">
        <v>204</v>
      </c>
      <c r="C665" s="18" t="s">
        <v>1713</v>
      </c>
      <c r="D665" s="14" t="s">
        <v>875</v>
      </c>
      <c r="E665" s="18" t="s">
        <v>9</v>
      </c>
      <c r="F665" s="14" t="s">
        <v>517</v>
      </c>
      <c r="G665" s="14" t="s">
        <v>518</v>
      </c>
      <c r="H665" s="18" t="s">
        <v>5</v>
      </c>
      <c r="I665" s="14" t="s">
        <v>117</v>
      </c>
      <c r="J665" s="14">
        <v>1</v>
      </c>
      <c r="K665" s="14" t="s">
        <v>1696</v>
      </c>
      <c r="L665" s="14"/>
      <c r="M665" s="14">
        <v>1</v>
      </c>
      <c r="N665" s="15">
        <v>90000</v>
      </c>
      <c r="O665" s="15">
        <f t="shared" si="26"/>
        <v>90000</v>
      </c>
      <c r="P665" s="15"/>
      <c r="Q665" s="14" t="s">
        <v>520</v>
      </c>
      <c r="R665" s="25">
        <v>45350</v>
      </c>
      <c r="S665" s="22" t="str">
        <f>TEXT(Table1[[#This Row],[End Date]],"MMMM")</f>
        <v>February</v>
      </c>
      <c r="T665" s="23" t="str">
        <f>TEXT(Table1[[#This Row],[End Date]],"YYYY")</f>
        <v>2024</v>
      </c>
      <c r="U665" s="24">
        <f t="shared" ca="1" si="27"/>
        <v>-217</v>
      </c>
      <c r="V665" s="14" t="str" cm="1">
        <f t="array" aca="1" ref="V665" ca="1">_xlfn.IFS(Table1[[#This Row],[Agreement Days]]&gt;=0,"Expired",Table1[[#This Row],[Agreement Days]]&gt;=-30,"Expires &lt; 30 Days",Table1[[#This Row],[Agreement Days]]&gt;=-60,"Expires &lt; 60 Days",Table1[[#This Row],[Agreement Days]]&lt;-60,"Valid Contract")</f>
        <v>Valid Contract</v>
      </c>
      <c r="W665" s="14" t="s">
        <v>19</v>
      </c>
      <c r="X665" s="14" t="s">
        <v>1697</v>
      </c>
      <c r="Y665" s="43" t="s">
        <v>1698</v>
      </c>
      <c r="Z665" s="27">
        <v>788459057</v>
      </c>
      <c r="AA665" s="17"/>
      <c r="AB665" s="122"/>
      <c r="AC665" s="122"/>
    </row>
    <row r="666" spans="1:29" hidden="1" x14ac:dyDescent="0.3">
      <c r="A666" s="18" t="s">
        <v>1694</v>
      </c>
      <c r="B666" s="18" t="s">
        <v>204</v>
      </c>
      <c r="C666" s="18" t="s">
        <v>1714</v>
      </c>
      <c r="D666" s="14" t="s">
        <v>662</v>
      </c>
      <c r="E666" s="18" t="s">
        <v>9</v>
      </c>
      <c r="F666" s="14" t="s">
        <v>517</v>
      </c>
      <c r="G666" s="14" t="s">
        <v>518</v>
      </c>
      <c r="H666" s="18" t="s">
        <v>5</v>
      </c>
      <c r="I666" s="14" t="s">
        <v>117</v>
      </c>
      <c r="J666" s="14">
        <v>1</v>
      </c>
      <c r="K666" s="14" t="s">
        <v>1696</v>
      </c>
      <c r="L666" s="14"/>
      <c r="M666" s="14">
        <v>1</v>
      </c>
      <c r="N666" s="15">
        <v>90000</v>
      </c>
      <c r="O666" s="15">
        <f t="shared" si="26"/>
        <v>90000</v>
      </c>
      <c r="P666" s="15"/>
      <c r="Q666" s="14" t="s">
        <v>520</v>
      </c>
      <c r="R666" s="25">
        <v>45350</v>
      </c>
      <c r="S666" s="22" t="str">
        <f>TEXT(Table1[[#This Row],[End Date]],"MMMM")</f>
        <v>February</v>
      </c>
      <c r="T666" s="23" t="str">
        <f>TEXT(Table1[[#This Row],[End Date]],"YYYY")</f>
        <v>2024</v>
      </c>
      <c r="U666" s="24">
        <f t="shared" ca="1" si="27"/>
        <v>-217</v>
      </c>
      <c r="V666" s="14" t="str" cm="1">
        <f t="array" aca="1" ref="V666" ca="1">_xlfn.IFS(Table1[[#This Row],[Agreement Days]]&gt;=0,"Expired",Table1[[#This Row],[Agreement Days]]&gt;=-30,"Expires &lt; 30 Days",Table1[[#This Row],[Agreement Days]]&gt;=-60,"Expires &lt; 60 Days",Table1[[#This Row],[Agreement Days]]&lt;-60,"Valid Contract")</f>
        <v>Valid Contract</v>
      </c>
      <c r="W666" s="14" t="s">
        <v>19</v>
      </c>
      <c r="X666" s="14" t="s">
        <v>1697</v>
      </c>
      <c r="Y666" s="43" t="s">
        <v>1698</v>
      </c>
      <c r="Z666" s="27">
        <v>788459057</v>
      </c>
      <c r="AA666" s="17"/>
      <c r="AB666" s="122"/>
      <c r="AC666" s="122"/>
    </row>
    <row r="667" spans="1:29" hidden="1" x14ac:dyDescent="0.3">
      <c r="A667" s="18" t="s">
        <v>1694</v>
      </c>
      <c r="B667" s="18" t="s">
        <v>204</v>
      </c>
      <c r="C667" s="18" t="s">
        <v>1715</v>
      </c>
      <c r="D667" s="14" t="s">
        <v>630</v>
      </c>
      <c r="E667" s="18" t="s">
        <v>9</v>
      </c>
      <c r="F667" s="14" t="s">
        <v>517</v>
      </c>
      <c r="G667" s="14" t="s">
        <v>518</v>
      </c>
      <c r="H667" s="18" t="s">
        <v>5</v>
      </c>
      <c r="I667" s="14" t="s">
        <v>117</v>
      </c>
      <c r="J667" s="14">
        <v>1</v>
      </c>
      <c r="K667" s="14" t="s">
        <v>1696</v>
      </c>
      <c r="L667" s="14"/>
      <c r="M667" s="14">
        <v>1</v>
      </c>
      <c r="N667" s="15">
        <v>90000</v>
      </c>
      <c r="O667" s="15">
        <f t="shared" si="26"/>
        <v>90000</v>
      </c>
      <c r="P667" s="15"/>
      <c r="Q667" s="14" t="s">
        <v>520</v>
      </c>
      <c r="R667" s="25">
        <v>45350</v>
      </c>
      <c r="S667" s="22" t="str">
        <f>TEXT(Table1[[#This Row],[End Date]],"MMMM")</f>
        <v>February</v>
      </c>
      <c r="T667" s="23" t="str">
        <f>TEXT(Table1[[#This Row],[End Date]],"YYYY")</f>
        <v>2024</v>
      </c>
      <c r="U667" s="24">
        <f t="shared" ca="1" si="27"/>
        <v>-217</v>
      </c>
      <c r="V667" s="14" t="str" cm="1">
        <f t="array" aca="1" ref="V667" ca="1">_xlfn.IFS(Table1[[#This Row],[Agreement Days]]&gt;=0,"Expired",Table1[[#This Row],[Agreement Days]]&gt;=-30,"Expires &lt; 30 Days",Table1[[#This Row],[Agreement Days]]&gt;=-60,"Expires &lt; 60 Days",Table1[[#This Row],[Agreement Days]]&lt;-60,"Valid Contract")</f>
        <v>Valid Contract</v>
      </c>
      <c r="W667" s="14" t="s">
        <v>19</v>
      </c>
      <c r="X667" s="14" t="s">
        <v>1697</v>
      </c>
      <c r="Y667" s="43" t="s">
        <v>1698</v>
      </c>
      <c r="Z667" s="27">
        <v>788459057</v>
      </c>
      <c r="AA667" s="17"/>
      <c r="AB667" s="116"/>
      <c r="AC667" s="116"/>
    </row>
    <row r="668" spans="1:29" hidden="1" x14ac:dyDescent="0.3">
      <c r="A668" s="18" t="s">
        <v>1716</v>
      </c>
      <c r="B668" s="18" t="s">
        <v>204</v>
      </c>
      <c r="C668" s="18" t="s">
        <v>1717</v>
      </c>
      <c r="D668" s="14" t="s">
        <v>653</v>
      </c>
      <c r="E668" s="18" t="s">
        <v>9</v>
      </c>
      <c r="F668" s="14" t="s">
        <v>517</v>
      </c>
      <c r="G668" s="14" t="s">
        <v>518</v>
      </c>
      <c r="H668" s="18" t="s">
        <v>5</v>
      </c>
      <c r="I668" s="14" t="s">
        <v>117</v>
      </c>
      <c r="J668" s="14">
        <v>1</v>
      </c>
      <c r="K668" s="14" t="s">
        <v>868</v>
      </c>
      <c r="L668" s="14"/>
      <c r="M668" s="14">
        <v>1</v>
      </c>
      <c r="N668" s="15">
        <v>90000</v>
      </c>
      <c r="O668" s="15">
        <f t="shared" si="26"/>
        <v>90000</v>
      </c>
      <c r="P668" s="15"/>
      <c r="Q668" s="14" t="s">
        <v>520</v>
      </c>
      <c r="R668" s="25">
        <v>45350</v>
      </c>
      <c r="S668" s="22" t="str">
        <f>TEXT(Table1[[#This Row],[End Date]],"MMMM")</f>
        <v>February</v>
      </c>
      <c r="T668" s="23" t="str">
        <f>TEXT(Table1[[#This Row],[End Date]],"YYYY")</f>
        <v>2024</v>
      </c>
      <c r="U668" s="24">
        <f t="shared" ca="1" si="27"/>
        <v>-217</v>
      </c>
      <c r="V668" s="14" t="str" cm="1">
        <f t="array" aca="1" ref="V668" ca="1">_xlfn.IFS(Table1[[#This Row],[Agreement Days]]&gt;=0,"Expired",Table1[[#This Row],[Agreement Days]]&gt;=-30,"Expires &lt; 30 Days",Table1[[#This Row],[Agreement Days]]&gt;=-60,"Expires &lt; 60 Days",Table1[[#This Row],[Agreement Days]]&lt;-60,"Valid Contract")</f>
        <v>Valid Contract</v>
      </c>
      <c r="W668" s="14" t="s">
        <v>19</v>
      </c>
      <c r="X668" s="14" t="s">
        <v>1697</v>
      </c>
      <c r="Y668" s="43" t="s">
        <v>1698</v>
      </c>
      <c r="Z668" s="27">
        <v>788459057</v>
      </c>
      <c r="AA668" s="17"/>
      <c r="AB668" s="116"/>
      <c r="AC668" s="116"/>
    </row>
    <row r="669" spans="1:29" hidden="1" x14ac:dyDescent="0.3">
      <c r="A669" s="18" t="s">
        <v>1694</v>
      </c>
      <c r="B669" s="18" t="s">
        <v>204</v>
      </c>
      <c r="C669" s="18" t="s">
        <v>1718</v>
      </c>
      <c r="D669" s="14" t="s">
        <v>1719</v>
      </c>
      <c r="E669" s="18" t="s">
        <v>9</v>
      </c>
      <c r="F669" s="14" t="s">
        <v>517</v>
      </c>
      <c r="G669" s="14" t="s">
        <v>518</v>
      </c>
      <c r="H669" s="18" t="s">
        <v>5</v>
      </c>
      <c r="I669" s="14" t="s">
        <v>117</v>
      </c>
      <c r="J669" s="14">
        <v>1</v>
      </c>
      <c r="K669" s="14" t="s">
        <v>1696</v>
      </c>
      <c r="L669" s="14"/>
      <c r="M669" s="14">
        <v>1</v>
      </c>
      <c r="N669" s="15">
        <v>90000</v>
      </c>
      <c r="O669" s="15">
        <f t="shared" si="26"/>
        <v>90000</v>
      </c>
      <c r="P669" s="15"/>
      <c r="Q669" s="14" t="s">
        <v>520</v>
      </c>
      <c r="R669" s="25">
        <v>45350</v>
      </c>
      <c r="S669" s="22" t="str">
        <f>TEXT(Table1[[#This Row],[End Date]],"MMMM")</f>
        <v>February</v>
      </c>
      <c r="T669" s="23" t="str">
        <f>TEXT(Table1[[#This Row],[End Date]],"YYYY")</f>
        <v>2024</v>
      </c>
      <c r="U669" s="24">
        <f t="shared" ca="1" si="27"/>
        <v>-217</v>
      </c>
      <c r="V669" s="14" t="str" cm="1">
        <f t="array" aca="1" ref="V669" ca="1">_xlfn.IFS(Table1[[#This Row],[Agreement Days]]&gt;=0,"Expired",Table1[[#This Row],[Agreement Days]]&gt;=-30,"Expires &lt; 30 Days",Table1[[#This Row],[Agreement Days]]&gt;=-60,"Expires &lt; 60 Days",Table1[[#This Row],[Agreement Days]]&lt;-60,"Valid Contract")</f>
        <v>Valid Contract</v>
      </c>
      <c r="W669" s="14" t="s">
        <v>19</v>
      </c>
      <c r="X669" s="14" t="s">
        <v>1697</v>
      </c>
      <c r="Y669" s="43" t="s">
        <v>1698</v>
      </c>
      <c r="Z669" s="27">
        <v>788459057</v>
      </c>
      <c r="AA669" s="17"/>
      <c r="AB669" s="116"/>
      <c r="AC669" s="116"/>
    </row>
    <row r="670" spans="1:29" hidden="1" x14ac:dyDescent="0.3">
      <c r="A670" s="18" t="s">
        <v>1694</v>
      </c>
      <c r="B670" s="18" t="s">
        <v>204</v>
      </c>
      <c r="C670" s="18" t="s">
        <v>1720</v>
      </c>
      <c r="D670" s="14" t="s">
        <v>771</v>
      </c>
      <c r="E670" s="18" t="s">
        <v>9</v>
      </c>
      <c r="F670" s="14" t="s">
        <v>517</v>
      </c>
      <c r="G670" s="14" t="s">
        <v>518</v>
      </c>
      <c r="H670" s="18" t="s">
        <v>5</v>
      </c>
      <c r="I670" s="14" t="s">
        <v>117</v>
      </c>
      <c r="J670" s="14">
        <v>1</v>
      </c>
      <c r="K670" s="14" t="s">
        <v>868</v>
      </c>
      <c r="L670" s="14"/>
      <c r="M670" s="14">
        <v>1</v>
      </c>
      <c r="N670" s="15">
        <v>90000</v>
      </c>
      <c r="O670" s="15">
        <f t="shared" si="26"/>
        <v>90000</v>
      </c>
      <c r="P670" s="15"/>
      <c r="Q670" s="14" t="s">
        <v>520</v>
      </c>
      <c r="R670" s="25">
        <v>45350</v>
      </c>
      <c r="S670" s="22" t="str">
        <f>TEXT(Table1[[#This Row],[End Date]],"MMMM")</f>
        <v>February</v>
      </c>
      <c r="T670" s="23" t="str">
        <f>TEXT(Table1[[#This Row],[End Date]],"YYYY")</f>
        <v>2024</v>
      </c>
      <c r="U670" s="24">
        <f t="shared" ca="1" si="27"/>
        <v>-217</v>
      </c>
      <c r="V670" s="14" t="str" cm="1">
        <f t="array" aca="1" ref="V670" ca="1">_xlfn.IFS(Table1[[#This Row],[Agreement Days]]&gt;=0,"Expired",Table1[[#This Row],[Agreement Days]]&gt;=-30,"Expires &lt; 30 Days",Table1[[#This Row],[Agreement Days]]&gt;=-60,"Expires &lt; 60 Days",Table1[[#This Row],[Agreement Days]]&lt;-60,"Valid Contract")</f>
        <v>Valid Contract</v>
      </c>
      <c r="W670" s="14" t="s">
        <v>19</v>
      </c>
      <c r="X670" s="14" t="s">
        <v>1697</v>
      </c>
      <c r="Y670" s="43" t="s">
        <v>1698</v>
      </c>
      <c r="Z670" s="27">
        <v>788459057</v>
      </c>
      <c r="AA670" s="17"/>
      <c r="AB670" s="116"/>
      <c r="AC670" s="116"/>
    </row>
    <row r="671" spans="1:29" hidden="1" x14ac:dyDescent="0.3">
      <c r="A671" s="18" t="s">
        <v>1694</v>
      </c>
      <c r="B671" s="18" t="s">
        <v>204</v>
      </c>
      <c r="C671" s="18" t="s">
        <v>1721</v>
      </c>
      <c r="D671" s="14" t="s">
        <v>645</v>
      </c>
      <c r="E671" s="18" t="s">
        <v>9</v>
      </c>
      <c r="F671" s="14" t="s">
        <v>517</v>
      </c>
      <c r="G671" s="14" t="s">
        <v>518</v>
      </c>
      <c r="H671" s="18" t="s">
        <v>5</v>
      </c>
      <c r="I671" s="14" t="s">
        <v>117</v>
      </c>
      <c r="J671" s="14">
        <v>1</v>
      </c>
      <c r="K671" s="14" t="s">
        <v>1696</v>
      </c>
      <c r="L671" s="14"/>
      <c r="M671" s="14">
        <v>1</v>
      </c>
      <c r="N671" s="15">
        <v>90000</v>
      </c>
      <c r="O671" s="15">
        <f t="shared" si="26"/>
        <v>90000</v>
      </c>
      <c r="P671" s="15"/>
      <c r="Q671" s="14" t="s">
        <v>520</v>
      </c>
      <c r="R671" s="25">
        <v>45350</v>
      </c>
      <c r="S671" s="22" t="str">
        <f>TEXT(Table1[[#This Row],[End Date]],"MMMM")</f>
        <v>February</v>
      </c>
      <c r="T671" s="23" t="str">
        <f>TEXT(Table1[[#This Row],[End Date]],"YYYY")</f>
        <v>2024</v>
      </c>
      <c r="U671" s="24">
        <f t="shared" ca="1" si="27"/>
        <v>-217</v>
      </c>
      <c r="V671" s="14" t="str" cm="1">
        <f t="array" aca="1" ref="V671" ca="1">_xlfn.IFS(Table1[[#This Row],[Agreement Days]]&gt;=0,"Expired",Table1[[#This Row],[Agreement Days]]&gt;=-30,"Expires &lt; 30 Days",Table1[[#This Row],[Agreement Days]]&gt;=-60,"Expires &lt; 60 Days",Table1[[#This Row],[Agreement Days]]&lt;-60,"Valid Contract")</f>
        <v>Valid Contract</v>
      </c>
      <c r="W671" s="14" t="s">
        <v>19</v>
      </c>
      <c r="X671" s="14" t="s">
        <v>1697</v>
      </c>
      <c r="Y671" s="43" t="s">
        <v>1698</v>
      </c>
      <c r="Z671" s="27">
        <v>788459057</v>
      </c>
      <c r="AA671" s="17"/>
      <c r="AB671" s="116"/>
      <c r="AC671" s="116"/>
    </row>
    <row r="672" spans="1:29" hidden="1" x14ac:dyDescent="0.3">
      <c r="A672" s="18" t="s">
        <v>1694</v>
      </c>
      <c r="B672" s="18" t="s">
        <v>204</v>
      </c>
      <c r="C672" s="18" t="s">
        <v>1722</v>
      </c>
      <c r="D672" s="14" t="s">
        <v>516</v>
      </c>
      <c r="E672" s="18" t="s">
        <v>9</v>
      </c>
      <c r="F672" s="14" t="s">
        <v>517</v>
      </c>
      <c r="G672" s="14" t="s">
        <v>518</v>
      </c>
      <c r="H672" s="18" t="s">
        <v>5</v>
      </c>
      <c r="I672" s="14" t="s">
        <v>117</v>
      </c>
      <c r="J672" s="14">
        <v>1</v>
      </c>
      <c r="K672" s="14" t="s">
        <v>1696</v>
      </c>
      <c r="L672" s="14"/>
      <c r="M672" s="14">
        <v>1</v>
      </c>
      <c r="N672" s="15">
        <v>90000</v>
      </c>
      <c r="O672" s="15">
        <f t="shared" si="26"/>
        <v>90000</v>
      </c>
      <c r="P672" s="15"/>
      <c r="Q672" s="14" t="s">
        <v>520</v>
      </c>
      <c r="R672" s="25">
        <v>45350</v>
      </c>
      <c r="S672" s="22" t="str">
        <f>TEXT(Table1[[#This Row],[End Date]],"MMMM")</f>
        <v>February</v>
      </c>
      <c r="T672" s="23" t="str">
        <f>TEXT(Table1[[#This Row],[End Date]],"YYYY")</f>
        <v>2024</v>
      </c>
      <c r="U672" s="24">
        <f t="shared" ca="1" si="27"/>
        <v>-217</v>
      </c>
      <c r="V672" s="14" t="str" cm="1">
        <f t="array" aca="1" ref="V672" ca="1">_xlfn.IFS(Table1[[#This Row],[Agreement Days]]&gt;=0,"Expired",Table1[[#This Row],[Agreement Days]]&gt;=-30,"Expires &lt; 30 Days",Table1[[#This Row],[Agreement Days]]&gt;=-60,"Expires &lt; 60 Days",Table1[[#This Row],[Agreement Days]]&lt;-60,"Valid Contract")</f>
        <v>Valid Contract</v>
      </c>
      <c r="W672" s="14" t="s">
        <v>19</v>
      </c>
      <c r="X672" s="14" t="s">
        <v>1697</v>
      </c>
      <c r="Y672" s="43" t="s">
        <v>1698</v>
      </c>
      <c r="Z672" s="27">
        <v>788459057</v>
      </c>
      <c r="AA672" s="17"/>
      <c r="AB672" s="116"/>
      <c r="AC672" s="116"/>
    </row>
    <row r="673" spans="1:29" hidden="1" x14ac:dyDescent="0.3">
      <c r="A673" s="18" t="s">
        <v>1694</v>
      </c>
      <c r="B673" s="18" t="s">
        <v>204</v>
      </c>
      <c r="C673" s="18" t="s">
        <v>1723</v>
      </c>
      <c r="D673" s="14" t="s">
        <v>735</v>
      </c>
      <c r="E673" s="18" t="s">
        <v>9</v>
      </c>
      <c r="F673" s="14" t="s">
        <v>517</v>
      </c>
      <c r="G673" s="14" t="s">
        <v>518</v>
      </c>
      <c r="H673" s="18" t="s">
        <v>5</v>
      </c>
      <c r="I673" s="14" t="s">
        <v>117</v>
      </c>
      <c r="J673" s="14">
        <v>3</v>
      </c>
      <c r="K673" s="14" t="s">
        <v>1724</v>
      </c>
      <c r="L673" s="14"/>
      <c r="M673" s="14">
        <v>1</v>
      </c>
      <c r="N673" s="15">
        <v>180000</v>
      </c>
      <c r="O673" s="15">
        <f t="shared" si="26"/>
        <v>180000</v>
      </c>
      <c r="P673" s="15"/>
      <c r="Q673" s="14" t="s">
        <v>520</v>
      </c>
      <c r="R673" s="25">
        <v>45350</v>
      </c>
      <c r="S673" s="22" t="str">
        <f>TEXT(Table1[[#This Row],[End Date]],"MMMM")</f>
        <v>February</v>
      </c>
      <c r="T673" s="23" t="str">
        <f>TEXT(Table1[[#This Row],[End Date]],"YYYY")</f>
        <v>2024</v>
      </c>
      <c r="U673" s="24">
        <f t="shared" ca="1" si="27"/>
        <v>-217</v>
      </c>
      <c r="V673" s="14" t="str" cm="1">
        <f t="array" aca="1" ref="V673" ca="1">_xlfn.IFS(Table1[[#This Row],[Agreement Days]]&gt;=0,"Expired",Table1[[#This Row],[Agreement Days]]&gt;=-30,"Expires &lt; 30 Days",Table1[[#This Row],[Agreement Days]]&gt;=-60,"Expires &lt; 60 Days",Table1[[#This Row],[Agreement Days]]&lt;-60,"Valid Contract")</f>
        <v>Valid Contract</v>
      </c>
      <c r="W673" s="14" t="s">
        <v>19</v>
      </c>
      <c r="X673" s="14" t="s">
        <v>1697</v>
      </c>
      <c r="Y673" s="43" t="s">
        <v>1698</v>
      </c>
      <c r="Z673" s="27">
        <v>788459057</v>
      </c>
      <c r="AA673" s="17"/>
      <c r="AB673" s="116"/>
      <c r="AC673" s="116"/>
    </row>
    <row r="674" spans="1:29" hidden="1" x14ac:dyDescent="0.3">
      <c r="A674" s="18" t="s">
        <v>1694</v>
      </c>
      <c r="B674" s="18" t="s">
        <v>204</v>
      </c>
      <c r="C674" s="18" t="s">
        <v>1725</v>
      </c>
      <c r="D674" s="14" t="s">
        <v>579</v>
      </c>
      <c r="E674" s="18" t="s">
        <v>9</v>
      </c>
      <c r="F674" s="14" t="s">
        <v>517</v>
      </c>
      <c r="G674" s="14" t="s">
        <v>518</v>
      </c>
      <c r="H674" s="18" t="s">
        <v>5</v>
      </c>
      <c r="I674" s="14" t="s">
        <v>117</v>
      </c>
      <c r="J674" s="14">
        <v>3</v>
      </c>
      <c r="K674" s="14" t="s">
        <v>1696</v>
      </c>
      <c r="L674" s="14"/>
      <c r="M674" s="14">
        <v>1</v>
      </c>
      <c r="N674" s="15">
        <v>180000</v>
      </c>
      <c r="O674" s="15">
        <f t="shared" si="26"/>
        <v>180000</v>
      </c>
      <c r="P674" s="15"/>
      <c r="Q674" s="14" t="s">
        <v>520</v>
      </c>
      <c r="R674" s="25">
        <v>45350</v>
      </c>
      <c r="S674" s="22" t="str">
        <f>TEXT(Table1[[#This Row],[End Date]],"MMMM")</f>
        <v>February</v>
      </c>
      <c r="T674" s="23" t="str">
        <f>TEXT(Table1[[#This Row],[End Date]],"YYYY")</f>
        <v>2024</v>
      </c>
      <c r="U674" s="24">
        <f t="shared" ca="1" si="27"/>
        <v>-217</v>
      </c>
      <c r="V674" s="14" t="str" cm="1">
        <f t="array" aca="1" ref="V674" ca="1">_xlfn.IFS(Table1[[#This Row],[Agreement Days]]&gt;=0,"Expired",Table1[[#This Row],[Agreement Days]]&gt;=-30,"Expires &lt; 30 Days",Table1[[#This Row],[Agreement Days]]&gt;=-60,"Expires &lt; 60 Days",Table1[[#This Row],[Agreement Days]]&lt;-60,"Valid Contract")</f>
        <v>Valid Contract</v>
      </c>
      <c r="W674" s="14" t="s">
        <v>19</v>
      </c>
      <c r="X674" s="14" t="s">
        <v>1697</v>
      </c>
      <c r="Y674" s="43" t="s">
        <v>1698</v>
      </c>
      <c r="Z674" s="27">
        <v>788459057</v>
      </c>
      <c r="AA674" s="17"/>
      <c r="AB674" s="116"/>
      <c r="AC674" s="116"/>
    </row>
    <row r="675" spans="1:29" hidden="1" x14ac:dyDescent="0.3">
      <c r="A675" s="18" t="s">
        <v>1716</v>
      </c>
      <c r="B675" s="18" t="s">
        <v>204</v>
      </c>
      <c r="C675" s="18" t="s">
        <v>1717</v>
      </c>
      <c r="D675" s="14" t="s">
        <v>653</v>
      </c>
      <c r="E675" s="18" t="s">
        <v>9</v>
      </c>
      <c r="F675" s="14" t="s">
        <v>517</v>
      </c>
      <c r="G675" s="14" t="s">
        <v>518</v>
      </c>
      <c r="H675" s="18" t="s">
        <v>5</v>
      </c>
      <c r="I675" s="14" t="s">
        <v>117</v>
      </c>
      <c r="J675" s="14">
        <v>10</v>
      </c>
      <c r="K675" s="14" t="s">
        <v>884</v>
      </c>
      <c r="L675" s="14"/>
      <c r="M675" s="14">
        <v>1</v>
      </c>
      <c r="N675" s="15">
        <v>510000</v>
      </c>
      <c r="O675" s="15">
        <f t="shared" si="26"/>
        <v>510000</v>
      </c>
      <c r="P675" s="15"/>
      <c r="Q675" s="14" t="s">
        <v>520</v>
      </c>
      <c r="R675" s="25">
        <v>45350</v>
      </c>
      <c r="S675" s="22" t="str">
        <f>TEXT(Table1[[#This Row],[End Date]],"MMMM")</f>
        <v>February</v>
      </c>
      <c r="T675" s="23" t="str">
        <f>TEXT(Table1[[#This Row],[End Date]],"YYYY")</f>
        <v>2024</v>
      </c>
      <c r="U675" s="24">
        <f t="shared" ca="1" si="27"/>
        <v>-217</v>
      </c>
      <c r="V675" s="14" t="str" cm="1">
        <f t="array" aca="1" ref="V675" ca="1">_xlfn.IFS(Table1[[#This Row],[Agreement Days]]&gt;=0,"Expired",Table1[[#This Row],[Agreement Days]]&gt;=-30,"Expires &lt; 30 Days",Table1[[#This Row],[Agreement Days]]&gt;=-60,"Expires &lt; 60 Days",Table1[[#This Row],[Agreement Days]]&lt;-60,"Valid Contract")</f>
        <v>Valid Contract</v>
      </c>
      <c r="W675" s="14" t="s">
        <v>19</v>
      </c>
      <c r="X675" s="14" t="s">
        <v>1697</v>
      </c>
      <c r="Y675" s="43" t="s">
        <v>1698</v>
      </c>
      <c r="Z675" s="27">
        <v>788459057</v>
      </c>
      <c r="AA675" s="17"/>
      <c r="AB675" s="116"/>
      <c r="AC675" s="116"/>
    </row>
    <row r="676" spans="1:29" hidden="1" x14ac:dyDescent="0.3">
      <c r="A676" s="18" t="s">
        <v>1716</v>
      </c>
      <c r="B676" s="18" t="s">
        <v>204</v>
      </c>
      <c r="C676" s="18" t="s">
        <v>1726</v>
      </c>
      <c r="D676" s="14" t="s">
        <v>1140</v>
      </c>
      <c r="E676" s="18" t="s">
        <v>9</v>
      </c>
      <c r="F676" s="14" t="s">
        <v>517</v>
      </c>
      <c r="G676" s="14" t="s">
        <v>518</v>
      </c>
      <c r="H676" s="18" t="s">
        <v>5</v>
      </c>
      <c r="I676" s="14" t="s">
        <v>115</v>
      </c>
      <c r="J676" s="14"/>
      <c r="K676" s="18" t="s">
        <v>651</v>
      </c>
      <c r="L676" s="14"/>
      <c r="M676" s="14">
        <v>1</v>
      </c>
      <c r="N676" s="15">
        <f>96000/1.18</f>
        <v>81355.932203389835</v>
      </c>
      <c r="O676" s="15">
        <f t="shared" si="26"/>
        <v>81355.932203389835</v>
      </c>
      <c r="P676" s="15"/>
      <c r="Q676" s="14" t="s">
        <v>520</v>
      </c>
      <c r="R676" s="25">
        <v>45350</v>
      </c>
      <c r="S676" s="22" t="str">
        <f>TEXT(Table1[[#This Row],[End Date]],"MMMM")</f>
        <v>February</v>
      </c>
      <c r="T676" s="23" t="str">
        <f>TEXT(Table1[[#This Row],[End Date]],"YYYY")</f>
        <v>2024</v>
      </c>
      <c r="U676" s="24">
        <f t="shared" ca="1" si="27"/>
        <v>-217</v>
      </c>
      <c r="V676" s="14" t="str" cm="1">
        <f t="array" aca="1" ref="V676" ca="1">_xlfn.IFS(Table1[[#This Row],[Agreement Days]]&gt;=0,"Expired",Table1[[#This Row],[Agreement Days]]&gt;=-30,"Expires &lt; 30 Days",Table1[[#This Row],[Agreement Days]]&gt;=-60,"Expires &lt; 60 Days",Table1[[#This Row],[Agreement Days]]&lt;-60,"Valid Contract")</f>
        <v>Valid Contract</v>
      </c>
      <c r="W676" s="14" t="s">
        <v>19</v>
      </c>
      <c r="X676" s="14" t="s">
        <v>1697</v>
      </c>
      <c r="Y676" s="43" t="s">
        <v>1698</v>
      </c>
      <c r="Z676" s="27">
        <v>788459057</v>
      </c>
      <c r="AA676" s="17"/>
      <c r="AB676" s="116"/>
      <c r="AC676" s="116"/>
    </row>
    <row r="677" spans="1:29" hidden="1" x14ac:dyDescent="0.3">
      <c r="A677" s="18" t="s">
        <v>1716</v>
      </c>
      <c r="B677" s="18" t="s">
        <v>204</v>
      </c>
      <c r="C677" s="18" t="s">
        <v>1727</v>
      </c>
      <c r="D677" s="14" t="s">
        <v>1280</v>
      </c>
      <c r="E677" s="18" t="s">
        <v>9</v>
      </c>
      <c r="F677" s="14" t="s">
        <v>517</v>
      </c>
      <c r="G677" s="14" t="s">
        <v>518</v>
      </c>
      <c r="H677" s="18" t="s">
        <v>5</v>
      </c>
      <c r="I677" s="14" t="s">
        <v>115</v>
      </c>
      <c r="J677" s="14"/>
      <c r="K677" s="18" t="s">
        <v>651</v>
      </c>
      <c r="L677" s="14"/>
      <c r="M677" s="14">
        <v>1</v>
      </c>
      <c r="N677" s="15">
        <f>96000/1.18</f>
        <v>81355.932203389835</v>
      </c>
      <c r="O677" s="15">
        <f t="shared" si="26"/>
        <v>81355.932203389835</v>
      </c>
      <c r="P677" s="15"/>
      <c r="Q677" s="14" t="s">
        <v>520</v>
      </c>
      <c r="R677" s="25">
        <v>45350</v>
      </c>
      <c r="S677" s="22" t="str">
        <f>TEXT(Table1[[#This Row],[End Date]],"MMMM")</f>
        <v>February</v>
      </c>
      <c r="T677" s="23" t="str">
        <f>TEXT(Table1[[#This Row],[End Date]],"YYYY")</f>
        <v>2024</v>
      </c>
      <c r="U677" s="24">
        <f t="shared" ca="1" si="27"/>
        <v>-217</v>
      </c>
      <c r="V677" s="14" t="str" cm="1">
        <f t="array" aca="1" ref="V677" ca="1">_xlfn.IFS(Table1[[#This Row],[Agreement Days]]&gt;=0,"Expired",Table1[[#This Row],[Agreement Days]]&gt;=-30,"Expires &lt; 30 Days",Table1[[#This Row],[Agreement Days]]&gt;=-60,"Expires &lt; 60 Days",Table1[[#This Row],[Agreement Days]]&lt;-60,"Valid Contract")</f>
        <v>Valid Contract</v>
      </c>
      <c r="W677" s="14" t="s">
        <v>19</v>
      </c>
      <c r="X677" s="14" t="s">
        <v>1697</v>
      </c>
      <c r="Y677" s="43" t="s">
        <v>1698</v>
      </c>
      <c r="Z677" s="27">
        <v>788459057</v>
      </c>
      <c r="AA677" s="17"/>
      <c r="AB677" s="116"/>
      <c r="AC677" s="116"/>
    </row>
    <row r="678" spans="1:29" hidden="1" x14ac:dyDescent="0.3">
      <c r="A678" s="18" t="s">
        <v>1716</v>
      </c>
      <c r="B678" s="18" t="s">
        <v>204</v>
      </c>
      <c r="C678" s="18" t="s">
        <v>1728</v>
      </c>
      <c r="D678" s="14" t="s">
        <v>946</v>
      </c>
      <c r="E678" s="18" t="s">
        <v>9</v>
      </c>
      <c r="F678" s="14" t="s">
        <v>517</v>
      </c>
      <c r="G678" s="14" t="s">
        <v>518</v>
      </c>
      <c r="H678" s="18" t="s">
        <v>5</v>
      </c>
      <c r="I678" s="14" t="s">
        <v>115</v>
      </c>
      <c r="J678" s="14"/>
      <c r="K678" s="18" t="s">
        <v>651</v>
      </c>
      <c r="L678" s="14"/>
      <c r="M678" s="14">
        <v>1</v>
      </c>
      <c r="N678" s="15">
        <f>96000/1.18</f>
        <v>81355.932203389835</v>
      </c>
      <c r="O678" s="15">
        <f t="shared" si="26"/>
        <v>81355.932203389835</v>
      </c>
      <c r="P678" s="15"/>
      <c r="Q678" s="14" t="s">
        <v>520</v>
      </c>
      <c r="R678" s="25">
        <v>45350</v>
      </c>
      <c r="S678" s="22" t="str">
        <f>TEXT(Table1[[#This Row],[End Date]],"MMMM")</f>
        <v>February</v>
      </c>
      <c r="T678" s="23" t="str">
        <f>TEXT(Table1[[#This Row],[End Date]],"YYYY")</f>
        <v>2024</v>
      </c>
      <c r="U678" s="24">
        <f t="shared" ca="1" si="27"/>
        <v>-217</v>
      </c>
      <c r="V678" s="14" t="str" cm="1">
        <f t="array" aca="1" ref="V678" ca="1">_xlfn.IFS(Table1[[#This Row],[Agreement Days]]&gt;=0,"Expired",Table1[[#This Row],[Agreement Days]]&gt;=-30,"Expires &lt; 30 Days",Table1[[#This Row],[Agreement Days]]&gt;=-60,"Expires &lt; 60 Days",Table1[[#This Row],[Agreement Days]]&lt;-60,"Valid Contract")</f>
        <v>Valid Contract</v>
      </c>
      <c r="W678" s="14" t="s">
        <v>19</v>
      </c>
      <c r="X678" s="14" t="s">
        <v>1697</v>
      </c>
      <c r="Y678" s="43" t="s">
        <v>1698</v>
      </c>
      <c r="Z678" s="27">
        <v>788459057</v>
      </c>
      <c r="AA678" s="17"/>
      <c r="AB678" s="116"/>
      <c r="AC678" s="116"/>
    </row>
    <row r="679" spans="1:29" hidden="1" x14ac:dyDescent="0.3">
      <c r="A679" s="18" t="s">
        <v>1729</v>
      </c>
      <c r="B679" s="18" t="s">
        <v>263</v>
      </c>
      <c r="C679" s="18" t="s">
        <v>263</v>
      </c>
      <c r="D679" s="14" t="s">
        <v>545</v>
      </c>
      <c r="E679" s="18" t="s">
        <v>10</v>
      </c>
      <c r="F679" s="20" t="s">
        <v>688</v>
      </c>
      <c r="G679" s="20" t="s">
        <v>518</v>
      </c>
      <c r="H679" s="18" t="s">
        <v>5</v>
      </c>
      <c r="I679" s="14" t="s">
        <v>115</v>
      </c>
      <c r="J679" s="14"/>
      <c r="K679" s="14" t="s">
        <v>1730</v>
      </c>
      <c r="L679" s="14"/>
      <c r="M679" s="14">
        <v>20</v>
      </c>
      <c r="N679" s="15">
        <f>91700/1.18</f>
        <v>77711.86440677967</v>
      </c>
      <c r="O679" s="15">
        <f t="shared" si="26"/>
        <v>1554237.2881355933</v>
      </c>
      <c r="P679" s="15"/>
      <c r="Q679" s="14" t="s">
        <v>504</v>
      </c>
      <c r="R679" s="25">
        <v>45350</v>
      </c>
      <c r="S679" s="22" t="str">
        <f>TEXT(Table1[[#This Row],[End Date]],"MMMM")</f>
        <v>February</v>
      </c>
      <c r="T679" s="23" t="str">
        <f>TEXT(Table1[[#This Row],[End Date]],"YYYY")</f>
        <v>2024</v>
      </c>
      <c r="U679" s="24">
        <f t="shared" ca="1" si="27"/>
        <v>-217</v>
      </c>
      <c r="V679" s="14" t="str" cm="1">
        <f t="array" aca="1" ref="V679" ca="1">_xlfn.IFS(Table1[[#This Row],[Agreement Days]]&gt;=0,"Expired",Table1[[#This Row],[Agreement Days]]&gt;=-30,"Expires &lt; 30 Days",Table1[[#This Row],[Agreement Days]]&gt;=-60,"Expires &lt; 60 Days",Table1[[#This Row],[Agreement Days]]&lt;-60,"Valid Contract")</f>
        <v>Valid Contract</v>
      </c>
      <c r="W679" s="14" t="s">
        <v>21</v>
      </c>
      <c r="X679" s="14" t="s">
        <v>1731</v>
      </c>
      <c r="Y679" s="33" t="s">
        <v>1732</v>
      </c>
      <c r="Z679" s="27" t="s">
        <v>1733</v>
      </c>
      <c r="AA679" s="14"/>
      <c r="AB679" s="116"/>
      <c r="AC679" s="116"/>
    </row>
    <row r="680" spans="1:29" x14ac:dyDescent="0.3">
      <c r="A680" s="18" t="s">
        <v>1734</v>
      </c>
      <c r="B680" s="18" t="s">
        <v>366</v>
      </c>
      <c r="C680" s="18" t="s">
        <v>1735</v>
      </c>
      <c r="D680" s="14" t="s">
        <v>545</v>
      </c>
      <c r="E680" s="18" t="s">
        <v>10</v>
      </c>
      <c r="F680" s="14" t="s">
        <v>693</v>
      </c>
      <c r="G680" s="14" t="s">
        <v>518</v>
      </c>
      <c r="H680" s="18" t="s">
        <v>5</v>
      </c>
      <c r="I680" s="14" t="s">
        <v>134</v>
      </c>
      <c r="J680" s="14">
        <v>10</v>
      </c>
      <c r="K680" s="14" t="s">
        <v>1160</v>
      </c>
      <c r="L680" s="14"/>
      <c r="M680" s="14">
        <v>1</v>
      </c>
      <c r="N680" s="15">
        <v>510000</v>
      </c>
      <c r="O680" s="15">
        <f t="shared" si="26"/>
        <v>510000</v>
      </c>
      <c r="P680" s="15"/>
      <c r="Q680" s="14" t="s">
        <v>520</v>
      </c>
      <c r="R680" s="25">
        <v>45350</v>
      </c>
      <c r="S680" s="22" t="str">
        <f>TEXT(Table1[[#This Row],[End Date]],"MMMM")</f>
        <v>February</v>
      </c>
      <c r="T680" s="23" t="str">
        <f>TEXT(Table1[[#This Row],[End Date]],"YYYY")</f>
        <v>2024</v>
      </c>
      <c r="U680" s="24">
        <f t="shared" ca="1" si="27"/>
        <v>-217</v>
      </c>
      <c r="V680" s="14" t="str" cm="1">
        <f t="array" aca="1" ref="V680" ca="1">_xlfn.IFS(Table1[[#This Row],[Agreement Days]]&gt;=0,"Expired",Table1[[#This Row],[Agreement Days]]&gt;=-30,"Expires &lt; 30 Days",Table1[[#This Row],[Agreement Days]]&gt;=-60,"Expires &lt; 60 Days",Table1[[#This Row],[Agreement Days]]&lt;-60,"Valid Contract")</f>
        <v>Valid Contract</v>
      </c>
      <c r="W680" s="14" t="s">
        <v>12</v>
      </c>
      <c r="X680" s="14" t="s">
        <v>1736</v>
      </c>
      <c r="Y680" s="16" t="s">
        <v>1737</v>
      </c>
      <c r="Z680" s="27" t="s">
        <v>1738</v>
      </c>
      <c r="AA680" s="17"/>
      <c r="AB680" s="116"/>
      <c r="AC680" s="116"/>
    </row>
    <row r="681" spans="1:29" hidden="1" x14ac:dyDescent="0.3">
      <c r="A681" s="18" t="s">
        <v>1739</v>
      </c>
      <c r="B681" s="18" t="s">
        <v>83</v>
      </c>
      <c r="C681" s="18" t="s">
        <v>83</v>
      </c>
      <c r="D681" s="14" t="s">
        <v>759</v>
      </c>
      <c r="E681" s="18" t="s">
        <v>9</v>
      </c>
      <c r="F681" s="14" t="s">
        <v>631</v>
      </c>
      <c r="G681" s="14" t="s">
        <v>518</v>
      </c>
      <c r="H681" s="18" t="s">
        <v>5</v>
      </c>
      <c r="I681" s="14" t="s">
        <v>117</v>
      </c>
      <c r="J681" s="14">
        <v>3</v>
      </c>
      <c r="K681" s="14" t="s">
        <v>632</v>
      </c>
      <c r="L681" s="14"/>
      <c r="M681" s="14">
        <v>1</v>
      </c>
      <c r="N681" s="15">
        <v>180000</v>
      </c>
      <c r="O681" s="15">
        <f t="shared" si="26"/>
        <v>180000</v>
      </c>
      <c r="P681" s="15"/>
      <c r="Q681" s="14" t="s">
        <v>520</v>
      </c>
      <c r="R681" s="25">
        <v>45350</v>
      </c>
      <c r="S681" s="22" t="str">
        <f>TEXT(Table1[[#This Row],[End Date]],"MMMM")</f>
        <v>February</v>
      </c>
      <c r="T681" s="23" t="str">
        <f>TEXT(Table1[[#This Row],[End Date]],"YYYY")</f>
        <v>2024</v>
      </c>
      <c r="U681" s="24">
        <f t="shared" ca="1" si="27"/>
        <v>-217</v>
      </c>
      <c r="V681" s="14" t="str" cm="1">
        <f t="array" aca="1" ref="V681" ca="1">_xlfn.IFS(Table1[[#This Row],[Agreement Days]]&gt;=0,"Expired",Table1[[#This Row],[Agreement Days]]&gt;=-30,"Expires &lt; 30 Days",Table1[[#This Row],[Agreement Days]]&gt;=-60,"Expires &lt; 60 Days",Table1[[#This Row],[Agreement Days]]&lt;-60,"Valid Contract")</f>
        <v>Valid Contract</v>
      </c>
      <c r="W681" s="14" t="s">
        <v>13</v>
      </c>
      <c r="X681" s="14" t="s">
        <v>1740</v>
      </c>
      <c r="Y681" s="43" t="s">
        <v>1741</v>
      </c>
      <c r="Z681" s="27">
        <v>788683002</v>
      </c>
      <c r="AA681" s="17"/>
      <c r="AB681" s="116"/>
      <c r="AC681" s="116"/>
    </row>
    <row r="682" spans="1:29" x14ac:dyDescent="0.3">
      <c r="A682" s="18" t="s">
        <v>1742</v>
      </c>
      <c r="B682" s="18" t="s">
        <v>180</v>
      </c>
      <c r="C682" s="18" t="s">
        <v>1743</v>
      </c>
      <c r="D682" s="14" t="s">
        <v>653</v>
      </c>
      <c r="E682" s="18" t="s">
        <v>9</v>
      </c>
      <c r="F682" s="14" t="s">
        <v>517</v>
      </c>
      <c r="G682" s="14" t="s">
        <v>518</v>
      </c>
      <c r="H682" s="18" t="s">
        <v>5</v>
      </c>
      <c r="I682" s="14" t="s">
        <v>115</v>
      </c>
      <c r="J682" s="14"/>
      <c r="K682" s="18" t="s">
        <v>643</v>
      </c>
      <c r="L682" s="14"/>
      <c r="M682" s="14">
        <v>11</v>
      </c>
      <c r="N682" s="15">
        <v>28305.084746</v>
      </c>
      <c r="O682" s="15">
        <f t="shared" si="26"/>
        <v>311355.93220600003</v>
      </c>
      <c r="P682" s="15"/>
      <c r="Q682" s="14" t="s">
        <v>520</v>
      </c>
      <c r="R682" s="25">
        <v>45350</v>
      </c>
      <c r="S682" s="22" t="str">
        <f>TEXT(Table1[[#This Row],[End Date]],"MMMM")</f>
        <v>February</v>
      </c>
      <c r="T682" s="23" t="str">
        <f>TEXT(Table1[[#This Row],[End Date]],"YYYY")</f>
        <v>2024</v>
      </c>
      <c r="U682" s="24">
        <f t="shared" ca="1" si="27"/>
        <v>-217</v>
      </c>
      <c r="V682" s="14" t="str" cm="1">
        <f t="array" aca="1" ref="V682" ca="1">_xlfn.IFS(Table1[[#This Row],[Agreement Days]]&gt;=0,"Expired",Table1[[#This Row],[Agreement Days]]&gt;=-30,"Expires &lt; 30 Days",Table1[[#This Row],[Agreement Days]]&gt;=-60,"Expires &lt; 60 Days",Table1[[#This Row],[Agreement Days]]&lt;-60,"Valid Contract")</f>
        <v>Valid Contract</v>
      </c>
      <c r="W682" s="14" t="s">
        <v>12</v>
      </c>
      <c r="X682" s="14" t="s">
        <v>1744</v>
      </c>
      <c r="Y682" s="16" t="s">
        <v>1745</v>
      </c>
      <c r="Z682" s="27" t="s">
        <v>1746</v>
      </c>
      <c r="AA682" s="17"/>
      <c r="AB682" s="116"/>
      <c r="AC682" s="116"/>
    </row>
    <row r="683" spans="1:29" hidden="1" x14ac:dyDescent="0.3">
      <c r="A683" s="18" t="s">
        <v>1747</v>
      </c>
      <c r="B683" s="18" t="s">
        <v>317</v>
      </c>
      <c r="C683" s="18" t="s">
        <v>1748</v>
      </c>
      <c r="D683" s="14" t="s">
        <v>645</v>
      </c>
      <c r="E683" s="18" t="s">
        <v>9</v>
      </c>
      <c r="F683" s="14" t="s">
        <v>688</v>
      </c>
      <c r="G683" s="14" t="s">
        <v>518</v>
      </c>
      <c r="H683" s="18" t="s">
        <v>5</v>
      </c>
      <c r="I683" s="14" t="s">
        <v>117</v>
      </c>
      <c r="J683" s="14">
        <v>5</v>
      </c>
      <c r="K683" s="18" t="s">
        <v>519</v>
      </c>
      <c r="L683" s="18"/>
      <c r="M683" s="14">
        <v>1</v>
      </c>
      <c r="N683" s="15">
        <v>270000</v>
      </c>
      <c r="O683" s="15">
        <f t="shared" si="26"/>
        <v>270000</v>
      </c>
      <c r="P683" s="15"/>
      <c r="Q683" s="14" t="s">
        <v>520</v>
      </c>
      <c r="R683" s="25">
        <v>45350</v>
      </c>
      <c r="S683" s="34" t="str">
        <f>TEXT(Table1[[#This Row],[End Date]],"MMMM")</f>
        <v>February</v>
      </c>
      <c r="T683" s="34" t="str">
        <f>TEXT(Table1[[#This Row],[End Date]],"YYYY")</f>
        <v>2024</v>
      </c>
      <c r="U683" s="24">
        <f t="shared" ca="1" si="27"/>
        <v>-217</v>
      </c>
      <c r="V683" s="14" t="str" cm="1">
        <f t="array" aca="1" ref="V683" ca="1">_xlfn.IFS(Table1[[#This Row],[Agreement Days]]&gt;=0,"Expired",Table1[[#This Row],[Agreement Days]]&gt;=-30,"Expires &lt; 30 Days",Table1[[#This Row],[Agreement Days]]&gt;=-60,"Expires &lt; 60 Days",Table1[[#This Row],[Agreement Days]]&lt;-60,"Valid Contract")</f>
        <v>Valid Contract</v>
      </c>
      <c r="W683" s="18" t="s">
        <v>21</v>
      </c>
      <c r="X683" s="18" t="s">
        <v>1749</v>
      </c>
      <c r="Y683" s="42" t="s">
        <v>1750</v>
      </c>
      <c r="Z683" s="27">
        <v>788855310</v>
      </c>
      <c r="AA683" s="27"/>
      <c r="AB683" s="116"/>
      <c r="AC683" s="116"/>
    </row>
    <row r="684" spans="1:29" x14ac:dyDescent="0.3">
      <c r="A684" s="18" t="s">
        <v>1751</v>
      </c>
      <c r="B684" s="18" t="s">
        <v>192</v>
      </c>
      <c r="C684" s="18" t="s">
        <v>1752</v>
      </c>
      <c r="D684" s="14" t="s">
        <v>545</v>
      </c>
      <c r="E684" s="18" t="s">
        <v>9</v>
      </c>
      <c r="F684" s="14" t="s">
        <v>517</v>
      </c>
      <c r="G684" s="14" t="s">
        <v>546</v>
      </c>
      <c r="H684" s="18" t="s">
        <v>2</v>
      </c>
      <c r="I684" s="14" t="s">
        <v>118</v>
      </c>
      <c r="J684" s="14"/>
      <c r="K684" s="14" t="s">
        <v>1753</v>
      </c>
      <c r="L684" s="14"/>
      <c r="M684" s="14">
        <v>1</v>
      </c>
      <c r="N684" s="15">
        <v>541585</v>
      </c>
      <c r="O684" s="15">
        <f t="shared" si="26"/>
        <v>541585</v>
      </c>
      <c r="P684" s="15"/>
      <c r="Q684" s="14" t="s">
        <v>520</v>
      </c>
      <c r="R684" s="25">
        <v>45350</v>
      </c>
      <c r="S684" s="22" t="str">
        <f>TEXT(Table1[[#This Row],[End Date]],"MMMM")</f>
        <v>February</v>
      </c>
      <c r="T684" s="23" t="str">
        <f>TEXT(Table1[[#This Row],[End Date]],"YYYY")</f>
        <v>2024</v>
      </c>
      <c r="U684" s="24">
        <f t="shared" ca="1" si="27"/>
        <v>-217</v>
      </c>
      <c r="V684" s="14" t="str" cm="1">
        <f t="array" aca="1" ref="V684" ca="1">_xlfn.IFS(Table1[[#This Row],[Agreement Days]]&gt;=0,"Expired",Table1[[#This Row],[Agreement Days]]&gt;=-30,"Expires &lt; 30 Days",Table1[[#This Row],[Agreement Days]]&gt;=-60,"Expires &lt; 60 Days",Table1[[#This Row],[Agreement Days]]&lt;-60,"Valid Contract")</f>
        <v>Valid Contract</v>
      </c>
      <c r="W684" s="14" t="s">
        <v>12</v>
      </c>
      <c r="X684" s="14" t="s">
        <v>1754</v>
      </c>
      <c r="Y684" s="16" t="s">
        <v>1755</v>
      </c>
      <c r="Z684" s="27" t="s">
        <v>1756</v>
      </c>
      <c r="AA684" s="17"/>
      <c r="AB684" s="116"/>
      <c r="AC684" s="116"/>
    </row>
    <row r="685" spans="1:29" x14ac:dyDescent="0.3">
      <c r="A685" s="18" t="s">
        <v>1751</v>
      </c>
      <c r="B685" s="18" t="s">
        <v>192</v>
      </c>
      <c r="C685" s="18" t="s">
        <v>1757</v>
      </c>
      <c r="D685" s="14" t="s">
        <v>545</v>
      </c>
      <c r="E685" s="18" t="s">
        <v>9</v>
      </c>
      <c r="F685" s="14" t="s">
        <v>517</v>
      </c>
      <c r="G685" s="14" t="s">
        <v>546</v>
      </c>
      <c r="H685" s="18" t="s">
        <v>5</v>
      </c>
      <c r="I685" s="14" t="s">
        <v>115</v>
      </c>
      <c r="J685" s="14"/>
      <c r="K685" s="14" t="s">
        <v>1758</v>
      </c>
      <c r="L685" s="14"/>
      <c r="M685" s="14">
        <v>1</v>
      </c>
      <c r="N685" s="15">
        <v>13559.322033</v>
      </c>
      <c r="O685" s="15">
        <f t="shared" si="26"/>
        <v>13559.322033</v>
      </c>
      <c r="P685" s="15"/>
      <c r="Q685" s="14" t="s">
        <v>520</v>
      </c>
      <c r="R685" s="25">
        <v>45350</v>
      </c>
      <c r="S685" s="22" t="str">
        <f>TEXT(Table1[[#This Row],[End Date]],"MMMM")</f>
        <v>February</v>
      </c>
      <c r="T685" s="23" t="str">
        <f>TEXT(Table1[[#This Row],[End Date]],"YYYY")</f>
        <v>2024</v>
      </c>
      <c r="U685" s="24">
        <f t="shared" ca="1" si="27"/>
        <v>-217</v>
      </c>
      <c r="V685" s="14" t="str" cm="1">
        <f t="array" aca="1" ref="V685" ca="1">_xlfn.IFS(Table1[[#This Row],[Agreement Days]]&gt;=0,"Expired",Table1[[#This Row],[Agreement Days]]&gt;=-30,"Expires &lt; 30 Days",Table1[[#This Row],[Agreement Days]]&gt;=-60,"Expires &lt; 60 Days",Table1[[#This Row],[Agreement Days]]&lt;-60,"Valid Contract")</f>
        <v>Valid Contract</v>
      </c>
      <c r="W685" s="14" t="s">
        <v>12</v>
      </c>
      <c r="X685" s="14" t="s">
        <v>1754</v>
      </c>
      <c r="Y685" s="16" t="s">
        <v>1755</v>
      </c>
      <c r="Z685" s="27" t="s">
        <v>1756</v>
      </c>
      <c r="AA685" s="17"/>
      <c r="AB685" s="116"/>
      <c r="AC685" s="116"/>
    </row>
    <row r="686" spans="1:29" x14ac:dyDescent="0.3">
      <c r="A686" s="18" t="s">
        <v>1751</v>
      </c>
      <c r="B686" s="18" t="s">
        <v>192</v>
      </c>
      <c r="C686" s="18" t="s">
        <v>1757</v>
      </c>
      <c r="D686" s="14" t="s">
        <v>545</v>
      </c>
      <c r="E686" s="18" t="s">
        <v>9</v>
      </c>
      <c r="F686" s="14" t="s">
        <v>517</v>
      </c>
      <c r="G686" s="14" t="s">
        <v>546</v>
      </c>
      <c r="H686" s="18" t="s">
        <v>5</v>
      </c>
      <c r="I686" s="14" t="s">
        <v>115</v>
      </c>
      <c r="J686" s="14"/>
      <c r="K686" s="18" t="s">
        <v>573</v>
      </c>
      <c r="L686" s="14"/>
      <c r="M686" s="14">
        <v>6</v>
      </c>
      <c r="N686" s="15">
        <v>19491.525423999999</v>
      </c>
      <c r="O686" s="15">
        <f t="shared" si="26"/>
        <v>116949.152544</v>
      </c>
      <c r="P686" s="15"/>
      <c r="Q686" s="14" t="s">
        <v>520</v>
      </c>
      <c r="R686" s="25">
        <v>45350</v>
      </c>
      <c r="S686" s="22" t="str">
        <f>TEXT(Table1[[#This Row],[End Date]],"MMMM")</f>
        <v>February</v>
      </c>
      <c r="T686" s="23" t="str">
        <f>TEXT(Table1[[#This Row],[End Date]],"YYYY")</f>
        <v>2024</v>
      </c>
      <c r="U686" s="24">
        <f t="shared" ca="1" si="27"/>
        <v>-217</v>
      </c>
      <c r="V686" s="14" t="str" cm="1">
        <f t="array" aca="1" ref="V686" ca="1">_xlfn.IFS(Table1[[#This Row],[Agreement Days]]&gt;=0,"Expired",Table1[[#This Row],[Agreement Days]]&gt;=-30,"Expires &lt; 30 Days",Table1[[#This Row],[Agreement Days]]&gt;=-60,"Expires &lt; 60 Days",Table1[[#This Row],[Agreement Days]]&lt;-60,"Valid Contract")</f>
        <v>Valid Contract</v>
      </c>
      <c r="W686" s="14" t="s">
        <v>12</v>
      </c>
      <c r="X686" s="14" t="s">
        <v>1754</v>
      </c>
      <c r="Y686" s="16" t="s">
        <v>1755</v>
      </c>
      <c r="Z686" s="27" t="s">
        <v>1756</v>
      </c>
      <c r="AA686" s="17"/>
      <c r="AB686" s="116"/>
      <c r="AC686" s="116"/>
    </row>
    <row r="687" spans="1:29" x14ac:dyDescent="0.3">
      <c r="A687" s="18" t="s">
        <v>1751</v>
      </c>
      <c r="B687" s="18" t="s">
        <v>192</v>
      </c>
      <c r="C687" s="18" t="s">
        <v>1757</v>
      </c>
      <c r="D687" s="14" t="s">
        <v>545</v>
      </c>
      <c r="E687" s="18" t="s">
        <v>9</v>
      </c>
      <c r="F687" s="14" t="s">
        <v>517</v>
      </c>
      <c r="G687" s="14" t="s">
        <v>546</v>
      </c>
      <c r="H687" s="18" t="s">
        <v>5</v>
      </c>
      <c r="I687" s="14" t="s">
        <v>115</v>
      </c>
      <c r="J687" s="14"/>
      <c r="K687" s="18" t="s">
        <v>643</v>
      </c>
      <c r="L687" s="14"/>
      <c r="M687" s="14">
        <v>10</v>
      </c>
      <c r="N687" s="15">
        <v>28305.084746</v>
      </c>
      <c r="O687" s="15">
        <f t="shared" si="26"/>
        <v>283050.84746000002</v>
      </c>
      <c r="P687" s="15"/>
      <c r="Q687" s="14" t="s">
        <v>520</v>
      </c>
      <c r="R687" s="25">
        <v>45350</v>
      </c>
      <c r="S687" s="22" t="str">
        <f>TEXT(Table1[[#This Row],[End Date]],"MMMM")</f>
        <v>February</v>
      </c>
      <c r="T687" s="23" t="str">
        <f>TEXT(Table1[[#This Row],[End Date]],"YYYY")</f>
        <v>2024</v>
      </c>
      <c r="U687" s="24">
        <f t="shared" ca="1" si="27"/>
        <v>-217</v>
      </c>
      <c r="V687" s="14" t="str" cm="1">
        <f t="array" aca="1" ref="V687" ca="1">_xlfn.IFS(Table1[[#This Row],[Agreement Days]]&gt;=0,"Expired",Table1[[#This Row],[Agreement Days]]&gt;=-30,"Expires &lt; 30 Days",Table1[[#This Row],[Agreement Days]]&gt;=-60,"Expires &lt; 60 Days",Table1[[#This Row],[Agreement Days]]&lt;-60,"Valid Contract")</f>
        <v>Valid Contract</v>
      </c>
      <c r="W687" s="14" t="s">
        <v>12</v>
      </c>
      <c r="X687" s="14" t="s">
        <v>1754</v>
      </c>
      <c r="Y687" s="16" t="s">
        <v>1755</v>
      </c>
      <c r="Z687" s="27" t="s">
        <v>1756</v>
      </c>
      <c r="AA687" s="17"/>
      <c r="AB687" s="116"/>
      <c r="AC687" s="116"/>
    </row>
    <row r="688" spans="1:29" x14ac:dyDescent="0.3">
      <c r="A688" s="18" t="s">
        <v>1751</v>
      </c>
      <c r="B688" s="18" t="s">
        <v>192</v>
      </c>
      <c r="C688" s="18" t="s">
        <v>1757</v>
      </c>
      <c r="D688" s="14" t="s">
        <v>545</v>
      </c>
      <c r="E688" s="18" t="s">
        <v>9</v>
      </c>
      <c r="F688" s="14" t="s">
        <v>517</v>
      </c>
      <c r="G688" s="14" t="s">
        <v>546</v>
      </c>
      <c r="H688" s="18" t="s">
        <v>5</v>
      </c>
      <c r="I688" s="14" t="s">
        <v>115</v>
      </c>
      <c r="J688" s="14"/>
      <c r="K688" s="14" t="s">
        <v>1245</v>
      </c>
      <c r="L688" s="14"/>
      <c r="M688" s="14">
        <v>12</v>
      </c>
      <c r="N688" s="15">
        <v>45338.983051000003</v>
      </c>
      <c r="O688" s="15">
        <f t="shared" si="26"/>
        <v>544067.79661200009</v>
      </c>
      <c r="P688" s="15"/>
      <c r="Q688" s="14" t="s">
        <v>520</v>
      </c>
      <c r="R688" s="25">
        <v>45350</v>
      </c>
      <c r="S688" s="22" t="str">
        <f>TEXT(Table1[[#This Row],[End Date]],"MMMM")</f>
        <v>February</v>
      </c>
      <c r="T688" s="23" t="str">
        <f>TEXT(Table1[[#This Row],[End Date]],"YYYY")</f>
        <v>2024</v>
      </c>
      <c r="U688" s="24">
        <f t="shared" ca="1" si="27"/>
        <v>-217</v>
      </c>
      <c r="V688" s="14" t="str" cm="1">
        <f t="array" aca="1" ref="V688" ca="1">_xlfn.IFS(Table1[[#This Row],[Agreement Days]]&gt;=0,"Expired",Table1[[#This Row],[Agreement Days]]&gt;=-30,"Expires &lt; 30 Days",Table1[[#This Row],[Agreement Days]]&gt;=-60,"Expires &lt; 60 Days",Table1[[#This Row],[Agreement Days]]&lt;-60,"Valid Contract")</f>
        <v>Valid Contract</v>
      </c>
      <c r="W688" s="14" t="s">
        <v>12</v>
      </c>
      <c r="X688" s="14" t="s">
        <v>1754</v>
      </c>
      <c r="Y688" s="16" t="s">
        <v>1755</v>
      </c>
      <c r="Z688" s="27" t="s">
        <v>1756</v>
      </c>
      <c r="AA688" s="17"/>
      <c r="AB688" s="116"/>
      <c r="AC688" s="116"/>
    </row>
    <row r="689" spans="1:29" hidden="1" x14ac:dyDescent="0.3">
      <c r="A689" s="18" t="s">
        <v>1759</v>
      </c>
      <c r="B689" s="18" t="s">
        <v>243</v>
      </c>
      <c r="C689" s="18" t="s">
        <v>1760</v>
      </c>
      <c r="D689" s="14" t="s">
        <v>545</v>
      </c>
      <c r="E689" s="18" t="s">
        <v>9</v>
      </c>
      <c r="F689" s="14" t="s">
        <v>693</v>
      </c>
      <c r="G689" s="14" t="s">
        <v>518</v>
      </c>
      <c r="H689" s="18" t="s">
        <v>2</v>
      </c>
      <c r="I689" s="14" t="s">
        <v>117</v>
      </c>
      <c r="J689" s="14">
        <v>30</v>
      </c>
      <c r="K689" s="14" t="s">
        <v>694</v>
      </c>
      <c r="L689" s="14"/>
      <c r="M689" s="14">
        <v>1</v>
      </c>
      <c r="N689" s="15">
        <v>1260000</v>
      </c>
      <c r="O689" s="15">
        <f t="shared" si="26"/>
        <v>1260000</v>
      </c>
      <c r="P689" s="15"/>
      <c r="Q689" s="14" t="s">
        <v>520</v>
      </c>
      <c r="R689" s="25">
        <v>45350</v>
      </c>
      <c r="S689" s="22" t="str">
        <f>TEXT(Table1[[#This Row],[End Date]],"MMMM")</f>
        <v>February</v>
      </c>
      <c r="T689" s="22" t="str">
        <f>TEXT(Table1[[#This Row],[End Date]],"YYYY")</f>
        <v>2024</v>
      </c>
      <c r="U689" s="24">
        <f t="shared" ca="1" si="27"/>
        <v>-217</v>
      </c>
      <c r="V689" s="14" t="str" cm="1">
        <f t="array" aca="1" ref="V689" ca="1">_xlfn.IFS(Table1[[#This Row],[Agreement Days]]&gt;=0,"Expired",Table1[[#This Row],[Agreement Days]]&gt;=-30,"Expires &lt; 30 Days",Table1[[#This Row],[Agreement Days]]&gt;=-60,"Expires &lt; 60 Days",Table1[[#This Row],[Agreement Days]]&lt;-60,"Valid Contract")</f>
        <v>Valid Contract</v>
      </c>
      <c r="W689" s="14" t="s">
        <v>20</v>
      </c>
      <c r="X689" s="14" t="s">
        <v>1761</v>
      </c>
      <c r="Y689" s="16" t="s">
        <v>1762</v>
      </c>
      <c r="Z689" s="27" t="s">
        <v>1763</v>
      </c>
      <c r="AA689" s="19"/>
      <c r="AB689" s="116"/>
      <c r="AC689" s="116"/>
    </row>
    <row r="690" spans="1:29" hidden="1" x14ac:dyDescent="0.3">
      <c r="A690" s="18" t="s">
        <v>1759</v>
      </c>
      <c r="B690" s="18" t="s">
        <v>243</v>
      </c>
      <c r="C690" s="18" t="s">
        <v>1760</v>
      </c>
      <c r="D690" s="14" t="s">
        <v>545</v>
      </c>
      <c r="E690" s="18" t="s">
        <v>9</v>
      </c>
      <c r="F690" s="14" t="s">
        <v>693</v>
      </c>
      <c r="G690" s="14" t="s">
        <v>518</v>
      </c>
      <c r="H690" s="18" t="s">
        <v>4</v>
      </c>
      <c r="I690" s="14" t="s">
        <v>118</v>
      </c>
      <c r="J690" s="14"/>
      <c r="K690" s="14" t="s">
        <v>650</v>
      </c>
      <c r="L690" s="14"/>
      <c r="M690" s="14">
        <v>1</v>
      </c>
      <c r="N690" s="15">
        <v>369325</v>
      </c>
      <c r="O690" s="15">
        <f t="shared" si="26"/>
        <v>369325</v>
      </c>
      <c r="P690" s="15"/>
      <c r="Q690" s="14" t="s">
        <v>520</v>
      </c>
      <c r="R690" s="25">
        <v>45350</v>
      </c>
      <c r="S690" s="22" t="str">
        <f>TEXT(Table1[[#This Row],[End Date]],"MMMM")</f>
        <v>February</v>
      </c>
      <c r="T690" s="23" t="str">
        <f>TEXT(Table1[[#This Row],[End Date]],"YYYY")</f>
        <v>2024</v>
      </c>
      <c r="U690" s="24">
        <f t="shared" ca="1" si="27"/>
        <v>-217</v>
      </c>
      <c r="V690" s="14" t="str" cm="1">
        <f t="array" aca="1" ref="V690" ca="1">_xlfn.IFS(Table1[[#This Row],[Agreement Days]]&gt;=0,"Expired",Table1[[#This Row],[Agreement Days]]&gt;=-30,"Expires &lt; 30 Days",Table1[[#This Row],[Agreement Days]]&gt;=-60,"Expires &lt; 60 Days",Table1[[#This Row],[Agreement Days]]&lt;-60,"Valid Contract")</f>
        <v>Valid Contract</v>
      </c>
      <c r="W690" s="14" t="s">
        <v>20</v>
      </c>
      <c r="X690" s="14" t="s">
        <v>1761</v>
      </c>
      <c r="Y690" s="16" t="s">
        <v>1762</v>
      </c>
      <c r="Z690" s="27" t="s">
        <v>1763</v>
      </c>
      <c r="AA690" s="19"/>
      <c r="AB690" s="116"/>
      <c r="AC690" s="116"/>
    </row>
    <row r="691" spans="1:29" hidden="1" x14ac:dyDescent="0.3">
      <c r="A691" s="18" t="s">
        <v>1764</v>
      </c>
      <c r="B691" s="18" t="s">
        <v>144</v>
      </c>
      <c r="C691" s="18" t="s">
        <v>1765</v>
      </c>
      <c r="D691" s="14" t="s">
        <v>739</v>
      </c>
      <c r="E691" s="18" t="s">
        <v>9</v>
      </c>
      <c r="F691" s="14" t="s">
        <v>601</v>
      </c>
      <c r="G691" s="14" t="s">
        <v>518</v>
      </c>
      <c r="H691" s="18" t="s">
        <v>2</v>
      </c>
      <c r="I691" s="14" t="s">
        <v>120</v>
      </c>
      <c r="J691" s="14"/>
      <c r="K691" s="14" t="s">
        <v>649</v>
      </c>
      <c r="L691" s="14"/>
      <c r="M691" s="14">
        <v>1</v>
      </c>
      <c r="N691" s="15">
        <v>223647.53</v>
      </c>
      <c r="O691" s="15">
        <f t="shared" si="26"/>
        <v>223647.53</v>
      </c>
      <c r="P691" s="15"/>
      <c r="Q691" s="14" t="s">
        <v>520</v>
      </c>
      <c r="R691" s="25">
        <v>45350</v>
      </c>
      <c r="S691" s="22" t="str">
        <f>TEXT(Table1[[#This Row],[End Date]],"MMMM")</f>
        <v>February</v>
      </c>
      <c r="T691" s="23" t="str">
        <f>TEXT(Table1[[#This Row],[End Date]],"YYYY")</f>
        <v>2024</v>
      </c>
      <c r="U691" s="24">
        <f t="shared" ca="1" si="27"/>
        <v>-217</v>
      </c>
      <c r="V691" s="14" t="str" cm="1">
        <f t="array" aca="1" ref="V691" ca="1">_xlfn.IFS(Table1[[#This Row],[Agreement Days]]&gt;=0,"Expired",Table1[[#This Row],[Agreement Days]]&gt;=-30,"Expires &lt; 30 Days",Table1[[#This Row],[Agreement Days]]&gt;=-60,"Expires &lt; 60 Days",Table1[[#This Row],[Agreement Days]]&lt;-60,"Valid Contract")</f>
        <v>Valid Contract</v>
      </c>
      <c r="W691" s="14" t="s">
        <v>19</v>
      </c>
      <c r="X691" s="14" t="s">
        <v>1766</v>
      </c>
      <c r="Y691" s="43" t="s">
        <v>1767</v>
      </c>
      <c r="Z691" s="27">
        <v>788828151</v>
      </c>
      <c r="AA691" s="17"/>
      <c r="AB691" s="116"/>
      <c r="AC691" s="116"/>
    </row>
    <row r="692" spans="1:29" hidden="1" x14ac:dyDescent="0.3">
      <c r="A692" s="18" t="s">
        <v>1764</v>
      </c>
      <c r="B692" s="18" t="s">
        <v>144</v>
      </c>
      <c r="C692" s="18" t="s">
        <v>1768</v>
      </c>
      <c r="D692" s="14" t="s">
        <v>739</v>
      </c>
      <c r="E692" s="18" t="s">
        <v>9</v>
      </c>
      <c r="F692" s="14" t="s">
        <v>601</v>
      </c>
      <c r="G692" s="14" t="s">
        <v>518</v>
      </c>
      <c r="H692" s="18" t="s">
        <v>2</v>
      </c>
      <c r="I692" s="14" t="s">
        <v>120</v>
      </c>
      <c r="J692" s="14"/>
      <c r="K692" s="14" t="s">
        <v>649</v>
      </c>
      <c r="L692" s="14"/>
      <c r="M692" s="14">
        <v>1</v>
      </c>
      <c r="N692" s="15">
        <v>223647.53</v>
      </c>
      <c r="O692" s="15">
        <f t="shared" si="26"/>
        <v>223647.53</v>
      </c>
      <c r="P692" s="15"/>
      <c r="Q692" s="14" t="s">
        <v>520</v>
      </c>
      <c r="R692" s="25">
        <v>45350</v>
      </c>
      <c r="S692" s="22" t="str">
        <f>TEXT(Table1[[#This Row],[End Date]],"MMMM")</f>
        <v>February</v>
      </c>
      <c r="T692" s="23" t="str">
        <f>TEXT(Table1[[#This Row],[End Date]],"YYYY")</f>
        <v>2024</v>
      </c>
      <c r="U692" s="24">
        <f t="shared" ca="1" si="27"/>
        <v>-217</v>
      </c>
      <c r="V692" s="14" t="str" cm="1">
        <f t="array" aca="1" ref="V692" ca="1">_xlfn.IFS(Table1[[#This Row],[Agreement Days]]&gt;=0,"Expired",Table1[[#This Row],[Agreement Days]]&gt;=-30,"Expires &lt; 30 Days",Table1[[#This Row],[Agreement Days]]&gt;=-60,"Expires &lt; 60 Days",Table1[[#This Row],[Agreement Days]]&lt;-60,"Valid Contract")</f>
        <v>Valid Contract</v>
      </c>
      <c r="W692" s="14" t="s">
        <v>19</v>
      </c>
      <c r="X692" s="14" t="s">
        <v>1766</v>
      </c>
      <c r="Y692" s="43" t="s">
        <v>1767</v>
      </c>
      <c r="Z692" s="27">
        <v>788828151</v>
      </c>
      <c r="AA692" s="17"/>
      <c r="AB692" s="116"/>
      <c r="AC692" s="116"/>
    </row>
    <row r="693" spans="1:29" hidden="1" x14ac:dyDescent="0.3">
      <c r="A693" s="18" t="s">
        <v>1764</v>
      </c>
      <c r="B693" s="18" t="s">
        <v>144</v>
      </c>
      <c r="C693" s="18" t="s">
        <v>1769</v>
      </c>
      <c r="D693" s="14" t="s">
        <v>532</v>
      </c>
      <c r="E693" s="18" t="s">
        <v>9</v>
      </c>
      <c r="F693" s="14" t="s">
        <v>601</v>
      </c>
      <c r="G693" s="14" t="s">
        <v>518</v>
      </c>
      <c r="H693" s="18" t="s">
        <v>2</v>
      </c>
      <c r="I693" s="14" t="s">
        <v>120</v>
      </c>
      <c r="J693" s="14"/>
      <c r="K693" s="14" t="s">
        <v>649</v>
      </c>
      <c r="L693" s="14"/>
      <c r="M693" s="14">
        <v>1</v>
      </c>
      <c r="N693" s="15">
        <v>223647.53</v>
      </c>
      <c r="O693" s="15">
        <f t="shared" si="26"/>
        <v>223647.53</v>
      </c>
      <c r="P693" s="15"/>
      <c r="Q693" s="14" t="s">
        <v>520</v>
      </c>
      <c r="R693" s="25">
        <v>45350</v>
      </c>
      <c r="S693" s="22" t="str">
        <f>TEXT(Table1[[#This Row],[End Date]],"MMMM")</f>
        <v>February</v>
      </c>
      <c r="T693" s="23" t="str">
        <f>TEXT(Table1[[#This Row],[End Date]],"YYYY")</f>
        <v>2024</v>
      </c>
      <c r="U693" s="24">
        <f t="shared" ca="1" si="27"/>
        <v>-217</v>
      </c>
      <c r="V693" s="14" t="str" cm="1">
        <f t="array" aca="1" ref="V693" ca="1">_xlfn.IFS(Table1[[#This Row],[Agreement Days]]&gt;=0,"Expired",Table1[[#This Row],[Agreement Days]]&gt;=-30,"Expires &lt; 30 Days",Table1[[#This Row],[Agreement Days]]&gt;=-60,"Expires &lt; 60 Days",Table1[[#This Row],[Agreement Days]]&lt;-60,"Valid Contract")</f>
        <v>Valid Contract</v>
      </c>
      <c r="W693" s="14" t="s">
        <v>19</v>
      </c>
      <c r="X693" s="14" t="s">
        <v>1766</v>
      </c>
      <c r="Y693" s="43" t="s">
        <v>1767</v>
      </c>
      <c r="Z693" s="27">
        <v>788828151</v>
      </c>
      <c r="AA693" s="17"/>
      <c r="AB693" s="116"/>
      <c r="AC693" s="116"/>
    </row>
    <row r="694" spans="1:29" hidden="1" x14ac:dyDescent="0.3">
      <c r="A694" s="18" t="s">
        <v>1764</v>
      </c>
      <c r="B694" s="18" t="s">
        <v>144</v>
      </c>
      <c r="C694" s="18" t="s">
        <v>1770</v>
      </c>
      <c r="D694" s="14" t="s">
        <v>808</v>
      </c>
      <c r="E694" s="18" t="s">
        <v>9</v>
      </c>
      <c r="F694" s="14" t="s">
        <v>601</v>
      </c>
      <c r="G694" s="14" t="s">
        <v>518</v>
      </c>
      <c r="H694" s="18" t="s">
        <v>2</v>
      </c>
      <c r="I694" s="14" t="s">
        <v>120</v>
      </c>
      <c r="J694" s="14"/>
      <c r="K694" s="14" t="s">
        <v>649</v>
      </c>
      <c r="L694" s="14"/>
      <c r="M694" s="14">
        <v>1</v>
      </c>
      <c r="N694" s="15">
        <v>223647.53</v>
      </c>
      <c r="O694" s="15">
        <f t="shared" si="26"/>
        <v>223647.53</v>
      </c>
      <c r="P694" s="15"/>
      <c r="Q694" s="14" t="s">
        <v>520</v>
      </c>
      <c r="R694" s="25">
        <v>45350</v>
      </c>
      <c r="S694" s="22" t="str">
        <f>TEXT(Table1[[#This Row],[End Date]],"MMMM")</f>
        <v>February</v>
      </c>
      <c r="T694" s="23" t="str">
        <f>TEXT(Table1[[#This Row],[End Date]],"YYYY")</f>
        <v>2024</v>
      </c>
      <c r="U694" s="24">
        <f t="shared" ca="1" si="27"/>
        <v>-217</v>
      </c>
      <c r="V694" s="14" t="str" cm="1">
        <f t="array" aca="1" ref="V694" ca="1">_xlfn.IFS(Table1[[#This Row],[Agreement Days]]&gt;=0,"Expired",Table1[[#This Row],[Agreement Days]]&gt;=-30,"Expires &lt; 30 Days",Table1[[#This Row],[Agreement Days]]&gt;=-60,"Expires &lt; 60 Days",Table1[[#This Row],[Agreement Days]]&lt;-60,"Valid Contract")</f>
        <v>Valid Contract</v>
      </c>
      <c r="W694" s="14" t="s">
        <v>19</v>
      </c>
      <c r="X694" s="14" t="s">
        <v>1766</v>
      </c>
      <c r="Y694" s="43" t="s">
        <v>1767</v>
      </c>
      <c r="Z694" s="27">
        <v>788828151</v>
      </c>
      <c r="AA694" s="17"/>
      <c r="AB694" s="116"/>
      <c r="AC694" s="116"/>
    </row>
    <row r="695" spans="1:29" hidden="1" x14ac:dyDescent="0.3">
      <c r="A695" s="18" t="s">
        <v>1764</v>
      </c>
      <c r="B695" s="18" t="s">
        <v>144</v>
      </c>
      <c r="C695" s="18" t="s">
        <v>1771</v>
      </c>
      <c r="D695" s="14" t="s">
        <v>540</v>
      </c>
      <c r="E695" s="18" t="s">
        <v>9</v>
      </c>
      <c r="F695" s="14" t="s">
        <v>601</v>
      </c>
      <c r="G695" s="14" t="s">
        <v>518</v>
      </c>
      <c r="H695" s="18" t="s">
        <v>2</v>
      </c>
      <c r="I695" s="14" t="s">
        <v>120</v>
      </c>
      <c r="J695" s="14"/>
      <c r="K695" s="14" t="s">
        <v>649</v>
      </c>
      <c r="L695" s="14"/>
      <c r="M695" s="14">
        <v>1</v>
      </c>
      <c r="N695" s="15">
        <v>223647.53</v>
      </c>
      <c r="O695" s="15">
        <f t="shared" si="26"/>
        <v>223647.53</v>
      </c>
      <c r="P695" s="15"/>
      <c r="Q695" s="14" t="s">
        <v>520</v>
      </c>
      <c r="R695" s="25">
        <v>45350</v>
      </c>
      <c r="S695" s="22" t="str">
        <f>TEXT(Table1[[#This Row],[End Date]],"MMMM")</f>
        <v>February</v>
      </c>
      <c r="T695" s="23" t="str">
        <f>TEXT(Table1[[#This Row],[End Date]],"YYYY")</f>
        <v>2024</v>
      </c>
      <c r="U695" s="24">
        <f t="shared" ca="1" si="27"/>
        <v>-217</v>
      </c>
      <c r="V695" s="14" t="str" cm="1">
        <f t="array" aca="1" ref="V695" ca="1">_xlfn.IFS(Table1[[#This Row],[Agreement Days]]&gt;=0,"Expired",Table1[[#This Row],[Agreement Days]]&gt;=-30,"Expires &lt; 30 Days",Table1[[#This Row],[Agreement Days]]&gt;=-60,"Expires &lt; 60 Days",Table1[[#This Row],[Agreement Days]]&lt;-60,"Valid Contract")</f>
        <v>Valid Contract</v>
      </c>
      <c r="W695" s="14" t="s">
        <v>19</v>
      </c>
      <c r="X695" s="14" t="s">
        <v>1766</v>
      </c>
      <c r="Y695" s="43" t="s">
        <v>1767</v>
      </c>
      <c r="Z695" s="27">
        <v>788828151</v>
      </c>
      <c r="AA695" s="17"/>
      <c r="AB695" s="116"/>
      <c r="AC695" s="116"/>
    </row>
    <row r="696" spans="1:29" hidden="1" x14ac:dyDescent="0.3">
      <c r="A696" s="18" t="s">
        <v>1764</v>
      </c>
      <c r="B696" s="18" t="s">
        <v>144</v>
      </c>
      <c r="C696" s="18" t="s">
        <v>1772</v>
      </c>
      <c r="D696" s="14" t="s">
        <v>761</v>
      </c>
      <c r="E696" s="18" t="s">
        <v>9</v>
      </c>
      <c r="F696" s="14" t="s">
        <v>601</v>
      </c>
      <c r="G696" s="14" t="s">
        <v>518</v>
      </c>
      <c r="H696" s="18" t="s">
        <v>2</v>
      </c>
      <c r="I696" s="14" t="s">
        <v>120</v>
      </c>
      <c r="J696" s="14"/>
      <c r="K696" s="14" t="s">
        <v>649</v>
      </c>
      <c r="L696" s="14"/>
      <c r="M696" s="14">
        <v>1</v>
      </c>
      <c r="N696" s="15">
        <v>223647.53</v>
      </c>
      <c r="O696" s="15">
        <f t="shared" si="26"/>
        <v>223647.53</v>
      </c>
      <c r="P696" s="15"/>
      <c r="Q696" s="14" t="s">
        <v>520</v>
      </c>
      <c r="R696" s="25">
        <v>45350</v>
      </c>
      <c r="S696" s="22" t="str">
        <f>TEXT(Table1[[#This Row],[End Date]],"MMMM")</f>
        <v>February</v>
      </c>
      <c r="T696" s="23" t="str">
        <f>TEXT(Table1[[#This Row],[End Date]],"YYYY")</f>
        <v>2024</v>
      </c>
      <c r="U696" s="24">
        <f t="shared" ca="1" si="27"/>
        <v>-217</v>
      </c>
      <c r="V696" s="14" t="str" cm="1">
        <f t="array" aca="1" ref="V696" ca="1">_xlfn.IFS(Table1[[#This Row],[Agreement Days]]&gt;=0,"Expired",Table1[[#This Row],[Agreement Days]]&gt;=-30,"Expires &lt; 30 Days",Table1[[#This Row],[Agreement Days]]&gt;=-60,"Expires &lt; 60 Days",Table1[[#This Row],[Agreement Days]]&lt;-60,"Valid Contract")</f>
        <v>Valid Contract</v>
      </c>
      <c r="W696" s="14" t="s">
        <v>19</v>
      </c>
      <c r="X696" s="14" t="s">
        <v>1766</v>
      </c>
      <c r="Y696" s="43" t="s">
        <v>1767</v>
      </c>
      <c r="Z696" s="27">
        <v>788828151</v>
      </c>
      <c r="AA696" s="17"/>
      <c r="AB696" s="116"/>
      <c r="AC696" s="116"/>
    </row>
    <row r="697" spans="1:29" hidden="1" x14ac:dyDescent="0.3">
      <c r="A697" s="18" t="s">
        <v>1764</v>
      </c>
      <c r="B697" s="18" t="s">
        <v>144</v>
      </c>
      <c r="C697" s="18" t="s">
        <v>1773</v>
      </c>
      <c r="D697" s="14" t="s">
        <v>735</v>
      </c>
      <c r="E697" s="18" t="s">
        <v>9</v>
      </c>
      <c r="F697" s="14" t="s">
        <v>601</v>
      </c>
      <c r="G697" s="14" t="s">
        <v>518</v>
      </c>
      <c r="H697" s="18" t="s">
        <v>2</v>
      </c>
      <c r="I697" s="14" t="s">
        <v>120</v>
      </c>
      <c r="J697" s="14"/>
      <c r="K697" s="14" t="s">
        <v>649</v>
      </c>
      <c r="L697" s="14"/>
      <c r="M697" s="14">
        <v>1</v>
      </c>
      <c r="N697" s="15">
        <v>223647.53</v>
      </c>
      <c r="O697" s="15">
        <f t="shared" si="26"/>
        <v>223647.53</v>
      </c>
      <c r="P697" s="15"/>
      <c r="Q697" s="14" t="s">
        <v>520</v>
      </c>
      <c r="R697" s="25">
        <v>45350</v>
      </c>
      <c r="S697" s="22" t="str">
        <f>TEXT(Table1[[#This Row],[End Date]],"MMMM")</f>
        <v>February</v>
      </c>
      <c r="T697" s="23" t="str">
        <f>TEXT(Table1[[#This Row],[End Date]],"YYYY")</f>
        <v>2024</v>
      </c>
      <c r="U697" s="24">
        <f t="shared" ca="1" si="27"/>
        <v>-217</v>
      </c>
      <c r="V697" s="14" t="str" cm="1">
        <f t="array" aca="1" ref="V697" ca="1">_xlfn.IFS(Table1[[#This Row],[Agreement Days]]&gt;=0,"Expired",Table1[[#This Row],[Agreement Days]]&gt;=-30,"Expires &lt; 30 Days",Table1[[#This Row],[Agreement Days]]&gt;=-60,"Expires &lt; 60 Days",Table1[[#This Row],[Agreement Days]]&lt;-60,"Valid Contract")</f>
        <v>Valid Contract</v>
      </c>
      <c r="W697" s="14" t="s">
        <v>19</v>
      </c>
      <c r="X697" s="14" t="s">
        <v>1766</v>
      </c>
      <c r="Y697" s="43" t="s">
        <v>1767</v>
      </c>
      <c r="Z697" s="27">
        <v>788828151</v>
      </c>
      <c r="AA697" s="17"/>
      <c r="AB697" s="116"/>
      <c r="AC697" s="116"/>
    </row>
    <row r="698" spans="1:29" hidden="1" x14ac:dyDescent="0.3">
      <c r="A698" s="18" t="s">
        <v>1764</v>
      </c>
      <c r="B698" s="18" t="s">
        <v>144</v>
      </c>
      <c r="C698" s="18" t="s">
        <v>1774</v>
      </c>
      <c r="D698" s="14" t="s">
        <v>619</v>
      </c>
      <c r="E698" s="18" t="s">
        <v>9</v>
      </c>
      <c r="F698" s="14" t="s">
        <v>601</v>
      </c>
      <c r="G698" s="14" t="s">
        <v>518</v>
      </c>
      <c r="H698" s="18" t="s">
        <v>2</v>
      </c>
      <c r="I698" s="14" t="s">
        <v>120</v>
      </c>
      <c r="J698" s="14"/>
      <c r="K698" s="14" t="s">
        <v>649</v>
      </c>
      <c r="L698" s="14"/>
      <c r="M698" s="14">
        <v>1</v>
      </c>
      <c r="N698" s="15">
        <v>223647.53</v>
      </c>
      <c r="O698" s="15">
        <f t="shared" si="26"/>
        <v>223647.53</v>
      </c>
      <c r="P698" s="15"/>
      <c r="Q698" s="14" t="s">
        <v>520</v>
      </c>
      <c r="R698" s="25">
        <v>45350</v>
      </c>
      <c r="S698" s="22" t="str">
        <f>TEXT(Table1[[#This Row],[End Date]],"MMMM")</f>
        <v>February</v>
      </c>
      <c r="T698" s="23" t="str">
        <f>TEXT(Table1[[#This Row],[End Date]],"YYYY")</f>
        <v>2024</v>
      </c>
      <c r="U698" s="24">
        <f t="shared" ca="1" si="27"/>
        <v>-217</v>
      </c>
      <c r="V698" s="14" t="str" cm="1">
        <f t="array" aca="1" ref="V698" ca="1">_xlfn.IFS(Table1[[#This Row],[Agreement Days]]&gt;=0,"Expired",Table1[[#This Row],[Agreement Days]]&gt;=-30,"Expires &lt; 30 Days",Table1[[#This Row],[Agreement Days]]&gt;=-60,"Expires &lt; 60 Days",Table1[[#This Row],[Agreement Days]]&lt;-60,"Valid Contract")</f>
        <v>Valid Contract</v>
      </c>
      <c r="W698" s="14" t="s">
        <v>19</v>
      </c>
      <c r="X698" s="14" t="s">
        <v>1766</v>
      </c>
      <c r="Y698" s="43" t="s">
        <v>1767</v>
      </c>
      <c r="Z698" s="27">
        <v>788828151</v>
      </c>
      <c r="AA698" s="17"/>
      <c r="AB698" s="116"/>
      <c r="AC698" s="116"/>
    </row>
    <row r="699" spans="1:29" hidden="1" x14ac:dyDescent="0.3">
      <c r="A699" s="18" t="s">
        <v>1764</v>
      </c>
      <c r="B699" s="18" t="s">
        <v>144</v>
      </c>
      <c r="C699" s="18" t="s">
        <v>1775</v>
      </c>
      <c r="D699" s="14" t="s">
        <v>875</v>
      </c>
      <c r="E699" s="18" t="s">
        <v>9</v>
      </c>
      <c r="F699" s="14" t="s">
        <v>601</v>
      </c>
      <c r="G699" s="14" t="s">
        <v>518</v>
      </c>
      <c r="H699" s="18" t="s">
        <v>2</v>
      </c>
      <c r="I699" s="14" t="s">
        <v>120</v>
      </c>
      <c r="J699" s="14"/>
      <c r="K699" s="14" t="s">
        <v>649</v>
      </c>
      <c r="L699" s="14"/>
      <c r="M699" s="14">
        <v>1</v>
      </c>
      <c r="N699" s="15">
        <v>223647.53</v>
      </c>
      <c r="O699" s="15">
        <f t="shared" si="26"/>
        <v>223647.53</v>
      </c>
      <c r="P699" s="15"/>
      <c r="Q699" s="14" t="s">
        <v>520</v>
      </c>
      <c r="R699" s="25">
        <v>45350</v>
      </c>
      <c r="S699" s="22" t="str">
        <f>TEXT(Table1[[#This Row],[End Date]],"MMMM")</f>
        <v>February</v>
      </c>
      <c r="T699" s="23" t="str">
        <f>TEXT(Table1[[#This Row],[End Date]],"YYYY")</f>
        <v>2024</v>
      </c>
      <c r="U699" s="24">
        <f t="shared" ca="1" si="27"/>
        <v>-217</v>
      </c>
      <c r="V699" s="14" t="str" cm="1">
        <f t="array" aca="1" ref="V699" ca="1">_xlfn.IFS(Table1[[#This Row],[Agreement Days]]&gt;=0,"Expired",Table1[[#This Row],[Agreement Days]]&gt;=-30,"Expires &lt; 30 Days",Table1[[#This Row],[Agreement Days]]&gt;=-60,"Expires &lt; 60 Days",Table1[[#This Row],[Agreement Days]]&lt;-60,"Valid Contract")</f>
        <v>Valid Contract</v>
      </c>
      <c r="W699" s="14" t="s">
        <v>19</v>
      </c>
      <c r="X699" s="14" t="s">
        <v>1766</v>
      </c>
      <c r="Y699" s="43" t="s">
        <v>1767</v>
      </c>
      <c r="Z699" s="27">
        <v>788828151</v>
      </c>
      <c r="AA699" s="17"/>
      <c r="AB699" s="116"/>
      <c r="AC699" s="116"/>
    </row>
    <row r="700" spans="1:29" hidden="1" x14ac:dyDescent="0.3">
      <c r="A700" s="18" t="s">
        <v>1764</v>
      </c>
      <c r="B700" s="18" t="s">
        <v>144</v>
      </c>
      <c r="C700" s="18" t="s">
        <v>1776</v>
      </c>
      <c r="D700" s="14" t="s">
        <v>946</v>
      </c>
      <c r="E700" s="18" t="s">
        <v>9</v>
      </c>
      <c r="F700" s="14" t="s">
        <v>601</v>
      </c>
      <c r="G700" s="14" t="s">
        <v>518</v>
      </c>
      <c r="H700" s="18" t="s">
        <v>2</v>
      </c>
      <c r="I700" s="14" t="s">
        <v>120</v>
      </c>
      <c r="J700" s="14"/>
      <c r="K700" s="14" t="s">
        <v>649</v>
      </c>
      <c r="L700" s="14"/>
      <c r="M700" s="14">
        <v>1</v>
      </c>
      <c r="N700" s="15">
        <v>223647.53</v>
      </c>
      <c r="O700" s="15">
        <f t="shared" si="26"/>
        <v>223647.53</v>
      </c>
      <c r="P700" s="15"/>
      <c r="Q700" s="14" t="s">
        <v>520</v>
      </c>
      <c r="R700" s="25">
        <v>45350</v>
      </c>
      <c r="S700" s="22" t="str">
        <f>TEXT(Table1[[#This Row],[End Date]],"MMMM")</f>
        <v>February</v>
      </c>
      <c r="T700" s="23" t="str">
        <f>TEXT(Table1[[#This Row],[End Date]],"YYYY")</f>
        <v>2024</v>
      </c>
      <c r="U700" s="24">
        <f t="shared" ca="1" si="27"/>
        <v>-217</v>
      </c>
      <c r="V700" s="14" t="str" cm="1">
        <f t="array" aca="1" ref="V700" ca="1">_xlfn.IFS(Table1[[#This Row],[Agreement Days]]&gt;=0,"Expired",Table1[[#This Row],[Agreement Days]]&gt;=-30,"Expires &lt; 30 Days",Table1[[#This Row],[Agreement Days]]&gt;=-60,"Expires &lt; 60 Days",Table1[[#This Row],[Agreement Days]]&lt;-60,"Valid Contract")</f>
        <v>Valid Contract</v>
      </c>
      <c r="W700" s="14" t="s">
        <v>19</v>
      </c>
      <c r="X700" s="14" t="s">
        <v>1766</v>
      </c>
      <c r="Y700" s="43" t="s">
        <v>1767</v>
      </c>
      <c r="Z700" s="27">
        <v>788828151</v>
      </c>
      <c r="AA700" s="17"/>
      <c r="AB700" s="116"/>
      <c r="AC700" s="116"/>
    </row>
    <row r="701" spans="1:29" hidden="1" x14ac:dyDescent="0.3">
      <c r="A701" s="18" t="s">
        <v>1764</v>
      </c>
      <c r="B701" s="18" t="s">
        <v>144</v>
      </c>
      <c r="C701" s="18" t="s">
        <v>1777</v>
      </c>
      <c r="D701" s="14" t="s">
        <v>653</v>
      </c>
      <c r="E701" s="18" t="s">
        <v>9</v>
      </c>
      <c r="F701" s="14" t="s">
        <v>601</v>
      </c>
      <c r="G701" s="14" t="s">
        <v>518</v>
      </c>
      <c r="H701" s="18" t="s">
        <v>2</v>
      </c>
      <c r="I701" s="14" t="s">
        <v>120</v>
      </c>
      <c r="J701" s="14"/>
      <c r="K701" s="14" t="s">
        <v>649</v>
      </c>
      <c r="L701" s="14"/>
      <c r="M701" s="14">
        <v>1</v>
      </c>
      <c r="N701" s="15">
        <v>223647.53</v>
      </c>
      <c r="O701" s="15">
        <f t="shared" si="26"/>
        <v>223647.53</v>
      </c>
      <c r="P701" s="15"/>
      <c r="Q701" s="14" t="s">
        <v>520</v>
      </c>
      <c r="R701" s="25">
        <v>45350</v>
      </c>
      <c r="S701" s="22" t="str">
        <f>TEXT(Table1[[#This Row],[End Date]],"MMMM")</f>
        <v>February</v>
      </c>
      <c r="T701" s="23" t="str">
        <f>TEXT(Table1[[#This Row],[End Date]],"YYYY")</f>
        <v>2024</v>
      </c>
      <c r="U701" s="24">
        <f t="shared" ca="1" si="27"/>
        <v>-217</v>
      </c>
      <c r="V701" s="14" t="str" cm="1">
        <f t="array" aca="1" ref="V701" ca="1">_xlfn.IFS(Table1[[#This Row],[Agreement Days]]&gt;=0,"Expired",Table1[[#This Row],[Agreement Days]]&gt;=-30,"Expires &lt; 30 Days",Table1[[#This Row],[Agreement Days]]&gt;=-60,"Expires &lt; 60 Days",Table1[[#This Row],[Agreement Days]]&lt;-60,"Valid Contract")</f>
        <v>Valid Contract</v>
      </c>
      <c r="W701" s="14" t="s">
        <v>19</v>
      </c>
      <c r="X701" s="14" t="s">
        <v>1766</v>
      </c>
      <c r="Y701" s="43" t="s">
        <v>1767</v>
      </c>
      <c r="Z701" s="27">
        <v>788828151</v>
      </c>
      <c r="AA701" s="17"/>
      <c r="AB701" s="116"/>
      <c r="AC701" s="116"/>
    </row>
    <row r="702" spans="1:29" hidden="1" x14ac:dyDescent="0.3">
      <c r="A702" s="18" t="s">
        <v>1764</v>
      </c>
      <c r="B702" s="18" t="s">
        <v>144</v>
      </c>
      <c r="C702" s="18" t="s">
        <v>1778</v>
      </c>
      <c r="D702" s="14" t="s">
        <v>769</v>
      </c>
      <c r="E702" s="18" t="s">
        <v>9</v>
      </c>
      <c r="F702" s="14" t="s">
        <v>601</v>
      </c>
      <c r="G702" s="14" t="s">
        <v>518</v>
      </c>
      <c r="H702" s="18" t="s">
        <v>2</v>
      </c>
      <c r="I702" s="14" t="s">
        <v>120</v>
      </c>
      <c r="J702" s="14"/>
      <c r="K702" s="14" t="s">
        <v>649</v>
      </c>
      <c r="L702" s="14"/>
      <c r="M702" s="14">
        <v>1</v>
      </c>
      <c r="N702" s="15">
        <v>223647.53</v>
      </c>
      <c r="O702" s="15">
        <f t="shared" si="26"/>
        <v>223647.53</v>
      </c>
      <c r="P702" s="15"/>
      <c r="Q702" s="14" t="s">
        <v>520</v>
      </c>
      <c r="R702" s="25">
        <v>45350</v>
      </c>
      <c r="S702" s="22" t="str">
        <f>TEXT(Table1[[#This Row],[End Date]],"MMMM")</f>
        <v>February</v>
      </c>
      <c r="T702" s="23" t="str">
        <f>TEXT(Table1[[#This Row],[End Date]],"YYYY")</f>
        <v>2024</v>
      </c>
      <c r="U702" s="24">
        <f t="shared" ca="1" si="27"/>
        <v>-217</v>
      </c>
      <c r="V702" s="14" t="str" cm="1">
        <f t="array" aca="1" ref="V702" ca="1">_xlfn.IFS(Table1[[#This Row],[Agreement Days]]&gt;=0,"Expired",Table1[[#This Row],[Agreement Days]]&gt;=-30,"Expires &lt; 30 Days",Table1[[#This Row],[Agreement Days]]&gt;=-60,"Expires &lt; 60 Days",Table1[[#This Row],[Agreement Days]]&lt;-60,"Valid Contract")</f>
        <v>Valid Contract</v>
      </c>
      <c r="W702" s="14" t="s">
        <v>19</v>
      </c>
      <c r="X702" s="14" t="s">
        <v>1766</v>
      </c>
      <c r="Y702" s="43" t="s">
        <v>1767</v>
      </c>
      <c r="Z702" s="27">
        <v>788828151</v>
      </c>
      <c r="AA702" s="17"/>
      <c r="AB702" s="116"/>
      <c r="AC702" s="116"/>
    </row>
    <row r="703" spans="1:29" hidden="1" x14ac:dyDescent="0.3">
      <c r="A703" s="18" t="s">
        <v>1764</v>
      </c>
      <c r="B703" s="18" t="s">
        <v>144</v>
      </c>
      <c r="C703" s="18" t="s">
        <v>1779</v>
      </c>
      <c r="D703" s="14" t="s">
        <v>579</v>
      </c>
      <c r="E703" s="18" t="s">
        <v>9</v>
      </c>
      <c r="F703" s="14" t="s">
        <v>601</v>
      </c>
      <c r="G703" s="14" t="s">
        <v>518</v>
      </c>
      <c r="H703" s="18" t="s">
        <v>2</v>
      </c>
      <c r="I703" s="14" t="s">
        <v>120</v>
      </c>
      <c r="J703" s="14"/>
      <c r="K703" s="14" t="s">
        <v>649</v>
      </c>
      <c r="L703" s="14"/>
      <c r="M703" s="14">
        <v>1</v>
      </c>
      <c r="N703" s="15">
        <v>223647.53</v>
      </c>
      <c r="O703" s="15">
        <f t="shared" si="26"/>
        <v>223647.53</v>
      </c>
      <c r="P703" s="15"/>
      <c r="Q703" s="14" t="s">
        <v>520</v>
      </c>
      <c r="R703" s="25">
        <v>45350</v>
      </c>
      <c r="S703" s="22" t="str">
        <f>TEXT(Table1[[#This Row],[End Date]],"MMMM")</f>
        <v>February</v>
      </c>
      <c r="T703" s="23" t="str">
        <f>TEXT(Table1[[#This Row],[End Date]],"YYYY")</f>
        <v>2024</v>
      </c>
      <c r="U703" s="24">
        <f t="shared" ca="1" si="27"/>
        <v>-217</v>
      </c>
      <c r="V703" s="14" t="str" cm="1">
        <f t="array" aca="1" ref="V703" ca="1">_xlfn.IFS(Table1[[#This Row],[Agreement Days]]&gt;=0,"Expired",Table1[[#This Row],[Agreement Days]]&gt;=-30,"Expires &lt; 30 Days",Table1[[#This Row],[Agreement Days]]&gt;=-60,"Expires &lt; 60 Days",Table1[[#This Row],[Agreement Days]]&lt;-60,"Valid Contract")</f>
        <v>Valid Contract</v>
      </c>
      <c r="W703" s="14" t="s">
        <v>19</v>
      </c>
      <c r="X703" s="14" t="s">
        <v>1766</v>
      </c>
      <c r="Y703" s="43" t="s">
        <v>1767</v>
      </c>
      <c r="Z703" s="27">
        <v>788828151</v>
      </c>
      <c r="AA703" s="17"/>
      <c r="AB703" s="116"/>
      <c r="AC703" s="116"/>
    </row>
    <row r="704" spans="1:29" hidden="1" x14ac:dyDescent="0.3">
      <c r="A704" s="18" t="s">
        <v>1764</v>
      </c>
      <c r="B704" s="18" t="s">
        <v>144</v>
      </c>
      <c r="C704" s="18" t="s">
        <v>1780</v>
      </c>
      <c r="D704" s="14" t="s">
        <v>516</v>
      </c>
      <c r="E704" s="18" t="s">
        <v>9</v>
      </c>
      <c r="F704" s="14" t="s">
        <v>601</v>
      </c>
      <c r="G704" s="14" t="s">
        <v>518</v>
      </c>
      <c r="H704" s="18" t="s">
        <v>2</v>
      </c>
      <c r="I704" s="14" t="s">
        <v>120</v>
      </c>
      <c r="J704" s="14"/>
      <c r="K704" s="14" t="s">
        <v>649</v>
      </c>
      <c r="L704" s="14"/>
      <c r="M704" s="14">
        <v>1</v>
      </c>
      <c r="N704" s="15">
        <v>223647.53</v>
      </c>
      <c r="O704" s="15">
        <f t="shared" si="26"/>
        <v>223647.53</v>
      </c>
      <c r="P704" s="15"/>
      <c r="Q704" s="14" t="s">
        <v>520</v>
      </c>
      <c r="R704" s="25">
        <v>45350</v>
      </c>
      <c r="S704" s="22" t="str">
        <f>TEXT(Table1[[#This Row],[End Date]],"MMMM")</f>
        <v>February</v>
      </c>
      <c r="T704" s="23" t="str">
        <f>TEXT(Table1[[#This Row],[End Date]],"YYYY")</f>
        <v>2024</v>
      </c>
      <c r="U704" s="24">
        <f t="shared" ca="1" si="27"/>
        <v>-217</v>
      </c>
      <c r="V704" s="14" t="str" cm="1">
        <f t="array" aca="1" ref="V704" ca="1">_xlfn.IFS(Table1[[#This Row],[Agreement Days]]&gt;=0,"Expired",Table1[[#This Row],[Agreement Days]]&gt;=-30,"Expires &lt; 30 Days",Table1[[#This Row],[Agreement Days]]&gt;=-60,"Expires &lt; 60 Days",Table1[[#This Row],[Agreement Days]]&lt;-60,"Valid Contract")</f>
        <v>Valid Contract</v>
      </c>
      <c r="W704" s="14" t="s">
        <v>19</v>
      </c>
      <c r="X704" s="14" t="s">
        <v>1766</v>
      </c>
      <c r="Y704" s="43" t="s">
        <v>1767</v>
      </c>
      <c r="Z704" s="27">
        <v>788828151</v>
      </c>
      <c r="AA704" s="17"/>
      <c r="AB704" s="116"/>
      <c r="AC704" s="116"/>
    </row>
    <row r="705" spans="1:29" s="56" customFormat="1" hidden="1" x14ac:dyDescent="0.3">
      <c r="A705" s="18" t="s">
        <v>1764</v>
      </c>
      <c r="B705" s="18" t="s">
        <v>144</v>
      </c>
      <c r="C705" s="18" t="s">
        <v>1781</v>
      </c>
      <c r="D705" s="14" t="s">
        <v>516</v>
      </c>
      <c r="E705" s="18" t="s">
        <v>9</v>
      </c>
      <c r="F705" s="14" t="s">
        <v>601</v>
      </c>
      <c r="G705" s="14" t="s">
        <v>518</v>
      </c>
      <c r="H705" s="18" t="s">
        <v>2</v>
      </c>
      <c r="I705" s="14" t="s">
        <v>120</v>
      </c>
      <c r="J705" s="14"/>
      <c r="K705" s="14" t="s">
        <v>649</v>
      </c>
      <c r="L705" s="14"/>
      <c r="M705" s="14">
        <v>1</v>
      </c>
      <c r="N705" s="15">
        <v>223647.53</v>
      </c>
      <c r="O705" s="15">
        <f t="shared" si="26"/>
        <v>223647.53</v>
      </c>
      <c r="P705" s="15"/>
      <c r="Q705" s="14" t="s">
        <v>520</v>
      </c>
      <c r="R705" s="25">
        <v>45350</v>
      </c>
      <c r="S705" s="22" t="str">
        <f>TEXT(Table1[[#This Row],[End Date]],"MMMM")</f>
        <v>February</v>
      </c>
      <c r="T705" s="23" t="str">
        <f>TEXT(Table1[[#This Row],[End Date]],"YYYY")</f>
        <v>2024</v>
      </c>
      <c r="U705" s="24">
        <f t="shared" ca="1" si="27"/>
        <v>-217</v>
      </c>
      <c r="V705" s="14" t="str" cm="1">
        <f t="array" aca="1" ref="V705" ca="1">_xlfn.IFS(Table1[[#This Row],[Agreement Days]]&gt;=0,"Expired",Table1[[#This Row],[Agreement Days]]&gt;=-30,"Expires &lt; 30 Days",Table1[[#This Row],[Agreement Days]]&gt;=-60,"Expires &lt; 60 Days",Table1[[#This Row],[Agreement Days]]&lt;-60,"Valid Contract")</f>
        <v>Valid Contract</v>
      </c>
      <c r="W705" s="14" t="s">
        <v>19</v>
      </c>
      <c r="X705" s="14" t="s">
        <v>1766</v>
      </c>
      <c r="Y705" s="43" t="s">
        <v>1767</v>
      </c>
      <c r="Z705" s="27">
        <v>788828151</v>
      </c>
      <c r="AA705" s="17"/>
      <c r="AB705" s="116"/>
      <c r="AC705" s="116"/>
    </row>
    <row r="706" spans="1:29" s="56" customFormat="1" hidden="1" x14ac:dyDescent="0.3">
      <c r="A706" s="18" t="s">
        <v>1782</v>
      </c>
      <c r="B706" s="18" t="s">
        <v>153</v>
      </c>
      <c r="C706" s="18" t="s">
        <v>1783</v>
      </c>
      <c r="D706" s="14" t="s">
        <v>619</v>
      </c>
      <c r="E706" s="18" t="s">
        <v>9</v>
      </c>
      <c r="F706" s="14" t="s">
        <v>688</v>
      </c>
      <c r="G706" s="14" t="s">
        <v>518</v>
      </c>
      <c r="H706" s="18" t="s">
        <v>5</v>
      </c>
      <c r="I706" s="14" t="s">
        <v>117</v>
      </c>
      <c r="J706" s="14">
        <v>3</v>
      </c>
      <c r="K706" s="18" t="s">
        <v>646</v>
      </c>
      <c r="L706" s="18"/>
      <c r="M706" s="14">
        <v>1</v>
      </c>
      <c r="N706" s="15">
        <v>180000</v>
      </c>
      <c r="O706" s="15">
        <f t="shared" si="26"/>
        <v>180000</v>
      </c>
      <c r="P706" s="15"/>
      <c r="Q706" s="14" t="s">
        <v>520</v>
      </c>
      <c r="R706" s="25">
        <v>45350</v>
      </c>
      <c r="S706" s="34" t="str">
        <f>TEXT(Table1[[#This Row],[End Date]],"MMMM")</f>
        <v>February</v>
      </c>
      <c r="T706" s="34" t="str">
        <f>TEXT(Table1[[#This Row],[End Date]],"YYYY")</f>
        <v>2024</v>
      </c>
      <c r="U706" s="24">
        <f t="shared" ca="1" si="27"/>
        <v>-217</v>
      </c>
      <c r="V706" s="14" t="str" cm="1">
        <f t="array" aca="1" ref="V706" ca="1">_xlfn.IFS(Table1[[#This Row],[Agreement Days]]&gt;=0,"Expired",Table1[[#This Row],[Agreement Days]]&gt;=-30,"Expires &lt; 30 Days",Table1[[#This Row],[Agreement Days]]&gt;=-60,"Expires &lt; 60 Days",Table1[[#This Row],[Agreement Days]]&lt;-60,"Valid Contract")</f>
        <v>Valid Contract</v>
      </c>
      <c r="W706" s="18" t="s">
        <v>21</v>
      </c>
      <c r="X706" s="18" t="s">
        <v>1784</v>
      </c>
      <c r="Y706" s="42" t="s">
        <v>1785</v>
      </c>
      <c r="Z706" s="27">
        <v>788302709</v>
      </c>
      <c r="AA706" s="27"/>
      <c r="AB706" s="116"/>
      <c r="AC706" s="116"/>
    </row>
    <row r="707" spans="1:29" hidden="1" x14ac:dyDescent="0.3">
      <c r="A707" s="18" t="s">
        <v>1782</v>
      </c>
      <c r="B707" s="18" t="s">
        <v>153</v>
      </c>
      <c r="C707" s="18" t="s">
        <v>1786</v>
      </c>
      <c r="D707" s="14" t="s">
        <v>662</v>
      </c>
      <c r="E707" s="18" t="s">
        <v>9</v>
      </c>
      <c r="F707" s="14" t="s">
        <v>688</v>
      </c>
      <c r="G707" s="14" t="s">
        <v>518</v>
      </c>
      <c r="H707" s="18" t="s">
        <v>5</v>
      </c>
      <c r="I707" s="14" t="s">
        <v>117</v>
      </c>
      <c r="J707" s="27">
        <v>5</v>
      </c>
      <c r="K707" s="18" t="s">
        <v>519</v>
      </c>
      <c r="L707" s="18"/>
      <c r="M707" s="14">
        <v>1</v>
      </c>
      <c r="N707" s="15">
        <v>270000</v>
      </c>
      <c r="O707" s="15">
        <f t="shared" si="26"/>
        <v>270000</v>
      </c>
      <c r="P707" s="15"/>
      <c r="Q707" s="14" t="s">
        <v>520</v>
      </c>
      <c r="R707" s="25">
        <v>45350</v>
      </c>
      <c r="S707" s="34" t="str">
        <f>TEXT(Table1[[#This Row],[End Date]],"MMMM")</f>
        <v>February</v>
      </c>
      <c r="T707" s="34" t="str">
        <f>TEXT(Table1[[#This Row],[End Date]],"YYYY")</f>
        <v>2024</v>
      </c>
      <c r="U707" s="24">
        <f t="shared" ca="1" si="27"/>
        <v>-217</v>
      </c>
      <c r="V707" s="14" t="str" cm="1">
        <f t="array" aca="1" ref="V707" ca="1">_xlfn.IFS(Table1[[#This Row],[Agreement Days]]&gt;=0,"Expired",Table1[[#This Row],[Agreement Days]]&gt;=-30,"Expires &lt; 30 Days",Table1[[#This Row],[Agreement Days]]&gt;=-60,"Expires &lt; 60 Days",Table1[[#This Row],[Agreement Days]]&lt;-60,"Valid Contract")</f>
        <v>Valid Contract</v>
      </c>
      <c r="W707" s="18" t="s">
        <v>21</v>
      </c>
      <c r="X707" s="18" t="s">
        <v>1784</v>
      </c>
      <c r="Y707" s="42" t="s">
        <v>1785</v>
      </c>
      <c r="Z707" s="27">
        <v>788302709</v>
      </c>
      <c r="AA707" s="27"/>
      <c r="AB707" s="116"/>
      <c r="AC707" s="116"/>
    </row>
    <row r="708" spans="1:29" hidden="1" x14ac:dyDescent="0.3">
      <c r="A708" s="18" t="s">
        <v>1782</v>
      </c>
      <c r="B708" s="18" t="s">
        <v>153</v>
      </c>
      <c r="C708" s="18" t="s">
        <v>1787</v>
      </c>
      <c r="D708" s="14" t="s">
        <v>545</v>
      </c>
      <c r="E708" s="18" t="s">
        <v>9</v>
      </c>
      <c r="F708" s="14" t="s">
        <v>688</v>
      </c>
      <c r="G708" s="14" t="s">
        <v>518</v>
      </c>
      <c r="H708" s="18" t="s">
        <v>5</v>
      </c>
      <c r="I708" s="14" t="s">
        <v>117</v>
      </c>
      <c r="J708" s="14">
        <v>30</v>
      </c>
      <c r="K708" s="18" t="s">
        <v>694</v>
      </c>
      <c r="L708" s="18"/>
      <c r="M708" s="14">
        <v>1</v>
      </c>
      <c r="N708" s="15">
        <f>1486800/1.18</f>
        <v>1260000</v>
      </c>
      <c r="O708" s="15">
        <f t="shared" si="26"/>
        <v>1260000</v>
      </c>
      <c r="P708" s="15"/>
      <c r="Q708" s="14" t="s">
        <v>520</v>
      </c>
      <c r="R708" s="25">
        <v>45350</v>
      </c>
      <c r="S708" s="34" t="str">
        <f>TEXT(Table1[[#This Row],[End Date]],"MMMM")</f>
        <v>February</v>
      </c>
      <c r="T708" s="34" t="str">
        <f>TEXT(Table1[[#This Row],[End Date]],"YYYY")</f>
        <v>2024</v>
      </c>
      <c r="U708" s="24">
        <f t="shared" ca="1" si="27"/>
        <v>-217</v>
      </c>
      <c r="V708" s="14" t="str" cm="1">
        <f t="array" aca="1" ref="V708" ca="1">_xlfn.IFS(Table1[[#This Row],[Agreement Days]]&gt;=0,"Expired",Table1[[#This Row],[Agreement Days]]&gt;=-30,"Expires &lt; 30 Days",Table1[[#This Row],[Agreement Days]]&gt;=-60,"Expires &lt; 60 Days",Table1[[#This Row],[Agreement Days]]&lt;-60,"Valid Contract")</f>
        <v>Valid Contract</v>
      </c>
      <c r="W708" s="18" t="s">
        <v>21</v>
      </c>
      <c r="X708" s="18" t="s">
        <v>1784</v>
      </c>
      <c r="Y708" s="42" t="s">
        <v>1785</v>
      </c>
      <c r="Z708" s="27">
        <v>788302709</v>
      </c>
      <c r="AA708" s="27"/>
      <c r="AB708" s="116"/>
      <c r="AC708" s="116"/>
    </row>
    <row r="709" spans="1:29" hidden="1" x14ac:dyDescent="0.3">
      <c r="A709" s="18" t="s">
        <v>1782</v>
      </c>
      <c r="B709" s="18" t="s">
        <v>153</v>
      </c>
      <c r="C709" s="18" t="s">
        <v>1788</v>
      </c>
      <c r="D709" s="14" t="s">
        <v>526</v>
      </c>
      <c r="E709" s="18" t="s">
        <v>9</v>
      </c>
      <c r="F709" s="14" t="s">
        <v>688</v>
      </c>
      <c r="G709" s="14" t="s">
        <v>518</v>
      </c>
      <c r="H709" s="18" t="s">
        <v>5</v>
      </c>
      <c r="I709" s="14" t="s">
        <v>115</v>
      </c>
      <c r="J709" s="18"/>
      <c r="K709" s="18" t="s">
        <v>651</v>
      </c>
      <c r="L709" s="18"/>
      <c r="M709" s="14">
        <v>1</v>
      </c>
      <c r="N709" s="15">
        <f>96000/1.18</f>
        <v>81355.932203389835</v>
      </c>
      <c r="O709" s="15">
        <f t="shared" si="26"/>
        <v>81355.932203389835</v>
      </c>
      <c r="P709" s="15"/>
      <c r="Q709" s="14" t="s">
        <v>520</v>
      </c>
      <c r="R709" s="25">
        <v>45350</v>
      </c>
      <c r="S709" s="34" t="str">
        <f>TEXT(Table1[[#This Row],[End Date]],"MMMM")</f>
        <v>February</v>
      </c>
      <c r="T709" s="34" t="str">
        <f>TEXT(Table1[[#This Row],[End Date]],"YYYY")</f>
        <v>2024</v>
      </c>
      <c r="U709" s="24">
        <f t="shared" ca="1" si="27"/>
        <v>-217</v>
      </c>
      <c r="V709" s="14" t="str" cm="1">
        <f t="array" aca="1" ref="V709" ca="1">_xlfn.IFS(Table1[[#This Row],[Agreement Days]]&gt;=0,"Expired",Table1[[#This Row],[Agreement Days]]&gt;=-30,"Expires &lt; 30 Days",Table1[[#This Row],[Agreement Days]]&gt;=-60,"Expires &lt; 60 Days",Table1[[#This Row],[Agreement Days]]&lt;-60,"Valid Contract")</f>
        <v>Valid Contract</v>
      </c>
      <c r="W709" s="18" t="s">
        <v>21</v>
      </c>
      <c r="X709" s="18" t="s">
        <v>1784</v>
      </c>
      <c r="Y709" s="42" t="s">
        <v>1785</v>
      </c>
      <c r="Z709" s="27">
        <v>788302709</v>
      </c>
      <c r="AA709" s="27"/>
      <c r="AB709" s="116"/>
      <c r="AC709" s="116"/>
    </row>
    <row r="710" spans="1:29" hidden="1" x14ac:dyDescent="0.3">
      <c r="A710" s="18" t="s">
        <v>1782</v>
      </c>
      <c r="B710" s="18" t="s">
        <v>153</v>
      </c>
      <c r="C710" s="18" t="s">
        <v>1788</v>
      </c>
      <c r="D710" s="14" t="s">
        <v>526</v>
      </c>
      <c r="E710" s="18" t="s">
        <v>9</v>
      </c>
      <c r="F710" s="14" t="s">
        <v>688</v>
      </c>
      <c r="G710" s="14" t="s">
        <v>518</v>
      </c>
      <c r="H710" s="18" t="s">
        <v>5</v>
      </c>
      <c r="I710" s="14" t="s">
        <v>115</v>
      </c>
      <c r="J710" s="18"/>
      <c r="K710" s="18" t="s">
        <v>573</v>
      </c>
      <c r="L710" s="18"/>
      <c r="M710" s="14">
        <v>1</v>
      </c>
      <c r="N710" s="15">
        <v>19491.53</v>
      </c>
      <c r="O710" s="15">
        <f t="shared" si="26"/>
        <v>19491.53</v>
      </c>
      <c r="P710" s="15"/>
      <c r="Q710" s="14" t="s">
        <v>520</v>
      </c>
      <c r="R710" s="25">
        <v>45350</v>
      </c>
      <c r="S710" s="34" t="str">
        <f>TEXT(Table1[[#This Row],[End Date]],"MMMM")</f>
        <v>February</v>
      </c>
      <c r="T710" s="34" t="str">
        <f>TEXT(Table1[[#This Row],[End Date]],"YYYY")</f>
        <v>2024</v>
      </c>
      <c r="U710" s="24">
        <f t="shared" ca="1" si="27"/>
        <v>-217</v>
      </c>
      <c r="V710" s="14" t="str" cm="1">
        <f t="array" aca="1" ref="V710" ca="1">_xlfn.IFS(Table1[[#This Row],[Agreement Days]]&gt;=0,"Expired",Table1[[#This Row],[Agreement Days]]&gt;=-30,"Expires &lt; 30 Days",Table1[[#This Row],[Agreement Days]]&gt;=-60,"Expires &lt; 60 Days",Table1[[#This Row],[Agreement Days]]&lt;-60,"Valid Contract")</f>
        <v>Valid Contract</v>
      </c>
      <c r="W710" s="18" t="s">
        <v>21</v>
      </c>
      <c r="X710" s="18" t="s">
        <v>1784</v>
      </c>
      <c r="Y710" s="42" t="s">
        <v>1785</v>
      </c>
      <c r="Z710" s="27">
        <v>788302709</v>
      </c>
      <c r="AA710" s="27"/>
      <c r="AB710" s="116"/>
      <c r="AC710" s="116"/>
    </row>
    <row r="711" spans="1:29" hidden="1" x14ac:dyDescent="0.3">
      <c r="A711" s="18" t="s">
        <v>1782</v>
      </c>
      <c r="B711" s="18" t="s">
        <v>153</v>
      </c>
      <c r="C711" s="18" t="s">
        <v>1789</v>
      </c>
      <c r="D711" s="14" t="s">
        <v>735</v>
      </c>
      <c r="E711" s="18" t="s">
        <v>9</v>
      </c>
      <c r="F711" s="14" t="s">
        <v>688</v>
      </c>
      <c r="G711" s="14" t="s">
        <v>518</v>
      </c>
      <c r="H711" s="18" t="s">
        <v>5</v>
      </c>
      <c r="I711" s="14" t="s">
        <v>115</v>
      </c>
      <c r="J711" s="18"/>
      <c r="K711" s="18" t="s">
        <v>722</v>
      </c>
      <c r="L711" s="18"/>
      <c r="M711" s="14">
        <v>1</v>
      </c>
      <c r="N711" s="15">
        <f>91700/1.18</f>
        <v>77711.86440677967</v>
      </c>
      <c r="O711" s="15">
        <f t="shared" ref="O711:O774" si="28">N711*M711</f>
        <v>77711.86440677967</v>
      </c>
      <c r="P711" s="15"/>
      <c r="Q711" s="14" t="s">
        <v>520</v>
      </c>
      <c r="R711" s="25">
        <v>45350</v>
      </c>
      <c r="S711" s="34" t="str">
        <f>TEXT(Table1[[#This Row],[End Date]],"MMMM")</f>
        <v>February</v>
      </c>
      <c r="T711" s="34" t="str">
        <f>TEXT(Table1[[#This Row],[End Date]],"YYYY")</f>
        <v>2024</v>
      </c>
      <c r="U711" s="24">
        <f t="shared" ref="U711:U774" ca="1" si="29">TODAY()-R711</f>
        <v>-217</v>
      </c>
      <c r="V711" s="14" t="str" cm="1">
        <f t="array" aca="1" ref="V711" ca="1">_xlfn.IFS(Table1[[#This Row],[Agreement Days]]&gt;=0,"Expired",Table1[[#This Row],[Agreement Days]]&gt;=-30,"Expires &lt; 30 Days",Table1[[#This Row],[Agreement Days]]&gt;=-60,"Expires &lt; 60 Days",Table1[[#This Row],[Agreement Days]]&lt;-60,"Valid Contract")</f>
        <v>Valid Contract</v>
      </c>
      <c r="W711" s="18" t="s">
        <v>21</v>
      </c>
      <c r="X711" s="18" t="s">
        <v>1784</v>
      </c>
      <c r="Y711" s="42" t="s">
        <v>1785</v>
      </c>
      <c r="Z711" s="27">
        <v>788302709</v>
      </c>
      <c r="AA711" s="27"/>
      <c r="AB711" s="116"/>
      <c r="AC711" s="116"/>
    </row>
    <row r="712" spans="1:29" hidden="1" x14ac:dyDescent="0.3">
      <c r="A712" s="18" t="s">
        <v>1782</v>
      </c>
      <c r="B712" s="18" t="s">
        <v>153</v>
      </c>
      <c r="C712" s="18" t="s">
        <v>1790</v>
      </c>
      <c r="D712" s="14" t="s">
        <v>545</v>
      </c>
      <c r="E712" s="18" t="s">
        <v>9</v>
      </c>
      <c r="F712" s="14" t="s">
        <v>688</v>
      </c>
      <c r="G712" s="14" t="s">
        <v>518</v>
      </c>
      <c r="H712" s="18" t="s">
        <v>5</v>
      </c>
      <c r="I712" s="14" t="s">
        <v>115</v>
      </c>
      <c r="J712" s="18"/>
      <c r="K712" s="18" t="s">
        <v>642</v>
      </c>
      <c r="L712" s="18"/>
      <c r="M712" s="14">
        <v>1</v>
      </c>
      <c r="N712" s="15">
        <v>101694.92</v>
      </c>
      <c r="O712" s="15">
        <f t="shared" si="28"/>
        <v>101694.92</v>
      </c>
      <c r="P712" s="15"/>
      <c r="Q712" s="14" t="s">
        <v>520</v>
      </c>
      <c r="R712" s="25">
        <v>45350</v>
      </c>
      <c r="S712" s="34" t="str">
        <f>TEXT(Table1[[#This Row],[End Date]],"MMMM")</f>
        <v>February</v>
      </c>
      <c r="T712" s="34" t="str">
        <f>TEXT(Table1[[#This Row],[End Date]],"YYYY")</f>
        <v>2024</v>
      </c>
      <c r="U712" s="24">
        <f t="shared" ca="1" si="29"/>
        <v>-217</v>
      </c>
      <c r="V712" s="14" t="str" cm="1">
        <f t="array" aca="1" ref="V712" ca="1">_xlfn.IFS(Table1[[#This Row],[Agreement Days]]&gt;=0,"Expired",Table1[[#This Row],[Agreement Days]]&gt;=-30,"Expires &lt; 30 Days",Table1[[#This Row],[Agreement Days]]&gt;=-60,"Expires &lt; 60 Days",Table1[[#This Row],[Agreement Days]]&lt;-60,"Valid Contract")</f>
        <v>Valid Contract</v>
      </c>
      <c r="W712" s="18" t="s">
        <v>21</v>
      </c>
      <c r="X712" s="18" t="s">
        <v>1784</v>
      </c>
      <c r="Y712" s="42" t="s">
        <v>1785</v>
      </c>
      <c r="Z712" s="27">
        <v>788302709</v>
      </c>
      <c r="AA712" s="27"/>
      <c r="AB712" s="116"/>
      <c r="AC712" s="116"/>
    </row>
    <row r="713" spans="1:29" hidden="1" x14ac:dyDescent="0.3">
      <c r="A713" s="18" t="s">
        <v>1782</v>
      </c>
      <c r="B713" s="18" t="s">
        <v>153</v>
      </c>
      <c r="C713" s="18" t="s">
        <v>1787</v>
      </c>
      <c r="D713" s="14" t="s">
        <v>545</v>
      </c>
      <c r="E713" s="18" t="s">
        <v>9</v>
      </c>
      <c r="F713" s="14" t="s">
        <v>688</v>
      </c>
      <c r="G713" s="14" t="s">
        <v>518</v>
      </c>
      <c r="H713" s="18" t="s">
        <v>4</v>
      </c>
      <c r="I713" s="14" t="s">
        <v>118</v>
      </c>
      <c r="J713" s="18"/>
      <c r="K713" s="18" t="s">
        <v>650</v>
      </c>
      <c r="L713" s="18"/>
      <c r="M713" s="14">
        <v>1</v>
      </c>
      <c r="N713" s="15">
        <v>369325</v>
      </c>
      <c r="O713" s="15">
        <f t="shared" si="28"/>
        <v>369325</v>
      </c>
      <c r="P713" s="15"/>
      <c r="Q713" s="14" t="s">
        <v>520</v>
      </c>
      <c r="R713" s="25">
        <v>45350</v>
      </c>
      <c r="S713" s="34" t="str">
        <f>TEXT(Table1[[#This Row],[End Date]],"MMMM")</f>
        <v>February</v>
      </c>
      <c r="T713" s="34" t="str">
        <f>TEXT(Table1[[#This Row],[End Date]],"YYYY")</f>
        <v>2024</v>
      </c>
      <c r="U713" s="24">
        <f t="shared" ca="1" si="29"/>
        <v>-217</v>
      </c>
      <c r="V713" s="14" t="str" cm="1">
        <f t="array" aca="1" ref="V713" ca="1">_xlfn.IFS(Table1[[#This Row],[Agreement Days]]&gt;=0,"Expired",Table1[[#This Row],[Agreement Days]]&gt;=-30,"Expires &lt; 30 Days",Table1[[#This Row],[Agreement Days]]&gt;=-60,"Expires &lt; 60 Days",Table1[[#This Row],[Agreement Days]]&lt;-60,"Valid Contract")</f>
        <v>Valid Contract</v>
      </c>
      <c r="W713" s="18" t="s">
        <v>21</v>
      </c>
      <c r="X713" s="18" t="s">
        <v>1784</v>
      </c>
      <c r="Y713" s="42" t="s">
        <v>1785</v>
      </c>
      <c r="Z713" s="27">
        <v>788302709</v>
      </c>
      <c r="AA713" s="27"/>
      <c r="AB713" s="116"/>
      <c r="AC713" s="116"/>
    </row>
    <row r="714" spans="1:29" hidden="1" x14ac:dyDescent="0.3">
      <c r="A714" s="18" t="s">
        <v>1782</v>
      </c>
      <c r="B714" s="18" t="s">
        <v>153</v>
      </c>
      <c r="C714" s="18" t="s">
        <v>1791</v>
      </c>
      <c r="D714" s="14" t="s">
        <v>545</v>
      </c>
      <c r="E714" s="18" t="s">
        <v>9</v>
      </c>
      <c r="F714" s="14" t="s">
        <v>688</v>
      </c>
      <c r="G714" s="14" t="s">
        <v>518</v>
      </c>
      <c r="H714" s="18" t="s">
        <v>5</v>
      </c>
      <c r="I714" s="14" t="s">
        <v>115</v>
      </c>
      <c r="J714" s="18"/>
      <c r="K714" s="18" t="s">
        <v>657</v>
      </c>
      <c r="L714" s="18"/>
      <c r="M714" s="14">
        <v>1</v>
      </c>
      <c r="N714" s="15">
        <v>45338.98</v>
      </c>
      <c r="O714" s="15">
        <f t="shared" si="28"/>
        <v>45338.98</v>
      </c>
      <c r="P714" s="15"/>
      <c r="Q714" s="14" t="s">
        <v>520</v>
      </c>
      <c r="R714" s="25">
        <v>45350</v>
      </c>
      <c r="S714" s="34" t="str">
        <f>TEXT(Table1[[#This Row],[End Date]],"MMMM")</f>
        <v>February</v>
      </c>
      <c r="T714" s="34" t="str">
        <f>TEXT(Table1[[#This Row],[End Date]],"YYYY")</f>
        <v>2024</v>
      </c>
      <c r="U714" s="24">
        <f t="shared" ca="1" si="29"/>
        <v>-217</v>
      </c>
      <c r="V714" s="14" t="str" cm="1">
        <f t="array" aca="1" ref="V714" ca="1">_xlfn.IFS(Table1[[#This Row],[Agreement Days]]&gt;=0,"Expired",Table1[[#This Row],[Agreement Days]]&gt;=-30,"Expires &lt; 30 Days",Table1[[#This Row],[Agreement Days]]&gt;=-60,"Expires &lt; 60 Days",Table1[[#This Row],[Agreement Days]]&lt;-60,"Valid Contract")</f>
        <v>Valid Contract</v>
      </c>
      <c r="W714" s="18" t="s">
        <v>21</v>
      </c>
      <c r="X714" s="18" t="s">
        <v>1784</v>
      </c>
      <c r="Y714" s="42" t="s">
        <v>1785</v>
      </c>
      <c r="Z714" s="27">
        <v>788302709</v>
      </c>
      <c r="AA714" s="27"/>
      <c r="AB714" s="116"/>
      <c r="AC714" s="116"/>
    </row>
    <row r="715" spans="1:29" hidden="1" x14ac:dyDescent="0.3">
      <c r="A715" s="18" t="s">
        <v>1782</v>
      </c>
      <c r="B715" s="18" t="s">
        <v>153</v>
      </c>
      <c r="C715" s="18" t="s">
        <v>1790</v>
      </c>
      <c r="D715" s="14" t="s">
        <v>545</v>
      </c>
      <c r="E715" s="18" t="s">
        <v>9</v>
      </c>
      <c r="F715" s="14" t="s">
        <v>688</v>
      </c>
      <c r="G715" s="14" t="s">
        <v>518</v>
      </c>
      <c r="H715" s="18" t="s">
        <v>5</v>
      </c>
      <c r="I715" s="14" t="s">
        <v>115</v>
      </c>
      <c r="J715" s="18"/>
      <c r="K715" s="18" t="s">
        <v>657</v>
      </c>
      <c r="L715" s="18"/>
      <c r="M715" s="14">
        <v>1</v>
      </c>
      <c r="N715" s="15">
        <v>45338.98</v>
      </c>
      <c r="O715" s="15">
        <f t="shared" si="28"/>
        <v>45338.98</v>
      </c>
      <c r="P715" s="15"/>
      <c r="Q715" s="14" t="s">
        <v>520</v>
      </c>
      <c r="R715" s="25">
        <v>45350</v>
      </c>
      <c r="S715" s="34" t="str">
        <f>TEXT(Table1[[#This Row],[End Date]],"MMMM")</f>
        <v>February</v>
      </c>
      <c r="T715" s="34" t="str">
        <f>TEXT(Table1[[#This Row],[End Date]],"YYYY")</f>
        <v>2024</v>
      </c>
      <c r="U715" s="24">
        <f t="shared" ca="1" si="29"/>
        <v>-217</v>
      </c>
      <c r="V715" s="14" t="str" cm="1">
        <f t="array" aca="1" ref="V715" ca="1">_xlfn.IFS(Table1[[#This Row],[Agreement Days]]&gt;=0,"Expired",Table1[[#This Row],[Agreement Days]]&gt;=-30,"Expires &lt; 30 Days",Table1[[#This Row],[Agreement Days]]&gt;=-60,"Expires &lt; 60 Days",Table1[[#This Row],[Agreement Days]]&lt;-60,"Valid Contract")</f>
        <v>Valid Contract</v>
      </c>
      <c r="W715" s="18" t="s">
        <v>21</v>
      </c>
      <c r="X715" s="18" t="s">
        <v>1784</v>
      </c>
      <c r="Y715" s="42" t="s">
        <v>1785</v>
      </c>
      <c r="Z715" s="27">
        <v>788302709</v>
      </c>
      <c r="AA715" s="27"/>
      <c r="AB715" s="116"/>
      <c r="AC715" s="116"/>
    </row>
    <row r="716" spans="1:29" hidden="1" x14ac:dyDescent="0.3">
      <c r="A716" s="18" t="s">
        <v>1782</v>
      </c>
      <c r="B716" s="18" t="s">
        <v>153</v>
      </c>
      <c r="C716" s="18" t="s">
        <v>1792</v>
      </c>
      <c r="D716" s="14" t="s">
        <v>586</v>
      </c>
      <c r="E716" s="18" t="s">
        <v>9</v>
      </c>
      <c r="F716" s="14" t="s">
        <v>688</v>
      </c>
      <c r="G716" s="14" t="s">
        <v>518</v>
      </c>
      <c r="H716" s="18" t="s">
        <v>5</v>
      </c>
      <c r="I716" s="14" t="s">
        <v>115</v>
      </c>
      <c r="J716" s="18"/>
      <c r="K716" s="18" t="s">
        <v>642</v>
      </c>
      <c r="L716" s="18"/>
      <c r="M716" s="14">
        <v>1</v>
      </c>
      <c r="N716" s="15">
        <v>101694.92</v>
      </c>
      <c r="O716" s="15">
        <f t="shared" si="28"/>
        <v>101694.92</v>
      </c>
      <c r="P716" s="15"/>
      <c r="Q716" s="14" t="s">
        <v>520</v>
      </c>
      <c r="R716" s="25">
        <v>45350</v>
      </c>
      <c r="S716" s="34" t="str">
        <f>TEXT(Table1[[#This Row],[End Date]],"MMMM")</f>
        <v>February</v>
      </c>
      <c r="T716" s="34" t="str">
        <f>TEXT(Table1[[#This Row],[End Date]],"YYYY")</f>
        <v>2024</v>
      </c>
      <c r="U716" s="24">
        <f t="shared" ca="1" si="29"/>
        <v>-217</v>
      </c>
      <c r="V716" s="14" t="str" cm="1">
        <f t="array" aca="1" ref="V716" ca="1">_xlfn.IFS(Table1[[#This Row],[Agreement Days]]&gt;=0,"Expired",Table1[[#This Row],[Agreement Days]]&gt;=-30,"Expires &lt; 30 Days",Table1[[#This Row],[Agreement Days]]&gt;=-60,"Expires &lt; 60 Days",Table1[[#This Row],[Agreement Days]]&lt;-60,"Valid Contract")</f>
        <v>Valid Contract</v>
      </c>
      <c r="W716" s="18" t="s">
        <v>21</v>
      </c>
      <c r="X716" s="18" t="s">
        <v>1784</v>
      </c>
      <c r="Y716" s="42" t="s">
        <v>1785</v>
      </c>
      <c r="Z716" s="27">
        <v>788302709</v>
      </c>
      <c r="AA716" s="27"/>
      <c r="AB716" s="116"/>
      <c r="AC716" s="116"/>
    </row>
    <row r="717" spans="1:29" hidden="1" x14ac:dyDescent="0.3">
      <c r="A717" s="18" t="s">
        <v>1782</v>
      </c>
      <c r="B717" s="18" t="s">
        <v>153</v>
      </c>
      <c r="C717" s="18" t="s">
        <v>1793</v>
      </c>
      <c r="D717" s="14" t="s">
        <v>532</v>
      </c>
      <c r="E717" s="18" t="s">
        <v>9</v>
      </c>
      <c r="F717" s="14" t="s">
        <v>688</v>
      </c>
      <c r="G717" s="14" t="s">
        <v>518</v>
      </c>
      <c r="H717" s="18" t="s">
        <v>5</v>
      </c>
      <c r="I717" s="14" t="s">
        <v>115</v>
      </c>
      <c r="J717" s="18"/>
      <c r="K717" s="18" t="s">
        <v>642</v>
      </c>
      <c r="L717" s="18"/>
      <c r="M717" s="14">
        <v>1</v>
      </c>
      <c r="N717" s="15">
        <v>101694.92</v>
      </c>
      <c r="O717" s="15">
        <f t="shared" si="28"/>
        <v>101694.92</v>
      </c>
      <c r="P717" s="15"/>
      <c r="Q717" s="14" t="s">
        <v>520</v>
      </c>
      <c r="R717" s="25">
        <v>45350</v>
      </c>
      <c r="S717" s="34" t="str">
        <f>TEXT(Table1[[#This Row],[End Date]],"MMMM")</f>
        <v>February</v>
      </c>
      <c r="T717" s="34" t="str">
        <f>TEXT(Table1[[#This Row],[End Date]],"YYYY")</f>
        <v>2024</v>
      </c>
      <c r="U717" s="24">
        <f t="shared" ca="1" si="29"/>
        <v>-217</v>
      </c>
      <c r="V717" s="14" t="str" cm="1">
        <f t="array" aca="1" ref="V717" ca="1">_xlfn.IFS(Table1[[#This Row],[Agreement Days]]&gt;=0,"Expired",Table1[[#This Row],[Agreement Days]]&gt;=-30,"Expires &lt; 30 Days",Table1[[#This Row],[Agreement Days]]&gt;=-60,"Expires &lt; 60 Days",Table1[[#This Row],[Agreement Days]]&lt;-60,"Valid Contract")</f>
        <v>Valid Contract</v>
      </c>
      <c r="W717" s="18" t="s">
        <v>21</v>
      </c>
      <c r="X717" s="18" t="s">
        <v>1784</v>
      </c>
      <c r="Y717" s="42" t="s">
        <v>1785</v>
      </c>
      <c r="Z717" s="27">
        <v>788302709</v>
      </c>
      <c r="AA717" s="27"/>
      <c r="AB717" s="116"/>
      <c r="AC717" s="116"/>
    </row>
    <row r="718" spans="1:29" hidden="1" x14ac:dyDescent="0.3">
      <c r="A718" s="18" t="s">
        <v>1782</v>
      </c>
      <c r="B718" s="18" t="s">
        <v>153</v>
      </c>
      <c r="C718" s="18" t="s">
        <v>1794</v>
      </c>
      <c r="D718" s="14" t="s">
        <v>929</v>
      </c>
      <c r="E718" s="18" t="s">
        <v>9</v>
      </c>
      <c r="F718" s="14" t="s">
        <v>688</v>
      </c>
      <c r="G718" s="14" t="s">
        <v>518</v>
      </c>
      <c r="H718" s="18" t="s">
        <v>5</v>
      </c>
      <c r="I718" s="14" t="s">
        <v>115</v>
      </c>
      <c r="J718" s="18"/>
      <c r="K718" s="18" t="s">
        <v>573</v>
      </c>
      <c r="L718" s="18"/>
      <c r="M718" s="14">
        <v>1</v>
      </c>
      <c r="N718" s="15">
        <v>19491.53</v>
      </c>
      <c r="O718" s="15">
        <f t="shared" si="28"/>
        <v>19491.53</v>
      </c>
      <c r="P718" s="15"/>
      <c r="Q718" s="14" t="s">
        <v>520</v>
      </c>
      <c r="R718" s="25">
        <v>45350</v>
      </c>
      <c r="S718" s="34" t="str">
        <f>TEXT(Table1[[#This Row],[End Date]],"MMMM")</f>
        <v>February</v>
      </c>
      <c r="T718" s="34" t="str">
        <f>TEXT(Table1[[#This Row],[End Date]],"YYYY")</f>
        <v>2024</v>
      </c>
      <c r="U718" s="24">
        <f t="shared" ca="1" si="29"/>
        <v>-217</v>
      </c>
      <c r="V718" s="14" t="str" cm="1">
        <f t="array" aca="1" ref="V718" ca="1">_xlfn.IFS(Table1[[#This Row],[Agreement Days]]&gt;=0,"Expired",Table1[[#This Row],[Agreement Days]]&gt;=-30,"Expires &lt; 30 Days",Table1[[#This Row],[Agreement Days]]&gt;=-60,"Expires &lt; 60 Days",Table1[[#This Row],[Agreement Days]]&lt;-60,"Valid Contract")</f>
        <v>Valid Contract</v>
      </c>
      <c r="W718" s="18" t="s">
        <v>21</v>
      </c>
      <c r="X718" s="18" t="s">
        <v>1784</v>
      </c>
      <c r="Y718" s="42" t="s">
        <v>1785</v>
      </c>
      <c r="Z718" s="27">
        <v>788302709</v>
      </c>
      <c r="AA718" s="27"/>
      <c r="AB718" s="116"/>
      <c r="AC718" s="116"/>
    </row>
    <row r="719" spans="1:29" hidden="1" x14ac:dyDescent="0.3">
      <c r="A719" s="18" t="s">
        <v>1782</v>
      </c>
      <c r="B719" s="18" t="s">
        <v>153</v>
      </c>
      <c r="C719" s="18" t="s">
        <v>1795</v>
      </c>
      <c r="D719" s="14" t="s">
        <v>808</v>
      </c>
      <c r="E719" s="18" t="s">
        <v>9</v>
      </c>
      <c r="F719" s="14" t="s">
        <v>688</v>
      </c>
      <c r="G719" s="14" t="s">
        <v>518</v>
      </c>
      <c r="H719" s="18" t="s">
        <v>5</v>
      </c>
      <c r="I719" s="14" t="s">
        <v>115</v>
      </c>
      <c r="J719" s="18"/>
      <c r="K719" s="18" t="s">
        <v>642</v>
      </c>
      <c r="L719" s="18"/>
      <c r="M719" s="14">
        <v>1</v>
      </c>
      <c r="N719" s="15">
        <v>101694.92</v>
      </c>
      <c r="O719" s="15">
        <f t="shared" si="28"/>
        <v>101694.92</v>
      </c>
      <c r="P719" s="15"/>
      <c r="Q719" s="14" t="s">
        <v>520</v>
      </c>
      <c r="R719" s="25">
        <v>45350</v>
      </c>
      <c r="S719" s="34" t="str">
        <f>TEXT(Table1[[#This Row],[End Date]],"MMMM")</f>
        <v>February</v>
      </c>
      <c r="T719" s="34" t="str">
        <f>TEXT(Table1[[#This Row],[End Date]],"YYYY")</f>
        <v>2024</v>
      </c>
      <c r="U719" s="24">
        <f t="shared" ca="1" si="29"/>
        <v>-217</v>
      </c>
      <c r="V719" s="14" t="str" cm="1">
        <f t="array" aca="1" ref="V719" ca="1">_xlfn.IFS(Table1[[#This Row],[Agreement Days]]&gt;=0,"Expired",Table1[[#This Row],[Agreement Days]]&gt;=-30,"Expires &lt; 30 Days",Table1[[#This Row],[Agreement Days]]&gt;=-60,"Expires &lt; 60 Days",Table1[[#This Row],[Agreement Days]]&lt;-60,"Valid Contract")</f>
        <v>Valid Contract</v>
      </c>
      <c r="W719" s="18" t="s">
        <v>21</v>
      </c>
      <c r="X719" s="18" t="s">
        <v>1784</v>
      </c>
      <c r="Y719" s="42" t="s">
        <v>1785</v>
      </c>
      <c r="Z719" s="27">
        <v>788302709</v>
      </c>
      <c r="AA719" s="27"/>
      <c r="AB719" s="116"/>
      <c r="AC719" s="116"/>
    </row>
    <row r="720" spans="1:29" hidden="1" x14ac:dyDescent="0.3">
      <c r="A720" s="18" t="s">
        <v>1782</v>
      </c>
      <c r="B720" s="18" t="s">
        <v>153</v>
      </c>
      <c r="C720" s="18" t="s">
        <v>1796</v>
      </c>
      <c r="D720" s="14" t="s">
        <v>1280</v>
      </c>
      <c r="E720" s="18" t="s">
        <v>9</v>
      </c>
      <c r="F720" s="14" t="s">
        <v>688</v>
      </c>
      <c r="G720" s="14" t="s">
        <v>518</v>
      </c>
      <c r="H720" s="18" t="s">
        <v>5</v>
      </c>
      <c r="I720" s="14" t="s">
        <v>115</v>
      </c>
      <c r="J720" s="14"/>
      <c r="K720" s="14" t="s">
        <v>722</v>
      </c>
      <c r="L720" s="18"/>
      <c r="M720" s="14">
        <v>1</v>
      </c>
      <c r="N720" s="15">
        <v>77711.86</v>
      </c>
      <c r="O720" s="15">
        <f t="shared" si="28"/>
        <v>77711.86</v>
      </c>
      <c r="P720" s="15"/>
      <c r="Q720" s="14" t="s">
        <v>520</v>
      </c>
      <c r="R720" s="25">
        <v>45350</v>
      </c>
      <c r="S720" s="34" t="str">
        <f>TEXT(Table1[[#This Row],[End Date]],"MMMM")</f>
        <v>February</v>
      </c>
      <c r="T720" s="34" t="str">
        <f>TEXT(Table1[[#This Row],[End Date]],"YYYY")</f>
        <v>2024</v>
      </c>
      <c r="U720" s="24">
        <f t="shared" ca="1" si="29"/>
        <v>-217</v>
      </c>
      <c r="V720" s="14" t="str" cm="1">
        <f t="array" aca="1" ref="V720" ca="1">_xlfn.IFS(Table1[[#This Row],[Agreement Days]]&gt;=0,"Expired",Table1[[#This Row],[Agreement Days]]&gt;=-30,"Expires &lt; 30 Days",Table1[[#This Row],[Agreement Days]]&gt;=-60,"Expires &lt; 60 Days",Table1[[#This Row],[Agreement Days]]&lt;-60,"Valid Contract")</f>
        <v>Valid Contract</v>
      </c>
      <c r="W720" s="18" t="s">
        <v>21</v>
      </c>
      <c r="X720" s="18" t="s">
        <v>1784</v>
      </c>
      <c r="Y720" s="42" t="s">
        <v>1785</v>
      </c>
      <c r="Z720" s="27">
        <v>788302709</v>
      </c>
      <c r="AA720" s="27"/>
      <c r="AB720" s="116"/>
      <c r="AC720" s="116"/>
    </row>
    <row r="721" spans="1:29" hidden="1" x14ac:dyDescent="0.3">
      <c r="A721" s="18" t="s">
        <v>1782</v>
      </c>
      <c r="B721" s="18" t="s">
        <v>153</v>
      </c>
      <c r="C721" s="18" t="s">
        <v>1797</v>
      </c>
      <c r="D721" s="14" t="s">
        <v>848</v>
      </c>
      <c r="E721" s="18" t="s">
        <v>9</v>
      </c>
      <c r="F721" s="14" t="s">
        <v>688</v>
      </c>
      <c r="G721" s="14" t="s">
        <v>518</v>
      </c>
      <c r="H721" s="18" t="s">
        <v>5</v>
      </c>
      <c r="I721" s="14" t="s">
        <v>115</v>
      </c>
      <c r="J721" s="18"/>
      <c r="K721" s="14" t="s">
        <v>722</v>
      </c>
      <c r="L721" s="18"/>
      <c r="M721" s="14">
        <v>1</v>
      </c>
      <c r="N721" s="15">
        <v>77711.86</v>
      </c>
      <c r="O721" s="15">
        <f t="shared" si="28"/>
        <v>77711.86</v>
      </c>
      <c r="P721" s="15"/>
      <c r="Q721" s="14" t="s">
        <v>520</v>
      </c>
      <c r="R721" s="25">
        <v>45350</v>
      </c>
      <c r="S721" s="34" t="str">
        <f>TEXT(Table1[[#This Row],[End Date]],"MMMM")</f>
        <v>February</v>
      </c>
      <c r="T721" s="34" t="str">
        <f>TEXT(Table1[[#This Row],[End Date]],"YYYY")</f>
        <v>2024</v>
      </c>
      <c r="U721" s="24">
        <f t="shared" ca="1" si="29"/>
        <v>-217</v>
      </c>
      <c r="V721" s="14" t="str" cm="1">
        <f t="array" aca="1" ref="V721" ca="1">_xlfn.IFS(Table1[[#This Row],[Agreement Days]]&gt;=0,"Expired",Table1[[#This Row],[Agreement Days]]&gt;=-30,"Expires &lt; 30 Days",Table1[[#This Row],[Agreement Days]]&gt;=-60,"Expires &lt; 60 Days",Table1[[#This Row],[Agreement Days]]&lt;-60,"Valid Contract")</f>
        <v>Valid Contract</v>
      </c>
      <c r="W721" s="18" t="s">
        <v>21</v>
      </c>
      <c r="X721" s="18" t="s">
        <v>1784</v>
      </c>
      <c r="Y721" s="42" t="s">
        <v>1785</v>
      </c>
      <c r="Z721" s="27">
        <v>788302709</v>
      </c>
      <c r="AA721" s="27"/>
      <c r="AB721" s="116"/>
      <c r="AC721" s="116"/>
    </row>
    <row r="722" spans="1:29" hidden="1" x14ac:dyDescent="0.3">
      <c r="A722" s="18" t="s">
        <v>1782</v>
      </c>
      <c r="B722" s="18" t="s">
        <v>153</v>
      </c>
      <c r="C722" s="18" t="s">
        <v>1798</v>
      </c>
      <c r="D722" s="14" t="s">
        <v>759</v>
      </c>
      <c r="E722" s="18" t="s">
        <v>9</v>
      </c>
      <c r="F722" s="14" t="s">
        <v>688</v>
      </c>
      <c r="G722" s="14" t="s">
        <v>518</v>
      </c>
      <c r="H722" s="18" t="s">
        <v>5</v>
      </c>
      <c r="I722" s="14" t="s">
        <v>115</v>
      </c>
      <c r="J722" s="18"/>
      <c r="K722" s="14" t="s">
        <v>722</v>
      </c>
      <c r="L722" s="18"/>
      <c r="M722" s="14">
        <v>1</v>
      </c>
      <c r="N722" s="15">
        <v>77711.86</v>
      </c>
      <c r="O722" s="15">
        <f t="shared" si="28"/>
        <v>77711.86</v>
      </c>
      <c r="P722" s="15"/>
      <c r="Q722" s="14" t="s">
        <v>520</v>
      </c>
      <c r="R722" s="25">
        <v>45350</v>
      </c>
      <c r="S722" s="34" t="str">
        <f>TEXT(Table1[[#This Row],[End Date]],"MMMM")</f>
        <v>February</v>
      </c>
      <c r="T722" s="34" t="str">
        <f>TEXT(Table1[[#This Row],[End Date]],"YYYY")</f>
        <v>2024</v>
      </c>
      <c r="U722" s="24">
        <f t="shared" ca="1" si="29"/>
        <v>-217</v>
      </c>
      <c r="V722" s="14" t="str" cm="1">
        <f t="array" aca="1" ref="V722" ca="1">_xlfn.IFS(Table1[[#This Row],[Agreement Days]]&gt;=0,"Expired",Table1[[#This Row],[Agreement Days]]&gt;=-30,"Expires &lt; 30 Days",Table1[[#This Row],[Agreement Days]]&gt;=-60,"Expires &lt; 60 Days",Table1[[#This Row],[Agreement Days]]&lt;-60,"Valid Contract")</f>
        <v>Valid Contract</v>
      </c>
      <c r="W722" s="18" t="s">
        <v>21</v>
      </c>
      <c r="X722" s="18" t="s">
        <v>1784</v>
      </c>
      <c r="Y722" s="42" t="s">
        <v>1785</v>
      </c>
      <c r="Z722" s="27">
        <v>788302709</v>
      </c>
      <c r="AA722" s="27"/>
      <c r="AB722" s="116"/>
      <c r="AC722" s="116"/>
    </row>
    <row r="723" spans="1:29" hidden="1" x14ac:dyDescent="0.3">
      <c r="A723" s="18" t="s">
        <v>1782</v>
      </c>
      <c r="B723" s="18" t="s">
        <v>153</v>
      </c>
      <c r="C723" s="18" t="s">
        <v>1799</v>
      </c>
      <c r="D723" s="14" t="s">
        <v>761</v>
      </c>
      <c r="E723" s="18" t="s">
        <v>9</v>
      </c>
      <c r="F723" s="14" t="s">
        <v>688</v>
      </c>
      <c r="G723" s="14" t="s">
        <v>518</v>
      </c>
      <c r="H723" s="18" t="s">
        <v>5</v>
      </c>
      <c r="I723" s="14" t="s">
        <v>115</v>
      </c>
      <c r="J723" s="18"/>
      <c r="K723" s="18" t="s">
        <v>657</v>
      </c>
      <c r="L723" s="18"/>
      <c r="M723" s="14">
        <v>1</v>
      </c>
      <c r="N723" s="15">
        <v>45338.98</v>
      </c>
      <c r="O723" s="15">
        <f t="shared" si="28"/>
        <v>45338.98</v>
      </c>
      <c r="P723" s="15"/>
      <c r="Q723" s="14" t="s">
        <v>520</v>
      </c>
      <c r="R723" s="25">
        <v>45350</v>
      </c>
      <c r="S723" s="34" t="str">
        <f>TEXT(Table1[[#This Row],[End Date]],"MMMM")</f>
        <v>February</v>
      </c>
      <c r="T723" s="34" t="str">
        <f>TEXT(Table1[[#This Row],[End Date]],"YYYY")</f>
        <v>2024</v>
      </c>
      <c r="U723" s="24">
        <f t="shared" ca="1" si="29"/>
        <v>-217</v>
      </c>
      <c r="V723" s="14" t="str" cm="1">
        <f t="array" aca="1" ref="V723" ca="1">_xlfn.IFS(Table1[[#This Row],[Agreement Days]]&gt;=0,"Expired",Table1[[#This Row],[Agreement Days]]&gt;=-30,"Expires &lt; 30 Days",Table1[[#This Row],[Agreement Days]]&gt;=-60,"Expires &lt; 60 Days",Table1[[#This Row],[Agreement Days]]&lt;-60,"Valid Contract")</f>
        <v>Valid Contract</v>
      </c>
      <c r="W723" s="18" t="s">
        <v>21</v>
      </c>
      <c r="X723" s="18" t="s">
        <v>1784</v>
      </c>
      <c r="Y723" s="42" t="s">
        <v>1785</v>
      </c>
      <c r="Z723" s="27">
        <v>788302709</v>
      </c>
      <c r="AA723" s="27"/>
      <c r="AB723" s="116"/>
      <c r="AC723" s="116"/>
    </row>
    <row r="724" spans="1:29" hidden="1" x14ac:dyDescent="0.3">
      <c r="A724" s="18" t="s">
        <v>1782</v>
      </c>
      <c r="B724" s="18" t="s">
        <v>153</v>
      </c>
      <c r="C724" s="18" t="s">
        <v>1800</v>
      </c>
      <c r="D724" s="14" t="s">
        <v>810</v>
      </c>
      <c r="E724" s="18" t="s">
        <v>9</v>
      </c>
      <c r="F724" s="14" t="s">
        <v>688</v>
      </c>
      <c r="G724" s="14" t="s">
        <v>518</v>
      </c>
      <c r="H724" s="18" t="s">
        <v>5</v>
      </c>
      <c r="I724" s="14" t="s">
        <v>115</v>
      </c>
      <c r="J724" s="18"/>
      <c r="K724" s="14" t="s">
        <v>722</v>
      </c>
      <c r="L724" s="18"/>
      <c r="M724" s="14">
        <v>1</v>
      </c>
      <c r="N724" s="15">
        <v>77711.86</v>
      </c>
      <c r="O724" s="15">
        <f t="shared" si="28"/>
        <v>77711.86</v>
      </c>
      <c r="P724" s="15"/>
      <c r="Q724" s="14" t="s">
        <v>520</v>
      </c>
      <c r="R724" s="25">
        <v>45350</v>
      </c>
      <c r="S724" s="34" t="str">
        <f>TEXT(Table1[[#This Row],[End Date]],"MMMM")</f>
        <v>February</v>
      </c>
      <c r="T724" s="34" t="str">
        <f>TEXT(Table1[[#This Row],[End Date]],"YYYY")</f>
        <v>2024</v>
      </c>
      <c r="U724" s="24">
        <f t="shared" ca="1" si="29"/>
        <v>-217</v>
      </c>
      <c r="V724" s="14" t="str" cm="1">
        <f t="array" aca="1" ref="V724" ca="1">_xlfn.IFS(Table1[[#This Row],[Agreement Days]]&gt;=0,"Expired",Table1[[#This Row],[Agreement Days]]&gt;=-30,"Expires &lt; 30 Days",Table1[[#This Row],[Agreement Days]]&gt;=-60,"Expires &lt; 60 Days",Table1[[#This Row],[Agreement Days]]&lt;-60,"Valid Contract")</f>
        <v>Valid Contract</v>
      </c>
      <c r="W724" s="18" t="s">
        <v>21</v>
      </c>
      <c r="X724" s="18" t="s">
        <v>1784</v>
      </c>
      <c r="Y724" s="42" t="s">
        <v>1785</v>
      </c>
      <c r="Z724" s="27">
        <v>788302709</v>
      </c>
      <c r="AA724" s="27"/>
      <c r="AB724" s="116"/>
      <c r="AC724" s="116"/>
    </row>
    <row r="725" spans="1:29" hidden="1" x14ac:dyDescent="0.3">
      <c r="A725" s="18" t="s">
        <v>1782</v>
      </c>
      <c r="B725" s="18" t="s">
        <v>153</v>
      </c>
      <c r="C725" s="18" t="s">
        <v>1801</v>
      </c>
      <c r="D725" s="14" t="s">
        <v>873</v>
      </c>
      <c r="E725" s="18" t="s">
        <v>9</v>
      </c>
      <c r="F725" s="14" t="s">
        <v>688</v>
      </c>
      <c r="G725" s="14" t="s">
        <v>518</v>
      </c>
      <c r="H725" s="18" t="s">
        <v>5</v>
      </c>
      <c r="I725" s="14" t="s">
        <v>115</v>
      </c>
      <c r="J725" s="18"/>
      <c r="K725" s="14" t="s">
        <v>722</v>
      </c>
      <c r="L725" s="18"/>
      <c r="M725" s="14">
        <v>1</v>
      </c>
      <c r="N725" s="15">
        <v>77711.86</v>
      </c>
      <c r="O725" s="15">
        <f t="shared" si="28"/>
        <v>77711.86</v>
      </c>
      <c r="P725" s="15"/>
      <c r="Q725" s="14" t="s">
        <v>520</v>
      </c>
      <c r="R725" s="25">
        <v>45350</v>
      </c>
      <c r="S725" s="34" t="str">
        <f>TEXT(Table1[[#This Row],[End Date]],"MMMM")</f>
        <v>February</v>
      </c>
      <c r="T725" s="34" t="str">
        <f>TEXT(Table1[[#This Row],[End Date]],"YYYY")</f>
        <v>2024</v>
      </c>
      <c r="U725" s="24">
        <f t="shared" ca="1" si="29"/>
        <v>-217</v>
      </c>
      <c r="V725" s="14" t="str" cm="1">
        <f t="array" aca="1" ref="V725" ca="1">_xlfn.IFS(Table1[[#This Row],[Agreement Days]]&gt;=0,"Expired",Table1[[#This Row],[Agreement Days]]&gt;=-30,"Expires &lt; 30 Days",Table1[[#This Row],[Agreement Days]]&gt;=-60,"Expires &lt; 60 Days",Table1[[#This Row],[Agreement Days]]&lt;-60,"Valid Contract")</f>
        <v>Valid Contract</v>
      </c>
      <c r="W725" s="18" t="s">
        <v>21</v>
      </c>
      <c r="X725" s="18" t="s">
        <v>1784</v>
      </c>
      <c r="Y725" s="42" t="s">
        <v>1785</v>
      </c>
      <c r="Z725" s="27">
        <v>788302709</v>
      </c>
      <c r="AA725" s="27"/>
      <c r="AB725" s="116"/>
      <c r="AC725" s="116"/>
    </row>
    <row r="726" spans="1:29" hidden="1" x14ac:dyDescent="0.3">
      <c r="A726" s="18" t="s">
        <v>1782</v>
      </c>
      <c r="B726" s="18" t="s">
        <v>153</v>
      </c>
      <c r="C726" s="18" t="s">
        <v>1802</v>
      </c>
      <c r="D726" s="14" t="s">
        <v>875</v>
      </c>
      <c r="E726" s="18" t="s">
        <v>9</v>
      </c>
      <c r="F726" s="14" t="s">
        <v>688</v>
      </c>
      <c r="G726" s="14" t="s">
        <v>518</v>
      </c>
      <c r="H726" s="18" t="s">
        <v>5</v>
      </c>
      <c r="I726" s="14" t="s">
        <v>115</v>
      </c>
      <c r="J726" s="18"/>
      <c r="K726" s="14" t="s">
        <v>722</v>
      </c>
      <c r="L726" s="18"/>
      <c r="M726" s="14">
        <v>1</v>
      </c>
      <c r="N726" s="15">
        <v>77711.86</v>
      </c>
      <c r="O726" s="15">
        <f t="shared" si="28"/>
        <v>77711.86</v>
      </c>
      <c r="P726" s="15"/>
      <c r="Q726" s="14" t="s">
        <v>520</v>
      </c>
      <c r="R726" s="25">
        <v>45350</v>
      </c>
      <c r="S726" s="34" t="str">
        <f>TEXT(Table1[[#This Row],[End Date]],"MMMM")</f>
        <v>February</v>
      </c>
      <c r="T726" s="34" t="str">
        <f>TEXT(Table1[[#This Row],[End Date]],"YYYY")</f>
        <v>2024</v>
      </c>
      <c r="U726" s="24">
        <f t="shared" ca="1" si="29"/>
        <v>-217</v>
      </c>
      <c r="V726" s="14" t="str" cm="1">
        <f t="array" aca="1" ref="V726" ca="1">_xlfn.IFS(Table1[[#This Row],[Agreement Days]]&gt;=0,"Expired",Table1[[#This Row],[Agreement Days]]&gt;=-30,"Expires &lt; 30 Days",Table1[[#This Row],[Agreement Days]]&gt;=-60,"Expires &lt; 60 Days",Table1[[#This Row],[Agreement Days]]&lt;-60,"Valid Contract")</f>
        <v>Valid Contract</v>
      </c>
      <c r="W726" s="18" t="s">
        <v>21</v>
      </c>
      <c r="X726" s="18" t="s">
        <v>1784</v>
      </c>
      <c r="Y726" s="42" t="s">
        <v>1785</v>
      </c>
      <c r="Z726" s="27">
        <v>788302709</v>
      </c>
      <c r="AA726" s="27"/>
      <c r="AB726" s="116"/>
      <c r="AC726" s="116"/>
    </row>
    <row r="727" spans="1:29" hidden="1" x14ac:dyDescent="0.3">
      <c r="A727" s="18" t="s">
        <v>1782</v>
      </c>
      <c r="B727" s="18" t="s">
        <v>153</v>
      </c>
      <c r="C727" s="18" t="s">
        <v>1803</v>
      </c>
      <c r="D727" s="14" t="s">
        <v>630</v>
      </c>
      <c r="E727" s="18" t="s">
        <v>9</v>
      </c>
      <c r="F727" s="14" t="s">
        <v>688</v>
      </c>
      <c r="G727" s="14" t="s">
        <v>518</v>
      </c>
      <c r="H727" s="18" t="s">
        <v>5</v>
      </c>
      <c r="I727" s="14" t="s">
        <v>115</v>
      </c>
      <c r="J727" s="18"/>
      <c r="K727" s="18" t="s">
        <v>573</v>
      </c>
      <c r="L727" s="18"/>
      <c r="M727" s="14">
        <v>1</v>
      </c>
      <c r="N727" s="15">
        <v>19491.53</v>
      </c>
      <c r="O727" s="15">
        <f t="shared" si="28"/>
        <v>19491.53</v>
      </c>
      <c r="P727" s="15"/>
      <c r="Q727" s="14" t="s">
        <v>520</v>
      </c>
      <c r="R727" s="25">
        <v>45350</v>
      </c>
      <c r="S727" s="34" t="str">
        <f>TEXT(Table1[[#This Row],[End Date]],"MMMM")</f>
        <v>February</v>
      </c>
      <c r="T727" s="34" t="str">
        <f>TEXT(Table1[[#This Row],[End Date]],"YYYY")</f>
        <v>2024</v>
      </c>
      <c r="U727" s="24">
        <f t="shared" ca="1" si="29"/>
        <v>-217</v>
      </c>
      <c r="V727" s="14" t="str" cm="1">
        <f t="array" aca="1" ref="V727" ca="1">_xlfn.IFS(Table1[[#This Row],[Agreement Days]]&gt;=0,"Expired",Table1[[#This Row],[Agreement Days]]&gt;=-30,"Expires &lt; 30 Days",Table1[[#This Row],[Agreement Days]]&gt;=-60,"Expires &lt; 60 Days",Table1[[#This Row],[Agreement Days]]&lt;-60,"Valid Contract")</f>
        <v>Valid Contract</v>
      </c>
      <c r="W727" s="18" t="s">
        <v>21</v>
      </c>
      <c r="X727" s="18" t="s">
        <v>1784</v>
      </c>
      <c r="Y727" s="42" t="s">
        <v>1785</v>
      </c>
      <c r="Z727" s="27">
        <v>788302709</v>
      </c>
      <c r="AA727" s="27"/>
      <c r="AB727" s="116"/>
      <c r="AC727" s="116"/>
    </row>
    <row r="728" spans="1:29" hidden="1" x14ac:dyDescent="0.3">
      <c r="A728" s="18" t="s">
        <v>1782</v>
      </c>
      <c r="B728" s="18" t="s">
        <v>153</v>
      </c>
      <c r="C728" s="18" t="s">
        <v>1804</v>
      </c>
      <c r="D728" s="14" t="s">
        <v>1719</v>
      </c>
      <c r="E728" s="18" t="s">
        <v>9</v>
      </c>
      <c r="F728" s="14" t="s">
        <v>688</v>
      </c>
      <c r="G728" s="14" t="s">
        <v>518</v>
      </c>
      <c r="H728" s="18" t="s">
        <v>5</v>
      </c>
      <c r="I728" s="14" t="s">
        <v>115</v>
      </c>
      <c r="J728" s="18"/>
      <c r="K728" s="14" t="s">
        <v>722</v>
      </c>
      <c r="L728" s="18"/>
      <c r="M728" s="14">
        <v>1</v>
      </c>
      <c r="N728" s="15">
        <v>77711.86</v>
      </c>
      <c r="O728" s="15">
        <f t="shared" si="28"/>
        <v>77711.86</v>
      </c>
      <c r="P728" s="15"/>
      <c r="Q728" s="14" t="s">
        <v>520</v>
      </c>
      <c r="R728" s="25">
        <v>45350</v>
      </c>
      <c r="S728" s="34" t="str">
        <f>TEXT(Table1[[#This Row],[End Date]],"MMMM")</f>
        <v>February</v>
      </c>
      <c r="T728" s="34" t="str">
        <f>TEXT(Table1[[#This Row],[End Date]],"YYYY")</f>
        <v>2024</v>
      </c>
      <c r="U728" s="24">
        <f t="shared" ca="1" si="29"/>
        <v>-217</v>
      </c>
      <c r="V728" s="14" t="str" cm="1">
        <f t="array" aca="1" ref="V728" ca="1">_xlfn.IFS(Table1[[#This Row],[Agreement Days]]&gt;=0,"Expired",Table1[[#This Row],[Agreement Days]]&gt;=-30,"Expires &lt; 30 Days",Table1[[#This Row],[Agreement Days]]&gt;=-60,"Expires &lt; 60 Days",Table1[[#This Row],[Agreement Days]]&lt;-60,"Valid Contract")</f>
        <v>Valid Contract</v>
      </c>
      <c r="W728" s="18" t="s">
        <v>21</v>
      </c>
      <c r="X728" s="18" t="s">
        <v>1784</v>
      </c>
      <c r="Y728" s="42" t="s">
        <v>1785</v>
      </c>
      <c r="Z728" s="27">
        <v>788302709</v>
      </c>
      <c r="AA728" s="27"/>
      <c r="AB728" s="116"/>
      <c r="AC728" s="116"/>
    </row>
    <row r="729" spans="1:29" hidden="1" x14ac:dyDescent="0.3">
      <c r="A729" s="18" t="s">
        <v>1782</v>
      </c>
      <c r="B729" s="18" t="s">
        <v>153</v>
      </c>
      <c r="C729" s="18" t="s">
        <v>1805</v>
      </c>
      <c r="D729" s="14" t="s">
        <v>542</v>
      </c>
      <c r="E729" s="18" t="s">
        <v>9</v>
      </c>
      <c r="F729" s="14" t="s">
        <v>688</v>
      </c>
      <c r="G729" s="14" t="s">
        <v>518</v>
      </c>
      <c r="H729" s="18" t="s">
        <v>5</v>
      </c>
      <c r="I729" s="14" t="s">
        <v>115</v>
      </c>
      <c r="J729" s="18"/>
      <c r="K729" s="18" t="s">
        <v>657</v>
      </c>
      <c r="L729" s="18"/>
      <c r="M729" s="14">
        <v>1</v>
      </c>
      <c r="N729" s="15">
        <v>45338.98</v>
      </c>
      <c r="O729" s="15">
        <f t="shared" si="28"/>
        <v>45338.98</v>
      </c>
      <c r="P729" s="15"/>
      <c r="Q729" s="14" t="s">
        <v>520</v>
      </c>
      <c r="R729" s="25">
        <v>45350</v>
      </c>
      <c r="S729" s="34" t="str">
        <f>TEXT(Table1[[#This Row],[End Date]],"MMMM")</f>
        <v>February</v>
      </c>
      <c r="T729" s="34" t="str">
        <f>TEXT(Table1[[#This Row],[End Date]],"YYYY")</f>
        <v>2024</v>
      </c>
      <c r="U729" s="24">
        <f t="shared" ca="1" si="29"/>
        <v>-217</v>
      </c>
      <c r="V729" s="14" t="str" cm="1">
        <f t="array" aca="1" ref="V729" ca="1">_xlfn.IFS(Table1[[#This Row],[Agreement Days]]&gt;=0,"Expired",Table1[[#This Row],[Agreement Days]]&gt;=-30,"Expires &lt; 30 Days",Table1[[#This Row],[Agreement Days]]&gt;=-60,"Expires &lt; 60 Days",Table1[[#This Row],[Agreement Days]]&lt;-60,"Valid Contract")</f>
        <v>Valid Contract</v>
      </c>
      <c r="W729" s="18" t="s">
        <v>21</v>
      </c>
      <c r="X729" s="18" t="s">
        <v>1784</v>
      </c>
      <c r="Y729" s="42" t="s">
        <v>1785</v>
      </c>
      <c r="Z729" s="27">
        <v>788302709</v>
      </c>
      <c r="AA729" s="27"/>
      <c r="AB729" s="116"/>
      <c r="AC729" s="116"/>
    </row>
    <row r="730" spans="1:29" hidden="1" x14ac:dyDescent="0.3">
      <c r="A730" s="18" t="s">
        <v>1782</v>
      </c>
      <c r="B730" s="18" t="s">
        <v>153</v>
      </c>
      <c r="C730" s="18" t="s">
        <v>1805</v>
      </c>
      <c r="D730" s="14" t="s">
        <v>542</v>
      </c>
      <c r="E730" s="18" t="s">
        <v>9</v>
      </c>
      <c r="F730" s="14" t="s">
        <v>688</v>
      </c>
      <c r="G730" s="14" t="s">
        <v>518</v>
      </c>
      <c r="H730" s="18" t="s">
        <v>5</v>
      </c>
      <c r="I730" s="14" t="s">
        <v>115</v>
      </c>
      <c r="J730" s="18"/>
      <c r="K730" s="18" t="s">
        <v>651</v>
      </c>
      <c r="L730" s="18"/>
      <c r="M730" s="14">
        <v>1</v>
      </c>
      <c r="N730" s="15">
        <f>96000/1.18</f>
        <v>81355.932203389835</v>
      </c>
      <c r="O730" s="15">
        <f t="shared" si="28"/>
        <v>81355.932203389835</v>
      </c>
      <c r="P730" s="15"/>
      <c r="Q730" s="14" t="s">
        <v>520</v>
      </c>
      <c r="R730" s="25">
        <v>45350</v>
      </c>
      <c r="S730" s="34" t="str">
        <f>TEXT(Table1[[#This Row],[End Date]],"MMMM")</f>
        <v>February</v>
      </c>
      <c r="T730" s="34" t="str">
        <f>TEXT(Table1[[#This Row],[End Date]],"YYYY")</f>
        <v>2024</v>
      </c>
      <c r="U730" s="24">
        <f t="shared" ca="1" si="29"/>
        <v>-217</v>
      </c>
      <c r="V730" s="14" t="str" cm="1">
        <f t="array" aca="1" ref="V730" ca="1">_xlfn.IFS(Table1[[#This Row],[Agreement Days]]&gt;=0,"Expired",Table1[[#This Row],[Agreement Days]]&gt;=-30,"Expires &lt; 30 Days",Table1[[#This Row],[Agreement Days]]&gt;=-60,"Expires &lt; 60 Days",Table1[[#This Row],[Agreement Days]]&lt;-60,"Valid Contract")</f>
        <v>Valid Contract</v>
      </c>
      <c r="W730" s="18" t="s">
        <v>21</v>
      </c>
      <c r="X730" s="18" t="s">
        <v>1784</v>
      </c>
      <c r="Y730" s="42" t="s">
        <v>1785</v>
      </c>
      <c r="Z730" s="27">
        <v>788302709</v>
      </c>
      <c r="AA730" s="27"/>
      <c r="AB730" s="116"/>
      <c r="AC730" s="116"/>
    </row>
    <row r="731" spans="1:29" hidden="1" x14ac:dyDescent="0.3">
      <c r="A731" s="18" t="s">
        <v>1782</v>
      </c>
      <c r="B731" s="18" t="s">
        <v>153</v>
      </c>
      <c r="C731" s="18" t="s">
        <v>1806</v>
      </c>
      <c r="D731" s="14" t="s">
        <v>579</v>
      </c>
      <c r="E731" s="18" t="s">
        <v>9</v>
      </c>
      <c r="F731" s="14" t="s">
        <v>688</v>
      </c>
      <c r="G731" s="14" t="s">
        <v>518</v>
      </c>
      <c r="H731" s="18" t="s">
        <v>5</v>
      </c>
      <c r="I731" s="14" t="s">
        <v>115</v>
      </c>
      <c r="J731" s="18"/>
      <c r="K731" s="14" t="s">
        <v>722</v>
      </c>
      <c r="L731" s="18"/>
      <c r="M731" s="14">
        <v>1</v>
      </c>
      <c r="N731" s="15">
        <v>77711.86</v>
      </c>
      <c r="O731" s="15">
        <f t="shared" si="28"/>
        <v>77711.86</v>
      </c>
      <c r="P731" s="15"/>
      <c r="Q731" s="14" t="s">
        <v>520</v>
      </c>
      <c r="R731" s="25">
        <v>45350</v>
      </c>
      <c r="S731" s="34" t="str">
        <f>TEXT(Table1[[#This Row],[End Date]],"MMMM")</f>
        <v>February</v>
      </c>
      <c r="T731" s="34" t="str">
        <f>TEXT(Table1[[#This Row],[End Date]],"YYYY")</f>
        <v>2024</v>
      </c>
      <c r="U731" s="24">
        <f t="shared" ca="1" si="29"/>
        <v>-217</v>
      </c>
      <c r="V731" s="14" t="str" cm="1">
        <f t="array" aca="1" ref="V731" ca="1">_xlfn.IFS(Table1[[#This Row],[Agreement Days]]&gt;=0,"Expired",Table1[[#This Row],[Agreement Days]]&gt;=-30,"Expires &lt; 30 Days",Table1[[#This Row],[Agreement Days]]&gt;=-60,"Expires &lt; 60 Days",Table1[[#This Row],[Agreement Days]]&lt;-60,"Valid Contract")</f>
        <v>Valid Contract</v>
      </c>
      <c r="W731" s="18" t="s">
        <v>21</v>
      </c>
      <c r="X731" s="18" t="s">
        <v>1784</v>
      </c>
      <c r="Y731" s="42" t="s">
        <v>1785</v>
      </c>
      <c r="Z731" s="27">
        <v>788302709</v>
      </c>
      <c r="AA731" s="27"/>
      <c r="AB731" s="116"/>
      <c r="AC731" s="116"/>
    </row>
    <row r="732" spans="1:29" hidden="1" x14ac:dyDescent="0.3">
      <c r="A732" s="18" t="s">
        <v>1782</v>
      </c>
      <c r="B732" s="18" t="s">
        <v>153</v>
      </c>
      <c r="C732" s="18" t="s">
        <v>1807</v>
      </c>
      <c r="D732" s="14" t="s">
        <v>516</v>
      </c>
      <c r="E732" s="18" t="s">
        <v>9</v>
      </c>
      <c r="F732" s="14" t="s">
        <v>688</v>
      </c>
      <c r="G732" s="14" t="s">
        <v>518</v>
      </c>
      <c r="H732" s="18" t="s">
        <v>5</v>
      </c>
      <c r="I732" s="14" t="s">
        <v>115</v>
      </c>
      <c r="J732" s="18"/>
      <c r="K732" s="14" t="s">
        <v>722</v>
      </c>
      <c r="L732" s="18"/>
      <c r="M732" s="14">
        <v>1</v>
      </c>
      <c r="N732" s="15">
        <v>77711.86</v>
      </c>
      <c r="O732" s="15">
        <f t="shared" si="28"/>
        <v>77711.86</v>
      </c>
      <c r="P732" s="15"/>
      <c r="Q732" s="14" t="s">
        <v>520</v>
      </c>
      <c r="R732" s="25">
        <v>45350</v>
      </c>
      <c r="S732" s="34" t="str">
        <f>TEXT(Table1[[#This Row],[End Date]],"MMMM")</f>
        <v>February</v>
      </c>
      <c r="T732" s="34" t="str">
        <f>TEXT(Table1[[#This Row],[End Date]],"YYYY")</f>
        <v>2024</v>
      </c>
      <c r="U732" s="24">
        <f t="shared" ca="1" si="29"/>
        <v>-217</v>
      </c>
      <c r="V732" s="14" t="str" cm="1">
        <f t="array" aca="1" ref="V732" ca="1">_xlfn.IFS(Table1[[#This Row],[Agreement Days]]&gt;=0,"Expired",Table1[[#This Row],[Agreement Days]]&gt;=-30,"Expires &lt; 30 Days",Table1[[#This Row],[Agreement Days]]&gt;=-60,"Expires &lt; 60 Days",Table1[[#This Row],[Agreement Days]]&lt;-60,"Valid Contract")</f>
        <v>Valid Contract</v>
      </c>
      <c r="W732" s="18" t="s">
        <v>21</v>
      </c>
      <c r="X732" s="18" t="s">
        <v>1784</v>
      </c>
      <c r="Y732" s="42" t="s">
        <v>1785</v>
      </c>
      <c r="Z732" s="27">
        <v>788302709</v>
      </c>
      <c r="AA732" s="27"/>
      <c r="AB732" s="116"/>
      <c r="AC732" s="116"/>
    </row>
    <row r="733" spans="1:29" hidden="1" x14ac:dyDescent="0.3">
      <c r="A733" s="18" t="s">
        <v>1782</v>
      </c>
      <c r="B733" s="18" t="s">
        <v>153</v>
      </c>
      <c r="C733" s="18" t="s">
        <v>1808</v>
      </c>
      <c r="D733" s="14" t="s">
        <v>739</v>
      </c>
      <c r="E733" s="18" t="s">
        <v>9</v>
      </c>
      <c r="F733" s="14" t="s">
        <v>688</v>
      </c>
      <c r="G733" s="14" t="s">
        <v>518</v>
      </c>
      <c r="H733" s="18" t="s">
        <v>5</v>
      </c>
      <c r="I733" s="14" t="s">
        <v>115</v>
      </c>
      <c r="J733" s="18"/>
      <c r="K733" s="18" t="s">
        <v>657</v>
      </c>
      <c r="L733" s="18"/>
      <c r="M733" s="14">
        <v>2</v>
      </c>
      <c r="N733" s="15">
        <v>45338.98</v>
      </c>
      <c r="O733" s="15">
        <f t="shared" si="28"/>
        <v>90677.96</v>
      </c>
      <c r="P733" s="15"/>
      <c r="Q733" s="14" t="s">
        <v>520</v>
      </c>
      <c r="R733" s="25">
        <v>45350</v>
      </c>
      <c r="S733" s="34" t="str">
        <f>TEXT(Table1[[#This Row],[End Date]],"MMMM")</f>
        <v>February</v>
      </c>
      <c r="T733" s="34" t="str">
        <f>TEXT(Table1[[#This Row],[End Date]],"YYYY")</f>
        <v>2024</v>
      </c>
      <c r="U733" s="24">
        <f t="shared" ca="1" si="29"/>
        <v>-217</v>
      </c>
      <c r="V733" s="14" t="str" cm="1">
        <f t="array" aca="1" ref="V733" ca="1">_xlfn.IFS(Table1[[#This Row],[Agreement Days]]&gt;=0,"Expired",Table1[[#This Row],[Agreement Days]]&gt;=-30,"Expires &lt; 30 Days",Table1[[#This Row],[Agreement Days]]&gt;=-60,"Expires &lt; 60 Days",Table1[[#This Row],[Agreement Days]]&lt;-60,"Valid Contract")</f>
        <v>Valid Contract</v>
      </c>
      <c r="W733" s="18" t="s">
        <v>21</v>
      </c>
      <c r="X733" s="18" t="s">
        <v>1784</v>
      </c>
      <c r="Y733" s="42" t="s">
        <v>1785</v>
      </c>
      <c r="Z733" s="27">
        <v>788302709</v>
      </c>
      <c r="AA733" s="27"/>
      <c r="AB733" s="116"/>
      <c r="AC733" s="116"/>
    </row>
    <row r="734" spans="1:29" hidden="1" x14ac:dyDescent="0.3">
      <c r="A734" s="18" t="s">
        <v>1782</v>
      </c>
      <c r="B734" s="18" t="s">
        <v>153</v>
      </c>
      <c r="C734" s="18" t="s">
        <v>1809</v>
      </c>
      <c r="D734" s="14" t="s">
        <v>1140</v>
      </c>
      <c r="E734" s="18" t="s">
        <v>9</v>
      </c>
      <c r="F734" s="14" t="s">
        <v>688</v>
      </c>
      <c r="G734" s="14" t="s">
        <v>518</v>
      </c>
      <c r="H734" s="18" t="s">
        <v>5</v>
      </c>
      <c r="I734" s="14" t="s">
        <v>115</v>
      </c>
      <c r="J734" s="18"/>
      <c r="K734" s="18" t="s">
        <v>657</v>
      </c>
      <c r="L734" s="18"/>
      <c r="M734" s="14">
        <v>2</v>
      </c>
      <c r="N734" s="15">
        <v>45338.98</v>
      </c>
      <c r="O734" s="15">
        <f t="shared" si="28"/>
        <v>90677.96</v>
      </c>
      <c r="P734" s="15"/>
      <c r="Q734" s="14" t="s">
        <v>520</v>
      </c>
      <c r="R734" s="25">
        <v>45350</v>
      </c>
      <c r="S734" s="34" t="str">
        <f>TEXT(Table1[[#This Row],[End Date]],"MMMM")</f>
        <v>February</v>
      </c>
      <c r="T734" s="34" t="str">
        <f>TEXT(Table1[[#This Row],[End Date]],"YYYY")</f>
        <v>2024</v>
      </c>
      <c r="U734" s="24">
        <f t="shared" ca="1" si="29"/>
        <v>-217</v>
      </c>
      <c r="V734" s="14" t="str" cm="1">
        <f t="array" aca="1" ref="V734" ca="1">_xlfn.IFS(Table1[[#This Row],[Agreement Days]]&gt;=0,"Expired",Table1[[#This Row],[Agreement Days]]&gt;=-30,"Expires &lt; 30 Days",Table1[[#This Row],[Agreement Days]]&gt;=-60,"Expires &lt; 60 Days",Table1[[#This Row],[Agreement Days]]&lt;-60,"Valid Contract")</f>
        <v>Valid Contract</v>
      </c>
      <c r="W734" s="18" t="s">
        <v>21</v>
      </c>
      <c r="X734" s="18" t="s">
        <v>1784</v>
      </c>
      <c r="Y734" s="42" t="s">
        <v>1785</v>
      </c>
      <c r="Z734" s="27">
        <v>788302709</v>
      </c>
      <c r="AA734" s="27"/>
      <c r="AB734" s="116"/>
      <c r="AC734" s="116"/>
    </row>
    <row r="735" spans="1:29" hidden="1" x14ac:dyDescent="0.3">
      <c r="A735" s="18" t="s">
        <v>1782</v>
      </c>
      <c r="B735" s="18" t="s">
        <v>153</v>
      </c>
      <c r="C735" s="18" t="s">
        <v>1810</v>
      </c>
      <c r="D735" s="14" t="s">
        <v>545</v>
      </c>
      <c r="E735" s="18" t="s">
        <v>9</v>
      </c>
      <c r="F735" s="14" t="s">
        <v>688</v>
      </c>
      <c r="G735" s="14" t="s">
        <v>518</v>
      </c>
      <c r="H735" s="18" t="s">
        <v>5</v>
      </c>
      <c r="I735" s="14" t="s">
        <v>115</v>
      </c>
      <c r="J735" s="18"/>
      <c r="K735" s="18" t="s">
        <v>657</v>
      </c>
      <c r="L735" s="18"/>
      <c r="M735" s="14">
        <v>2</v>
      </c>
      <c r="N735" s="15">
        <v>45338.98</v>
      </c>
      <c r="O735" s="15">
        <f t="shared" si="28"/>
        <v>90677.96</v>
      </c>
      <c r="P735" s="15"/>
      <c r="Q735" s="14" t="s">
        <v>520</v>
      </c>
      <c r="R735" s="25">
        <v>45350</v>
      </c>
      <c r="S735" s="34" t="str">
        <f>TEXT(Table1[[#This Row],[End Date]],"MMMM")</f>
        <v>February</v>
      </c>
      <c r="T735" s="34" t="str">
        <f>TEXT(Table1[[#This Row],[End Date]],"YYYY")</f>
        <v>2024</v>
      </c>
      <c r="U735" s="24">
        <f t="shared" ca="1" si="29"/>
        <v>-217</v>
      </c>
      <c r="V735" s="14" t="str" cm="1">
        <f t="array" aca="1" ref="V735" ca="1">_xlfn.IFS(Table1[[#This Row],[Agreement Days]]&gt;=0,"Expired",Table1[[#This Row],[Agreement Days]]&gt;=-30,"Expires &lt; 30 Days",Table1[[#This Row],[Agreement Days]]&gt;=-60,"Expires &lt; 60 Days",Table1[[#This Row],[Agreement Days]]&lt;-60,"Valid Contract")</f>
        <v>Valid Contract</v>
      </c>
      <c r="W735" s="18" t="s">
        <v>21</v>
      </c>
      <c r="X735" s="18" t="s">
        <v>1784</v>
      </c>
      <c r="Y735" s="42" t="s">
        <v>1785</v>
      </c>
      <c r="Z735" s="27">
        <v>788302709</v>
      </c>
      <c r="AA735" s="27"/>
      <c r="AB735" s="116"/>
      <c r="AC735" s="116"/>
    </row>
    <row r="736" spans="1:29" hidden="1" x14ac:dyDescent="0.3">
      <c r="A736" s="18" t="s">
        <v>1782</v>
      </c>
      <c r="B736" s="18" t="s">
        <v>153</v>
      </c>
      <c r="C736" s="18" t="s">
        <v>1811</v>
      </c>
      <c r="D736" s="14" t="s">
        <v>616</v>
      </c>
      <c r="E736" s="18" t="s">
        <v>9</v>
      </c>
      <c r="F736" s="14" t="s">
        <v>688</v>
      </c>
      <c r="G736" s="14" t="s">
        <v>518</v>
      </c>
      <c r="H736" s="18" t="s">
        <v>5</v>
      </c>
      <c r="I736" s="14" t="s">
        <v>115</v>
      </c>
      <c r="J736" s="18"/>
      <c r="K736" s="18" t="s">
        <v>657</v>
      </c>
      <c r="L736" s="18"/>
      <c r="M736" s="14">
        <v>2</v>
      </c>
      <c r="N736" s="15">
        <v>45338.98</v>
      </c>
      <c r="O736" s="15">
        <f t="shared" si="28"/>
        <v>90677.96</v>
      </c>
      <c r="P736" s="15"/>
      <c r="Q736" s="14" t="s">
        <v>520</v>
      </c>
      <c r="R736" s="25">
        <v>45350</v>
      </c>
      <c r="S736" s="34" t="str">
        <f>TEXT(Table1[[#This Row],[End Date]],"MMMM")</f>
        <v>February</v>
      </c>
      <c r="T736" s="34" t="str">
        <f>TEXT(Table1[[#This Row],[End Date]],"YYYY")</f>
        <v>2024</v>
      </c>
      <c r="U736" s="24">
        <f t="shared" ca="1" si="29"/>
        <v>-217</v>
      </c>
      <c r="V736" s="14" t="str" cm="1">
        <f t="array" aca="1" ref="V736" ca="1">_xlfn.IFS(Table1[[#This Row],[Agreement Days]]&gt;=0,"Expired",Table1[[#This Row],[Agreement Days]]&gt;=-30,"Expires &lt; 30 Days",Table1[[#This Row],[Agreement Days]]&gt;=-60,"Expires &lt; 60 Days",Table1[[#This Row],[Agreement Days]]&lt;-60,"Valid Contract")</f>
        <v>Valid Contract</v>
      </c>
      <c r="W736" s="18" t="s">
        <v>21</v>
      </c>
      <c r="X736" s="18" t="s">
        <v>1784</v>
      </c>
      <c r="Y736" s="42" t="s">
        <v>1785</v>
      </c>
      <c r="Z736" s="27">
        <v>788302709</v>
      </c>
      <c r="AA736" s="27"/>
      <c r="AB736" s="116"/>
      <c r="AC736" s="116"/>
    </row>
    <row r="737" spans="1:29" hidden="1" x14ac:dyDescent="0.3">
      <c r="A737" s="18" t="s">
        <v>1782</v>
      </c>
      <c r="B737" s="18" t="s">
        <v>153</v>
      </c>
      <c r="C737" s="18" t="s">
        <v>1812</v>
      </c>
      <c r="D737" s="14" t="s">
        <v>540</v>
      </c>
      <c r="E737" s="18" t="s">
        <v>9</v>
      </c>
      <c r="F737" s="14" t="s">
        <v>688</v>
      </c>
      <c r="G737" s="14" t="s">
        <v>518</v>
      </c>
      <c r="H737" s="18" t="s">
        <v>5</v>
      </c>
      <c r="I737" s="14" t="s">
        <v>115</v>
      </c>
      <c r="J737" s="18"/>
      <c r="K737" s="18" t="s">
        <v>1245</v>
      </c>
      <c r="L737" s="18"/>
      <c r="M737" s="14">
        <v>2</v>
      </c>
      <c r="N737" s="15">
        <v>45338.983051000003</v>
      </c>
      <c r="O737" s="15">
        <f t="shared" si="28"/>
        <v>90677.966102000006</v>
      </c>
      <c r="P737" s="15"/>
      <c r="Q737" s="14" t="s">
        <v>520</v>
      </c>
      <c r="R737" s="25">
        <v>45350</v>
      </c>
      <c r="S737" s="34" t="str">
        <f>TEXT(Table1[[#This Row],[End Date]],"MMMM")</f>
        <v>February</v>
      </c>
      <c r="T737" s="34" t="str">
        <f>TEXT(Table1[[#This Row],[End Date]],"YYYY")</f>
        <v>2024</v>
      </c>
      <c r="U737" s="24">
        <f t="shared" ca="1" si="29"/>
        <v>-217</v>
      </c>
      <c r="V737" s="14" t="str" cm="1">
        <f t="array" aca="1" ref="V737" ca="1">_xlfn.IFS(Table1[[#This Row],[Agreement Days]]&gt;=0,"Expired",Table1[[#This Row],[Agreement Days]]&gt;=-30,"Expires &lt; 30 Days",Table1[[#This Row],[Agreement Days]]&gt;=-60,"Expires &lt; 60 Days",Table1[[#This Row],[Agreement Days]]&lt;-60,"Valid Contract")</f>
        <v>Valid Contract</v>
      </c>
      <c r="W737" s="18" t="s">
        <v>21</v>
      </c>
      <c r="X737" s="18" t="s">
        <v>1784</v>
      </c>
      <c r="Y737" s="42" t="s">
        <v>1785</v>
      </c>
      <c r="Z737" s="27">
        <v>788302709</v>
      </c>
      <c r="AA737" s="27"/>
      <c r="AB737" s="116"/>
      <c r="AC737" s="116"/>
    </row>
    <row r="738" spans="1:29" hidden="1" x14ac:dyDescent="0.3">
      <c r="A738" s="18" t="s">
        <v>1782</v>
      </c>
      <c r="B738" s="18" t="s">
        <v>153</v>
      </c>
      <c r="C738" s="18" t="s">
        <v>1813</v>
      </c>
      <c r="D738" s="14" t="s">
        <v>946</v>
      </c>
      <c r="E738" s="18" t="s">
        <v>9</v>
      </c>
      <c r="F738" s="14" t="s">
        <v>688</v>
      </c>
      <c r="G738" s="14" t="s">
        <v>518</v>
      </c>
      <c r="H738" s="18" t="s">
        <v>5</v>
      </c>
      <c r="I738" s="14" t="s">
        <v>115</v>
      </c>
      <c r="J738" s="18"/>
      <c r="K738" s="18" t="s">
        <v>657</v>
      </c>
      <c r="L738" s="18"/>
      <c r="M738" s="14">
        <v>2</v>
      </c>
      <c r="N738" s="15">
        <v>45338.98</v>
      </c>
      <c r="O738" s="15">
        <f t="shared" si="28"/>
        <v>90677.96</v>
      </c>
      <c r="P738" s="15"/>
      <c r="Q738" s="14" t="s">
        <v>520</v>
      </c>
      <c r="R738" s="25">
        <v>45350</v>
      </c>
      <c r="S738" s="34" t="str">
        <f>TEXT(Table1[[#This Row],[End Date]],"MMMM")</f>
        <v>February</v>
      </c>
      <c r="T738" s="34" t="str">
        <f>TEXT(Table1[[#This Row],[End Date]],"YYYY")</f>
        <v>2024</v>
      </c>
      <c r="U738" s="24">
        <f t="shared" ca="1" si="29"/>
        <v>-217</v>
      </c>
      <c r="V738" s="14" t="str" cm="1">
        <f t="array" aca="1" ref="V738" ca="1">_xlfn.IFS(Table1[[#This Row],[Agreement Days]]&gt;=0,"Expired",Table1[[#This Row],[Agreement Days]]&gt;=-30,"Expires &lt; 30 Days",Table1[[#This Row],[Agreement Days]]&gt;=-60,"Expires &lt; 60 Days",Table1[[#This Row],[Agreement Days]]&lt;-60,"Valid Contract")</f>
        <v>Valid Contract</v>
      </c>
      <c r="W738" s="18" t="s">
        <v>21</v>
      </c>
      <c r="X738" s="18" t="s">
        <v>1784</v>
      </c>
      <c r="Y738" s="42" t="s">
        <v>1785</v>
      </c>
      <c r="Z738" s="27">
        <v>788302709</v>
      </c>
      <c r="AA738" s="27"/>
      <c r="AB738" s="116"/>
      <c r="AC738" s="116"/>
    </row>
    <row r="739" spans="1:29" hidden="1" x14ac:dyDescent="0.3">
      <c r="A739" s="18" t="s">
        <v>1782</v>
      </c>
      <c r="B739" s="18" t="s">
        <v>153</v>
      </c>
      <c r="C739" s="18" t="s">
        <v>1803</v>
      </c>
      <c r="D739" s="14" t="s">
        <v>630</v>
      </c>
      <c r="E739" s="18" t="s">
        <v>9</v>
      </c>
      <c r="F739" s="14" t="s">
        <v>688</v>
      </c>
      <c r="G739" s="14" t="s">
        <v>518</v>
      </c>
      <c r="H739" s="18" t="s">
        <v>5</v>
      </c>
      <c r="I739" s="14" t="s">
        <v>115</v>
      </c>
      <c r="J739" s="18"/>
      <c r="K739" s="18" t="s">
        <v>657</v>
      </c>
      <c r="L739" s="18"/>
      <c r="M739" s="14">
        <v>2</v>
      </c>
      <c r="N739" s="15">
        <v>45338.98</v>
      </c>
      <c r="O739" s="15">
        <f t="shared" si="28"/>
        <v>90677.96</v>
      </c>
      <c r="P739" s="15"/>
      <c r="Q739" s="14" t="s">
        <v>520</v>
      </c>
      <c r="R739" s="25">
        <v>45350</v>
      </c>
      <c r="S739" s="34" t="str">
        <f>TEXT(Table1[[#This Row],[End Date]],"MMMM")</f>
        <v>February</v>
      </c>
      <c r="T739" s="34" t="str">
        <f>TEXT(Table1[[#This Row],[End Date]],"YYYY")</f>
        <v>2024</v>
      </c>
      <c r="U739" s="24">
        <f t="shared" ca="1" si="29"/>
        <v>-217</v>
      </c>
      <c r="V739" s="14" t="str" cm="1">
        <f t="array" aca="1" ref="V739" ca="1">_xlfn.IFS(Table1[[#This Row],[Agreement Days]]&gt;=0,"Expired",Table1[[#This Row],[Agreement Days]]&gt;=-30,"Expires &lt; 30 Days",Table1[[#This Row],[Agreement Days]]&gt;=-60,"Expires &lt; 60 Days",Table1[[#This Row],[Agreement Days]]&lt;-60,"Valid Contract")</f>
        <v>Valid Contract</v>
      </c>
      <c r="W739" s="18" t="s">
        <v>21</v>
      </c>
      <c r="X739" s="18" t="s">
        <v>1784</v>
      </c>
      <c r="Y739" s="42" t="s">
        <v>1785</v>
      </c>
      <c r="Z739" s="27">
        <v>788302709</v>
      </c>
      <c r="AA739" s="27"/>
      <c r="AB739" s="116"/>
      <c r="AC739" s="116"/>
    </row>
    <row r="740" spans="1:29" hidden="1" x14ac:dyDescent="0.3">
      <c r="A740" s="18" t="s">
        <v>1782</v>
      </c>
      <c r="B740" s="18" t="s">
        <v>153</v>
      </c>
      <c r="C740" s="18" t="s">
        <v>1814</v>
      </c>
      <c r="D740" s="14" t="s">
        <v>653</v>
      </c>
      <c r="E740" s="18" t="s">
        <v>9</v>
      </c>
      <c r="F740" s="14" t="s">
        <v>688</v>
      </c>
      <c r="G740" s="14" t="s">
        <v>518</v>
      </c>
      <c r="H740" s="18" t="s">
        <v>5</v>
      </c>
      <c r="I740" s="14" t="s">
        <v>115</v>
      </c>
      <c r="J740" s="18"/>
      <c r="K740" s="18" t="s">
        <v>657</v>
      </c>
      <c r="L740" s="18"/>
      <c r="M740" s="14">
        <v>2</v>
      </c>
      <c r="N740" s="15">
        <v>45338.98</v>
      </c>
      <c r="O740" s="15">
        <f t="shared" si="28"/>
        <v>90677.96</v>
      </c>
      <c r="P740" s="15"/>
      <c r="Q740" s="14" t="s">
        <v>520</v>
      </c>
      <c r="R740" s="25">
        <v>45350</v>
      </c>
      <c r="S740" s="34" t="str">
        <f>TEXT(Table1[[#This Row],[End Date]],"MMMM")</f>
        <v>February</v>
      </c>
      <c r="T740" s="34" t="str">
        <f>TEXT(Table1[[#This Row],[End Date]],"YYYY")</f>
        <v>2024</v>
      </c>
      <c r="U740" s="24">
        <f t="shared" ca="1" si="29"/>
        <v>-217</v>
      </c>
      <c r="V740" s="14" t="str" cm="1">
        <f t="array" aca="1" ref="V740" ca="1">_xlfn.IFS(Table1[[#This Row],[Agreement Days]]&gt;=0,"Expired",Table1[[#This Row],[Agreement Days]]&gt;=-30,"Expires &lt; 30 Days",Table1[[#This Row],[Agreement Days]]&gt;=-60,"Expires &lt; 60 Days",Table1[[#This Row],[Agreement Days]]&lt;-60,"Valid Contract")</f>
        <v>Valid Contract</v>
      </c>
      <c r="W740" s="18" t="s">
        <v>21</v>
      </c>
      <c r="X740" s="18" t="s">
        <v>1784</v>
      </c>
      <c r="Y740" s="42" t="s">
        <v>1785</v>
      </c>
      <c r="Z740" s="27">
        <v>788302709</v>
      </c>
      <c r="AA740" s="27"/>
      <c r="AB740" s="116"/>
      <c r="AC740" s="116"/>
    </row>
    <row r="741" spans="1:29" hidden="1" x14ac:dyDescent="0.3">
      <c r="A741" s="18" t="s">
        <v>1782</v>
      </c>
      <c r="B741" s="18" t="s">
        <v>153</v>
      </c>
      <c r="C741" s="18" t="s">
        <v>1815</v>
      </c>
      <c r="D741" s="14" t="s">
        <v>769</v>
      </c>
      <c r="E741" s="18" t="s">
        <v>9</v>
      </c>
      <c r="F741" s="14" t="s">
        <v>688</v>
      </c>
      <c r="G741" s="14" t="s">
        <v>518</v>
      </c>
      <c r="H741" s="18" t="s">
        <v>5</v>
      </c>
      <c r="I741" s="14" t="s">
        <v>115</v>
      </c>
      <c r="J741" s="18"/>
      <c r="K741" s="18" t="s">
        <v>657</v>
      </c>
      <c r="L741" s="18"/>
      <c r="M741" s="14">
        <v>2</v>
      </c>
      <c r="N741" s="15">
        <v>45338.98</v>
      </c>
      <c r="O741" s="15">
        <f t="shared" si="28"/>
        <v>90677.96</v>
      </c>
      <c r="P741" s="15"/>
      <c r="Q741" s="14" t="s">
        <v>520</v>
      </c>
      <c r="R741" s="25">
        <v>45350</v>
      </c>
      <c r="S741" s="34" t="str">
        <f>TEXT(Table1[[#This Row],[End Date]],"MMMM")</f>
        <v>February</v>
      </c>
      <c r="T741" s="34" t="str">
        <f>TEXT(Table1[[#This Row],[End Date]],"YYYY")</f>
        <v>2024</v>
      </c>
      <c r="U741" s="24">
        <f t="shared" ca="1" si="29"/>
        <v>-217</v>
      </c>
      <c r="V741" s="14" t="str" cm="1">
        <f t="array" aca="1" ref="V741" ca="1">_xlfn.IFS(Table1[[#This Row],[Agreement Days]]&gt;=0,"Expired",Table1[[#This Row],[Agreement Days]]&gt;=-30,"Expires &lt; 30 Days",Table1[[#This Row],[Agreement Days]]&gt;=-60,"Expires &lt; 60 Days",Table1[[#This Row],[Agreement Days]]&lt;-60,"Valid Contract")</f>
        <v>Valid Contract</v>
      </c>
      <c r="W741" s="18" t="s">
        <v>21</v>
      </c>
      <c r="X741" s="18" t="s">
        <v>1784</v>
      </c>
      <c r="Y741" s="42" t="s">
        <v>1785</v>
      </c>
      <c r="Z741" s="27">
        <v>788302709</v>
      </c>
      <c r="AA741" s="27"/>
      <c r="AB741" s="116"/>
      <c r="AC741" s="116"/>
    </row>
    <row r="742" spans="1:29" hidden="1" x14ac:dyDescent="0.3">
      <c r="A742" s="18" t="s">
        <v>1782</v>
      </c>
      <c r="B742" s="18" t="s">
        <v>153</v>
      </c>
      <c r="C742" s="18" t="s">
        <v>1816</v>
      </c>
      <c r="D742" s="14" t="s">
        <v>771</v>
      </c>
      <c r="E742" s="18" t="s">
        <v>9</v>
      </c>
      <c r="F742" s="14" t="s">
        <v>688</v>
      </c>
      <c r="G742" s="14" t="s">
        <v>518</v>
      </c>
      <c r="H742" s="18" t="s">
        <v>5</v>
      </c>
      <c r="I742" s="14" t="s">
        <v>115</v>
      </c>
      <c r="J742" s="18"/>
      <c r="K742" s="18" t="s">
        <v>657</v>
      </c>
      <c r="L742" s="18"/>
      <c r="M742" s="14">
        <v>2</v>
      </c>
      <c r="N742" s="15">
        <v>45338.98</v>
      </c>
      <c r="O742" s="15">
        <f t="shared" si="28"/>
        <v>90677.96</v>
      </c>
      <c r="P742" s="15"/>
      <c r="Q742" s="14" t="s">
        <v>520</v>
      </c>
      <c r="R742" s="25">
        <v>45350</v>
      </c>
      <c r="S742" s="34" t="str">
        <f>TEXT(Table1[[#This Row],[End Date]],"MMMM")</f>
        <v>February</v>
      </c>
      <c r="T742" s="34" t="str">
        <f>TEXT(Table1[[#This Row],[End Date]],"YYYY")</f>
        <v>2024</v>
      </c>
      <c r="U742" s="24">
        <f t="shared" ca="1" si="29"/>
        <v>-217</v>
      </c>
      <c r="V742" s="14" t="str" cm="1">
        <f t="array" aca="1" ref="V742" ca="1">_xlfn.IFS(Table1[[#This Row],[Agreement Days]]&gt;=0,"Expired",Table1[[#This Row],[Agreement Days]]&gt;=-30,"Expires &lt; 30 Days",Table1[[#This Row],[Agreement Days]]&gt;=-60,"Expires &lt; 60 Days",Table1[[#This Row],[Agreement Days]]&lt;-60,"Valid Contract")</f>
        <v>Valid Contract</v>
      </c>
      <c r="W742" s="18" t="s">
        <v>21</v>
      </c>
      <c r="X742" s="18" t="s">
        <v>1784</v>
      </c>
      <c r="Y742" s="42" t="s">
        <v>1785</v>
      </c>
      <c r="Z742" s="27">
        <v>788302709</v>
      </c>
      <c r="AA742" s="27"/>
      <c r="AB742" s="116"/>
      <c r="AC742" s="116"/>
    </row>
    <row r="743" spans="1:29" hidden="1" x14ac:dyDescent="0.3">
      <c r="A743" s="18" t="s">
        <v>1782</v>
      </c>
      <c r="B743" s="18" t="s">
        <v>153</v>
      </c>
      <c r="C743" s="18" t="s">
        <v>1817</v>
      </c>
      <c r="D743" s="14" t="s">
        <v>645</v>
      </c>
      <c r="E743" s="18" t="s">
        <v>9</v>
      </c>
      <c r="F743" s="14" t="s">
        <v>688</v>
      </c>
      <c r="G743" s="14" t="s">
        <v>518</v>
      </c>
      <c r="H743" s="18" t="s">
        <v>5</v>
      </c>
      <c r="I743" s="14" t="s">
        <v>115</v>
      </c>
      <c r="J743" s="18"/>
      <c r="K743" s="18" t="s">
        <v>657</v>
      </c>
      <c r="L743" s="18"/>
      <c r="M743" s="14">
        <v>2</v>
      </c>
      <c r="N743" s="15">
        <v>45338.98</v>
      </c>
      <c r="O743" s="15">
        <f t="shared" si="28"/>
        <v>90677.96</v>
      </c>
      <c r="P743" s="15"/>
      <c r="Q743" s="14" t="s">
        <v>520</v>
      </c>
      <c r="R743" s="25">
        <v>45350</v>
      </c>
      <c r="S743" s="34" t="str">
        <f>TEXT(Table1[[#This Row],[End Date]],"MMMM")</f>
        <v>February</v>
      </c>
      <c r="T743" s="34" t="str">
        <f>TEXT(Table1[[#This Row],[End Date]],"YYYY")</f>
        <v>2024</v>
      </c>
      <c r="U743" s="24">
        <f t="shared" ca="1" si="29"/>
        <v>-217</v>
      </c>
      <c r="V743" s="14" t="str" cm="1">
        <f t="array" aca="1" ref="V743" ca="1">_xlfn.IFS(Table1[[#This Row],[Agreement Days]]&gt;=0,"Expired",Table1[[#This Row],[Agreement Days]]&gt;=-30,"Expires &lt; 30 Days",Table1[[#This Row],[Agreement Days]]&gt;=-60,"Expires &lt; 60 Days",Table1[[#This Row],[Agreement Days]]&lt;-60,"Valid Contract")</f>
        <v>Valid Contract</v>
      </c>
      <c r="W743" s="18" t="s">
        <v>21</v>
      </c>
      <c r="X743" s="18" t="s">
        <v>1784</v>
      </c>
      <c r="Y743" s="42" t="s">
        <v>1785</v>
      </c>
      <c r="Z743" s="27">
        <v>788302709</v>
      </c>
      <c r="AA743" s="27"/>
      <c r="AB743" s="116"/>
      <c r="AC743" s="116"/>
    </row>
    <row r="744" spans="1:29" hidden="1" x14ac:dyDescent="0.3">
      <c r="A744" s="18" t="s">
        <v>1782</v>
      </c>
      <c r="B744" s="18" t="s">
        <v>153</v>
      </c>
      <c r="C744" s="18" t="s">
        <v>1799</v>
      </c>
      <c r="D744" s="14" t="s">
        <v>761</v>
      </c>
      <c r="E744" s="18" t="s">
        <v>9</v>
      </c>
      <c r="F744" s="14" t="s">
        <v>688</v>
      </c>
      <c r="G744" s="14" t="s">
        <v>518</v>
      </c>
      <c r="H744" s="18" t="s">
        <v>5</v>
      </c>
      <c r="I744" s="14" t="s">
        <v>115</v>
      </c>
      <c r="J744" s="18"/>
      <c r="K744" s="18" t="s">
        <v>573</v>
      </c>
      <c r="L744" s="18"/>
      <c r="M744" s="14">
        <v>3</v>
      </c>
      <c r="N744" s="15">
        <v>19491.53</v>
      </c>
      <c r="O744" s="15">
        <f t="shared" si="28"/>
        <v>58474.59</v>
      </c>
      <c r="P744" s="15"/>
      <c r="Q744" s="14" t="s">
        <v>520</v>
      </c>
      <c r="R744" s="25">
        <v>45350</v>
      </c>
      <c r="S744" s="34" t="str">
        <f>TEXT(Table1[[#This Row],[End Date]],"MMMM")</f>
        <v>February</v>
      </c>
      <c r="T744" s="34" t="str">
        <f>TEXT(Table1[[#This Row],[End Date]],"YYYY")</f>
        <v>2024</v>
      </c>
      <c r="U744" s="24">
        <f t="shared" ca="1" si="29"/>
        <v>-217</v>
      </c>
      <c r="V744" s="14" t="str" cm="1">
        <f t="array" aca="1" ref="V744" ca="1">_xlfn.IFS(Table1[[#This Row],[Agreement Days]]&gt;=0,"Expired",Table1[[#This Row],[Agreement Days]]&gt;=-30,"Expires &lt; 30 Days",Table1[[#This Row],[Agreement Days]]&gt;=-60,"Expires &lt; 60 Days",Table1[[#This Row],[Agreement Days]]&lt;-60,"Valid Contract")</f>
        <v>Valid Contract</v>
      </c>
      <c r="W744" s="18" t="s">
        <v>21</v>
      </c>
      <c r="X744" s="18" t="s">
        <v>1784</v>
      </c>
      <c r="Y744" s="42" t="s">
        <v>1785</v>
      </c>
      <c r="Z744" s="27">
        <v>788302709</v>
      </c>
      <c r="AA744" s="27"/>
      <c r="AB744" s="116"/>
      <c r="AC744" s="116"/>
    </row>
    <row r="745" spans="1:29" hidden="1" x14ac:dyDescent="0.3">
      <c r="A745" s="18" t="s">
        <v>1782</v>
      </c>
      <c r="B745" s="18" t="s">
        <v>153</v>
      </c>
      <c r="C745" s="18" t="s">
        <v>1787</v>
      </c>
      <c r="D745" s="14" t="s">
        <v>545</v>
      </c>
      <c r="E745" s="18" t="s">
        <v>9</v>
      </c>
      <c r="F745" s="20" t="s">
        <v>688</v>
      </c>
      <c r="G745" s="20" t="s">
        <v>518</v>
      </c>
      <c r="H745" s="18" t="s">
        <v>5</v>
      </c>
      <c r="I745" s="14" t="s">
        <v>115</v>
      </c>
      <c r="J745" s="14"/>
      <c r="K745" s="18" t="s">
        <v>642</v>
      </c>
      <c r="L745" s="18"/>
      <c r="M745" s="14">
        <v>32</v>
      </c>
      <c r="N745" s="15">
        <f>120000/1.18</f>
        <v>101694.91525423729</v>
      </c>
      <c r="O745" s="15">
        <f t="shared" si="28"/>
        <v>3254237.2881355933</v>
      </c>
      <c r="P745" s="15"/>
      <c r="Q745" s="14" t="s">
        <v>520</v>
      </c>
      <c r="R745" s="25">
        <v>45350</v>
      </c>
      <c r="S745" s="34" t="str">
        <f>TEXT(Table1[[#This Row],[End Date]],"MMMM")</f>
        <v>February</v>
      </c>
      <c r="T745" s="34" t="str">
        <f>TEXT(Table1[[#This Row],[End Date]],"YYYY")</f>
        <v>2024</v>
      </c>
      <c r="U745" s="24">
        <f t="shared" ca="1" si="29"/>
        <v>-217</v>
      </c>
      <c r="V745" s="14" t="str" cm="1">
        <f t="array" aca="1" ref="V745" ca="1">_xlfn.IFS(Table1[[#This Row],[Agreement Days]]&gt;=0,"Expired",Table1[[#This Row],[Agreement Days]]&gt;=-30,"Expires &lt; 30 Days",Table1[[#This Row],[Agreement Days]]&gt;=-60,"Expires &lt; 60 Days",Table1[[#This Row],[Agreement Days]]&lt;-60,"Valid Contract")</f>
        <v>Valid Contract</v>
      </c>
      <c r="W745" s="18" t="s">
        <v>21</v>
      </c>
      <c r="X745" s="18" t="s">
        <v>1784</v>
      </c>
      <c r="Y745" s="42" t="s">
        <v>1785</v>
      </c>
      <c r="Z745" s="27">
        <v>788302709</v>
      </c>
      <c r="AA745" s="27"/>
      <c r="AB745" s="116"/>
      <c r="AC745" s="116"/>
    </row>
    <row r="746" spans="1:29" x14ac:dyDescent="0.3">
      <c r="A746" s="18" t="s">
        <v>1818</v>
      </c>
      <c r="B746" s="18" t="s">
        <v>190</v>
      </c>
      <c r="C746" s="18" t="s">
        <v>1819</v>
      </c>
      <c r="D746" s="14" t="s">
        <v>532</v>
      </c>
      <c r="E746" s="18" t="s">
        <v>10</v>
      </c>
      <c r="F746" s="14" t="s">
        <v>527</v>
      </c>
      <c r="G746" s="14" t="s">
        <v>518</v>
      </c>
      <c r="H746" s="18" t="s">
        <v>3</v>
      </c>
      <c r="I746" s="14" t="s">
        <v>116</v>
      </c>
      <c r="J746" s="14"/>
      <c r="K746" s="14" t="s">
        <v>533</v>
      </c>
      <c r="L746" s="14">
        <v>85.007000000000005</v>
      </c>
      <c r="M746" s="14">
        <v>1</v>
      </c>
      <c r="N746" s="15">
        <v>3725007</v>
      </c>
      <c r="O746" s="15">
        <f t="shared" si="28"/>
        <v>3725007</v>
      </c>
      <c r="P746" s="15"/>
      <c r="Q746" s="14" t="s">
        <v>520</v>
      </c>
      <c r="R746" s="25">
        <v>45350</v>
      </c>
      <c r="S746" s="22" t="str">
        <f>TEXT(Table1[[#This Row],[End Date]],"MMMM")</f>
        <v>February</v>
      </c>
      <c r="T746" s="23" t="str">
        <f>TEXT(Table1[[#This Row],[End Date]],"YYYY")</f>
        <v>2024</v>
      </c>
      <c r="U746" s="24">
        <f t="shared" ca="1" si="29"/>
        <v>-217</v>
      </c>
      <c r="V746" s="14" t="str" cm="1">
        <f t="array" aca="1" ref="V746" ca="1">_xlfn.IFS(Table1[[#This Row],[Agreement Days]]&gt;=0,"Expired",Table1[[#This Row],[Agreement Days]]&gt;=-30,"Expires &lt; 30 Days",Table1[[#This Row],[Agreement Days]]&gt;=-60,"Expires &lt; 60 Days",Table1[[#This Row],[Agreement Days]]&lt;-60,"Valid Contract")</f>
        <v>Valid Contract</v>
      </c>
      <c r="W746" s="14" t="s">
        <v>12</v>
      </c>
      <c r="X746" s="14" t="s">
        <v>1820</v>
      </c>
      <c r="Y746" s="16" t="s">
        <v>1821</v>
      </c>
      <c r="Z746" s="27" t="s">
        <v>1822</v>
      </c>
      <c r="AA746" s="17"/>
      <c r="AB746" s="116"/>
      <c r="AC746" s="116"/>
    </row>
    <row r="747" spans="1:29" x14ac:dyDescent="0.3">
      <c r="A747" s="18" t="s">
        <v>1818</v>
      </c>
      <c r="B747" s="18" t="s">
        <v>190</v>
      </c>
      <c r="C747" s="18" t="s">
        <v>1823</v>
      </c>
      <c r="D747" s="14" t="s">
        <v>545</v>
      </c>
      <c r="E747" s="18" t="s">
        <v>10</v>
      </c>
      <c r="F747" s="14" t="s">
        <v>527</v>
      </c>
      <c r="G747" s="14" t="s">
        <v>518</v>
      </c>
      <c r="H747" s="18" t="s">
        <v>3</v>
      </c>
      <c r="I747" s="14" t="s">
        <v>137</v>
      </c>
      <c r="J747" s="14"/>
      <c r="K747" s="14" t="s">
        <v>1824</v>
      </c>
      <c r="L747" s="14"/>
      <c r="M747" s="14">
        <v>1</v>
      </c>
      <c r="N747" s="15">
        <f>4199000/12</f>
        <v>349916.66666666669</v>
      </c>
      <c r="O747" s="15">
        <f t="shared" si="28"/>
        <v>349916.66666666669</v>
      </c>
      <c r="P747" s="15"/>
      <c r="Q747" s="14" t="s">
        <v>520</v>
      </c>
      <c r="R747" s="25">
        <v>45350</v>
      </c>
      <c r="S747" s="22" t="str">
        <f>TEXT(Table1[[#This Row],[End Date]],"MMMM")</f>
        <v>February</v>
      </c>
      <c r="T747" s="23" t="str">
        <f>TEXT(Table1[[#This Row],[End Date]],"YYYY")</f>
        <v>2024</v>
      </c>
      <c r="U747" s="24">
        <f t="shared" ca="1" si="29"/>
        <v>-217</v>
      </c>
      <c r="V747" s="14" t="str" cm="1">
        <f t="array" aca="1" ref="V747" ca="1">_xlfn.IFS(Table1[[#This Row],[Agreement Days]]&gt;=0,"Expired",Table1[[#This Row],[Agreement Days]]&gt;=-30,"Expires &lt; 30 Days",Table1[[#This Row],[Agreement Days]]&gt;=-60,"Expires &lt; 60 Days",Table1[[#This Row],[Agreement Days]]&lt;-60,"Valid Contract")</f>
        <v>Valid Contract</v>
      </c>
      <c r="W747" s="14" t="s">
        <v>12</v>
      </c>
      <c r="X747" s="14" t="s">
        <v>1820</v>
      </c>
      <c r="Y747" s="16" t="s">
        <v>1821</v>
      </c>
      <c r="Z747" s="27" t="s">
        <v>1822</v>
      </c>
      <c r="AA747" s="17"/>
      <c r="AB747" s="116"/>
      <c r="AC747" s="116"/>
    </row>
    <row r="748" spans="1:29" hidden="1" x14ac:dyDescent="0.3">
      <c r="A748" s="18" t="s">
        <v>1825</v>
      </c>
      <c r="B748" s="18" t="s">
        <v>458</v>
      </c>
      <c r="C748" s="18" t="s">
        <v>544</v>
      </c>
      <c r="D748" s="14" t="s">
        <v>545</v>
      </c>
      <c r="E748" s="18" t="s">
        <v>9</v>
      </c>
      <c r="F748" s="14" t="s">
        <v>517</v>
      </c>
      <c r="G748" s="14" t="s">
        <v>518</v>
      </c>
      <c r="H748" s="18" t="s">
        <v>5</v>
      </c>
      <c r="I748" s="14" t="s">
        <v>115</v>
      </c>
      <c r="J748" s="14"/>
      <c r="K748" s="14" t="s">
        <v>722</v>
      </c>
      <c r="L748" s="14"/>
      <c r="M748" s="14">
        <v>1</v>
      </c>
      <c r="N748" s="15">
        <v>77711.86</v>
      </c>
      <c r="O748" s="15">
        <f t="shared" si="28"/>
        <v>77711.86</v>
      </c>
      <c r="P748" s="15"/>
      <c r="Q748" s="14" t="s">
        <v>520</v>
      </c>
      <c r="R748" s="25">
        <v>45350</v>
      </c>
      <c r="S748" s="22" t="str">
        <f>TEXT(Table1[[#This Row],[End Date]],"MMMM")</f>
        <v>February</v>
      </c>
      <c r="T748" s="23" t="str">
        <f>TEXT(Table1[[#This Row],[End Date]],"YYYY")</f>
        <v>2024</v>
      </c>
      <c r="U748" s="24">
        <f t="shared" ca="1" si="29"/>
        <v>-217</v>
      </c>
      <c r="V748" s="14" t="str" cm="1">
        <f t="array" aca="1" ref="V748" ca="1">_xlfn.IFS(Table1[[#This Row],[Agreement Days]]&gt;=0,"Expired",Table1[[#This Row],[Agreement Days]]&gt;=-30,"Expires &lt; 30 Days",Table1[[#This Row],[Agreement Days]]&gt;=-60,"Expires &lt; 60 Days",Table1[[#This Row],[Agreement Days]]&lt;-60,"Valid Contract")</f>
        <v>Valid Contract</v>
      </c>
      <c r="W748" s="14" t="s">
        <v>19</v>
      </c>
      <c r="X748" s="14" t="s">
        <v>1826</v>
      </c>
      <c r="Y748" s="14" t="s">
        <v>1827</v>
      </c>
      <c r="Z748" s="27">
        <v>785920129</v>
      </c>
      <c r="AA748" s="17"/>
      <c r="AB748" s="116"/>
      <c r="AC748" s="116"/>
    </row>
    <row r="749" spans="1:29" x14ac:dyDescent="0.3">
      <c r="A749" s="18" t="s">
        <v>1689</v>
      </c>
      <c r="B749" s="18" t="s">
        <v>130</v>
      </c>
      <c r="C749" s="18" t="s">
        <v>1828</v>
      </c>
      <c r="D749" s="14" t="s">
        <v>1280</v>
      </c>
      <c r="E749" s="18" t="s">
        <v>9</v>
      </c>
      <c r="F749" s="14" t="s">
        <v>969</v>
      </c>
      <c r="G749" s="14" t="s">
        <v>518</v>
      </c>
      <c r="H749" s="18" t="s">
        <v>5</v>
      </c>
      <c r="I749" s="14" t="s">
        <v>117</v>
      </c>
      <c r="J749" s="14">
        <v>3</v>
      </c>
      <c r="K749" s="14" t="s">
        <v>580</v>
      </c>
      <c r="L749" s="14"/>
      <c r="M749" s="14">
        <v>1</v>
      </c>
      <c r="N749" s="15">
        <f>201780/1.18</f>
        <v>171000</v>
      </c>
      <c r="O749" s="15">
        <f t="shared" si="28"/>
        <v>171000</v>
      </c>
      <c r="P749" s="15"/>
      <c r="Q749" s="14" t="s">
        <v>520</v>
      </c>
      <c r="R749" s="25">
        <v>45350</v>
      </c>
      <c r="S749" s="22" t="str">
        <f>TEXT(Table1[[#This Row],[End Date]],"MMMM")</f>
        <v>February</v>
      </c>
      <c r="T749" s="22" t="str">
        <f>TEXT(Table1[[#This Row],[End Date]],"YYYY")</f>
        <v>2024</v>
      </c>
      <c r="U749" s="24">
        <f t="shared" ca="1" si="29"/>
        <v>-217</v>
      </c>
      <c r="V749" s="14" t="str" cm="1">
        <f t="array" aca="1" ref="V749" ca="1">_xlfn.IFS(Table1[[#This Row],[Agreement Days]]&gt;=0,"Expired",Table1[[#This Row],[Agreement Days]]&gt;=-30,"Expires &lt; 30 Days",Table1[[#This Row],[Agreement Days]]&gt;=-60,"Expires &lt; 60 Days",Table1[[#This Row],[Agreement Days]]&lt;-60,"Valid Contract")</f>
        <v>Valid Contract</v>
      </c>
      <c r="W749" s="14" t="s">
        <v>12</v>
      </c>
      <c r="X749" s="20" t="s">
        <v>1690</v>
      </c>
      <c r="Y749" s="43" t="s">
        <v>1691</v>
      </c>
      <c r="Z749" s="27" t="s">
        <v>1692</v>
      </c>
      <c r="AA749" s="66"/>
      <c r="AB749" s="116"/>
      <c r="AC749" s="116"/>
    </row>
    <row r="750" spans="1:29" x14ac:dyDescent="0.3">
      <c r="A750" s="18" t="s">
        <v>1689</v>
      </c>
      <c r="B750" s="18" t="s">
        <v>130</v>
      </c>
      <c r="C750" s="18" t="s">
        <v>1829</v>
      </c>
      <c r="D750" s="14" t="s">
        <v>759</v>
      </c>
      <c r="E750" s="18" t="s">
        <v>9</v>
      </c>
      <c r="F750" s="14" t="s">
        <v>969</v>
      </c>
      <c r="G750" s="14" t="s">
        <v>518</v>
      </c>
      <c r="H750" s="18" t="s">
        <v>5</v>
      </c>
      <c r="I750" s="14" t="s">
        <v>117</v>
      </c>
      <c r="J750" s="14">
        <v>3</v>
      </c>
      <c r="K750" s="14" t="s">
        <v>580</v>
      </c>
      <c r="L750" s="14"/>
      <c r="M750" s="14">
        <v>1</v>
      </c>
      <c r="N750" s="15">
        <f>201780/1.18</f>
        <v>171000</v>
      </c>
      <c r="O750" s="15">
        <f t="shared" si="28"/>
        <v>171000</v>
      </c>
      <c r="P750" s="15"/>
      <c r="Q750" s="14" t="s">
        <v>520</v>
      </c>
      <c r="R750" s="25">
        <v>45350</v>
      </c>
      <c r="S750" s="22" t="str">
        <f>TEXT(Table1[[#This Row],[End Date]],"MMMM")</f>
        <v>February</v>
      </c>
      <c r="T750" s="22" t="str">
        <f>TEXT(Table1[[#This Row],[End Date]],"YYYY")</f>
        <v>2024</v>
      </c>
      <c r="U750" s="24">
        <f t="shared" ca="1" si="29"/>
        <v>-217</v>
      </c>
      <c r="V750" s="14" t="str" cm="1">
        <f t="array" aca="1" ref="V750" ca="1">_xlfn.IFS(Table1[[#This Row],[Agreement Days]]&gt;=0,"Expired",Table1[[#This Row],[Agreement Days]]&gt;=-30,"Expires &lt; 30 Days",Table1[[#This Row],[Agreement Days]]&gt;=-60,"Expires &lt; 60 Days",Table1[[#This Row],[Agreement Days]]&lt;-60,"Valid Contract")</f>
        <v>Valid Contract</v>
      </c>
      <c r="W750" s="14" t="s">
        <v>12</v>
      </c>
      <c r="X750" s="20" t="s">
        <v>1690</v>
      </c>
      <c r="Y750" s="43" t="s">
        <v>1691</v>
      </c>
      <c r="Z750" s="27" t="s">
        <v>1692</v>
      </c>
      <c r="AA750" s="66"/>
      <c r="AB750" s="116"/>
      <c r="AC750" s="116"/>
    </row>
    <row r="751" spans="1:29" x14ac:dyDescent="0.3">
      <c r="A751" s="18" t="s">
        <v>1689</v>
      </c>
      <c r="B751" s="18" t="s">
        <v>130</v>
      </c>
      <c r="C751" s="18" t="s">
        <v>1830</v>
      </c>
      <c r="D751" s="14" t="s">
        <v>759</v>
      </c>
      <c r="E751" s="18" t="s">
        <v>9</v>
      </c>
      <c r="F751" s="14" t="s">
        <v>969</v>
      </c>
      <c r="G751" s="14" t="s">
        <v>518</v>
      </c>
      <c r="H751" s="18" t="s">
        <v>5</v>
      </c>
      <c r="I751" s="14" t="s">
        <v>117</v>
      </c>
      <c r="J751" s="14">
        <v>3</v>
      </c>
      <c r="K751" s="14" t="s">
        <v>580</v>
      </c>
      <c r="L751" s="14"/>
      <c r="M751" s="14">
        <v>1</v>
      </c>
      <c r="N751" s="15">
        <f>N746</f>
        <v>3725007</v>
      </c>
      <c r="O751" s="15">
        <f t="shared" si="28"/>
        <v>3725007</v>
      </c>
      <c r="P751" s="15"/>
      <c r="Q751" s="14" t="s">
        <v>520</v>
      </c>
      <c r="R751" s="25">
        <v>45350</v>
      </c>
      <c r="S751" s="22" t="str">
        <f>TEXT(Table1[[#This Row],[End Date]],"MMMM")</f>
        <v>February</v>
      </c>
      <c r="T751" s="22" t="str">
        <f>TEXT(Table1[[#This Row],[End Date]],"YYYY")</f>
        <v>2024</v>
      </c>
      <c r="U751" s="24">
        <f t="shared" ca="1" si="29"/>
        <v>-217</v>
      </c>
      <c r="V751" s="14" t="str" cm="1">
        <f t="array" aca="1" ref="V751" ca="1">_xlfn.IFS(Table1[[#This Row],[Agreement Days]]&gt;=0,"Expired",Table1[[#This Row],[Agreement Days]]&gt;=-30,"Expires &lt; 30 Days",Table1[[#This Row],[Agreement Days]]&gt;=-60,"Expires &lt; 60 Days",Table1[[#This Row],[Agreement Days]]&lt;-60,"Valid Contract")</f>
        <v>Valid Contract</v>
      </c>
      <c r="W751" s="14" t="s">
        <v>12</v>
      </c>
      <c r="X751" s="20" t="s">
        <v>1690</v>
      </c>
      <c r="Y751" s="43" t="s">
        <v>1691</v>
      </c>
      <c r="Z751" s="27" t="s">
        <v>1692</v>
      </c>
      <c r="AA751" s="66"/>
      <c r="AB751" s="116"/>
      <c r="AC751" s="116"/>
    </row>
    <row r="752" spans="1:29" x14ac:dyDescent="0.3">
      <c r="A752" s="18" t="s">
        <v>1689</v>
      </c>
      <c r="B752" s="18" t="s">
        <v>130</v>
      </c>
      <c r="C752" s="18" t="s">
        <v>1831</v>
      </c>
      <c r="D752" s="14" t="s">
        <v>619</v>
      </c>
      <c r="E752" s="18" t="s">
        <v>9</v>
      </c>
      <c r="F752" s="14" t="s">
        <v>969</v>
      </c>
      <c r="G752" s="14" t="s">
        <v>518</v>
      </c>
      <c r="H752" s="18" t="s">
        <v>5</v>
      </c>
      <c r="I752" s="14" t="s">
        <v>117</v>
      </c>
      <c r="J752" s="14">
        <v>3</v>
      </c>
      <c r="K752" s="14" t="s">
        <v>580</v>
      </c>
      <c r="L752" s="14"/>
      <c r="M752" s="14">
        <v>1</v>
      </c>
      <c r="N752" s="15">
        <f>N751</f>
        <v>3725007</v>
      </c>
      <c r="O752" s="15">
        <f t="shared" si="28"/>
        <v>3725007</v>
      </c>
      <c r="P752" s="15"/>
      <c r="Q752" s="14" t="s">
        <v>520</v>
      </c>
      <c r="R752" s="25">
        <v>45350</v>
      </c>
      <c r="S752" s="22" t="str">
        <f>TEXT(Table1[[#This Row],[End Date]],"MMMM")</f>
        <v>February</v>
      </c>
      <c r="T752" s="22" t="str">
        <f>TEXT(Table1[[#This Row],[End Date]],"YYYY")</f>
        <v>2024</v>
      </c>
      <c r="U752" s="24">
        <f t="shared" ca="1" si="29"/>
        <v>-217</v>
      </c>
      <c r="V752" s="14" t="str" cm="1">
        <f t="array" aca="1" ref="V752" ca="1">_xlfn.IFS(Table1[[#This Row],[Agreement Days]]&gt;=0,"Expired",Table1[[#This Row],[Agreement Days]]&gt;=-30,"Expires &lt; 30 Days",Table1[[#This Row],[Agreement Days]]&gt;=-60,"Expires &lt; 60 Days",Table1[[#This Row],[Agreement Days]]&lt;-60,"Valid Contract")</f>
        <v>Valid Contract</v>
      </c>
      <c r="W752" s="14" t="s">
        <v>12</v>
      </c>
      <c r="X752" s="20" t="s">
        <v>1690</v>
      </c>
      <c r="Y752" s="43" t="s">
        <v>1691</v>
      </c>
      <c r="Z752" s="27" t="s">
        <v>1692</v>
      </c>
      <c r="AA752" s="66"/>
      <c r="AB752" s="116"/>
      <c r="AC752" s="116"/>
    </row>
    <row r="753" spans="1:29" x14ac:dyDescent="0.3">
      <c r="A753" s="18" t="s">
        <v>1689</v>
      </c>
      <c r="B753" s="18" t="s">
        <v>130</v>
      </c>
      <c r="C753" s="18" t="s">
        <v>1832</v>
      </c>
      <c r="D753" s="14" t="s">
        <v>875</v>
      </c>
      <c r="E753" s="18" t="s">
        <v>9</v>
      </c>
      <c r="F753" s="14" t="s">
        <v>969</v>
      </c>
      <c r="G753" s="14" t="s">
        <v>518</v>
      </c>
      <c r="H753" s="18" t="s">
        <v>5</v>
      </c>
      <c r="I753" s="14" t="s">
        <v>117</v>
      </c>
      <c r="J753" s="14">
        <v>3</v>
      </c>
      <c r="K753" s="14" t="s">
        <v>580</v>
      </c>
      <c r="L753" s="14"/>
      <c r="M753" s="14">
        <v>1</v>
      </c>
      <c r="N753" s="15">
        <f>N749</f>
        <v>171000</v>
      </c>
      <c r="O753" s="15">
        <f t="shared" si="28"/>
        <v>171000</v>
      </c>
      <c r="P753" s="15"/>
      <c r="Q753" s="14" t="s">
        <v>520</v>
      </c>
      <c r="R753" s="25">
        <v>45350</v>
      </c>
      <c r="S753" s="22" t="str">
        <f>TEXT(Table1[[#This Row],[End Date]],"MMMM")</f>
        <v>February</v>
      </c>
      <c r="T753" s="22" t="str">
        <f>TEXT(Table1[[#This Row],[End Date]],"YYYY")</f>
        <v>2024</v>
      </c>
      <c r="U753" s="24">
        <f t="shared" ca="1" si="29"/>
        <v>-217</v>
      </c>
      <c r="V753" s="14" t="str" cm="1">
        <f t="array" aca="1" ref="V753" ca="1">_xlfn.IFS(Table1[[#This Row],[Agreement Days]]&gt;=0,"Expired",Table1[[#This Row],[Agreement Days]]&gt;=-30,"Expires &lt; 30 Days",Table1[[#This Row],[Agreement Days]]&gt;=-60,"Expires &lt; 60 Days",Table1[[#This Row],[Agreement Days]]&lt;-60,"Valid Contract")</f>
        <v>Valid Contract</v>
      </c>
      <c r="W753" s="14" t="s">
        <v>12</v>
      </c>
      <c r="X753" s="20" t="s">
        <v>1690</v>
      </c>
      <c r="Y753" s="43" t="s">
        <v>1691</v>
      </c>
      <c r="Z753" s="27" t="s">
        <v>1692</v>
      </c>
      <c r="AA753" s="66"/>
      <c r="AB753" s="116"/>
      <c r="AC753" s="116"/>
    </row>
    <row r="754" spans="1:29" x14ac:dyDescent="0.3">
      <c r="A754" s="18" t="s">
        <v>1689</v>
      </c>
      <c r="B754" s="18" t="s">
        <v>130</v>
      </c>
      <c r="C754" s="18" t="s">
        <v>1833</v>
      </c>
      <c r="D754" s="14" t="s">
        <v>662</v>
      </c>
      <c r="E754" s="18" t="s">
        <v>9</v>
      </c>
      <c r="F754" s="14" t="s">
        <v>969</v>
      </c>
      <c r="G754" s="14" t="s">
        <v>518</v>
      </c>
      <c r="H754" s="18" t="s">
        <v>5</v>
      </c>
      <c r="I754" s="14" t="s">
        <v>117</v>
      </c>
      <c r="J754" s="14">
        <v>3</v>
      </c>
      <c r="K754" s="14" t="s">
        <v>580</v>
      </c>
      <c r="L754" s="14"/>
      <c r="M754" s="14">
        <v>1</v>
      </c>
      <c r="N754" s="15">
        <f>318600/1.18</f>
        <v>270000</v>
      </c>
      <c r="O754" s="15">
        <f t="shared" si="28"/>
        <v>270000</v>
      </c>
      <c r="P754" s="15"/>
      <c r="Q754" s="14" t="s">
        <v>520</v>
      </c>
      <c r="R754" s="25">
        <v>45350</v>
      </c>
      <c r="S754" s="22" t="str">
        <f>TEXT(Table1[[#This Row],[End Date]],"MMMM")</f>
        <v>February</v>
      </c>
      <c r="T754" s="22" t="str">
        <f>TEXT(Table1[[#This Row],[End Date]],"YYYY")</f>
        <v>2024</v>
      </c>
      <c r="U754" s="24">
        <f t="shared" ca="1" si="29"/>
        <v>-217</v>
      </c>
      <c r="V754" s="14" t="str" cm="1">
        <f t="array" aca="1" ref="V754" ca="1">_xlfn.IFS(Table1[[#This Row],[Agreement Days]]&gt;=0,"Expired",Table1[[#This Row],[Agreement Days]]&gt;=-30,"Expires &lt; 30 Days",Table1[[#This Row],[Agreement Days]]&gt;=-60,"Expires &lt; 60 Days",Table1[[#This Row],[Agreement Days]]&lt;-60,"Valid Contract")</f>
        <v>Valid Contract</v>
      </c>
      <c r="W754" s="14" t="s">
        <v>12</v>
      </c>
      <c r="X754" s="20" t="s">
        <v>1690</v>
      </c>
      <c r="Y754" s="43" t="s">
        <v>1691</v>
      </c>
      <c r="Z754" s="27" t="s">
        <v>1692</v>
      </c>
      <c r="AA754" s="66"/>
      <c r="AB754" s="116"/>
      <c r="AC754" s="116"/>
    </row>
    <row r="755" spans="1:29" x14ac:dyDescent="0.3">
      <c r="A755" s="18" t="s">
        <v>1689</v>
      </c>
      <c r="B755" s="18" t="s">
        <v>130</v>
      </c>
      <c r="C755" s="18" t="s">
        <v>1834</v>
      </c>
      <c r="D755" s="14" t="s">
        <v>929</v>
      </c>
      <c r="E755" s="18" t="s">
        <v>9</v>
      </c>
      <c r="F755" s="14" t="s">
        <v>969</v>
      </c>
      <c r="G755" s="14" t="s">
        <v>518</v>
      </c>
      <c r="H755" s="18" t="s">
        <v>5</v>
      </c>
      <c r="I755" s="14" t="s">
        <v>117</v>
      </c>
      <c r="J755" s="14">
        <v>4</v>
      </c>
      <c r="K755" s="14" t="s">
        <v>1835</v>
      </c>
      <c r="L755" s="14"/>
      <c r="M755" s="14">
        <v>1</v>
      </c>
      <c r="N755" s="15">
        <f>302670/1.18</f>
        <v>256500</v>
      </c>
      <c r="O755" s="15">
        <f t="shared" si="28"/>
        <v>256500</v>
      </c>
      <c r="P755" s="15"/>
      <c r="Q755" s="14" t="s">
        <v>520</v>
      </c>
      <c r="R755" s="25">
        <v>45350</v>
      </c>
      <c r="S755" s="22" t="str">
        <f>TEXT(Table1[[#This Row],[End Date]],"MMMM")</f>
        <v>February</v>
      </c>
      <c r="T755" s="22" t="str">
        <f>TEXT(Table1[[#This Row],[End Date]],"YYYY")</f>
        <v>2024</v>
      </c>
      <c r="U755" s="24">
        <f t="shared" ca="1" si="29"/>
        <v>-217</v>
      </c>
      <c r="V755" s="14" t="str" cm="1">
        <f t="array" aca="1" ref="V755" ca="1">_xlfn.IFS(Table1[[#This Row],[Agreement Days]]&gt;=0,"Expired",Table1[[#This Row],[Agreement Days]]&gt;=-30,"Expires &lt; 30 Days",Table1[[#This Row],[Agreement Days]]&gt;=-60,"Expires &lt; 60 Days",Table1[[#This Row],[Agreement Days]]&lt;-60,"Valid Contract")</f>
        <v>Valid Contract</v>
      </c>
      <c r="W755" s="14" t="s">
        <v>12</v>
      </c>
      <c r="X755" s="20" t="s">
        <v>1690</v>
      </c>
      <c r="Y755" s="43" t="s">
        <v>1691</v>
      </c>
      <c r="Z755" s="27" t="s">
        <v>1692</v>
      </c>
      <c r="AA755" s="66"/>
      <c r="AB755" s="116"/>
      <c r="AC755" s="116"/>
    </row>
    <row r="756" spans="1:29" x14ac:dyDescent="0.3">
      <c r="A756" s="18" t="s">
        <v>1689</v>
      </c>
      <c r="B756" s="18" t="s">
        <v>130</v>
      </c>
      <c r="C756" s="18" t="s">
        <v>1836</v>
      </c>
      <c r="D756" s="14" t="s">
        <v>616</v>
      </c>
      <c r="E756" s="18" t="s">
        <v>9</v>
      </c>
      <c r="F756" s="14" t="s">
        <v>969</v>
      </c>
      <c r="G756" s="14" t="s">
        <v>518</v>
      </c>
      <c r="H756" s="18" t="s">
        <v>5</v>
      </c>
      <c r="I756" s="14" t="s">
        <v>117</v>
      </c>
      <c r="J756" s="14">
        <v>4</v>
      </c>
      <c r="K756" s="14" t="s">
        <v>1835</v>
      </c>
      <c r="L756" s="14"/>
      <c r="M756" s="14">
        <v>1</v>
      </c>
      <c r="N756" s="15">
        <f>261252/1.18</f>
        <v>221400</v>
      </c>
      <c r="O756" s="15">
        <f t="shared" si="28"/>
        <v>221400</v>
      </c>
      <c r="P756" s="15"/>
      <c r="Q756" s="14" t="s">
        <v>520</v>
      </c>
      <c r="R756" s="25">
        <v>45350</v>
      </c>
      <c r="S756" s="22" t="str">
        <f>TEXT(Table1[[#This Row],[End Date]],"MMMM")</f>
        <v>February</v>
      </c>
      <c r="T756" s="22" t="str">
        <f>TEXT(Table1[[#This Row],[End Date]],"YYYY")</f>
        <v>2024</v>
      </c>
      <c r="U756" s="24">
        <f t="shared" ca="1" si="29"/>
        <v>-217</v>
      </c>
      <c r="V756" s="14" t="str" cm="1">
        <f t="array" aca="1" ref="V756" ca="1">_xlfn.IFS(Table1[[#This Row],[Agreement Days]]&gt;=0,"Expired",Table1[[#This Row],[Agreement Days]]&gt;=-30,"Expires &lt; 30 Days",Table1[[#This Row],[Agreement Days]]&gt;=-60,"Expires &lt; 60 Days",Table1[[#This Row],[Agreement Days]]&lt;-60,"Valid Contract")</f>
        <v>Valid Contract</v>
      </c>
      <c r="W756" s="14" t="s">
        <v>12</v>
      </c>
      <c r="X756" s="20" t="s">
        <v>1690</v>
      </c>
      <c r="Y756" s="43" t="s">
        <v>1691</v>
      </c>
      <c r="Z756" s="27" t="s">
        <v>1692</v>
      </c>
      <c r="AA756" s="66"/>
      <c r="AB756" s="116"/>
      <c r="AC756" s="116"/>
    </row>
    <row r="757" spans="1:29" x14ac:dyDescent="0.3">
      <c r="A757" s="18" t="s">
        <v>1689</v>
      </c>
      <c r="B757" s="18" t="s">
        <v>130</v>
      </c>
      <c r="C757" s="18" t="s">
        <v>1837</v>
      </c>
      <c r="D757" s="14" t="s">
        <v>616</v>
      </c>
      <c r="E757" s="18" t="s">
        <v>9</v>
      </c>
      <c r="F757" s="14" t="s">
        <v>969</v>
      </c>
      <c r="G757" s="14" t="s">
        <v>518</v>
      </c>
      <c r="H757" s="18" t="s">
        <v>5</v>
      </c>
      <c r="I757" s="14" t="s">
        <v>117</v>
      </c>
      <c r="J757" s="14">
        <v>4</v>
      </c>
      <c r="K757" s="14" t="s">
        <v>1835</v>
      </c>
      <c r="L757" s="14"/>
      <c r="M757" s="14">
        <v>1</v>
      </c>
      <c r="N757" s="15">
        <f>302670/1.18</f>
        <v>256500</v>
      </c>
      <c r="O757" s="15">
        <f t="shared" si="28"/>
        <v>256500</v>
      </c>
      <c r="P757" s="15"/>
      <c r="Q757" s="14" t="s">
        <v>520</v>
      </c>
      <c r="R757" s="25">
        <v>45350</v>
      </c>
      <c r="S757" s="22" t="str">
        <f>TEXT(Table1[[#This Row],[End Date]],"MMMM")</f>
        <v>February</v>
      </c>
      <c r="T757" s="22" t="str">
        <f>TEXT(Table1[[#This Row],[End Date]],"YYYY")</f>
        <v>2024</v>
      </c>
      <c r="U757" s="24">
        <f t="shared" ca="1" si="29"/>
        <v>-217</v>
      </c>
      <c r="V757" s="14" t="str" cm="1">
        <f t="array" aca="1" ref="V757" ca="1">_xlfn.IFS(Table1[[#This Row],[Agreement Days]]&gt;=0,"Expired",Table1[[#This Row],[Agreement Days]]&gt;=-30,"Expires &lt; 30 Days",Table1[[#This Row],[Agreement Days]]&gt;=-60,"Expires &lt; 60 Days",Table1[[#This Row],[Agreement Days]]&lt;-60,"Valid Contract")</f>
        <v>Valid Contract</v>
      </c>
      <c r="W757" s="14" t="s">
        <v>12</v>
      </c>
      <c r="X757" s="20" t="s">
        <v>1690</v>
      </c>
      <c r="Y757" s="43" t="s">
        <v>1691</v>
      </c>
      <c r="Z757" s="27" t="s">
        <v>1692</v>
      </c>
      <c r="AA757" s="66"/>
      <c r="AB757" s="116"/>
      <c r="AC757" s="116"/>
    </row>
    <row r="758" spans="1:29" x14ac:dyDescent="0.3">
      <c r="A758" s="18" t="s">
        <v>1689</v>
      </c>
      <c r="B758" s="18" t="s">
        <v>130</v>
      </c>
      <c r="C758" s="18" t="s">
        <v>1838</v>
      </c>
      <c r="D758" s="14" t="s">
        <v>848</v>
      </c>
      <c r="E758" s="18" t="s">
        <v>9</v>
      </c>
      <c r="F758" s="14" t="s">
        <v>969</v>
      </c>
      <c r="G758" s="14" t="s">
        <v>518</v>
      </c>
      <c r="H758" s="18" t="s">
        <v>5</v>
      </c>
      <c r="I758" s="14" t="s">
        <v>117</v>
      </c>
      <c r="J758" s="14">
        <v>4</v>
      </c>
      <c r="K758" s="14" t="s">
        <v>1835</v>
      </c>
      <c r="L758" s="14"/>
      <c r="M758" s="14">
        <v>1</v>
      </c>
      <c r="N758" s="15">
        <f>302670/1.18</f>
        <v>256500</v>
      </c>
      <c r="O758" s="15">
        <f t="shared" si="28"/>
        <v>256500</v>
      </c>
      <c r="P758" s="15"/>
      <c r="Q758" s="14" t="s">
        <v>520</v>
      </c>
      <c r="R758" s="25">
        <v>45350</v>
      </c>
      <c r="S758" s="22" t="str">
        <f>TEXT(Table1[[#This Row],[End Date]],"MMMM")</f>
        <v>February</v>
      </c>
      <c r="T758" s="22" t="str">
        <f>TEXT(Table1[[#This Row],[End Date]],"YYYY")</f>
        <v>2024</v>
      </c>
      <c r="U758" s="24">
        <f t="shared" ca="1" si="29"/>
        <v>-217</v>
      </c>
      <c r="V758" s="14" t="str" cm="1">
        <f t="array" aca="1" ref="V758" ca="1">_xlfn.IFS(Table1[[#This Row],[Agreement Days]]&gt;=0,"Expired",Table1[[#This Row],[Agreement Days]]&gt;=-30,"Expires &lt; 30 Days",Table1[[#This Row],[Agreement Days]]&gt;=-60,"Expires &lt; 60 Days",Table1[[#This Row],[Agreement Days]]&lt;-60,"Valid Contract")</f>
        <v>Valid Contract</v>
      </c>
      <c r="W758" s="14" t="s">
        <v>12</v>
      </c>
      <c r="X758" s="20" t="s">
        <v>1690</v>
      </c>
      <c r="Y758" s="43" t="s">
        <v>1691</v>
      </c>
      <c r="Z758" s="27" t="s">
        <v>1692</v>
      </c>
      <c r="AA758" s="66"/>
      <c r="AB758" s="116"/>
      <c r="AC758" s="116"/>
    </row>
    <row r="759" spans="1:29" x14ac:dyDescent="0.3">
      <c r="A759" s="18" t="s">
        <v>1689</v>
      </c>
      <c r="B759" s="18" t="s">
        <v>130</v>
      </c>
      <c r="C759" s="18" t="s">
        <v>1839</v>
      </c>
      <c r="D759" s="14" t="s">
        <v>848</v>
      </c>
      <c r="E759" s="18" t="s">
        <v>9</v>
      </c>
      <c r="F759" s="14" t="s">
        <v>969</v>
      </c>
      <c r="G759" s="14" t="s">
        <v>518</v>
      </c>
      <c r="H759" s="18" t="s">
        <v>5</v>
      </c>
      <c r="I759" s="14" t="s">
        <v>117</v>
      </c>
      <c r="J759" s="14">
        <v>4</v>
      </c>
      <c r="K759" s="14" t="s">
        <v>1835</v>
      </c>
      <c r="L759" s="14"/>
      <c r="M759" s="14">
        <v>1</v>
      </c>
      <c r="N759" s="15">
        <f>302670/1.18</f>
        <v>256500</v>
      </c>
      <c r="O759" s="15">
        <f t="shared" si="28"/>
        <v>256500</v>
      </c>
      <c r="P759" s="15"/>
      <c r="Q759" s="14" t="s">
        <v>520</v>
      </c>
      <c r="R759" s="25">
        <v>45350</v>
      </c>
      <c r="S759" s="22" t="str">
        <f>TEXT(Table1[[#This Row],[End Date]],"MMMM")</f>
        <v>February</v>
      </c>
      <c r="T759" s="22" t="str">
        <f>TEXT(Table1[[#This Row],[End Date]],"YYYY")</f>
        <v>2024</v>
      </c>
      <c r="U759" s="24">
        <f t="shared" ca="1" si="29"/>
        <v>-217</v>
      </c>
      <c r="V759" s="14" t="str" cm="1">
        <f t="array" aca="1" ref="V759" ca="1">_xlfn.IFS(Table1[[#This Row],[Agreement Days]]&gt;=0,"Expired",Table1[[#This Row],[Agreement Days]]&gt;=-30,"Expires &lt; 30 Days",Table1[[#This Row],[Agreement Days]]&gt;=-60,"Expires &lt; 60 Days",Table1[[#This Row],[Agreement Days]]&lt;-60,"Valid Contract")</f>
        <v>Valid Contract</v>
      </c>
      <c r="W759" s="14" t="s">
        <v>12</v>
      </c>
      <c r="X759" s="20" t="s">
        <v>1690</v>
      </c>
      <c r="Y759" s="43" t="s">
        <v>1691</v>
      </c>
      <c r="Z759" s="27" t="s">
        <v>1692</v>
      </c>
      <c r="AA759" s="66"/>
      <c r="AB759" s="116"/>
      <c r="AC759" s="116"/>
    </row>
    <row r="760" spans="1:29" x14ac:dyDescent="0.3">
      <c r="A760" s="18" t="s">
        <v>1689</v>
      </c>
      <c r="B760" s="18" t="s">
        <v>130</v>
      </c>
      <c r="C760" s="18" t="s">
        <v>1840</v>
      </c>
      <c r="D760" s="14" t="s">
        <v>761</v>
      </c>
      <c r="E760" s="18" t="s">
        <v>9</v>
      </c>
      <c r="F760" s="14" t="s">
        <v>969</v>
      </c>
      <c r="G760" s="14" t="s">
        <v>518</v>
      </c>
      <c r="H760" s="18" t="s">
        <v>5</v>
      </c>
      <c r="I760" s="14" t="s">
        <v>117</v>
      </c>
      <c r="J760" s="14">
        <v>4</v>
      </c>
      <c r="K760" s="14" t="s">
        <v>1835</v>
      </c>
      <c r="L760" s="14"/>
      <c r="M760" s="14">
        <v>1</v>
      </c>
      <c r="N760" s="15">
        <f>318600/1.18</f>
        <v>270000</v>
      </c>
      <c r="O760" s="15">
        <f t="shared" si="28"/>
        <v>270000</v>
      </c>
      <c r="P760" s="15"/>
      <c r="Q760" s="14" t="s">
        <v>520</v>
      </c>
      <c r="R760" s="25">
        <v>45350</v>
      </c>
      <c r="S760" s="22" t="str">
        <f>TEXT(Table1[[#This Row],[End Date]],"MMMM")</f>
        <v>February</v>
      </c>
      <c r="T760" s="22" t="str">
        <f>TEXT(Table1[[#This Row],[End Date]],"YYYY")</f>
        <v>2024</v>
      </c>
      <c r="U760" s="24">
        <f t="shared" ca="1" si="29"/>
        <v>-217</v>
      </c>
      <c r="V760" s="14" t="str" cm="1">
        <f t="array" aca="1" ref="V760" ca="1">_xlfn.IFS(Table1[[#This Row],[Agreement Days]]&gt;=0,"Expired",Table1[[#This Row],[Agreement Days]]&gt;=-30,"Expires &lt; 30 Days",Table1[[#This Row],[Agreement Days]]&gt;=-60,"Expires &lt; 60 Days",Table1[[#This Row],[Agreement Days]]&lt;-60,"Valid Contract")</f>
        <v>Valid Contract</v>
      </c>
      <c r="W760" s="14" t="s">
        <v>12</v>
      </c>
      <c r="X760" s="20" t="s">
        <v>1690</v>
      </c>
      <c r="Y760" s="43" t="s">
        <v>1691</v>
      </c>
      <c r="Z760" s="27" t="s">
        <v>1692</v>
      </c>
      <c r="AA760" s="66"/>
      <c r="AB760" s="116"/>
      <c r="AC760" s="116"/>
    </row>
    <row r="761" spans="1:29" x14ac:dyDescent="0.3">
      <c r="A761" s="18" t="s">
        <v>1689</v>
      </c>
      <c r="B761" s="18" t="s">
        <v>130</v>
      </c>
      <c r="C761" s="18" t="s">
        <v>1841</v>
      </c>
      <c r="D761" s="14" t="s">
        <v>735</v>
      </c>
      <c r="E761" s="18" t="s">
        <v>9</v>
      </c>
      <c r="F761" s="14" t="s">
        <v>969</v>
      </c>
      <c r="G761" s="14" t="s">
        <v>518</v>
      </c>
      <c r="H761" s="18" t="s">
        <v>5</v>
      </c>
      <c r="I761" s="14" t="s">
        <v>117</v>
      </c>
      <c r="J761" s="14">
        <v>4</v>
      </c>
      <c r="K761" s="14" t="s">
        <v>1835</v>
      </c>
      <c r="L761" s="14"/>
      <c r="M761" s="14">
        <v>1</v>
      </c>
      <c r="N761" s="15">
        <f>318600/1.18</f>
        <v>270000</v>
      </c>
      <c r="O761" s="15">
        <f t="shared" si="28"/>
        <v>270000</v>
      </c>
      <c r="P761" s="15"/>
      <c r="Q761" s="14" t="s">
        <v>520</v>
      </c>
      <c r="R761" s="25">
        <v>45350</v>
      </c>
      <c r="S761" s="22" t="str">
        <f>TEXT(Table1[[#This Row],[End Date]],"MMMM")</f>
        <v>February</v>
      </c>
      <c r="T761" s="22" t="str">
        <f>TEXT(Table1[[#This Row],[End Date]],"YYYY")</f>
        <v>2024</v>
      </c>
      <c r="U761" s="24">
        <f t="shared" ca="1" si="29"/>
        <v>-217</v>
      </c>
      <c r="V761" s="14" t="str" cm="1">
        <f t="array" aca="1" ref="V761" ca="1">_xlfn.IFS(Table1[[#This Row],[Agreement Days]]&gt;=0,"Expired",Table1[[#This Row],[Agreement Days]]&gt;=-30,"Expires &lt; 30 Days",Table1[[#This Row],[Agreement Days]]&gt;=-60,"Expires &lt; 60 Days",Table1[[#This Row],[Agreement Days]]&lt;-60,"Valid Contract")</f>
        <v>Valid Contract</v>
      </c>
      <c r="W761" s="14" t="s">
        <v>12</v>
      </c>
      <c r="X761" s="20" t="s">
        <v>1690</v>
      </c>
      <c r="Y761" s="43" t="s">
        <v>1691</v>
      </c>
      <c r="Z761" s="27" t="s">
        <v>1692</v>
      </c>
      <c r="AA761" s="66"/>
      <c r="AB761" s="116"/>
      <c r="AC761" s="116"/>
    </row>
    <row r="762" spans="1:29" x14ac:dyDescent="0.3">
      <c r="A762" s="18" t="s">
        <v>1689</v>
      </c>
      <c r="B762" s="18" t="s">
        <v>130</v>
      </c>
      <c r="C762" s="18" t="s">
        <v>1842</v>
      </c>
      <c r="D762" s="14" t="s">
        <v>619</v>
      </c>
      <c r="E762" s="18" t="s">
        <v>9</v>
      </c>
      <c r="F762" s="14" t="s">
        <v>969</v>
      </c>
      <c r="G762" s="14" t="s">
        <v>518</v>
      </c>
      <c r="H762" s="18" t="s">
        <v>5</v>
      </c>
      <c r="I762" s="14" t="s">
        <v>117</v>
      </c>
      <c r="J762" s="14">
        <v>4</v>
      </c>
      <c r="K762" s="14" t="s">
        <v>1835</v>
      </c>
      <c r="L762" s="14"/>
      <c r="M762" s="14">
        <v>1</v>
      </c>
      <c r="N762" s="15">
        <f>302670/1.18</f>
        <v>256500</v>
      </c>
      <c r="O762" s="15">
        <f t="shared" si="28"/>
        <v>256500</v>
      </c>
      <c r="P762" s="15"/>
      <c r="Q762" s="14" t="s">
        <v>520</v>
      </c>
      <c r="R762" s="25">
        <v>45350</v>
      </c>
      <c r="S762" s="22" t="str">
        <f>TEXT(Table1[[#This Row],[End Date]],"MMMM")</f>
        <v>February</v>
      </c>
      <c r="T762" s="22" t="str">
        <f>TEXT(Table1[[#This Row],[End Date]],"YYYY")</f>
        <v>2024</v>
      </c>
      <c r="U762" s="24">
        <f t="shared" ca="1" si="29"/>
        <v>-217</v>
      </c>
      <c r="V762" s="14" t="str" cm="1">
        <f t="array" aca="1" ref="V762" ca="1">_xlfn.IFS(Table1[[#This Row],[Agreement Days]]&gt;=0,"Expired",Table1[[#This Row],[Agreement Days]]&gt;=-30,"Expires &lt; 30 Days",Table1[[#This Row],[Agreement Days]]&gt;=-60,"Expires &lt; 60 Days",Table1[[#This Row],[Agreement Days]]&lt;-60,"Valid Contract")</f>
        <v>Valid Contract</v>
      </c>
      <c r="W762" s="14" t="s">
        <v>12</v>
      </c>
      <c r="X762" s="20" t="s">
        <v>1690</v>
      </c>
      <c r="Y762" s="43" t="s">
        <v>1691</v>
      </c>
      <c r="Z762" s="27" t="s">
        <v>1692</v>
      </c>
      <c r="AA762" s="66"/>
      <c r="AB762" s="116"/>
      <c r="AC762" s="116"/>
    </row>
    <row r="763" spans="1:29" x14ac:dyDescent="0.3">
      <c r="A763" s="18" t="s">
        <v>1689</v>
      </c>
      <c r="B763" s="18" t="s">
        <v>130</v>
      </c>
      <c r="C763" s="18" t="s">
        <v>1843</v>
      </c>
      <c r="D763" s="14" t="s">
        <v>810</v>
      </c>
      <c r="E763" s="18" t="s">
        <v>9</v>
      </c>
      <c r="F763" s="14" t="s">
        <v>969</v>
      </c>
      <c r="G763" s="14" t="s">
        <v>518</v>
      </c>
      <c r="H763" s="18" t="s">
        <v>5</v>
      </c>
      <c r="I763" s="14" t="s">
        <v>117</v>
      </c>
      <c r="J763" s="14">
        <v>4</v>
      </c>
      <c r="K763" s="14" t="s">
        <v>1835</v>
      </c>
      <c r="L763" s="14"/>
      <c r="M763" s="14">
        <v>1</v>
      </c>
      <c r="N763" s="15">
        <f>318600/1.18</f>
        <v>270000</v>
      </c>
      <c r="O763" s="15">
        <f t="shared" si="28"/>
        <v>270000</v>
      </c>
      <c r="P763" s="15"/>
      <c r="Q763" s="14" t="s">
        <v>520</v>
      </c>
      <c r="R763" s="25">
        <v>45350</v>
      </c>
      <c r="S763" s="22" t="str">
        <f>TEXT(Table1[[#This Row],[End Date]],"MMMM")</f>
        <v>February</v>
      </c>
      <c r="T763" s="22" t="str">
        <f>TEXT(Table1[[#This Row],[End Date]],"YYYY")</f>
        <v>2024</v>
      </c>
      <c r="U763" s="24">
        <f t="shared" ca="1" si="29"/>
        <v>-217</v>
      </c>
      <c r="V763" s="14" t="str" cm="1">
        <f t="array" aca="1" ref="V763" ca="1">_xlfn.IFS(Table1[[#This Row],[Agreement Days]]&gt;=0,"Expired",Table1[[#This Row],[Agreement Days]]&gt;=-30,"Expires &lt; 30 Days",Table1[[#This Row],[Agreement Days]]&gt;=-60,"Expires &lt; 60 Days",Table1[[#This Row],[Agreement Days]]&lt;-60,"Valid Contract")</f>
        <v>Valid Contract</v>
      </c>
      <c r="W763" s="14" t="s">
        <v>12</v>
      </c>
      <c r="X763" s="20" t="s">
        <v>1690</v>
      </c>
      <c r="Y763" s="43" t="s">
        <v>1691</v>
      </c>
      <c r="Z763" s="27" t="s">
        <v>1692</v>
      </c>
      <c r="AA763" s="66"/>
      <c r="AB763" s="116"/>
      <c r="AC763" s="116"/>
    </row>
    <row r="764" spans="1:29" x14ac:dyDescent="0.3">
      <c r="A764" s="18" t="s">
        <v>1689</v>
      </c>
      <c r="B764" s="18" t="s">
        <v>130</v>
      </c>
      <c r="C764" s="18" t="s">
        <v>1844</v>
      </c>
      <c r="D764" s="14" t="s">
        <v>873</v>
      </c>
      <c r="E764" s="18" t="s">
        <v>9</v>
      </c>
      <c r="F764" s="14" t="s">
        <v>969</v>
      </c>
      <c r="G764" s="14" t="s">
        <v>518</v>
      </c>
      <c r="H764" s="18" t="s">
        <v>5</v>
      </c>
      <c r="I764" s="14" t="s">
        <v>117</v>
      </c>
      <c r="J764" s="14">
        <v>4</v>
      </c>
      <c r="K764" s="14" t="s">
        <v>1835</v>
      </c>
      <c r="L764" s="14"/>
      <c r="M764" s="14">
        <v>1</v>
      </c>
      <c r="N764" s="15">
        <f>302670/1.18</f>
        <v>256500</v>
      </c>
      <c r="O764" s="15">
        <f t="shared" si="28"/>
        <v>256500</v>
      </c>
      <c r="P764" s="15"/>
      <c r="Q764" s="14" t="s">
        <v>520</v>
      </c>
      <c r="R764" s="25">
        <v>45350</v>
      </c>
      <c r="S764" s="22" t="str">
        <f>TEXT(Table1[[#This Row],[End Date]],"MMMM")</f>
        <v>February</v>
      </c>
      <c r="T764" s="22" t="str">
        <f>TEXT(Table1[[#This Row],[End Date]],"YYYY")</f>
        <v>2024</v>
      </c>
      <c r="U764" s="24">
        <f t="shared" ca="1" si="29"/>
        <v>-217</v>
      </c>
      <c r="V764" s="14" t="str" cm="1">
        <f t="array" aca="1" ref="V764" ca="1">_xlfn.IFS(Table1[[#This Row],[Agreement Days]]&gt;=0,"Expired",Table1[[#This Row],[Agreement Days]]&gt;=-30,"Expires &lt; 30 Days",Table1[[#This Row],[Agreement Days]]&gt;=-60,"Expires &lt; 60 Days",Table1[[#This Row],[Agreement Days]]&lt;-60,"Valid Contract")</f>
        <v>Valid Contract</v>
      </c>
      <c r="W764" s="14" t="s">
        <v>12</v>
      </c>
      <c r="X764" s="20" t="s">
        <v>1690</v>
      </c>
      <c r="Y764" s="43" t="s">
        <v>1691</v>
      </c>
      <c r="Z764" s="27" t="s">
        <v>1692</v>
      </c>
      <c r="AA764" s="66"/>
      <c r="AB764" s="116"/>
      <c r="AC764" s="116"/>
    </row>
    <row r="765" spans="1:29" x14ac:dyDescent="0.3">
      <c r="A765" s="18" t="s">
        <v>1689</v>
      </c>
      <c r="B765" s="18" t="s">
        <v>130</v>
      </c>
      <c r="C765" s="18" t="s">
        <v>1845</v>
      </c>
      <c r="D765" s="14" t="s">
        <v>875</v>
      </c>
      <c r="E765" s="18" t="s">
        <v>9</v>
      </c>
      <c r="F765" s="14" t="s">
        <v>969</v>
      </c>
      <c r="G765" s="14" t="s">
        <v>518</v>
      </c>
      <c r="H765" s="18" t="s">
        <v>5</v>
      </c>
      <c r="I765" s="14" t="s">
        <v>117</v>
      </c>
      <c r="J765" s="14">
        <v>4</v>
      </c>
      <c r="K765" s="14" t="s">
        <v>1835</v>
      </c>
      <c r="L765" s="14"/>
      <c r="M765" s="14">
        <v>1</v>
      </c>
      <c r="N765" s="15">
        <f>302670/1.18</f>
        <v>256500</v>
      </c>
      <c r="O765" s="15">
        <f t="shared" si="28"/>
        <v>256500</v>
      </c>
      <c r="P765" s="15"/>
      <c r="Q765" s="14" t="s">
        <v>520</v>
      </c>
      <c r="R765" s="25">
        <v>45350</v>
      </c>
      <c r="S765" s="22" t="str">
        <f>TEXT(Table1[[#This Row],[End Date]],"MMMM")</f>
        <v>February</v>
      </c>
      <c r="T765" s="22" t="str">
        <f>TEXT(Table1[[#This Row],[End Date]],"YYYY")</f>
        <v>2024</v>
      </c>
      <c r="U765" s="24">
        <f t="shared" ca="1" si="29"/>
        <v>-217</v>
      </c>
      <c r="V765" s="14" t="str" cm="1">
        <f t="array" aca="1" ref="V765" ca="1">_xlfn.IFS(Table1[[#This Row],[Agreement Days]]&gt;=0,"Expired",Table1[[#This Row],[Agreement Days]]&gt;=-30,"Expires &lt; 30 Days",Table1[[#This Row],[Agreement Days]]&gt;=-60,"Expires &lt; 60 Days",Table1[[#This Row],[Agreement Days]]&lt;-60,"Valid Contract")</f>
        <v>Valid Contract</v>
      </c>
      <c r="W765" s="14" t="s">
        <v>12</v>
      </c>
      <c r="X765" s="20" t="s">
        <v>1690</v>
      </c>
      <c r="Y765" s="43" t="s">
        <v>1691</v>
      </c>
      <c r="Z765" s="27" t="s">
        <v>1692</v>
      </c>
      <c r="AA765" s="66"/>
      <c r="AB765" s="116"/>
      <c r="AC765" s="116"/>
    </row>
    <row r="766" spans="1:29" x14ac:dyDescent="0.3">
      <c r="A766" s="18" t="s">
        <v>1689</v>
      </c>
      <c r="B766" s="18" t="s">
        <v>130</v>
      </c>
      <c r="C766" s="18" t="s">
        <v>1846</v>
      </c>
      <c r="D766" s="14" t="s">
        <v>1719</v>
      </c>
      <c r="E766" s="18" t="s">
        <v>9</v>
      </c>
      <c r="F766" s="14" t="s">
        <v>969</v>
      </c>
      <c r="G766" s="14" t="s">
        <v>518</v>
      </c>
      <c r="H766" s="18" t="s">
        <v>5</v>
      </c>
      <c r="I766" s="14" t="s">
        <v>117</v>
      </c>
      <c r="J766" s="14">
        <v>4</v>
      </c>
      <c r="K766" s="14" t="s">
        <v>1835</v>
      </c>
      <c r="L766" s="14"/>
      <c r="M766" s="14">
        <v>1</v>
      </c>
      <c r="N766" s="15">
        <f>302670/1.18</f>
        <v>256500</v>
      </c>
      <c r="O766" s="15">
        <f t="shared" si="28"/>
        <v>256500</v>
      </c>
      <c r="P766" s="15"/>
      <c r="Q766" s="14" t="s">
        <v>520</v>
      </c>
      <c r="R766" s="25">
        <v>45350</v>
      </c>
      <c r="S766" s="22" t="str">
        <f>TEXT(Table1[[#This Row],[End Date]],"MMMM")</f>
        <v>February</v>
      </c>
      <c r="T766" s="22" t="str">
        <f>TEXT(Table1[[#This Row],[End Date]],"YYYY")</f>
        <v>2024</v>
      </c>
      <c r="U766" s="24">
        <f t="shared" ca="1" si="29"/>
        <v>-217</v>
      </c>
      <c r="V766" s="14" t="str" cm="1">
        <f t="array" aca="1" ref="V766" ca="1">_xlfn.IFS(Table1[[#This Row],[Agreement Days]]&gt;=0,"Expired",Table1[[#This Row],[Agreement Days]]&gt;=-30,"Expires &lt; 30 Days",Table1[[#This Row],[Agreement Days]]&gt;=-60,"Expires &lt; 60 Days",Table1[[#This Row],[Agreement Days]]&lt;-60,"Valid Contract")</f>
        <v>Valid Contract</v>
      </c>
      <c r="W766" s="14" t="s">
        <v>12</v>
      </c>
      <c r="X766" s="20" t="s">
        <v>1690</v>
      </c>
      <c r="Y766" s="43" t="s">
        <v>1691</v>
      </c>
      <c r="Z766" s="27" t="s">
        <v>1692</v>
      </c>
      <c r="AA766" s="66"/>
      <c r="AB766" s="116"/>
      <c r="AC766" s="116"/>
    </row>
    <row r="767" spans="1:29" x14ac:dyDescent="0.3">
      <c r="A767" s="18" t="s">
        <v>1689</v>
      </c>
      <c r="B767" s="18" t="s">
        <v>130</v>
      </c>
      <c r="C767" s="18" t="s">
        <v>1847</v>
      </c>
      <c r="D767" s="14" t="s">
        <v>769</v>
      </c>
      <c r="E767" s="18" t="s">
        <v>9</v>
      </c>
      <c r="F767" s="14" t="s">
        <v>969</v>
      </c>
      <c r="G767" s="14" t="s">
        <v>518</v>
      </c>
      <c r="H767" s="18" t="s">
        <v>5</v>
      </c>
      <c r="I767" s="14" t="s">
        <v>117</v>
      </c>
      <c r="J767" s="14">
        <v>4</v>
      </c>
      <c r="K767" s="14" t="s">
        <v>1835</v>
      </c>
      <c r="L767" s="14"/>
      <c r="M767" s="14">
        <v>1</v>
      </c>
      <c r="N767" s="15">
        <f>302670/1.18</f>
        <v>256500</v>
      </c>
      <c r="O767" s="15">
        <f t="shared" si="28"/>
        <v>256500</v>
      </c>
      <c r="P767" s="15"/>
      <c r="Q767" s="14" t="s">
        <v>520</v>
      </c>
      <c r="R767" s="25">
        <v>45350</v>
      </c>
      <c r="S767" s="22" t="str">
        <f>TEXT(Table1[[#This Row],[End Date]],"MMMM")</f>
        <v>February</v>
      </c>
      <c r="T767" s="22" t="str">
        <f>TEXT(Table1[[#This Row],[End Date]],"YYYY")</f>
        <v>2024</v>
      </c>
      <c r="U767" s="24">
        <f t="shared" ca="1" si="29"/>
        <v>-217</v>
      </c>
      <c r="V767" s="14" t="str" cm="1">
        <f t="array" aca="1" ref="V767" ca="1">_xlfn.IFS(Table1[[#This Row],[Agreement Days]]&gt;=0,"Expired",Table1[[#This Row],[Agreement Days]]&gt;=-30,"Expires &lt; 30 Days",Table1[[#This Row],[Agreement Days]]&gt;=-60,"Expires &lt; 60 Days",Table1[[#This Row],[Agreement Days]]&lt;-60,"Valid Contract")</f>
        <v>Valid Contract</v>
      </c>
      <c r="W767" s="14" t="s">
        <v>12</v>
      </c>
      <c r="X767" s="20" t="s">
        <v>1690</v>
      </c>
      <c r="Y767" s="43" t="s">
        <v>1691</v>
      </c>
      <c r="Z767" s="27" t="s">
        <v>1692</v>
      </c>
      <c r="AA767" s="66"/>
      <c r="AB767" s="116"/>
      <c r="AC767" s="116"/>
    </row>
    <row r="768" spans="1:29" x14ac:dyDescent="0.3">
      <c r="A768" s="18" t="s">
        <v>1689</v>
      </c>
      <c r="B768" s="18" t="s">
        <v>130</v>
      </c>
      <c r="C768" s="18" t="s">
        <v>1848</v>
      </c>
      <c r="D768" s="14" t="s">
        <v>771</v>
      </c>
      <c r="E768" s="18" t="s">
        <v>9</v>
      </c>
      <c r="F768" s="14" t="s">
        <v>969</v>
      </c>
      <c r="G768" s="14" t="s">
        <v>518</v>
      </c>
      <c r="H768" s="18" t="s">
        <v>5</v>
      </c>
      <c r="I768" s="14" t="s">
        <v>117</v>
      </c>
      <c r="J768" s="14">
        <v>4</v>
      </c>
      <c r="K768" s="14" t="s">
        <v>1835</v>
      </c>
      <c r="L768" s="14"/>
      <c r="M768" s="14">
        <v>1</v>
      </c>
      <c r="N768" s="15">
        <f>302670/1.18</f>
        <v>256500</v>
      </c>
      <c r="O768" s="15">
        <f t="shared" si="28"/>
        <v>256500</v>
      </c>
      <c r="P768" s="15"/>
      <c r="Q768" s="14" t="s">
        <v>520</v>
      </c>
      <c r="R768" s="25">
        <v>45350</v>
      </c>
      <c r="S768" s="22" t="str">
        <f>TEXT(Table1[[#This Row],[End Date]],"MMMM")</f>
        <v>February</v>
      </c>
      <c r="T768" s="22" t="str">
        <f>TEXT(Table1[[#This Row],[End Date]],"YYYY")</f>
        <v>2024</v>
      </c>
      <c r="U768" s="24">
        <f t="shared" ca="1" si="29"/>
        <v>-217</v>
      </c>
      <c r="V768" s="14" t="str" cm="1">
        <f t="array" aca="1" ref="V768" ca="1">_xlfn.IFS(Table1[[#This Row],[Agreement Days]]&gt;=0,"Expired",Table1[[#This Row],[Agreement Days]]&gt;=-30,"Expires &lt; 30 Days",Table1[[#This Row],[Agreement Days]]&gt;=-60,"Expires &lt; 60 Days",Table1[[#This Row],[Agreement Days]]&lt;-60,"Valid Contract")</f>
        <v>Valid Contract</v>
      </c>
      <c r="W768" s="14" t="s">
        <v>12</v>
      </c>
      <c r="X768" s="20" t="s">
        <v>1690</v>
      </c>
      <c r="Y768" s="43" t="s">
        <v>1691</v>
      </c>
      <c r="Z768" s="27" t="s">
        <v>1692</v>
      </c>
      <c r="AA768" s="66"/>
      <c r="AB768" s="116"/>
      <c r="AC768" s="116"/>
    </row>
    <row r="769" spans="1:29" x14ac:dyDescent="0.3">
      <c r="A769" s="18" t="s">
        <v>1689</v>
      </c>
      <c r="B769" s="18" t="s">
        <v>130</v>
      </c>
      <c r="C769" s="18" t="s">
        <v>1849</v>
      </c>
      <c r="D769" s="14" t="s">
        <v>579</v>
      </c>
      <c r="E769" s="18" t="s">
        <v>9</v>
      </c>
      <c r="F769" s="14" t="s">
        <v>969</v>
      </c>
      <c r="G769" s="14" t="s">
        <v>518</v>
      </c>
      <c r="H769" s="18" t="s">
        <v>5</v>
      </c>
      <c r="I769" s="14" t="s">
        <v>117</v>
      </c>
      <c r="J769" s="14">
        <v>4</v>
      </c>
      <c r="K769" s="14" t="s">
        <v>1835</v>
      </c>
      <c r="L769" s="14"/>
      <c r="M769" s="14">
        <v>1</v>
      </c>
      <c r="N769" s="15">
        <f>261252/1.18</f>
        <v>221400</v>
      </c>
      <c r="O769" s="15">
        <f t="shared" si="28"/>
        <v>221400</v>
      </c>
      <c r="P769" s="15"/>
      <c r="Q769" s="14" t="s">
        <v>520</v>
      </c>
      <c r="R769" s="25">
        <v>45350</v>
      </c>
      <c r="S769" s="22" t="str">
        <f>TEXT(Table1[[#This Row],[End Date]],"MMMM")</f>
        <v>February</v>
      </c>
      <c r="T769" s="22" t="str">
        <f>TEXT(Table1[[#This Row],[End Date]],"YYYY")</f>
        <v>2024</v>
      </c>
      <c r="U769" s="24">
        <f t="shared" ca="1" si="29"/>
        <v>-217</v>
      </c>
      <c r="V769" s="14" t="str" cm="1">
        <f t="array" aca="1" ref="V769" ca="1">_xlfn.IFS(Table1[[#This Row],[Agreement Days]]&gt;=0,"Expired",Table1[[#This Row],[Agreement Days]]&gt;=-30,"Expires &lt; 30 Days",Table1[[#This Row],[Agreement Days]]&gt;=-60,"Expires &lt; 60 Days",Table1[[#This Row],[Agreement Days]]&lt;-60,"Valid Contract")</f>
        <v>Valid Contract</v>
      </c>
      <c r="W769" s="14" t="s">
        <v>12</v>
      </c>
      <c r="X769" s="20" t="s">
        <v>1690</v>
      </c>
      <c r="Y769" s="43" t="s">
        <v>1691</v>
      </c>
      <c r="Z769" s="27" t="s">
        <v>1692</v>
      </c>
      <c r="AA769" s="66"/>
      <c r="AB769" s="116"/>
      <c r="AC769" s="116"/>
    </row>
    <row r="770" spans="1:29" x14ac:dyDescent="0.3">
      <c r="A770" s="18" t="s">
        <v>1689</v>
      </c>
      <c r="B770" s="18" t="s">
        <v>130</v>
      </c>
      <c r="C770" s="18" t="s">
        <v>1850</v>
      </c>
      <c r="D770" s="14" t="s">
        <v>579</v>
      </c>
      <c r="E770" s="18" t="s">
        <v>9</v>
      </c>
      <c r="F770" s="14" t="s">
        <v>969</v>
      </c>
      <c r="G770" s="14" t="s">
        <v>518</v>
      </c>
      <c r="H770" s="18" t="s">
        <v>5</v>
      </c>
      <c r="I770" s="14" t="s">
        <v>117</v>
      </c>
      <c r="J770" s="14">
        <v>4</v>
      </c>
      <c r="K770" s="14" t="s">
        <v>1835</v>
      </c>
      <c r="L770" s="14"/>
      <c r="M770" s="14">
        <v>1</v>
      </c>
      <c r="N770" s="15">
        <f>302670/1.18</f>
        <v>256500</v>
      </c>
      <c r="O770" s="15">
        <f t="shared" si="28"/>
        <v>256500</v>
      </c>
      <c r="P770" s="15"/>
      <c r="Q770" s="14" t="s">
        <v>520</v>
      </c>
      <c r="R770" s="25">
        <v>45350</v>
      </c>
      <c r="S770" s="22" t="str">
        <f>TEXT(Table1[[#This Row],[End Date]],"MMMM")</f>
        <v>February</v>
      </c>
      <c r="T770" s="22" t="str">
        <f>TEXT(Table1[[#This Row],[End Date]],"YYYY")</f>
        <v>2024</v>
      </c>
      <c r="U770" s="24">
        <f t="shared" ca="1" si="29"/>
        <v>-217</v>
      </c>
      <c r="V770" s="14" t="str" cm="1">
        <f t="array" aca="1" ref="V770" ca="1">_xlfn.IFS(Table1[[#This Row],[Agreement Days]]&gt;=0,"Expired",Table1[[#This Row],[Agreement Days]]&gt;=-30,"Expires &lt; 30 Days",Table1[[#This Row],[Agreement Days]]&gt;=-60,"Expires &lt; 60 Days",Table1[[#This Row],[Agreement Days]]&lt;-60,"Valid Contract")</f>
        <v>Valid Contract</v>
      </c>
      <c r="W770" s="14" t="s">
        <v>12</v>
      </c>
      <c r="X770" s="20" t="s">
        <v>1690</v>
      </c>
      <c r="Y770" s="43" t="s">
        <v>1691</v>
      </c>
      <c r="Z770" s="27" t="s">
        <v>1692</v>
      </c>
      <c r="AA770" s="66"/>
      <c r="AB770" s="116"/>
      <c r="AC770" s="116"/>
    </row>
    <row r="771" spans="1:29" x14ac:dyDescent="0.3">
      <c r="A771" s="18" t="s">
        <v>1689</v>
      </c>
      <c r="B771" s="18" t="s">
        <v>130</v>
      </c>
      <c r="C771" s="18" t="s">
        <v>1851</v>
      </c>
      <c r="D771" s="14" t="s">
        <v>545</v>
      </c>
      <c r="E771" s="18" t="s">
        <v>9</v>
      </c>
      <c r="F771" s="14" t="s">
        <v>969</v>
      </c>
      <c r="G771" s="14" t="s">
        <v>518</v>
      </c>
      <c r="H771" s="18" t="s">
        <v>5</v>
      </c>
      <c r="I771" s="14" t="s">
        <v>117</v>
      </c>
      <c r="J771" s="14">
        <v>5</v>
      </c>
      <c r="K771" s="14" t="s">
        <v>730</v>
      </c>
      <c r="L771" s="14"/>
      <c r="M771" s="14">
        <v>1</v>
      </c>
      <c r="N771" s="15">
        <f>302670/1.18</f>
        <v>256500</v>
      </c>
      <c r="O771" s="15">
        <f t="shared" si="28"/>
        <v>256500</v>
      </c>
      <c r="P771" s="15"/>
      <c r="Q771" s="14" t="s">
        <v>520</v>
      </c>
      <c r="R771" s="25">
        <v>45350</v>
      </c>
      <c r="S771" s="22" t="str">
        <f>TEXT(Table1[[#This Row],[End Date]],"MMMM")</f>
        <v>February</v>
      </c>
      <c r="T771" s="22" t="str">
        <f>TEXT(Table1[[#This Row],[End Date]],"YYYY")</f>
        <v>2024</v>
      </c>
      <c r="U771" s="24">
        <f t="shared" ca="1" si="29"/>
        <v>-217</v>
      </c>
      <c r="V771" s="14" t="str" cm="1">
        <f t="array" aca="1" ref="V771" ca="1">_xlfn.IFS(Table1[[#This Row],[Agreement Days]]&gt;=0,"Expired",Table1[[#This Row],[Agreement Days]]&gt;=-30,"Expires &lt; 30 Days",Table1[[#This Row],[Agreement Days]]&gt;=-60,"Expires &lt; 60 Days",Table1[[#This Row],[Agreement Days]]&lt;-60,"Valid Contract")</f>
        <v>Valid Contract</v>
      </c>
      <c r="W771" s="14" t="s">
        <v>12</v>
      </c>
      <c r="X771" s="20" t="s">
        <v>1690</v>
      </c>
      <c r="Y771" s="43" t="s">
        <v>1691</v>
      </c>
      <c r="Z771" s="27" t="s">
        <v>1692</v>
      </c>
      <c r="AA771" s="66"/>
      <c r="AB771" s="116"/>
      <c r="AC771" s="116"/>
    </row>
    <row r="772" spans="1:29" x14ac:dyDescent="0.3">
      <c r="A772" s="18" t="s">
        <v>1689</v>
      </c>
      <c r="B772" s="18" t="s">
        <v>130</v>
      </c>
      <c r="C772" s="18" t="s">
        <v>1852</v>
      </c>
      <c r="D772" s="14" t="s">
        <v>532</v>
      </c>
      <c r="E772" s="18" t="s">
        <v>9</v>
      </c>
      <c r="F772" s="14" t="s">
        <v>969</v>
      </c>
      <c r="G772" s="14" t="s">
        <v>518</v>
      </c>
      <c r="H772" s="18" t="s">
        <v>5</v>
      </c>
      <c r="I772" s="14" t="s">
        <v>117</v>
      </c>
      <c r="J772" s="14">
        <v>5</v>
      </c>
      <c r="K772" s="14" t="s">
        <v>730</v>
      </c>
      <c r="L772" s="14"/>
      <c r="M772" s="14">
        <v>1</v>
      </c>
      <c r="N772" s="15">
        <f>261252/1.18</f>
        <v>221400</v>
      </c>
      <c r="O772" s="15">
        <f t="shared" si="28"/>
        <v>221400</v>
      </c>
      <c r="P772" s="15"/>
      <c r="Q772" s="14" t="s">
        <v>520</v>
      </c>
      <c r="R772" s="25">
        <v>45350</v>
      </c>
      <c r="S772" s="22" t="str">
        <f>TEXT(Table1[[#This Row],[End Date]],"MMMM")</f>
        <v>February</v>
      </c>
      <c r="T772" s="22" t="str">
        <f>TEXT(Table1[[#This Row],[End Date]],"YYYY")</f>
        <v>2024</v>
      </c>
      <c r="U772" s="24">
        <f t="shared" ca="1" si="29"/>
        <v>-217</v>
      </c>
      <c r="V772" s="14" t="str" cm="1">
        <f t="array" aca="1" ref="V772" ca="1">_xlfn.IFS(Table1[[#This Row],[Agreement Days]]&gt;=0,"Expired",Table1[[#This Row],[Agreement Days]]&gt;=-30,"Expires &lt; 30 Days",Table1[[#This Row],[Agreement Days]]&gt;=-60,"Expires &lt; 60 Days",Table1[[#This Row],[Agreement Days]]&lt;-60,"Valid Contract")</f>
        <v>Valid Contract</v>
      </c>
      <c r="W772" s="14" t="s">
        <v>12</v>
      </c>
      <c r="X772" s="20" t="s">
        <v>1690</v>
      </c>
      <c r="Y772" s="43" t="s">
        <v>1691</v>
      </c>
      <c r="Z772" s="27" t="s">
        <v>1692</v>
      </c>
      <c r="AA772" s="66"/>
      <c r="AB772" s="116"/>
      <c r="AC772" s="116"/>
    </row>
    <row r="773" spans="1:29" x14ac:dyDescent="0.3">
      <c r="A773" s="18" t="s">
        <v>1689</v>
      </c>
      <c r="B773" s="18" t="s">
        <v>130</v>
      </c>
      <c r="C773" s="18" t="s">
        <v>1853</v>
      </c>
      <c r="D773" s="14" t="s">
        <v>808</v>
      </c>
      <c r="E773" s="18" t="s">
        <v>9</v>
      </c>
      <c r="F773" s="14" t="s">
        <v>969</v>
      </c>
      <c r="G773" s="14" t="s">
        <v>518</v>
      </c>
      <c r="H773" s="18" t="s">
        <v>5</v>
      </c>
      <c r="I773" s="14" t="s">
        <v>117</v>
      </c>
      <c r="J773" s="14">
        <v>5</v>
      </c>
      <c r="K773" s="14" t="s">
        <v>730</v>
      </c>
      <c r="L773" s="14"/>
      <c r="M773" s="14">
        <v>1</v>
      </c>
      <c r="N773" s="15">
        <f>261252/1.18</f>
        <v>221400</v>
      </c>
      <c r="O773" s="15">
        <f t="shared" si="28"/>
        <v>221400</v>
      </c>
      <c r="P773" s="15"/>
      <c r="Q773" s="14" t="s">
        <v>520</v>
      </c>
      <c r="R773" s="25">
        <v>45350</v>
      </c>
      <c r="S773" s="22" t="str">
        <f>TEXT(Table1[[#This Row],[End Date]],"MMMM")</f>
        <v>February</v>
      </c>
      <c r="T773" s="22" t="str">
        <f>TEXT(Table1[[#This Row],[End Date]],"YYYY")</f>
        <v>2024</v>
      </c>
      <c r="U773" s="24">
        <f t="shared" ca="1" si="29"/>
        <v>-217</v>
      </c>
      <c r="V773" s="14" t="str" cm="1">
        <f t="array" aca="1" ref="V773" ca="1">_xlfn.IFS(Table1[[#This Row],[Agreement Days]]&gt;=0,"Expired",Table1[[#This Row],[Agreement Days]]&gt;=-30,"Expires &lt; 30 Days",Table1[[#This Row],[Agreement Days]]&gt;=-60,"Expires &lt; 60 Days",Table1[[#This Row],[Agreement Days]]&lt;-60,"Valid Contract")</f>
        <v>Valid Contract</v>
      </c>
      <c r="W773" s="14" t="s">
        <v>12</v>
      </c>
      <c r="X773" s="20" t="s">
        <v>1690</v>
      </c>
      <c r="Y773" s="43" t="s">
        <v>1691</v>
      </c>
      <c r="Z773" s="27" t="s">
        <v>1692</v>
      </c>
      <c r="AA773" s="66"/>
      <c r="AB773" s="116"/>
      <c r="AC773" s="116"/>
    </row>
    <row r="774" spans="1:29" x14ac:dyDescent="0.3">
      <c r="A774" s="18" t="s">
        <v>1689</v>
      </c>
      <c r="B774" s="18" t="s">
        <v>130</v>
      </c>
      <c r="C774" s="18" t="s">
        <v>1854</v>
      </c>
      <c r="D774" s="14" t="s">
        <v>540</v>
      </c>
      <c r="E774" s="18" t="s">
        <v>9</v>
      </c>
      <c r="F774" s="14" t="s">
        <v>969</v>
      </c>
      <c r="G774" s="14" t="s">
        <v>518</v>
      </c>
      <c r="H774" s="18" t="s">
        <v>5</v>
      </c>
      <c r="I774" s="14" t="s">
        <v>117</v>
      </c>
      <c r="J774" s="14">
        <v>5</v>
      </c>
      <c r="K774" s="14" t="s">
        <v>730</v>
      </c>
      <c r="L774" s="14"/>
      <c r="M774" s="14">
        <v>1</v>
      </c>
      <c r="N774" s="15">
        <f>302670/1.18</f>
        <v>256500</v>
      </c>
      <c r="O774" s="15">
        <f t="shared" si="28"/>
        <v>256500</v>
      </c>
      <c r="P774" s="15"/>
      <c r="Q774" s="14" t="s">
        <v>520</v>
      </c>
      <c r="R774" s="25">
        <v>45350</v>
      </c>
      <c r="S774" s="22" t="str">
        <f>TEXT(Table1[[#This Row],[End Date]],"MMMM")</f>
        <v>February</v>
      </c>
      <c r="T774" s="22" t="str">
        <f>TEXT(Table1[[#This Row],[End Date]],"YYYY")</f>
        <v>2024</v>
      </c>
      <c r="U774" s="24">
        <f t="shared" ca="1" si="29"/>
        <v>-217</v>
      </c>
      <c r="V774" s="14" t="str" cm="1">
        <f t="array" aca="1" ref="V774" ca="1">_xlfn.IFS(Table1[[#This Row],[Agreement Days]]&gt;=0,"Expired",Table1[[#This Row],[Agreement Days]]&gt;=-30,"Expires &lt; 30 Days",Table1[[#This Row],[Agreement Days]]&gt;=-60,"Expires &lt; 60 Days",Table1[[#This Row],[Agreement Days]]&lt;-60,"Valid Contract")</f>
        <v>Valid Contract</v>
      </c>
      <c r="W774" s="14" t="s">
        <v>12</v>
      </c>
      <c r="X774" s="20" t="s">
        <v>1690</v>
      </c>
      <c r="Y774" s="43" t="s">
        <v>1691</v>
      </c>
      <c r="Z774" s="27" t="s">
        <v>1692</v>
      </c>
      <c r="AA774" s="66"/>
      <c r="AB774" s="116"/>
      <c r="AC774" s="116"/>
    </row>
    <row r="775" spans="1:29" x14ac:dyDescent="0.3">
      <c r="A775" s="18" t="s">
        <v>1689</v>
      </c>
      <c r="B775" s="18" t="s">
        <v>130</v>
      </c>
      <c r="C775" s="18" t="s">
        <v>1855</v>
      </c>
      <c r="D775" s="14" t="s">
        <v>761</v>
      </c>
      <c r="E775" s="18" t="s">
        <v>9</v>
      </c>
      <c r="F775" s="14" t="s">
        <v>969</v>
      </c>
      <c r="G775" s="14" t="s">
        <v>518</v>
      </c>
      <c r="H775" s="18" t="s">
        <v>5</v>
      </c>
      <c r="I775" s="14" t="s">
        <v>117</v>
      </c>
      <c r="J775" s="14">
        <v>5</v>
      </c>
      <c r="K775" s="14" t="s">
        <v>730</v>
      </c>
      <c r="L775" s="14"/>
      <c r="M775" s="14">
        <v>1</v>
      </c>
      <c r="N775" s="15">
        <f>261252/1.18</f>
        <v>221400</v>
      </c>
      <c r="O775" s="15">
        <f t="shared" ref="O775:O838" si="30">N775*M775</f>
        <v>221400</v>
      </c>
      <c r="P775" s="15"/>
      <c r="Q775" s="14" t="s">
        <v>520</v>
      </c>
      <c r="R775" s="25">
        <v>45350</v>
      </c>
      <c r="S775" s="22" t="str">
        <f>TEXT(Table1[[#This Row],[End Date]],"MMMM")</f>
        <v>February</v>
      </c>
      <c r="T775" s="22" t="str">
        <f>TEXT(Table1[[#This Row],[End Date]],"YYYY")</f>
        <v>2024</v>
      </c>
      <c r="U775" s="24">
        <f t="shared" ref="U775:U838" ca="1" si="31">TODAY()-R775</f>
        <v>-217</v>
      </c>
      <c r="V775" s="14" t="str" cm="1">
        <f t="array" aca="1" ref="V775" ca="1">_xlfn.IFS(Table1[[#This Row],[Agreement Days]]&gt;=0,"Expired",Table1[[#This Row],[Agreement Days]]&gt;=-30,"Expires &lt; 30 Days",Table1[[#This Row],[Agreement Days]]&gt;=-60,"Expires &lt; 60 Days",Table1[[#This Row],[Agreement Days]]&lt;-60,"Valid Contract")</f>
        <v>Valid Contract</v>
      </c>
      <c r="W775" s="14" t="s">
        <v>12</v>
      </c>
      <c r="X775" s="20" t="s">
        <v>1690</v>
      </c>
      <c r="Y775" s="43" t="s">
        <v>1691</v>
      </c>
      <c r="Z775" s="27" t="s">
        <v>1692</v>
      </c>
      <c r="AA775" s="66"/>
      <c r="AB775" s="116"/>
      <c r="AC775" s="116"/>
    </row>
    <row r="776" spans="1:29" x14ac:dyDescent="0.3">
      <c r="A776" s="18" t="s">
        <v>1689</v>
      </c>
      <c r="B776" s="18" t="s">
        <v>130</v>
      </c>
      <c r="C776" s="18" t="s">
        <v>1856</v>
      </c>
      <c r="D776" s="14" t="s">
        <v>619</v>
      </c>
      <c r="E776" s="18" t="s">
        <v>9</v>
      </c>
      <c r="F776" s="14" t="s">
        <v>969</v>
      </c>
      <c r="G776" s="14" t="s">
        <v>518</v>
      </c>
      <c r="H776" s="18" t="s">
        <v>5</v>
      </c>
      <c r="I776" s="14" t="s">
        <v>117</v>
      </c>
      <c r="J776" s="14">
        <v>5</v>
      </c>
      <c r="K776" s="14" t="s">
        <v>730</v>
      </c>
      <c r="L776" s="14"/>
      <c r="M776" s="14">
        <v>1</v>
      </c>
      <c r="N776" s="15">
        <f>261252/1.18</f>
        <v>221400</v>
      </c>
      <c r="O776" s="15">
        <f t="shared" si="30"/>
        <v>221400</v>
      </c>
      <c r="P776" s="15"/>
      <c r="Q776" s="14" t="s">
        <v>520</v>
      </c>
      <c r="R776" s="25">
        <v>45350</v>
      </c>
      <c r="S776" s="22" t="str">
        <f>TEXT(Table1[[#This Row],[End Date]],"MMMM")</f>
        <v>February</v>
      </c>
      <c r="T776" s="22" t="str">
        <f>TEXT(Table1[[#This Row],[End Date]],"YYYY")</f>
        <v>2024</v>
      </c>
      <c r="U776" s="24">
        <f t="shared" ca="1" si="31"/>
        <v>-217</v>
      </c>
      <c r="V776" s="14" t="str" cm="1">
        <f t="array" aca="1" ref="V776" ca="1">_xlfn.IFS(Table1[[#This Row],[Agreement Days]]&gt;=0,"Expired",Table1[[#This Row],[Agreement Days]]&gt;=-30,"Expires &lt; 30 Days",Table1[[#This Row],[Agreement Days]]&gt;=-60,"Expires &lt; 60 Days",Table1[[#This Row],[Agreement Days]]&lt;-60,"Valid Contract")</f>
        <v>Valid Contract</v>
      </c>
      <c r="W776" s="14" t="s">
        <v>12</v>
      </c>
      <c r="X776" s="20" t="s">
        <v>1690</v>
      </c>
      <c r="Y776" s="43" t="s">
        <v>1691</v>
      </c>
      <c r="Z776" s="27" t="s">
        <v>1692</v>
      </c>
      <c r="AA776" s="66"/>
      <c r="AB776" s="116"/>
      <c r="AC776" s="116"/>
    </row>
    <row r="777" spans="1:29" x14ac:dyDescent="0.3">
      <c r="A777" s="18" t="s">
        <v>1689</v>
      </c>
      <c r="B777" s="18" t="s">
        <v>130</v>
      </c>
      <c r="C777" s="18" t="s">
        <v>1857</v>
      </c>
      <c r="D777" s="14" t="s">
        <v>875</v>
      </c>
      <c r="E777" s="18" t="s">
        <v>9</v>
      </c>
      <c r="F777" s="14" t="s">
        <v>969</v>
      </c>
      <c r="G777" s="14" t="s">
        <v>518</v>
      </c>
      <c r="H777" s="18" t="s">
        <v>5</v>
      </c>
      <c r="I777" s="14" t="s">
        <v>117</v>
      </c>
      <c r="J777" s="14">
        <v>5</v>
      </c>
      <c r="K777" s="14" t="s">
        <v>730</v>
      </c>
      <c r="L777" s="14"/>
      <c r="M777" s="14">
        <v>1</v>
      </c>
      <c r="N777" s="15">
        <f>261252/1.18</f>
        <v>221400</v>
      </c>
      <c r="O777" s="15">
        <f t="shared" si="30"/>
        <v>221400</v>
      </c>
      <c r="P777" s="15"/>
      <c r="Q777" s="14" t="s">
        <v>520</v>
      </c>
      <c r="R777" s="25">
        <v>45350</v>
      </c>
      <c r="S777" s="22" t="str">
        <f>TEXT(Table1[[#This Row],[End Date]],"MMMM")</f>
        <v>February</v>
      </c>
      <c r="T777" s="22" t="str">
        <f>TEXT(Table1[[#This Row],[End Date]],"YYYY")</f>
        <v>2024</v>
      </c>
      <c r="U777" s="24">
        <f t="shared" ca="1" si="31"/>
        <v>-217</v>
      </c>
      <c r="V777" s="14" t="str" cm="1">
        <f t="array" aca="1" ref="V777" ca="1">_xlfn.IFS(Table1[[#This Row],[Agreement Days]]&gt;=0,"Expired",Table1[[#This Row],[Agreement Days]]&gt;=-30,"Expires &lt; 30 Days",Table1[[#This Row],[Agreement Days]]&gt;=-60,"Expires &lt; 60 Days",Table1[[#This Row],[Agreement Days]]&lt;-60,"Valid Contract")</f>
        <v>Valid Contract</v>
      </c>
      <c r="W777" s="14" t="s">
        <v>12</v>
      </c>
      <c r="X777" s="20" t="s">
        <v>1690</v>
      </c>
      <c r="Y777" s="43" t="s">
        <v>1691</v>
      </c>
      <c r="Z777" s="27" t="s">
        <v>1692</v>
      </c>
      <c r="AA777" s="66"/>
      <c r="AB777" s="116"/>
      <c r="AC777" s="116"/>
    </row>
    <row r="778" spans="1:29" x14ac:dyDescent="0.3">
      <c r="A778" s="18" t="s">
        <v>1689</v>
      </c>
      <c r="B778" s="18" t="s">
        <v>130</v>
      </c>
      <c r="C778" s="18" t="s">
        <v>1858</v>
      </c>
      <c r="D778" s="14" t="s">
        <v>946</v>
      </c>
      <c r="E778" s="18" t="s">
        <v>9</v>
      </c>
      <c r="F778" s="14" t="s">
        <v>969</v>
      </c>
      <c r="G778" s="14" t="s">
        <v>518</v>
      </c>
      <c r="H778" s="18" t="s">
        <v>5</v>
      </c>
      <c r="I778" s="14" t="s">
        <v>117</v>
      </c>
      <c r="J778" s="14">
        <v>5</v>
      </c>
      <c r="K778" s="14" t="s">
        <v>730</v>
      </c>
      <c r="L778" s="14"/>
      <c r="M778" s="14">
        <v>1</v>
      </c>
      <c r="N778" s="15">
        <f>261252/1.18</f>
        <v>221400</v>
      </c>
      <c r="O778" s="15">
        <f t="shared" si="30"/>
        <v>221400</v>
      </c>
      <c r="P778" s="15"/>
      <c r="Q778" s="14" t="s">
        <v>520</v>
      </c>
      <c r="R778" s="25">
        <v>45350</v>
      </c>
      <c r="S778" s="22" t="str">
        <f>TEXT(Table1[[#This Row],[End Date]],"MMMM")</f>
        <v>February</v>
      </c>
      <c r="T778" s="22" t="str">
        <f>TEXT(Table1[[#This Row],[End Date]],"YYYY")</f>
        <v>2024</v>
      </c>
      <c r="U778" s="24">
        <f t="shared" ca="1" si="31"/>
        <v>-217</v>
      </c>
      <c r="V778" s="14" t="str" cm="1">
        <f t="array" aca="1" ref="V778" ca="1">_xlfn.IFS(Table1[[#This Row],[Agreement Days]]&gt;=0,"Expired",Table1[[#This Row],[Agreement Days]]&gt;=-30,"Expires &lt; 30 Days",Table1[[#This Row],[Agreement Days]]&gt;=-60,"Expires &lt; 60 Days",Table1[[#This Row],[Agreement Days]]&lt;-60,"Valid Contract")</f>
        <v>Valid Contract</v>
      </c>
      <c r="W778" s="14" t="s">
        <v>12</v>
      </c>
      <c r="X778" s="20" t="s">
        <v>1690</v>
      </c>
      <c r="Y778" s="43" t="s">
        <v>1691</v>
      </c>
      <c r="Z778" s="27" t="s">
        <v>1692</v>
      </c>
      <c r="AA778" s="66"/>
      <c r="AB778" s="116"/>
      <c r="AC778" s="116"/>
    </row>
    <row r="779" spans="1:29" x14ac:dyDescent="0.3">
      <c r="A779" s="18" t="s">
        <v>1689</v>
      </c>
      <c r="B779" s="18" t="s">
        <v>130</v>
      </c>
      <c r="C779" s="18" t="s">
        <v>1859</v>
      </c>
      <c r="D779" s="14" t="s">
        <v>653</v>
      </c>
      <c r="E779" s="18" t="s">
        <v>9</v>
      </c>
      <c r="F779" s="14" t="s">
        <v>969</v>
      </c>
      <c r="G779" s="14" t="s">
        <v>518</v>
      </c>
      <c r="H779" s="18" t="s">
        <v>5</v>
      </c>
      <c r="I779" s="14" t="s">
        <v>117</v>
      </c>
      <c r="J779" s="14">
        <v>5</v>
      </c>
      <c r="K779" s="14" t="s">
        <v>730</v>
      </c>
      <c r="L779" s="14"/>
      <c r="M779" s="14">
        <v>1</v>
      </c>
      <c r="N779" s="15">
        <f>261252/1.18</f>
        <v>221400</v>
      </c>
      <c r="O779" s="15">
        <f t="shared" si="30"/>
        <v>221400</v>
      </c>
      <c r="P779" s="15"/>
      <c r="Q779" s="14" t="s">
        <v>520</v>
      </c>
      <c r="R779" s="25">
        <v>45350</v>
      </c>
      <c r="S779" s="22" t="str">
        <f>TEXT(Table1[[#This Row],[End Date]],"MMMM")</f>
        <v>February</v>
      </c>
      <c r="T779" s="22" t="str">
        <f>TEXT(Table1[[#This Row],[End Date]],"YYYY")</f>
        <v>2024</v>
      </c>
      <c r="U779" s="24">
        <f t="shared" ca="1" si="31"/>
        <v>-217</v>
      </c>
      <c r="V779" s="14" t="str" cm="1">
        <f t="array" aca="1" ref="V779" ca="1">_xlfn.IFS(Table1[[#This Row],[Agreement Days]]&gt;=0,"Expired",Table1[[#This Row],[Agreement Days]]&gt;=-30,"Expires &lt; 30 Days",Table1[[#This Row],[Agreement Days]]&gt;=-60,"Expires &lt; 60 Days",Table1[[#This Row],[Agreement Days]]&lt;-60,"Valid Contract")</f>
        <v>Valid Contract</v>
      </c>
      <c r="W779" s="14" t="s">
        <v>12</v>
      </c>
      <c r="X779" s="20" t="s">
        <v>1690</v>
      </c>
      <c r="Y779" s="43" t="s">
        <v>1691</v>
      </c>
      <c r="Z779" s="27" t="s">
        <v>1692</v>
      </c>
      <c r="AA779" s="66"/>
      <c r="AB779" s="116"/>
      <c r="AC779" s="116"/>
    </row>
    <row r="780" spans="1:29" x14ac:dyDescent="0.3">
      <c r="A780" s="18" t="s">
        <v>1689</v>
      </c>
      <c r="B780" s="18" t="s">
        <v>130</v>
      </c>
      <c r="C780" s="18" t="s">
        <v>1860</v>
      </c>
      <c r="D780" s="14" t="s">
        <v>653</v>
      </c>
      <c r="E780" s="18" t="s">
        <v>9</v>
      </c>
      <c r="F780" s="14" t="s">
        <v>969</v>
      </c>
      <c r="G780" s="14" t="s">
        <v>518</v>
      </c>
      <c r="H780" s="18" t="s">
        <v>5</v>
      </c>
      <c r="I780" s="14" t="s">
        <v>117</v>
      </c>
      <c r="J780" s="14">
        <v>5</v>
      </c>
      <c r="K780" s="14" t="s">
        <v>730</v>
      </c>
      <c r="L780" s="14"/>
      <c r="M780" s="14">
        <v>1</v>
      </c>
      <c r="N780" s="15">
        <f>318600/1.18</f>
        <v>270000</v>
      </c>
      <c r="O780" s="15">
        <f t="shared" si="30"/>
        <v>270000</v>
      </c>
      <c r="P780" s="15"/>
      <c r="Q780" s="14" t="s">
        <v>520</v>
      </c>
      <c r="R780" s="25">
        <v>45350</v>
      </c>
      <c r="S780" s="22" t="str">
        <f>TEXT(Table1[[#This Row],[End Date]],"MMMM")</f>
        <v>February</v>
      </c>
      <c r="T780" s="22" t="str">
        <f>TEXT(Table1[[#This Row],[End Date]],"YYYY")</f>
        <v>2024</v>
      </c>
      <c r="U780" s="24">
        <f t="shared" ca="1" si="31"/>
        <v>-217</v>
      </c>
      <c r="V780" s="14" t="str" cm="1">
        <f t="array" aca="1" ref="V780" ca="1">_xlfn.IFS(Table1[[#This Row],[Agreement Days]]&gt;=0,"Expired",Table1[[#This Row],[Agreement Days]]&gt;=-30,"Expires &lt; 30 Days",Table1[[#This Row],[Agreement Days]]&gt;=-60,"Expires &lt; 60 Days",Table1[[#This Row],[Agreement Days]]&lt;-60,"Valid Contract")</f>
        <v>Valid Contract</v>
      </c>
      <c r="W780" s="14" t="s">
        <v>12</v>
      </c>
      <c r="X780" s="20" t="s">
        <v>1690</v>
      </c>
      <c r="Y780" s="43" t="s">
        <v>1691</v>
      </c>
      <c r="Z780" s="27" t="s">
        <v>1692</v>
      </c>
      <c r="AA780" s="66"/>
      <c r="AB780" s="116"/>
      <c r="AC780" s="116"/>
    </row>
    <row r="781" spans="1:29" s="41" customFormat="1" x14ac:dyDescent="0.3">
      <c r="A781" s="18" t="s">
        <v>1689</v>
      </c>
      <c r="B781" s="18" t="s">
        <v>130</v>
      </c>
      <c r="C781" s="18" t="s">
        <v>1861</v>
      </c>
      <c r="D781" s="14" t="s">
        <v>769</v>
      </c>
      <c r="E781" s="18" t="s">
        <v>9</v>
      </c>
      <c r="F781" s="14" t="s">
        <v>969</v>
      </c>
      <c r="G781" s="14" t="s">
        <v>518</v>
      </c>
      <c r="H781" s="18" t="s">
        <v>5</v>
      </c>
      <c r="I781" s="14" t="s">
        <v>117</v>
      </c>
      <c r="J781" s="14">
        <v>5</v>
      </c>
      <c r="K781" s="14" t="s">
        <v>730</v>
      </c>
      <c r="L781" s="14"/>
      <c r="M781" s="14">
        <v>1</v>
      </c>
      <c r="N781" s="15">
        <f>261252/1.18</f>
        <v>221400</v>
      </c>
      <c r="O781" s="15">
        <f t="shared" si="30"/>
        <v>221400</v>
      </c>
      <c r="P781" s="15"/>
      <c r="Q781" s="14" t="s">
        <v>520</v>
      </c>
      <c r="R781" s="25">
        <v>45350</v>
      </c>
      <c r="S781" s="22" t="str">
        <f>TEXT(Table1[[#This Row],[End Date]],"MMMM")</f>
        <v>February</v>
      </c>
      <c r="T781" s="22" t="str">
        <f>TEXT(Table1[[#This Row],[End Date]],"YYYY")</f>
        <v>2024</v>
      </c>
      <c r="U781" s="24">
        <f t="shared" ca="1" si="31"/>
        <v>-217</v>
      </c>
      <c r="V781" s="14" t="str" cm="1">
        <f t="array" aca="1" ref="V781" ca="1">_xlfn.IFS(Table1[[#This Row],[Agreement Days]]&gt;=0,"Expired",Table1[[#This Row],[Agreement Days]]&gt;=-30,"Expires &lt; 30 Days",Table1[[#This Row],[Agreement Days]]&gt;=-60,"Expires &lt; 60 Days",Table1[[#This Row],[Agreement Days]]&lt;-60,"Valid Contract")</f>
        <v>Valid Contract</v>
      </c>
      <c r="W781" s="14" t="s">
        <v>12</v>
      </c>
      <c r="X781" s="20" t="s">
        <v>1690</v>
      </c>
      <c r="Y781" s="43" t="s">
        <v>1691</v>
      </c>
      <c r="Z781" s="27" t="s">
        <v>1692</v>
      </c>
      <c r="AA781" s="66"/>
      <c r="AB781" s="116"/>
      <c r="AC781" s="116"/>
    </row>
    <row r="782" spans="1:29" x14ac:dyDescent="0.3">
      <c r="A782" s="18" t="s">
        <v>1689</v>
      </c>
      <c r="B782" s="18" t="s">
        <v>130</v>
      </c>
      <c r="C782" s="18" t="s">
        <v>1862</v>
      </c>
      <c r="D782" s="14" t="s">
        <v>579</v>
      </c>
      <c r="E782" s="18" t="s">
        <v>9</v>
      </c>
      <c r="F782" s="14" t="s">
        <v>969</v>
      </c>
      <c r="G782" s="14" t="s">
        <v>518</v>
      </c>
      <c r="H782" s="18" t="s">
        <v>5</v>
      </c>
      <c r="I782" s="14" t="s">
        <v>117</v>
      </c>
      <c r="J782" s="14">
        <v>5</v>
      </c>
      <c r="K782" s="14" t="s">
        <v>730</v>
      </c>
      <c r="L782" s="14"/>
      <c r="M782" s="14">
        <v>1</v>
      </c>
      <c r="N782" s="15">
        <f>261252/1.18</f>
        <v>221400</v>
      </c>
      <c r="O782" s="15">
        <f t="shared" si="30"/>
        <v>221400</v>
      </c>
      <c r="P782" s="15"/>
      <c r="Q782" s="14" t="s">
        <v>520</v>
      </c>
      <c r="R782" s="25">
        <v>45350</v>
      </c>
      <c r="S782" s="22" t="str">
        <f>TEXT(Table1[[#This Row],[End Date]],"MMMM")</f>
        <v>February</v>
      </c>
      <c r="T782" s="22" t="str">
        <f>TEXT(Table1[[#This Row],[End Date]],"YYYY")</f>
        <v>2024</v>
      </c>
      <c r="U782" s="24">
        <f t="shared" ca="1" si="31"/>
        <v>-217</v>
      </c>
      <c r="V782" s="14" t="str" cm="1">
        <f t="array" aca="1" ref="V782" ca="1">_xlfn.IFS(Table1[[#This Row],[Agreement Days]]&gt;=0,"Expired",Table1[[#This Row],[Agreement Days]]&gt;=-30,"Expires &lt; 30 Days",Table1[[#This Row],[Agreement Days]]&gt;=-60,"Expires &lt; 60 Days",Table1[[#This Row],[Agreement Days]]&lt;-60,"Valid Contract")</f>
        <v>Valid Contract</v>
      </c>
      <c r="W782" s="14" t="s">
        <v>12</v>
      </c>
      <c r="X782" s="20" t="s">
        <v>1690</v>
      </c>
      <c r="Y782" s="43" t="s">
        <v>1691</v>
      </c>
      <c r="Z782" s="27" t="s">
        <v>1692</v>
      </c>
      <c r="AA782" s="66"/>
      <c r="AB782" s="116"/>
      <c r="AC782" s="116"/>
    </row>
    <row r="783" spans="1:29" x14ac:dyDescent="0.3">
      <c r="A783" s="18" t="s">
        <v>1689</v>
      </c>
      <c r="B783" s="18" t="s">
        <v>130</v>
      </c>
      <c r="C783" s="18" t="s">
        <v>1863</v>
      </c>
      <c r="D783" s="14" t="s">
        <v>735</v>
      </c>
      <c r="E783" s="18" t="s">
        <v>9</v>
      </c>
      <c r="F783" s="14" t="s">
        <v>969</v>
      </c>
      <c r="G783" s="14" t="s">
        <v>518</v>
      </c>
      <c r="H783" s="18" t="s">
        <v>5</v>
      </c>
      <c r="I783" s="14" t="s">
        <v>117</v>
      </c>
      <c r="J783" s="14">
        <v>6</v>
      </c>
      <c r="K783" s="14" t="s">
        <v>1864</v>
      </c>
      <c r="L783" s="14"/>
      <c r="M783" s="14">
        <v>1</v>
      </c>
      <c r="N783" s="15">
        <f>N782</f>
        <v>221400</v>
      </c>
      <c r="O783" s="15">
        <f t="shared" si="30"/>
        <v>221400</v>
      </c>
      <c r="P783" s="15"/>
      <c r="Q783" s="14" t="s">
        <v>520</v>
      </c>
      <c r="R783" s="25">
        <v>45350</v>
      </c>
      <c r="S783" s="22" t="str">
        <f>TEXT(Table1[[#This Row],[End Date]],"MMMM")</f>
        <v>February</v>
      </c>
      <c r="T783" s="22" t="str">
        <f>TEXT(Table1[[#This Row],[End Date]],"YYYY")</f>
        <v>2024</v>
      </c>
      <c r="U783" s="24">
        <f t="shared" ca="1" si="31"/>
        <v>-217</v>
      </c>
      <c r="V783" s="14" t="str" cm="1">
        <f t="array" aca="1" ref="V783" ca="1">_xlfn.IFS(Table1[[#This Row],[Agreement Days]]&gt;=0,"Expired",Table1[[#This Row],[Agreement Days]]&gt;=-30,"Expires &lt; 30 Days",Table1[[#This Row],[Agreement Days]]&gt;=-60,"Expires &lt; 60 Days",Table1[[#This Row],[Agreement Days]]&lt;-60,"Valid Contract")</f>
        <v>Valid Contract</v>
      </c>
      <c r="W783" s="14" t="s">
        <v>12</v>
      </c>
      <c r="X783" s="20" t="s">
        <v>1690</v>
      </c>
      <c r="Y783" s="43" t="s">
        <v>1691</v>
      </c>
      <c r="Z783" s="27" t="s">
        <v>1692</v>
      </c>
      <c r="AA783" s="66"/>
      <c r="AB783" s="116"/>
      <c r="AC783" s="116"/>
    </row>
    <row r="784" spans="1:29" x14ac:dyDescent="0.3">
      <c r="A784" s="18" t="s">
        <v>1689</v>
      </c>
      <c r="B784" s="18" t="s">
        <v>130</v>
      </c>
      <c r="C784" s="18" t="s">
        <v>1865</v>
      </c>
      <c r="D784" s="14" t="s">
        <v>630</v>
      </c>
      <c r="E784" s="18" t="s">
        <v>9</v>
      </c>
      <c r="F784" s="14" t="s">
        <v>969</v>
      </c>
      <c r="G784" s="14" t="s">
        <v>518</v>
      </c>
      <c r="H784" s="18" t="s">
        <v>5</v>
      </c>
      <c r="I784" s="14" t="s">
        <v>117</v>
      </c>
      <c r="J784" s="14">
        <v>6</v>
      </c>
      <c r="K784" s="14" t="s">
        <v>1864</v>
      </c>
      <c r="L784" s="14"/>
      <c r="M784" s="14">
        <v>1</v>
      </c>
      <c r="N784" s="15">
        <f>301891/1.18</f>
        <v>255839.83050847458</v>
      </c>
      <c r="O784" s="15">
        <f t="shared" si="30"/>
        <v>255839.83050847458</v>
      </c>
      <c r="P784" s="15"/>
      <c r="Q784" s="14" t="s">
        <v>520</v>
      </c>
      <c r="R784" s="25">
        <v>45350</v>
      </c>
      <c r="S784" s="22" t="str">
        <f>TEXT(Table1[[#This Row],[End Date]],"MMMM")</f>
        <v>February</v>
      </c>
      <c r="T784" s="22" t="str">
        <f>TEXT(Table1[[#This Row],[End Date]],"YYYY")</f>
        <v>2024</v>
      </c>
      <c r="U784" s="24">
        <f t="shared" ca="1" si="31"/>
        <v>-217</v>
      </c>
      <c r="V784" s="14" t="str" cm="1">
        <f t="array" aca="1" ref="V784" ca="1">_xlfn.IFS(Table1[[#This Row],[Agreement Days]]&gt;=0,"Expired",Table1[[#This Row],[Agreement Days]]&gt;=-30,"Expires &lt; 30 Days",Table1[[#This Row],[Agreement Days]]&gt;=-60,"Expires &lt; 60 Days",Table1[[#This Row],[Agreement Days]]&lt;-60,"Valid Contract")</f>
        <v>Valid Contract</v>
      </c>
      <c r="W784" s="14" t="s">
        <v>12</v>
      </c>
      <c r="X784" s="20" t="s">
        <v>1690</v>
      </c>
      <c r="Y784" s="43" t="s">
        <v>1691</v>
      </c>
      <c r="Z784" s="27" t="s">
        <v>1692</v>
      </c>
      <c r="AA784" s="66"/>
      <c r="AB784" s="116"/>
      <c r="AC784" s="116"/>
    </row>
    <row r="785" spans="1:29" x14ac:dyDescent="0.3">
      <c r="A785" s="18" t="s">
        <v>1689</v>
      </c>
      <c r="B785" s="18" t="s">
        <v>130</v>
      </c>
      <c r="C785" s="18" t="s">
        <v>1866</v>
      </c>
      <c r="D785" s="14" t="s">
        <v>516</v>
      </c>
      <c r="E785" s="18" t="s">
        <v>9</v>
      </c>
      <c r="F785" s="14" t="s">
        <v>969</v>
      </c>
      <c r="G785" s="14" t="s">
        <v>518</v>
      </c>
      <c r="H785" s="18" t="s">
        <v>5</v>
      </c>
      <c r="I785" s="14" t="s">
        <v>117</v>
      </c>
      <c r="J785" s="14">
        <v>6</v>
      </c>
      <c r="K785" s="14" t="s">
        <v>1864</v>
      </c>
      <c r="L785" s="14"/>
      <c r="M785" s="14">
        <v>1</v>
      </c>
      <c r="N785" s="15">
        <f>N784</f>
        <v>255839.83050847458</v>
      </c>
      <c r="O785" s="15">
        <f t="shared" si="30"/>
        <v>255839.83050847458</v>
      </c>
      <c r="P785" s="15"/>
      <c r="Q785" s="14" t="s">
        <v>520</v>
      </c>
      <c r="R785" s="25">
        <v>45350</v>
      </c>
      <c r="S785" s="22" t="str">
        <f>TEXT(Table1[[#This Row],[End Date]],"MMMM")</f>
        <v>February</v>
      </c>
      <c r="T785" s="22" t="str">
        <f>TEXT(Table1[[#This Row],[End Date]],"YYYY")</f>
        <v>2024</v>
      </c>
      <c r="U785" s="24">
        <f t="shared" ca="1" si="31"/>
        <v>-217</v>
      </c>
      <c r="V785" s="14" t="str" cm="1">
        <f t="array" aca="1" ref="V785" ca="1">_xlfn.IFS(Table1[[#This Row],[Agreement Days]]&gt;=0,"Expired",Table1[[#This Row],[Agreement Days]]&gt;=-30,"Expires &lt; 30 Days",Table1[[#This Row],[Agreement Days]]&gt;=-60,"Expires &lt; 60 Days",Table1[[#This Row],[Agreement Days]]&lt;-60,"Valid Contract")</f>
        <v>Valid Contract</v>
      </c>
      <c r="W785" s="14" t="s">
        <v>12</v>
      </c>
      <c r="X785" s="20" t="s">
        <v>1690</v>
      </c>
      <c r="Y785" s="43" t="s">
        <v>1691</v>
      </c>
      <c r="Z785" s="27" t="s">
        <v>1692</v>
      </c>
      <c r="AA785" s="66"/>
      <c r="AB785" s="116"/>
      <c r="AC785" s="116"/>
    </row>
    <row r="786" spans="1:29" x14ac:dyDescent="0.3">
      <c r="A786" s="18" t="s">
        <v>1689</v>
      </c>
      <c r="B786" s="18" t="s">
        <v>130</v>
      </c>
      <c r="C786" s="18" t="s">
        <v>1867</v>
      </c>
      <c r="D786" s="14" t="s">
        <v>653</v>
      </c>
      <c r="E786" s="18" t="s">
        <v>9</v>
      </c>
      <c r="F786" s="14" t="s">
        <v>969</v>
      </c>
      <c r="G786" s="14" t="s">
        <v>518</v>
      </c>
      <c r="H786" s="18" t="s">
        <v>5</v>
      </c>
      <c r="I786" s="14" t="s">
        <v>117</v>
      </c>
      <c r="J786" s="14">
        <v>15</v>
      </c>
      <c r="K786" s="14" t="s">
        <v>1548</v>
      </c>
      <c r="L786" s="14"/>
      <c r="M786" s="14">
        <v>1</v>
      </c>
      <c r="N786" s="15">
        <f>696672/1.18</f>
        <v>590400</v>
      </c>
      <c r="O786" s="15">
        <f t="shared" si="30"/>
        <v>590400</v>
      </c>
      <c r="P786" s="15"/>
      <c r="Q786" s="14" t="s">
        <v>520</v>
      </c>
      <c r="R786" s="25">
        <v>45350</v>
      </c>
      <c r="S786" s="22" t="str">
        <f>TEXT(Table1[[#This Row],[End Date]],"MMMM")</f>
        <v>February</v>
      </c>
      <c r="T786" s="22" t="str">
        <f>TEXT(Table1[[#This Row],[End Date]],"YYYY")</f>
        <v>2024</v>
      </c>
      <c r="U786" s="24">
        <f t="shared" ca="1" si="31"/>
        <v>-217</v>
      </c>
      <c r="V786" s="14" t="str" cm="1">
        <f t="array" aca="1" ref="V786" ca="1">_xlfn.IFS(Table1[[#This Row],[Agreement Days]]&gt;=0,"Expired",Table1[[#This Row],[Agreement Days]]&gt;=-30,"Expires &lt; 30 Days",Table1[[#This Row],[Agreement Days]]&gt;=-60,"Expires &lt; 60 Days",Table1[[#This Row],[Agreement Days]]&lt;-60,"Valid Contract")</f>
        <v>Valid Contract</v>
      </c>
      <c r="W786" s="14" t="s">
        <v>12</v>
      </c>
      <c r="X786" s="20" t="s">
        <v>1690</v>
      </c>
      <c r="Y786" s="43" t="s">
        <v>1691</v>
      </c>
      <c r="Z786" s="27" t="s">
        <v>1692</v>
      </c>
      <c r="AA786" s="66"/>
      <c r="AB786" s="116"/>
      <c r="AC786" s="116"/>
    </row>
    <row r="787" spans="1:29" x14ac:dyDescent="0.3">
      <c r="A787" s="18" t="s">
        <v>1689</v>
      </c>
      <c r="B787" s="18" t="s">
        <v>130</v>
      </c>
      <c r="C787" s="18" t="s">
        <v>1868</v>
      </c>
      <c r="D787" s="14" t="s">
        <v>545</v>
      </c>
      <c r="E787" s="18" t="s">
        <v>9</v>
      </c>
      <c r="F787" s="14" t="s">
        <v>969</v>
      </c>
      <c r="G787" s="14" t="s">
        <v>518</v>
      </c>
      <c r="H787" s="18" t="s">
        <v>5</v>
      </c>
      <c r="I787" s="14" t="s">
        <v>115</v>
      </c>
      <c r="J787" s="14"/>
      <c r="K787" s="14" t="s">
        <v>651</v>
      </c>
      <c r="L787" s="14"/>
      <c r="M787" s="14">
        <v>1</v>
      </c>
      <c r="N787" s="15">
        <f t="shared" ref="N787:N794" si="32">96000/1.18</f>
        <v>81355.932203389835</v>
      </c>
      <c r="O787" s="15">
        <f t="shared" si="30"/>
        <v>81355.932203389835</v>
      </c>
      <c r="P787" s="15"/>
      <c r="Q787" s="14" t="s">
        <v>520</v>
      </c>
      <c r="R787" s="25">
        <v>45350</v>
      </c>
      <c r="S787" s="22" t="str">
        <f>TEXT(Table1[[#This Row],[End Date]],"MMMM")</f>
        <v>February</v>
      </c>
      <c r="T787" s="22" t="str">
        <f>TEXT(Table1[[#This Row],[End Date]],"YYYY")</f>
        <v>2024</v>
      </c>
      <c r="U787" s="24">
        <f t="shared" ca="1" si="31"/>
        <v>-217</v>
      </c>
      <c r="V787" s="14" t="str" cm="1">
        <f t="array" aca="1" ref="V787" ca="1">_xlfn.IFS(Table1[[#This Row],[Agreement Days]]&gt;=0,"Expired",Table1[[#This Row],[Agreement Days]]&gt;=-30,"Expires &lt; 30 Days",Table1[[#This Row],[Agreement Days]]&gt;=-60,"Expires &lt; 60 Days",Table1[[#This Row],[Agreement Days]]&lt;-60,"Valid Contract")</f>
        <v>Valid Contract</v>
      </c>
      <c r="W787" s="14" t="s">
        <v>12</v>
      </c>
      <c r="X787" s="20" t="s">
        <v>1690</v>
      </c>
      <c r="Y787" s="43" t="s">
        <v>1691</v>
      </c>
      <c r="Z787" s="27" t="s">
        <v>1692</v>
      </c>
      <c r="AA787" s="66"/>
      <c r="AB787" s="116"/>
      <c r="AC787" s="116"/>
    </row>
    <row r="788" spans="1:29" x14ac:dyDescent="0.3">
      <c r="A788" s="18" t="s">
        <v>1689</v>
      </c>
      <c r="B788" s="18" t="s">
        <v>130</v>
      </c>
      <c r="C788" s="18" t="s">
        <v>1869</v>
      </c>
      <c r="D788" s="14" t="s">
        <v>616</v>
      </c>
      <c r="E788" s="18" t="s">
        <v>9</v>
      </c>
      <c r="F788" s="14" t="s">
        <v>969</v>
      </c>
      <c r="G788" s="14" t="s">
        <v>518</v>
      </c>
      <c r="H788" s="18" t="s">
        <v>5</v>
      </c>
      <c r="I788" s="14" t="s">
        <v>115</v>
      </c>
      <c r="J788" s="14"/>
      <c r="K788" s="14" t="s">
        <v>651</v>
      </c>
      <c r="L788" s="14"/>
      <c r="M788" s="14">
        <v>1</v>
      </c>
      <c r="N788" s="15">
        <f t="shared" si="32"/>
        <v>81355.932203389835</v>
      </c>
      <c r="O788" s="15">
        <f t="shared" si="30"/>
        <v>81355.932203389835</v>
      </c>
      <c r="P788" s="15"/>
      <c r="Q788" s="14" t="s">
        <v>520</v>
      </c>
      <c r="R788" s="25">
        <v>45350</v>
      </c>
      <c r="S788" s="22" t="str">
        <f>TEXT(Table1[[#This Row],[End Date]],"MMMM")</f>
        <v>February</v>
      </c>
      <c r="T788" s="22" t="str">
        <f>TEXT(Table1[[#This Row],[End Date]],"YYYY")</f>
        <v>2024</v>
      </c>
      <c r="U788" s="24">
        <f t="shared" ca="1" si="31"/>
        <v>-217</v>
      </c>
      <c r="V788" s="14" t="str" cm="1">
        <f t="array" aca="1" ref="V788" ca="1">_xlfn.IFS(Table1[[#This Row],[Agreement Days]]&gt;=0,"Expired",Table1[[#This Row],[Agreement Days]]&gt;=-30,"Expires &lt; 30 Days",Table1[[#This Row],[Agreement Days]]&gt;=-60,"Expires &lt; 60 Days",Table1[[#This Row],[Agreement Days]]&lt;-60,"Valid Contract")</f>
        <v>Valid Contract</v>
      </c>
      <c r="W788" s="14" t="s">
        <v>12</v>
      </c>
      <c r="X788" s="20" t="s">
        <v>1690</v>
      </c>
      <c r="Y788" s="43" t="s">
        <v>1691</v>
      </c>
      <c r="Z788" s="27" t="s">
        <v>1692</v>
      </c>
      <c r="AA788" s="66"/>
      <c r="AB788" s="116"/>
      <c r="AC788" s="116"/>
    </row>
    <row r="789" spans="1:29" x14ac:dyDescent="0.3">
      <c r="A789" s="18" t="s">
        <v>1689</v>
      </c>
      <c r="B789" s="18" t="s">
        <v>130</v>
      </c>
      <c r="C789" s="18" t="s">
        <v>1870</v>
      </c>
      <c r="D789" s="14" t="s">
        <v>761</v>
      </c>
      <c r="E789" s="18" t="s">
        <v>9</v>
      </c>
      <c r="F789" s="14" t="s">
        <v>969</v>
      </c>
      <c r="G789" s="14" t="s">
        <v>518</v>
      </c>
      <c r="H789" s="18" t="s">
        <v>5</v>
      </c>
      <c r="I789" s="14" t="s">
        <v>115</v>
      </c>
      <c r="J789" s="14"/>
      <c r="K789" s="14" t="s">
        <v>651</v>
      </c>
      <c r="L789" s="14"/>
      <c r="M789" s="14">
        <v>1</v>
      </c>
      <c r="N789" s="15">
        <f t="shared" si="32"/>
        <v>81355.932203389835</v>
      </c>
      <c r="O789" s="15">
        <f t="shared" si="30"/>
        <v>81355.932203389835</v>
      </c>
      <c r="P789" s="15"/>
      <c r="Q789" s="14" t="s">
        <v>520</v>
      </c>
      <c r="R789" s="25">
        <v>45350</v>
      </c>
      <c r="S789" s="22" t="str">
        <f>TEXT(Table1[[#This Row],[End Date]],"MMMM")</f>
        <v>February</v>
      </c>
      <c r="T789" s="22" t="str">
        <f>TEXT(Table1[[#This Row],[End Date]],"YYYY")</f>
        <v>2024</v>
      </c>
      <c r="U789" s="24">
        <f t="shared" ca="1" si="31"/>
        <v>-217</v>
      </c>
      <c r="V789" s="14" t="str" cm="1">
        <f t="array" aca="1" ref="V789" ca="1">_xlfn.IFS(Table1[[#This Row],[Agreement Days]]&gt;=0,"Expired",Table1[[#This Row],[Agreement Days]]&gt;=-30,"Expires &lt; 30 Days",Table1[[#This Row],[Agreement Days]]&gt;=-60,"Expires &lt; 60 Days",Table1[[#This Row],[Agreement Days]]&lt;-60,"Valid Contract")</f>
        <v>Valid Contract</v>
      </c>
      <c r="W789" s="14" t="s">
        <v>12</v>
      </c>
      <c r="X789" s="20" t="s">
        <v>1690</v>
      </c>
      <c r="Y789" s="43" t="s">
        <v>1691</v>
      </c>
      <c r="Z789" s="27" t="s">
        <v>1692</v>
      </c>
      <c r="AA789" s="66"/>
      <c r="AB789" s="116"/>
      <c r="AC789" s="116"/>
    </row>
    <row r="790" spans="1:29" x14ac:dyDescent="0.3">
      <c r="A790" s="18" t="s">
        <v>1689</v>
      </c>
      <c r="B790" s="18" t="s">
        <v>130</v>
      </c>
      <c r="C790" s="18" t="s">
        <v>1871</v>
      </c>
      <c r="D790" s="14" t="s">
        <v>761</v>
      </c>
      <c r="E790" s="18" t="s">
        <v>9</v>
      </c>
      <c r="F790" s="14" t="s">
        <v>969</v>
      </c>
      <c r="G790" s="14" t="s">
        <v>518</v>
      </c>
      <c r="H790" s="18" t="s">
        <v>5</v>
      </c>
      <c r="I790" s="14" t="s">
        <v>115</v>
      </c>
      <c r="J790" s="14"/>
      <c r="K790" s="14" t="s">
        <v>651</v>
      </c>
      <c r="L790" s="14"/>
      <c r="M790" s="14">
        <v>1</v>
      </c>
      <c r="N790" s="15">
        <f t="shared" si="32"/>
        <v>81355.932203389835</v>
      </c>
      <c r="O790" s="15">
        <f t="shared" si="30"/>
        <v>81355.932203389835</v>
      </c>
      <c r="P790" s="15"/>
      <c r="Q790" s="14" t="s">
        <v>520</v>
      </c>
      <c r="R790" s="25">
        <v>45350</v>
      </c>
      <c r="S790" s="22" t="str">
        <f>TEXT(Table1[[#This Row],[End Date]],"MMMM")</f>
        <v>February</v>
      </c>
      <c r="T790" s="22" t="str">
        <f>TEXT(Table1[[#This Row],[End Date]],"YYYY")</f>
        <v>2024</v>
      </c>
      <c r="U790" s="24">
        <f t="shared" ca="1" si="31"/>
        <v>-217</v>
      </c>
      <c r="V790" s="14" t="str" cm="1">
        <f t="array" aca="1" ref="V790" ca="1">_xlfn.IFS(Table1[[#This Row],[Agreement Days]]&gt;=0,"Expired",Table1[[#This Row],[Agreement Days]]&gt;=-30,"Expires &lt; 30 Days",Table1[[#This Row],[Agreement Days]]&gt;=-60,"Expires &lt; 60 Days",Table1[[#This Row],[Agreement Days]]&lt;-60,"Valid Contract")</f>
        <v>Valid Contract</v>
      </c>
      <c r="W790" s="14" t="s">
        <v>12</v>
      </c>
      <c r="X790" s="20" t="s">
        <v>1690</v>
      </c>
      <c r="Y790" s="43" t="s">
        <v>1691</v>
      </c>
      <c r="Z790" s="27" t="s">
        <v>1692</v>
      </c>
      <c r="AA790" s="66"/>
      <c r="AB790" s="116"/>
      <c r="AC790" s="116"/>
    </row>
    <row r="791" spans="1:29" x14ac:dyDescent="0.3">
      <c r="A791" s="18" t="s">
        <v>1689</v>
      </c>
      <c r="B791" s="18" t="s">
        <v>130</v>
      </c>
      <c r="C791" s="18" t="s">
        <v>1872</v>
      </c>
      <c r="D791" s="14" t="s">
        <v>875</v>
      </c>
      <c r="E791" s="18" t="s">
        <v>9</v>
      </c>
      <c r="F791" s="14" t="s">
        <v>969</v>
      </c>
      <c r="G791" s="14" t="s">
        <v>518</v>
      </c>
      <c r="H791" s="18" t="s">
        <v>5</v>
      </c>
      <c r="I791" s="14" t="s">
        <v>115</v>
      </c>
      <c r="J791" s="14"/>
      <c r="K791" s="14" t="s">
        <v>651</v>
      </c>
      <c r="L791" s="14"/>
      <c r="M791" s="14">
        <v>1</v>
      </c>
      <c r="N791" s="15">
        <f t="shared" si="32"/>
        <v>81355.932203389835</v>
      </c>
      <c r="O791" s="15">
        <f t="shared" si="30"/>
        <v>81355.932203389835</v>
      </c>
      <c r="P791" s="15"/>
      <c r="Q791" s="14" t="s">
        <v>520</v>
      </c>
      <c r="R791" s="25">
        <v>45350</v>
      </c>
      <c r="S791" s="22" t="str">
        <f>TEXT(Table1[[#This Row],[End Date]],"MMMM")</f>
        <v>February</v>
      </c>
      <c r="T791" s="22" t="str">
        <f>TEXT(Table1[[#This Row],[End Date]],"YYYY")</f>
        <v>2024</v>
      </c>
      <c r="U791" s="24">
        <f t="shared" ca="1" si="31"/>
        <v>-217</v>
      </c>
      <c r="V791" s="14" t="str" cm="1">
        <f t="array" aca="1" ref="V791" ca="1">_xlfn.IFS(Table1[[#This Row],[Agreement Days]]&gt;=0,"Expired",Table1[[#This Row],[Agreement Days]]&gt;=-30,"Expires &lt; 30 Days",Table1[[#This Row],[Agreement Days]]&gt;=-60,"Expires &lt; 60 Days",Table1[[#This Row],[Agreement Days]]&lt;-60,"Valid Contract")</f>
        <v>Valid Contract</v>
      </c>
      <c r="W791" s="14" t="s">
        <v>12</v>
      </c>
      <c r="X791" s="20" t="s">
        <v>1690</v>
      </c>
      <c r="Y791" s="43" t="s">
        <v>1691</v>
      </c>
      <c r="Z791" s="27" t="s">
        <v>1692</v>
      </c>
      <c r="AA791" s="66"/>
      <c r="AB791" s="116"/>
      <c r="AC791" s="116"/>
    </row>
    <row r="792" spans="1:29" x14ac:dyDescent="0.3">
      <c r="A792" s="18" t="s">
        <v>1689</v>
      </c>
      <c r="B792" s="18" t="s">
        <v>130</v>
      </c>
      <c r="C792" s="18" t="s">
        <v>1873</v>
      </c>
      <c r="D792" s="14" t="s">
        <v>946</v>
      </c>
      <c r="E792" s="18" t="s">
        <v>9</v>
      </c>
      <c r="F792" s="14" t="s">
        <v>969</v>
      </c>
      <c r="G792" s="14" t="s">
        <v>518</v>
      </c>
      <c r="H792" s="18" t="s">
        <v>5</v>
      </c>
      <c r="I792" s="14" t="s">
        <v>115</v>
      </c>
      <c r="J792" s="14"/>
      <c r="K792" s="14" t="s">
        <v>651</v>
      </c>
      <c r="L792" s="14"/>
      <c r="M792" s="14">
        <v>1</v>
      </c>
      <c r="N792" s="15">
        <f t="shared" si="32"/>
        <v>81355.932203389835</v>
      </c>
      <c r="O792" s="15">
        <f t="shared" si="30"/>
        <v>81355.932203389835</v>
      </c>
      <c r="P792" s="15"/>
      <c r="Q792" s="14" t="s">
        <v>520</v>
      </c>
      <c r="R792" s="25">
        <v>45350</v>
      </c>
      <c r="S792" s="22" t="str">
        <f>TEXT(Table1[[#This Row],[End Date]],"MMMM")</f>
        <v>February</v>
      </c>
      <c r="T792" s="22" t="str">
        <f>TEXT(Table1[[#This Row],[End Date]],"YYYY")</f>
        <v>2024</v>
      </c>
      <c r="U792" s="24">
        <f t="shared" ca="1" si="31"/>
        <v>-217</v>
      </c>
      <c r="V792" s="14" t="str" cm="1">
        <f t="array" aca="1" ref="V792" ca="1">_xlfn.IFS(Table1[[#This Row],[Agreement Days]]&gt;=0,"Expired",Table1[[#This Row],[Agreement Days]]&gt;=-30,"Expires &lt; 30 Days",Table1[[#This Row],[Agreement Days]]&gt;=-60,"Expires &lt; 60 Days",Table1[[#This Row],[Agreement Days]]&lt;-60,"Valid Contract")</f>
        <v>Valid Contract</v>
      </c>
      <c r="W792" s="14" t="s">
        <v>12</v>
      </c>
      <c r="X792" s="20" t="s">
        <v>1690</v>
      </c>
      <c r="Y792" s="43" t="s">
        <v>1691</v>
      </c>
      <c r="Z792" s="27" t="s">
        <v>1692</v>
      </c>
      <c r="AA792" s="66"/>
      <c r="AB792" s="116"/>
      <c r="AC792" s="116"/>
    </row>
    <row r="793" spans="1:29" x14ac:dyDescent="0.3">
      <c r="A793" s="18" t="s">
        <v>1689</v>
      </c>
      <c r="B793" s="18" t="s">
        <v>130</v>
      </c>
      <c r="C793" s="18" t="s">
        <v>1874</v>
      </c>
      <c r="D793" s="14" t="s">
        <v>579</v>
      </c>
      <c r="E793" s="18" t="s">
        <v>9</v>
      </c>
      <c r="F793" s="14" t="s">
        <v>969</v>
      </c>
      <c r="G793" s="14" t="s">
        <v>518</v>
      </c>
      <c r="H793" s="18" t="s">
        <v>5</v>
      </c>
      <c r="I793" s="14" t="s">
        <v>115</v>
      </c>
      <c r="J793" s="14"/>
      <c r="K793" s="14" t="s">
        <v>651</v>
      </c>
      <c r="L793" s="14"/>
      <c r="M793" s="14">
        <v>1</v>
      </c>
      <c r="N793" s="15">
        <f t="shared" si="32"/>
        <v>81355.932203389835</v>
      </c>
      <c r="O793" s="15">
        <f t="shared" si="30"/>
        <v>81355.932203389835</v>
      </c>
      <c r="P793" s="15"/>
      <c r="Q793" s="14" t="s">
        <v>520</v>
      </c>
      <c r="R793" s="25">
        <v>45350</v>
      </c>
      <c r="S793" s="22" t="str">
        <f>TEXT(Table1[[#This Row],[End Date]],"MMMM")</f>
        <v>February</v>
      </c>
      <c r="T793" s="22" t="str">
        <f>TEXT(Table1[[#This Row],[End Date]],"YYYY")</f>
        <v>2024</v>
      </c>
      <c r="U793" s="24">
        <f t="shared" ca="1" si="31"/>
        <v>-217</v>
      </c>
      <c r="V793" s="14" t="str" cm="1">
        <f t="array" aca="1" ref="V793" ca="1">_xlfn.IFS(Table1[[#This Row],[Agreement Days]]&gt;=0,"Expired",Table1[[#This Row],[Agreement Days]]&gt;=-30,"Expires &lt; 30 Days",Table1[[#This Row],[Agreement Days]]&gt;=-60,"Expires &lt; 60 Days",Table1[[#This Row],[Agreement Days]]&lt;-60,"Valid Contract")</f>
        <v>Valid Contract</v>
      </c>
      <c r="W793" s="14" t="s">
        <v>12</v>
      </c>
      <c r="X793" s="20" t="s">
        <v>1690</v>
      </c>
      <c r="Y793" s="43" t="s">
        <v>1691</v>
      </c>
      <c r="Z793" s="27" t="s">
        <v>1692</v>
      </c>
      <c r="AA793" s="66"/>
      <c r="AB793" s="116"/>
      <c r="AC793" s="116"/>
    </row>
    <row r="794" spans="1:29" x14ac:dyDescent="0.3">
      <c r="A794" s="18" t="s">
        <v>1689</v>
      </c>
      <c r="B794" s="18" t="s">
        <v>130</v>
      </c>
      <c r="C794" s="18" t="s">
        <v>1875</v>
      </c>
      <c r="D794" s="14" t="s">
        <v>516</v>
      </c>
      <c r="E794" s="18" t="s">
        <v>9</v>
      </c>
      <c r="F794" s="14" t="s">
        <v>969</v>
      </c>
      <c r="G794" s="14" t="s">
        <v>518</v>
      </c>
      <c r="H794" s="18" t="s">
        <v>5</v>
      </c>
      <c r="I794" s="14" t="s">
        <v>115</v>
      </c>
      <c r="J794" s="14"/>
      <c r="K794" s="14" t="s">
        <v>651</v>
      </c>
      <c r="L794" s="14"/>
      <c r="M794" s="14">
        <v>1</v>
      </c>
      <c r="N794" s="15">
        <f t="shared" si="32"/>
        <v>81355.932203389835</v>
      </c>
      <c r="O794" s="15">
        <f t="shared" si="30"/>
        <v>81355.932203389835</v>
      </c>
      <c r="P794" s="15"/>
      <c r="Q794" s="14" t="s">
        <v>520</v>
      </c>
      <c r="R794" s="25">
        <v>45350</v>
      </c>
      <c r="S794" s="22" t="str">
        <f>TEXT(Table1[[#This Row],[End Date]],"MMMM")</f>
        <v>February</v>
      </c>
      <c r="T794" s="22" t="str">
        <f>TEXT(Table1[[#This Row],[End Date]],"YYYY")</f>
        <v>2024</v>
      </c>
      <c r="U794" s="24">
        <f t="shared" ca="1" si="31"/>
        <v>-217</v>
      </c>
      <c r="V794" s="14" t="str" cm="1">
        <f t="array" aca="1" ref="V794" ca="1">_xlfn.IFS(Table1[[#This Row],[Agreement Days]]&gt;=0,"Expired",Table1[[#This Row],[Agreement Days]]&gt;=-30,"Expires &lt; 30 Days",Table1[[#This Row],[Agreement Days]]&gt;=-60,"Expires &lt; 60 Days",Table1[[#This Row],[Agreement Days]]&lt;-60,"Valid Contract")</f>
        <v>Valid Contract</v>
      </c>
      <c r="W794" s="14" t="s">
        <v>12</v>
      </c>
      <c r="X794" s="20" t="s">
        <v>1690</v>
      </c>
      <c r="Y794" s="43" t="s">
        <v>1691</v>
      </c>
      <c r="Z794" s="27" t="s">
        <v>1692</v>
      </c>
      <c r="AA794" s="66"/>
      <c r="AB794" s="116"/>
      <c r="AC794" s="116"/>
    </row>
    <row r="795" spans="1:29" hidden="1" x14ac:dyDescent="0.3">
      <c r="A795" s="18" t="s">
        <v>1359</v>
      </c>
      <c r="B795" s="18" t="s">
        <v>223</v>
      </c>
      <c r="C795" s="18" t="s">
        <v>544</v>
      </c>
      <c r="D795" s="14" t="s">
        <v>653</v>
      </c>
      <c r="E795" s="18" t="s">
        <v>9</v>
      </c>
      <c r="F795" s="14" t="s">
        <v>517</v>
      </c>
      <c r="G795" s="14" t="s">
        <v>518</v>
      </c>
      <c r="H795" s="18" t="s">
        <v>5</v>
      </c>
      <c r="I795" s="14" t="s">
        <v>115</v>
      </c>
      <c r="J795" s="26"/>
      <c r="K795" s="18" t="s">
        <v>643</v>
      </c>
      <c r="L795" s="26"/>
      <c r="M795" s="19">
        <v>26</v>
      </c>
      <c r="N795" s="15">
        <v>28305.08</v>
      </c>
      <c r="O795" s="15">
        <f t="shared" si="30"/>
        <v>735932.08000000007</v>
      </c>
      <c r="P795" s="15"/>
      <c r="Q795" s="14" t="s">
        <v>520</v>
      </c>
      <c r="R795" s="25">
        <v>45351</v>
      </c>
      <c r="S795" s="34" t="str">
        <f>TEXT(Table1[[#This Row],[End Date]],"MMMM")</f>
        <v>February</v>
      </c>
      <c r="T795" s="34" t="str">
        <f>TEXT(Table1[[#This Row],[End Date]],"YYYY")</f>
        <v>2024</v>
      </c>
      <c r="U795" s="24">
        <f t="shared" ca="1" si="31"/>
        <v>-218</v>
      </c>
      <c r="V795" s="14" t="str" cm="1">
        <f t="array" aca="1" ref="V795" ca="1">_xlfn.IFS(Table1[[#This Row],[Agreement Days]]&gt;=0,"Expired",Table1[[#This Row],[Agreement Days]]&gt;=-30,"Expires &lt; 30 Days",Table1[[#This Row],[Agreement Days]]&gt;=-60,"Expires &lt; 60 Days",Table1[[#This Row],[Agreement Days]]&lt;-60,"Valid Contract")</f>
        <v>Valid Contract</v>
      </c>
      <c r="W795" s="26" t="s">
        <v>17</v>
      </c>
      <c r="X795" s="14" t="s">
        <v>1876</v>
      </c>
      <c r="Y795" s="35" t="s">
        <v>1361</v>
      </c>
      <c r="Z795" s="27">
        <v>788866205</v>
      </c>
      <c r="AA795" s="27"/>
      <c r="AB795" s="116"/>
      <c r="AC795" s="116"/>
    </row>
    <row r="796" spans="1:29" hidden="1" x14ac:dyDescent="0.3">
      <c r="A796" s="18" t="s">
        <v>1877</v>
      </c>
      <c r="B796" s="18" t="s">
        <v>236</v>
      </c>
      <c r="C796" s="18" t="s">
        <v>544</v>
      </c>
      <c r="D796" s="14" t="s">
        <v>1719</v>
      </c>
      <c r="E796" s="18" t="s">
        <v>9</v>
      </c>
      <c r="F796" s="14" t="s">
        <v>517</v>
      </c>
      <c r="G796" s="14" t="s">
        <v>518</v>
      </c>
      <c r="H796" s="18" t="s">
        <v>5</v>
      </c>
      <c r="I796" s="14" t="s">
        <v>117</v>
      </c>
      <c r="J796" s="14">
        <v>3</v>
      </c>
      <c r="K796" s="14" t="s">
        <v>580</v>
      </c>
      <c r="L796" s="14"/>
      <c r="M796" s="14">
        <v>1</v>
      </c>
      <c r="N796" s="15">
        <v>180000</v>
      </c>
      <c r="O796" s="15">
        <f t="shared" si="30"/>
        <v>180000</v>
      </c>
      <c r="P796" s="15"/>
      <c r="Q796" s="14" t="s">
        <v>520</v>
      </c>
      <c r="R796" s="25">
        <v>45351</v>
      </c>
      <c r="S796" s="22" t="str">
        <f>TEXT(Table1[[#This Row],[End Date]],"MMMM")</f>
        <v>February</v>
      </c>
      <c r="T796" s="23" t="str">
        <f>TEXT(Table1[[#This Row],[End Date]],"YYYY")</f>
        <v>2024</v>
      </c>
      <c r="U796" s="24">
        <f t="shared" ca="1" si="31"/>
        <v>-218</v>
      </c>
      <c r="V796" s="14" t="str" cm="1">
        <f t="array" aca="1" ref="V796" ca="1">_xlfn.IFS(Table1[[#This Row],[Agreement Days]]&gt;=0,"Expired",Table1[[#This Row],[Agreement Days]]&gt;=-30,"Expires &lt; 30 Days",Table1[[#This Row],[Agreement Days]]&gt;=-60,"Expires &lt; 60 Days",Table1[[#This Row],[Agreement Days]]&lt;-60,"Valid Contract")</f>
        <v>Valid Contract</v>
      </c>
      <c r="W796" s="14" t="s">
        <v>19</v>
      </c>
      <c r="X796" s="14" t="s">
        <v>1878</v>
      </c>
      <c r="Y796" s="14" t="s">
        <v>1879</v>
      </c>
      <c r="Z796" s="27">
        <v>788351929</v>
      </c>
      <c r="AA796" s="17"/>
      <c r="AB796" s="116"/>
      <c r="AC796" s="116"/>
    </row>
    <row r="797" spans="1:29" hidden="1" x14ac:dyDescent="0.3">
      <c r="A797" s="18" t="s">
        <v>1877</v>
      </c>
      <c r="B797" s="18" t="s">
        <v>236</v>
      </c>
      <c r="C797" s="18" t="s">
        <v>544</v>
      </c>
      <c r="D797" s="14" t="s">
        <v>1719</v>
      </c>
      <c r="E797" s="18" t="s">
        <v>9</v>
      </c>
      <c r="F797" s="14" t="s">
        <v>517</v>
      </c>
      <c r="G797" s="14" t="s">
        <v>518</v>
      </c>
      <c r="H797" s="18" t="s">
        <v>5</v>
      </c>
      <c r="I797" s="14" t="s">
        <v>117</v>
      </c>
      <c r="J797" s="14">
        <v>15</v>
      </c>
      <c r="K797" s="14" t="s">
        <v>899</v>
      </c>
      <c r="L797" s="14"/>
      <c r="M797" s="14">
        <v>1</v>
      </c>
      <c r="N797" s="15">
        <v>720000</v>
      </c>
      <c r="O797" s="15">
        <f t="shared" si="30"/>
        <v>720000</v>
      </c>
      <c r="P797" s="15"/>
      <c r="Q797" s="14" t="s">
        <v>520</v>
      </c>
      <c r="R797" s="25">
        <v>45351</v>
      </c>
      <c r="S797" s="22" t="str">
        <f>TEXT(Table1[[#This Row],[End Date]],"MMMM")</f>
        <v>February</v>
      </c>
      <c r="T797" s="23" t="str">
        <f>TEXT(Table1[[#This Row],[End Date]],"YYYY")</f>
        <v>2024</v>
      </c>
      <c r="U797" s="24">
        <f t="shared" ca="1" si="31"/>
        <v>-218</v>
      </c>
      <c r="V797" s="14" t="str" cm="1">
        <f t="array" aca="1" ref="V797" ca="1">_xlfn.IFS(Table1[[#This Row],[Agreement Days]]&gt;=0,"Expired",Table1[[#This Row],[Agreement Days]]&gt;=-30,"Expires &lt; 30 Days",Table1[[#This Row],[Agreement Days]]&gt;=-60,"Expires &lt; 60 Days",Table1[[#This Row],[Agreement Days]]&lt;-60,"Valid Contract")</f>
        <v>Valid Contract</v>
      </c>
      <c r="W797" s="14" t="s">
        <v>19</v>
      </c>
      <c r="X797" s="14" t="s">
        <v>1878</v>
      </c>
      <c r="Y797" s="14" t="s">
        <v>1879</v>
      </c>
      <c r="Z797" s="27">
        <v>788351929</v>
      </c>
      <c r="AA797" s="17"/>
      <c r="AB797" s="116"/>
      <c r="AC797" s="116"/>
    </row>
    <row r="798" spans="1:29" hidden="1" x14ac:dyDescent="0.3">
      <c r="A798" s="18" t="s">
        <v>1877</v>
      </c>
      <c r="B798" s="18" t="s">
        <v>236</v>
      </c>
      <c r="C798" s="18" t="s">
        <v>544</v>
      </c>
      <c r="D798" s="14" t="s">
        <v>1719</v>
      </c>
      <c r="E798" s="18" t="s">
        <v>9</v>
      </c>
      <c r="F798" s="14" t="s">
        <v>517</v>
      </c>
      <c r="G798" s="14" t="s">
        <v>518</v>
      </c>
      <c r="H798" s="18" t="s">
        <v>4</v>
      </c>
      <c r="I798" s="14" t="s">
        <v>118</v>
      </c>
      <c r="J798" s="14"/>
      <c r="K798" s="14" t="s">
        <v>650</v>
      </c>
      <c r="L798" s="14"/>
      <c r="M798" s="14">
        <v>1</v>
      </c>
      <c r="N798" s="15">
        <v>369325.42</v>
      </c>
      <c r="O798" s="15">
        <f t="shared" si="30"/>
        <v>369325.42</v>
      </c>
      <c r="P798" s="15"/>
      <c r="Q798" s="14" t="s">
        <v>520</v>
      </c>
      <c r="R798" s="25">
        <v>45351</v>
      </c>
      <c r="S798" s="22" t="str">
        <f>TEXT(Table1[[#This Row],[End Date]],"MMMM")</f>
        <v>February</v>
      </c>
      <c r="T798" s="23" t="str">
        <f>TEXT(Table1[[#This Row],[End Date]],"YYYY")</f>
        <v>2024</v>
      </c>
      <c r="U798" s="24">
        <f t="shared" ca="1" si="31"/>
        <v>-218</v>
      </c>
      <c r="V798" s="14" t="str" cm="1">
        <f t="array" aca="1" ref="V798" ca="1">_xlfn.IFS(Table1[[#This Row],[Agreement Days]]&gt;=0,"Expired",Table1[[#This Row],[Agreement Days]]&gt;=-30,"Expires &lt; 30 Days",Table1[[#This Row],[Agreement Days]]&gt;=-60,"Expires &lt; 60 Days",Table1[[#This Row],[Agreement Days]]&lt;-60,"Valid Contract")</f>
        <v>Valid Contract</v>
      </c>
      <c r="W798" s="14" t="s">
        <v>19</v>
      </c>
      <c r="X798" s="14" t="s">
        <v>1878</v>
      </c>
      <c r="Y798" s="14" t="s">
        <v>1879</v>
      </c>
      <c r="Z798" s="27">
        <v>788351929</v>
      </c>
      <c r="AA798" s="17"/>
      <c r="AB798" s="116"/>
      <c r="AC798" s="116"/>
    </row>
    <row r="799" spans="1:29" hidden="1" x14ac:dyDescent="0.3">
      <c r="A799" s="18" t="s">
        <v>1877</v>
      </c>
      <c r="B799" s="18" t="s">
        <v>236</v>
      </c>
      <c r="C799" s="18" t="s">
        <v>909</v>
      </c>
      <c r="D799" s="14" t="s">
        <v>1719</v>
      </c>
      <c r="E799" s="18" t="s">
        <v>9</v>
      </c>
      <c r="F799" s="14" t="s">
        <v>517</v>
      </c>
      <c r="G799" s="14" t="s">
        <v>518</v>
      </c>
      <c r="H799" s="18" t="s">
        <v>5</v>
      </c>
      <c r="I799" s="14" t="s">
        <v>115</v>
      </c>
      <c r="J799" s="14"/>
      <c r="K799" s="18" t="s">
        <v>573</v>
      </c>
      <c r="L799" s="14"/>
      <c r="M799" s="14">
        <v>5</v>
      </c>
      <c r="N799" s="15">
        <v>19491.53</v>
      </c>
      <c r="O799" s="15">
        <f t="shared" si="30"/>
        <v>97457.65</v>
      </c>
      <c r="P799" s="15"/>
      <c r="Q799" s="14" t="s">
        <v>520</v>
      </c>
      <c r="R799" s="25">
        <v>45351</v>
      </c>
      <c r="S799" s="22" t="str">
        <f>TEXT(Table1[[#This Row],[End Date]],"MMMM")</f>
        <v>February</v>
      </c>
      <c r="T799" s="23" t="str">
        <f>TEXT(Table1[[#This Row],[End Date]],"YYYY")</f>
        <v>2024</v>
      </c>
      <c r="U799" s="24">
        <f t="shared" ca="1" si="31"/>
        <v>-218</v>
      </c>
      <c r="V799" s="14" t="str" cm="1">
        <f t="array" aca="1" ref="V799" ca="1">_xlfn.IFS(Table1[[#This Row],[Agreement Days]]&gt;=0,"Expired",Table1[[#This Row],[Agreement Days]]&gt;=-30,"Expires &lt; 30 Days",Table1[[#This Row],[Agreement Days]]&gt;=-60,"Expires &lt; 60 Days",Table1[[#This Row],[Agreement Days]]&lt;-60,"Valid Contract")</f>
        <v>Valid Contract</v>
      </c>
      <c r="W799" s="14" t="s">
        <v>19</v>
      </c>
      <c r="X799" s="14" t="s">
        <v>1878</v>
      </c>
      <c r="Y799" s="14" t="s">
        <v>1879</v>
      </c>
      <c r="Z799" s="27">
        <v>788351929</v>
      </c>
      <c r="AA799" s="17"/>
      <c r="AB799" s="116"/>
      <c r="AC799" s="116"/>
    </row>
    <row r="800" spans="1:29" hidden="1" x14ac:dyDescent="0.3">
      <c r="A800" s="18" t="s">
        <v>1877</v>
      </c>
      <c r="B800" s="18" t="s">
        <v>236</v>
      </c>
      <c r="C800" s="18" t="s">
        <v>909</v>
      </c>
      <c r="D800" s="14" t="s">
        <v>1719</v>
      </c>
      <c r="E800" s="18" t="s">
        <v>9</v>
      </c>
      <c r="F800" s="14" t="s">
        <v>517</v>
      </c>
      <c r="G800" s="14" t="s">
        <v>518</v>
      </c>
      <c r="H800" s="18" t="s">
        <v>5</v>
      </c>
      <c r="I800" s="14" t="s">
        <v>115</v>
      </c>
      <c r="J800" s="14"/>
      <c r="K800" s="18" t="s">
        <v>573</v>
      </c>
      <c r="L800" s="14"/>
      <c r="M800" s="14">
        <v>43</v>
      </c>
      <c r="N800" s="15">
        <v>19491.53</v>
      </c>
      <c r="O800" s="15">
        <f t="shared" si="30"/>
        <v>838135.78999999992</v>
      </c>
      <c r="P800" s="15"/>
      <c r="Q800" s="14" t="s">
        <v>520</v>
      </c>
      <c r="R800" s="25">
        <v>45351</v>
      </c>
      <c r="S800" s="22" t="str">
        <f>TEXT(Table1[[#This Row],[End Date]],"MMMM")</f>
        <v>February</v>
      </c>
      <c r="T800" s="23" t="str">
        <f>TEXT(Table1[[#This Row],[End Date]],"YYYY")</f>
        <v>2024</v>
      </c>
      <c r="U800" s="24">
        <f t="shared" ca="1" si="31"/>
        <v>-218</v>
      </c>
      <c r="V800" s="14" t="str" cm="1">
        <f t="array" aca="1" ref="V800" ca="1">_xlfn.IFS(Table1[[#This Row],[Agreement Days]]&gt;=0,"Expired",Table1[[#This Row],[Agreement Days]]&gt;=-30,"Expires &lt; 30 Days",Table1[[#This Row],[Agreement Days]]&gt;=-60,"Expires &lt; 60 Days",Table1[[#This Row],[Agreement Days]]&lt;-60,"Valid Contract")</f>
        <v>Valid Contract</v>
      </c>
      <c r="W800" s="14" t="s">
        <v>19</v>
      </c>
      <c r="X800" s="14" t="s">
        <v>1878</v>
      </c>
      <c r="Y800" s="14" t="s">
        <v>1879</v>
      </c>
      <c r="Z800" s="27">
        <v>788351929</v>
      </c>
      <c r="AA800" s="17"/>
      <c r="AB800" s="116"/>
      <c r="AC800" s="116"/>
    </row>
    <row r="801" spans="1:29" x14ac:dyDescent="0.3">
      <c r="A801" s="18" t="s">
        <v>598</v>
      </c>
      <c r="B801" s="18" t="s">
        <v>119</v>
      </c>
      <c r="C801" s="18" t="s">
        <v>1880</v>
      </c>
      <c r="D801" s="14" t="s">
        <v>600</v>
      </c>
      <c r="E801" s="18" t="s">
        <v>9</v>
      </c>
      <c r="F801" s="70" t="s">
        <v>601</v>
      </c>
      <c r="G801" s="70" t="s">
        <v>546</v>
      </c>
      <c r="H801" s="18" t="s">
        <v>2</v>
      </c>
      <c r="I801" s="14" t="s">
        <v>121</v>
      </c>
      <c r="J801" s="20">
        <v>6</v>
      </c>
      <c r="K801" s="14" t="s">
        <v>1500</v>
      </c>
      <c r="L801" s="14"/>
      <c r="M801" s="14">
        <v>1</v>
      </c>
      <c r="N801" s="15">
        <v>5421468</v>
      </c>
      <c r="O801" s="15">
        <f t="shared" si="30"/>
        <v>5421468</v>
      </c>
      <c r="P801" s="15"/>
      <c r="Q801" s="14" t="s">
        <v>520</v>
      </c>
      <c r="R801" s="21">
        <v>45352</v>
      </c>
      <c r="S801" s="22" t="str">
        <f>TEXT(Table1[[#This Row],[End Date]],"MMMM")</f>
        <v>March</v>
      </c>
      <c r="T801" s="22" t="str">
        <f>TEXT(Table1[[#This Row],[End Date]],"YYYY")</f>
        <v>2024</v>
      </c>
      <c r="U801" s="28">
        <f t="shared" ca="1" si="31"/>
        <v>-219</v>
      </c>
      <c r="V801" s="14" t="str" cm="1">
        <f t="array" aca="1" ref="V801" ca="1">_xlfn.IFS(Table1[[#This Row],[Agreement Days]]&gt;=0,"Expired",Table1[[#This Row],[Agreement Days]]&gt;=-30,"Expires &lt; 30 Days",Table1[[#This Row],[Agreement Days]]&gt;=-60,"Expires &lt; 60 Days",Table1[[#This Row],[Agreement Days]]&lt;-60,"Valid Contract")</f>
        <v>Valid Contract</v>
      </c>
      <c r="W801" s="14" t="s">
        <v>12</v>
      </c>
      <c r="X801" s="14" t="s">
        <v>603</v>
      </c>
      <c r="Y801" s="16" t="s">
        <v>604</v>
      </c>
      <c r="Z801" s="17" t="s">
        <v>605</v>
      </c>
      <c r="AA801" s="14"/>
      <c r="AB801" s="116"/>
      <c r="AC801" s="116"/>
    </row>
    <row r="802" spans="1:29" hidden="1" x14ac:dyDescent="0.3">
      <c r="A802" s="18" t="s">
        <v>1881</v>
      </c>
      <c r="B802" s="18" t="s">
        <v>197</v>
      </c>
      <c r="C802" s="18" t="s">
        <v>1882</v>
      </c>
      <c r="D802" s="14" t="s">
        <v>735</v>
      </c>
      <c r="E802" s="18" t="s">
        <v>9</v>
      </c>
      <c r="F802" s="14" t="s">
        <v>517</v>
      </c>
      <c r="G802" s="14" t="s">
        <v>518</v>
      </c>
      <c r="H802" s="18" t="s">
        <v>5</v>
      </c>
      <c r="I802" s="14" t="s">
        <v>117</v>
      </c>
      <c r="J802" s="14">
        <v>3</v>
      </c>
      <c r="K802" s="14" t="s">
        <v>646</v>
      </c>
      <c r="L802" s="14"/>
      <c r="M802" s="14">
        <v>1</v>
      </c>
      <c r="N802" s="15">
        <v>180000</v>
      </c>
      <c r="O802" s="15">
        <f t="shared" si="30"/>
        <v>180000</v>
      </c>
      <c r="P802" s="15"/>
      <c r="Q802" s="14" t="s">
        <v>520</v>
      </c>
      <c r="R802" s="25">
        <v>45358</v>
      </c>
      <c r="S802" s="22" t="str">
        <f>TEXT(Table1[[#This Row],[End Date]],"MMMM")</f>
        <v>March</v>
      </c>
      <c r="T802" s="22" t="str">
        <f>TEXT(Table1[[#This Row],[End Date]],"YYYY")</f>
        <v>2024</v>
      </c>
      <c r="U802" s="24">
        <f t="shared" ca="1" si="31"/>
        <v>-225</v>
      </c>
      <c r="V802" s="14" t="str" cm="1">
        <f t="array" aca="1" ref="V802" ca="1">_xlfn.IFS(Table1[[#This Row],[Agreement Days]]&gt;=0,"Expired",Table1[[#This Row],[Agreement Days]]&gt;=-30,"Expires &lt; 30 Days",Table1[[#This Row],[Agreement Days]]&gt;=-60,"Expires &lt; 60 Days",Table1[[#This Row],[Agreement Days]]&lt;-60,"Valid Contract")</f>
        <v>Valid Contract</v>
      </c>
      <c r="W802" s="14" t="s">
        <v>20</v>
      </c>
      <c r="X802" s="26" t="s">
        <v>1883</v>
      </c>
      <c r="Y802" s="16" t="s">
        <v>1884</v>
      </c>
      <c r="Z802" s="27" t="s">
        <v>1885</v>
      </c>
      <c r="AA802" s="19"/>
      <c r="AB802" s="116"/>
      <c r="AC802" s="116"/>
    </row>
    <row r="803" spans="1:29" hidden="1" x14ac:dyDescent="0.3">
      <c r="A803" s="18" t="s">
        <v>1881</v>
      </c>
      <c r="B803" s="18" t="s">
        <v>197</v>
      </c>
      <c r="C803" s="18" t="s">
        <v>1886</v>
      </c>
      <c r="D803" s="14" t="s">
        <v>875</v>
      </c>
      <c r="E803" s="18" t="s">
        <v>9</v>
      </c>
      <c r="F803" s="14" t="s">
        <v>517</v>
      </c>
      <c r="G803" s="14" t="s">
        <v>518</v>
      </c>
      <c r="H803" s="18" t="s">
        <v>5</v>
      </c>
      <c r="I803" s="14" t="s">
        <v>117</v>
      </c>
      <c r="J803" s="14">
        <v>3</v>
      </c>
      <c r="K803" s="14" t="s">
        <v>646</v>
      </c>
      <c r="L803" s="14"/>
      <c r="M803" s="14">
        <v>1</v>
      </c>
      <c r="N803" s="15">
        <v>180000</v>
      </c>
      <c r="O803" s="15">
        <f t="shared" si="30"/>
        <v>180000</v>
      </c>
      <c r="P803" s="15"/>
      <c r="Q803" s="14" t="s">
        <v>520</v>
      </c>
      <c r="R803" s="25">
        <v>45358</v>
      </c>
      <c r="S803" s="22" t="str">
        <f>TEXT(Table1[[#This Row],[End Date]],"MMMM")</f>
        <v>March</v>
      </c>
      <c r="T803" s="22" t="str">
        <f>TEXT(Table1[[#This Row],[End Date]],"YYYY")</f>
        <v>2024</v>
      </c>
      <c r="U803" s="24">
        <f t="shared" ca="1" si="31"/>
        <v>-225</v>
      </c>
      <c r="V803" s="14" t="str" cm="1">
        <f t="array" aca="1" ref="V803" ca="1">_xlfn.IFS(Table1[[#This Row],[Agreement Days]]&gt;=0,"Expired",Table1[[#This Row],[Agreement Days]]&gt;=-30,"Expires &lt; 30 Days",Table1[[#This Row],[Agreement Days]]&gt;=-60,"Expires &lt; 60 Days",Table1[[#This Row],[Agreement Days]]&lt;-60,"Valid Contract")</f>
        <v>Valid Contract</v>
      </c>
      <c r="W803" s="14" t="s">
        <v>20</v>
      </c>
      <c r="X803" s="26" t="s">
        <v>1883</v>
      </c>
      <c r="Y803" s="16" t="s">
        <v>1884</v>
      </c>
      <c r="Z803" s="27" t="s">
        <v>1885</v>
      </c>
      <c r="AA803" s="19"/>
      <c r="AB803" s="116"/>
      <c r="AC803" s="116"/>
    </row>
    <row r="804" spans="1:29" hidden="1" x14ac:dyDescent="0.3">
      <c r="A804" s="18" t="s">
        <v>1881</v>
      </c>
      <c r="B804" s="18" t="s">
        <v>197</v>
      </c>
      <c r="C804" s="18" t="s">
        <v>1887</v>
      </c>
      <c r="D804" s="14" t="s">
        <v>769</v>
      </c>
      <c r="E804" s="18" t="s">
        <v>9</v>
      </c>
      <c r="F804" s="14" t="s">
        <v>517</v>
      </c>
      <c r="G804" s="14" t="s">
        <v>518</v>
      </c>
      <c r="H804" s="18" t="s">
        <v>5</v>
      </c>
      <c r="I804" s="14" t="s">
        <v>117</v>
      </c>
      <c r="J804" s="14">
        <v>3</v>
      </c>
      <c r="K804" s="14" t="s">
        <v>646</v>
      </c>
      <c r="L804" s="14"/>
      <c r="M804" s="14">
        <v>1</v>
      </c>
      <c r="N804" s="15">
        <v>180000</v>
      </c>
      <c r="O804" s="15">
        <f t="shared" si="30"/>
        <v>180000</v>
      </c>
      <c r="P804" s="15"/>
      <c r="Q804" s="14" t="s">
        <v>520</v>
      </c>
      <c r="R804" s="25">
        <v>45358</v>
      </c>
      <c r="S804" s="22" t="str">
        <f>TEXT(Table1[[#This Row],[End Date]],"MMMM")</f>
        <v>March</v>
      </c>
      <c r="T804" s="22" t="str">
        <f>TEXT(Table1[[#This Row],[End Date]],"YYYY")</f>
        <v>2024</v>
      </c>
      <c r="U804" s="24">
        <f t="shared" ca="1" si="31"/>
        <v>-225</v>
      </c>
      <c r="V804" s="14" t="str" cm="1">
        <f t="array" aca="1" ref="V804" ca="1">_xlfn.IFS(Table1[[#This Row],[Agreement Days]]&gt;=0,"Expired",Table1[[#This Row],[Agreement Days]]&gt;=-30,"Expires &lt; 30 Days",Table1[[#This Row],[Agreement Days]]&gt;=-60,"Expires &lt; 60 Days",Table1[[#This Row],[Agreement Days]]&lt;-60,"Valid Contract")</f>
        <v>Valid Contract</v>
      </c>
      <c r="W804" s="14" t="s">
        <v>20</v>
      </c>
      <c r="X804" s="26" t="s">
        <v>1883</v>
      </c>
      <c r="Y804" s="16" t="s">
        <v>1884</v>
      </c>
      <c r="Z804" s="27" t="s">
        <v>1885</v>
      </c>
      <c r="AA804" s="19"/>
      <c r="AB804" s="116"/>
      <c r="AC804" s="116"/>
    </row>
    <row r="805" spans="1:29" hidden="1" x14ac:dyDescent="0.3">
      <c r="A805" s="18" t="s">
        <v>1881</v>
      </c>
      <c r="B805" s="18" t="s">
        <v>197</v>
      </c>
      <c r="C805" s="18" t="s">
        <v>1888</v>
      </c>
      <c r="D805" s="14" t="s">
        <v>579</v>
      </c>
      <c r="E805" s="18" t="s">
        <v>9</v>
      </c>
      <c r="F805" s="14" t="s">
        <v>517</v>
      </c>
      <c r="G805" s="14" t="s">
        <v>518</v>
      </c>
      <c r="H805" s="18" t="s">
        <v>5</v>
      </c>
      <c r="I805" s="14" t="s">
        <v>117</v>
      </c>
      <c r="J805" s="14">
        <v>3</v>
      </c>
      <c r="K805" s="14" t="s">
        <v>646</v>
      </c>
      <c r="L805" s="14"/>
      <c r="M805" s="14">
        <v>1</v>
      </c>
      <c r="N805" s="15">
        <v>180000</v>
      </c>
      <c r="O805" s="15">
        <f t="shared" si="30"/>
        <v>180000</v>
      </c>
      <c r="P805" s="15"/>
      <c r="Q805" s="14" t="s">
        <v>520</v>
      </c>
      <c r="R805" s="25">
        <v>45358</v>
      </c>
      <c r="S805" s="22" t="str">
        <f>TEXT(Table1[[#This Row],[End Date]],"MMMM")</f>
        <v>March</v>
      </c>
      <c r="T805" s="22" t="str">
        <f>TEXT(Table1[[#This Row],[End Date]],"YYYY")</f>
        <v>2024</v>
      </c>
      <c r="U805" s="24">
        <f t="shared" ca="1" si="31"/>
        <v>-225</v>
      </c>
      <c r="V805" s="14" t="str" cm="1">
        <f t="array" aca="1" ref="V805" ca="1">_xlfn.IFS(Table1[[#This Row],[Agreement Days]]&gt;=0,"Expired",Table1[[#This Row],[Agreement Days]]&gt;=-30,"Expires &lt; 30 Days",Table1[[#This Row],[Agreement Days]]&gt;=-60,"Expires &lt; 60 Days",Table1[[#This Row],[Agreement Days]]&lt;-60,"Valid Contract")</f>
        <v>Valid Contract</v>
      </c>
      <c r="W805" s="14" t="s">
        <v>20</v>
      </c>
      <c r="X805" s="26" t="s">
        <v>1883</v>
      </c>
      <c r="Y805" s="16" t="s">
        <v>1884</v>
      </c>
      <c r="Z805" s="27" t="s">
        <v>1885</v>
      </c>
      <c r="AA805" s="19"/>
      <c r="AB805" s="116"/>
      <c r="AC805" s="116"/>
    </row>
    <row r="806" spans="1:29" hidden="1" x14ac:dyDescent="0.3">
      <c r="A806" s="18" t="s">
        <v>1881</v>
      </c>
      <c r="B806" s="18" t="s">
        <v>197</v>
      </c>
      <c r="C806" s="18" t="s">
        <v>1889</v>
      </c>
      <c r="D806" s="14" t="s">
        <v>545</v>
      </c>
      <c r="E806" s="18" t="s">
        <v>9</v>
      </c>
      <c r="F806" s="14" t="s">
        <v>517</v>
      </c>
      <c r="G806" s="14" t="s">
        <v>518</v>
      </c>
      <c r="H806" s="18" t="s">
        <v>5</v>
      </c>
      <c r="I806" s="14" t="s">
        <v>117</v>
      </c>
      <c r="J806" s="14">
        <v>10</v>
      </c>
      <c r="K806" s="14" t="s">
        <v>547</v>
      </c>
      <c r="L806" s="14"/>
      <c r="M806" s="14">
        <v>1</v>
      </c>
      <c r="N806" s="15">
        <v>510000</v>
      </c>
      <c r="O806" s="15">
        <f t="shared" si="30"/>
        <v>510000</v>
      </c>
      <c r="P806" s="15"/>
      <c r="Q806" s="14" t="s">
        <v>520</v>
      </c>
      <c r="R806" s="25">
        <v>45358</v>
      </c>
      <c r="S806" s="22" t="str">
        <f>TEXT(Table1[[#This Row],[End Date]],"MMMM")</f>
        <v>March</v>
      </c>
      <c r="T806" s="22" t="str">
        <f>TEXT(Table1[[#This Row],[End Date]],"YYYY")</f>
        <v>2024</v>
      </c>
      <c r="U806" s="24">
        <f t="shared" ca="1" si="31"/>
        <v>-225</v>
      </c>
      <c r="V806" s="14" t="str" cm="1">
        <f t="array" aca="1" ref="V806" ca="1">_xlfn.IFS(Table1[[#This Row],[Agreement Days]]&gt;=0,"Expired",Table1[[#This Row],[Agreement Days]]&gt;=-30,"Expires &lt; 30 Days",Table1[[#This Row],[Agreement Days]]&gt;=-60,"Expires &lt; 60 Days",Table1[[#This Row],[Agreement Days]]&lt;-60,"Valid Contract")</f>
        <v>Valid Contract</v>
      </c>
      <c r="W806" s="14" t="s">
        <v>20</v>
      </c>
      <c r="X806" s="26" t="s">
        <v>1883</v>
      </c>
      <c r="Y806" s="16" t="s">
        <v>1884</v>
      </c>
      <c r="Z806" s="27" t="s">
        <v>1885</v>
      </c>
      <c r="AA806" s="19"/>
      <c r="AB806" s="116"/>
      <c r="AC806" s="116"/>
    </row>
    <row r="807" spans="1:29" hidden="1" x14ac:dyDescent="0.3">
      <c r="A807" s="18" t="s">
        <v>1881</v>
      </c>
      <c r="B807" s="18" t="s">
        <v>197</v>
      </c>
      <c r="C807" s="18" t="s">
        <v>1890</v>
      </c>
      <c r="D807" s="14" t="s">
        <v>545</v>
      </c>
      <c r="E807" s="18" t="s">
        <v>9</v>
      </c>
      <c r="F807" s="14" t="s">
        <v>517</v>
      </c>
      <c r="G807" s="14" t="s">
        <v>518</v>
      </c>
      <c r="H807" s="18" t="s">
        <v>5</v>
      </c>
      <c r="I807" s="14" t="s">
        <v>117</v>
      </c>
      <c r="J807" s="14">
        <v>20</v>
      </c>
      <c r="K807" s="14" t="s">
        <v>689</v>
      </c>
      <c r="L807" s="14"/>
      <c r="M807" s="14">
        <v>1</v>
      </c>
      <c r="N807" s="15">
        <v>900000</v>
      </c>
      <c r="O807" s="15">
        <f t="shared" si="30"/>
        <v>900000</v>
      </c>
      <c r="P807" s="15"/>
      <c r="Q807" s="14" t="s">
        <v>520</v>
      </c>
      <c r="R807" s="25">
        <v>45358</v>
      </c>
      <c r="S807" s="22" t="str">
        <f>TEXT(Table1[[#This Row],[End Date]],"MMMM")</f>
        <v>March</v>
      </c>
      <c r="T807" s="22" t="str">
        <f>TEXT(Table1[[#This Row],[End Date]],"YYYY")</f>
        <v>2024</v>
      </c>
      <c r="U807" s="24">
        <f t="shared" ca="1" si="31"/>
        <v>-225</v>
      </c>
      <c r="V807" s="14" t="str" cm="1">
        <f t="array" aca="1" ref="V807" ca="1">_xlfn.IFS(Table1[[#This Row],[Agreement Days]]&gt;=0,"Expired",Table1[[#This Row],[Agreement Days]]&gt;=-30,"Expires &lt; 30 Days",Table1[[#This Row],[Agreement Days]]&gt;=-60,"Expires &lt; 60 Days",Table1[[#This Row],[Agreement Days]]&lt;-60,"Valid Contract")</f>
        <v>Valid Contract</v>
      </c>
      <c r="W807" s="14" t="s">
        <v>20</v>
      </c>
      <c r="X807" s="26" t="s">
        <v>1883</v>
      </c>
      <c r="Y807" s="16" t="s">
        <v>1884</v>
      </c>
      <c r="Z807" s="27" t="s">
        <v>1885</v>
      </c>
      <c r="AA807" s="19"/>
      <c r="AB807" s="116"/>
      <c r="AC807" s="116"/>
    </row>
    <row r="808" spans="1:29" hidden="1" x14ac:dyDescent="0.3">
      <c r="A808" s="18" t="s">
        <v>1881</v>
      </c>
      <c r="B808" s="18" t="s">
        <v>197</v>
      </c>
      <c r="C808" s="18" t="s">
        <v>1890</v>
      </c>
      <c r="D808" s="14" t="s">
        <v>545</v>
      </c>
      <c r="E808" s="18" t="s">
        <v>9</v>
      </c>
      <c r="F808" s="14" t="s">
        <v>517</v>
      </c>
      <c r="G808" s="14" t="s">
        <v>518</v>
      </c>
      <c r="H808" s="18" t="s">
        <v>5</v>
      </c>
      <c r="I808" s="14" t="s">
        <v>115</v>
      </c>
      <c r="J808" s="14"/>
      <c r="K808" s="18" t="s">
        <v>573</v>
      </c>
      <c r="L808" s="14"/>
      <c r="M808" s="14">
        <v>19</v>
      </c>
      <c r="N808" s="15">
        <v>19491.53</v>
      </c>
      <c r="O808" s="15">
        <f t="shared" si="30"/>
        <v>370339.06999999995</v>
      </c>
      <c r="P808" s="15"/>
      <c r="Q808" s="14" t="s">
        <v>520</v>
      </c>
      <c r="R808" s="25">
        <v>45358</v>
      </c>
      <c r="S808" s="22" t="str">
        <f>TEXT(Table1[[#This Row],[End Date]],"MMMM")</f>
        <v>March</v>
      </c>
      <c r="T808" s="22" t="str">
        <f>TEXT(Table1[[#This Row],[End Date]],"YYYY")</f>
        <v>2024</v>
      </c>
      <c r="U808" s="24">
        <f t="shared" ca="1" si="31"/>
        <v>-225</v>
      </c>
      <c r="V808" s="14" t="str" cm="1">
        <f t="array" aca="1" ref="V808" ca="1">_xlfn.IFS(Table1[[#This Row],[Agreement Days]]&gt;=0,"Expired",Table1[[#This Row],[Agreement Days]]&gt;=-30,"Expires &lt; 30 Days",Table1[[#This Row],[Agreement Days]]&gt;=-60,"Expires &lt; 60 Days",Table1[[#This Row],[Agreement Days]]&lt;-60,"Valid Contract")</f>
        <v>Valid Contract</v>
      </c>
      <c r="W808" s="14" t="s">
        <v>20</v>
      </c>
      <c r="X808" s="26" t="s">
        <v>1883</v>
      </c>
      <c r="Y808" s="16" t="s">
        <v>1884</v>
      </c>
      <c r="Z808" s="27" t="s">
        <v>1885</v>
      </c>
      <c r="AA808" s="19"/>
      <c r="AB808" s="116"/>
      <c r="AC808" s="116"/>
    </row>
    <row r="809" spans="1:29" hidden="1" x14ac:dyDescent="0.3">
      <c r="A809" s="18" t="s">
        <v>1881</v>
      </c>
      <c r="B809" s="18" t="s">
        <v>197</v>
      </c>
      <c r="C809" s="18" t="s">
        <v>1890</v>
      </c>
      <c r="D809" s="14" t="s">
        <v>545</v>
      </c>
      <c r="E809" s="18" t="s">
        <v>9</v>
      </c>
      <c r="F809" s="14" t="s">
        <v>517</v>
      </c>
      <c r="G809" s="14" t="s">
        <v>518</v>
      </c>
      <c r="H809" s="18" t="s">
        <v>5</v>
      </c>
      <c r="I809" s="14" t="s">
        <v>115</v>
      </c>
      <c r="J809" s="14"/>
      <c r="K809" s="18" t="s">
        <v>643</v>
      </c>
      <c r="L809" s="14"/>
      <c r="M809" s="14">
        <v>22</v>
      </c>
      <c r="N809" s="15">
        <v>28305.08</v>
      </c>
      <c r="O809" s="15">
        <f t="shared" si="30"/>
        <v>622711.76</v>
      </c>
      <c r="P809" s="15"/>
      <c r="Q809" s="14" t="s">
        <v>520</v>
      </c>
      <c r="R809" s="25">
        <v>45358</v>
      </c>
      <c r="S809" s="22" t="str">
        <f>TEXT(Table1[[#This Row],[End Date]],"MMMM")</f>
        <v>March</v>
      </c>
      <c r="T809" s="22" t="str">
        <f>TEXT(Table1[[#This Row],[End Date]],"YYYY")</f>
        <v>2024</v>
      </c>
      <c r="U809" s="24">
        <f t="shared" ca="1" si="31"/>
        <v>-225</v>
      </c>
      <c r="V809" s="14" t="str" cm="1">
        <f t="array" aca="1" ref="V809" ca="1">_xlfn.IFS(Table1[[#This Row],[Agreement Days]]&gt;=0,"Expired",Table1[[#This Row],[Agreement Days]]&gt;=-30,"Expires &lt; 30 Days",Table1[[#This Row],[Agreement Days]]&gt;=-60,"Expires &lt; 60 Days",Table1[[#This Row],[Agreement Days]]&lt;-60,"Valid Contract")</f>
        <v>Valid Contract</v>
      </c>
      <c r="W809" s="14" t="s">
        <v>20</v>
      </c>
      <c r="X809" s="26" t="s">
        <v>1883</v>
      </c>
      <c r="Y809" s="16" t="s">
        <v>1884</v>
      </c>
      <c r="Z809" s="27" t="s">
        <v>1885</v>
      </c>
      <c r="AA809" s="19"/>
      <c r="AB809" s="116"/>
      <c r="AC809" s="116"/>
    </row>
    <row r="810" spans="1:29" hidden="1" x14ac:dyDescent="0.3">
      <c r="A810" s="18" t="s">
        <v>1881</v>
      </c>
      <c r="B810" s="18" t="s">
        <v>197</v>
      </c>
      <c r="C810" s="18" t="s">
        <v>1890</v>
      </c>
      <c r="D810" s="14" t="s">
        <v>545</v>
      </c>
      <c r="E810" s="18" t="s">
        <v>9</v>
      </c>
      <c r="F810" s="14" t="s">
        <v>517</v>
      </c>
      <c r="G810" s="14" t="s">
        <v>518</v>
      </c>
      <c r="H810" s="18" t="s">
        <v>5</v>
      </c>
      <c r="I810" s="14" t="s">
        <v>115</v>
      </c>
      <c r="J810" s="14"/>
      <c r="K810" s="14" t="s">
        <v>643</v>
      </c>
      <c r="L810" s="14"/>
      <c r="M810" s="14">
        <v>22</v>
      </c>
      <c r="N810" s="15">
        <v>28305.084746</v>
      </c>
      <c r="O810" s="15">
        <f t="shared" si="30"/>
        <v>622711.86441200005</v>
      </c>
      <c r="P810" s="15"/>
      <c r="Q810" s="14" t="s">
        <v>520</v>
      </c>
      <c r="R810" s="25">
        <v>45358</v>
      </c>
      <c r="S810" s="22" t="str">
        <f>TEXT(Table1[[#This Row],[End Date]],"MMMM")</f>
        <v>March</v>
      </c>
      <c r="T810" s="22" t="str">
        <f>TEXT(Table1[[#This Row],[End Date]],"YYYY")</f>
        <v>2024</v>
      </c>
      <c r="U810" s="24">
        <f t="shared" ca="1" si="31"/>
        <v>-225</v>
      </c>
      <c r="V810" s="14" t="str" cm="1">
        <f t="array" aca="1" ref="V810" ca="1">_xlfn.IFS(Table1[[#This Row],[Agreement Days]]&gt;=0,"Expired",Table1[[#This Row],[Agreement Days]]&gt;=-30,"Expires &lt; 30 Days",Table1[[#This Row],[Agreement Days]]&gt;=-60,"Expires &lt; 60 Days",Table1[[#This Row],[Agreement Days]]&lt;-60,"Valid Contract")</f>
        <v>Valid Contract</v>
      </c>
      <c r="W810" s="14" t="s">
        <v>20</v>
      </c>
      <c r="X810" s="26" t="s">
        <v>1883</v>
      </c>
      <c r="Y810" s="16" t="s">
        <v>1884</v>
      </c>
      <c r="Z810" s="27" t="s">
        <v>1885</v>
      </c>
      <c r="AA810" s="19"/>
      <c r="AB810" s="116"/>
      <c r="AC810" s="116"/>
    </row>
    <row r="811" spans="1:29" hidden="1" x14ac:dyDescent="0.3">
      <c r="A811" s="18" t="s">
        <v>1891</v>
      </c>
      <c r="B811" s="18" t="s">
        <v>389</v>
      </c>
      <c r="C811" s="18" t="s">
        <v>1892</v>
      </c>
      <c r="D811" s="14" t="s">
        <v>545</v>
      </c>
      <c r="E811" s="18" t="s">
        <v>9</v>
      </c>
      <c r="F811" s="14" t="s">
        <v>517</v>
      </c>
      <c r="G811" s="14" t="s">
        <v>546</v>
      </c>
      <c r="H811" s="18" t="s">
        <v>5</v>
      </c>
      <c r="I811" s="14" t="s">
        <v>115</v>
      </c>
      <c r="J811" s="18"/>
      <c r="K811" s="18" t="s">
        <v>1893</v>
      </c>
      <c r="L811" s="18"/>
      <c r="M811" s="14">
        <v>1</v>
      </c>
      <c r="N811" s="15">
        <v>101694.91525400001</v>
      </c>
      <c r="O811" s="15">
        <f t="shared" si="30"/>
        <v>101694.91525400001</v>
      </c>
      <c r="P811" s="15"/>
      <c r="Q811" s="14" t="s">
        <v>520</v>
      </c>
      <c r="R811" s="25">
        <v>45360</v>
      </c>
      <c r="S811" s="34" t="str">
        <f>TEXT(Table1[[#This Row],[End Date]],"MMMM")</f>
        <v>March</v>
      </c>
      <c r="T811" s="34" t="str">
        <f>TEXT(Table1[[#This Row],[End Date]],"YYYY")</f>
        <v>2024</v>
      </c>
      <c r="U811" s="24">
        <f t="shared" ca="1" si="31"/>
        <v>-227</v>
      </c>
      <c r="V811" s="14" t="str" cm="1">
        <f t="array" aca="1" ref="V811" ca="1">_xlfn.IFS(Table1[[#This Row],[Agreement Days]]&gt;=0,"Expired",Table1[[#This Row],[Agreement Days]]&gt;=-30,"Expires &lt; 30 Days",Table1[[#This Row],[Agreement Days]]&gt;=-60,"Expires &lt; 60 Days",Table1[[#This Row],[Agreement Days]]&lt;-60,"Valid Contract")</f>
        <v>Valid Contract</v>
      </c>
      <c r="W811" s="18" t="s">
        <v>18</v>
      </c>
      <c r="X811" s="18" t="s">
        <v>1894</v>
      </c>
      <c r="Y811" s="18" t="s">
        <v>1895</v>
      </c>
      <c r="Z811" s="27" t="s">
        <v>1896</v>
      </c>
      <c r="AA811" s="27"/>
      <c r="AB811" s="116"/>
      <c r="AC811" s="116"/>
    </row>
    <row r="812" spans="1:29" hidden="1" x14ac:dyDescent="0.3">
      <c r="A812" s="18" t="s">
        <v>1891</v>
      </c>
      <c r="B812" s="18" t="s">
        <v>389</v>
      </c>
      <c r="C812" s="18" t="s">
        <v>1892</v>
      </c>
      <c r="D812" s="14" t="s">
        <v>545</v>
      </c>
      <c r="E812" s="18" t="s">
        <v>9</v>
      </c>
      <c r="F812" s="70" t="s">
        <v>517</v>
      </c>
      <c r="G812" s="70" t="s">
        <v>546</v>
      </c>
      <c r="H812" s="18" t="s">
        <v>5</v>
      </c>
      <c r="I812" s="14" t="s">
        <v>115</v>
      </c>
      <c r="J812" s="14"/>
      <c r="K812" s="18" t="s">
        <v>1893</v>
      </c>
      <c r="L812" s="18"/>
      <c r="M812" s="14">
        <v>1</v>
      </c>
      <c r="N812" s="14">
        <v>101694.91525400001</v>
      </c>
      <c r="O812" s="15">
        <f t="shared" si="30"/>
        <v>101694.91525400001</v>
      </c>
      <c r="P812" s="15"/>
      <c r="Q812" s="14" t="s">
        <v>520</v>
      </c>
      <c r="R812" s="25">
        <v>45360</v>
      </c>
      <c r="S812" s="34" t="str">
        <f>TEXT(Table1[[#This Row],[End Date]],"MMMM")</f>
        <v>March</v>
      </c>
      <c r="T812" s="22" t="str">
        <f>TEXT(Table1[[#This Row],[End Date]],"YYYY")</f>
        <v>2024</v>
      </c>
      <c r="U812" s="28">
        <f t="shared" ca="1" si="31"/>
        <v>-227</v>
      </c>
      <c r="V812" s="14" t="str" cm="1">
        <f t="array" aca="1" ref="V812" ca="1">_xlfn.IFS(Table1[[#This Row],[Agreement Days]]&gt;=0,"Expired",Table1[[#This Row],[Agreement Days]]&gt;=-30,"Expires &lt; 30 Days",Table1[[#This Row],[Agreement Days]]&gt;=-60,"Expires &lt; 60 Days",Table1[[#This Row],[Agreement Days]]&lt;-60,"Valid Contract")</f>
        <v>Valid Contract</v>
      </c>
      <c r="W812" s="18" t="s">
        <v>18</v>
      </c>
      <c r="X812" s="18" t="s">
        <v>1894</v>
      </c>
      <c r="Y812" s="35" t="s">
        <v>1895</v>
      </c>
      <c r="Z812" s="27" t="s">
        <v>1896</v>
      </c>
      <c r="AA812" s="27"/>
      <c r="AB812" s="117"/>
      <c r="AC812" s="117"/>
    </row>
    <row r="813" spans="1:29" hidden="1" x14ac:dyDescent="0.3">
      <c r="A813" s="18" t="s">
        <v>1759</v>
      </c>
      <c r="B813" s="18" t="s">
        <v>243</v>
      </c>
      <c r="C813" s="18" t="s">
        <v>1760</v>
      </c>
      <c r="D813" s="14" t="s">
        <v>545</v>
      </c>
      <c r="E813" s="18" t="s">
        <v>9</v>
      </c>
      <c r="F813" s="14" t="s">
        <v>693</v>
      </c>
      <c r="G813" s="14" t="s">
        <v>518</v>
      </c>
      <c r="H813" s="18" t="s">
        <v>5</v>
      </c>
      <c r="I813" s="14" t="s">
        <v>115</v>
      </c>
      <c r="J813" s="14"/>
      <c r="K813" s="18" t="s">
        <v>643</v>
      </c>
      <c r="L813" s="14"/>
      <c r="M813" s="14">
        <v>13</v>
      </c>
      <c r="N813" s="15">
        <v>28305.08</v>
      </c>
      <c r="O813" s="15">
        <f t="shared" si="30"/>
        <v>367966.04000000004</v>
      </c>
      <c r="P813" s="15"/>
      <c r="Q813" s="14" t="s">
        <v>520</v>
      </c>
      <c r="R813" s="25">
        <v>45361</v>
      </c>
      <c r="S813" s="22" t="str">
        <f>TEXT(Table1[[#This Row],[End Date]],"MMMM")</f>
        <v>March</v>
      </c>
      <c r="T813" s="23" t="str">
        <f>TEXT(Table1[[#This Row],[End Date]],"YYYY")</f>
        <v>2024</v>
      </c>
      <c r="U813" s="24">
        <f t="shared" ca="1" si="31"/>
        <v>-228</v>
      </c>
      <c r="V813" s="14" t="str" cm="1">
        <f t="array" aca="1" ref="V813" ca="1">_xlfn.IFS(Table1[[#This Row],[Agreement Days]]&gt;=0,"Expired",Table1[[#This Row],[Agreement Days]]&gt;=-30,"Expires &lt; 30 Days",Table1[[#This Row],[Agreement Days]]&gt;=-60,"Expires &lt; 60 Days",Table1[[#This Row],[Agreement Days]]&lt;-60,"Valid Contract")</f>
        <v>Valid Contract</v>
      </c>
      <c r="W813" s="14" t="s">
        <v>20</v>
      </c>
      <c r="X813" s="14" t="s">
        <v>1761</v>
      </c>
      <c r="Y813" s="16" t="s">
        <v>1762</v>
      </c>
      <c r="Z813" s="27" t="s">
        <v>1763</v>
      </c>
      <c r="AA813" s="19"/>
      <c r="AB813" s="116"/>
      <c r="AC813" s="116"/>
    </row>
    <row r="814" spans="1:29" hidden="1" x14ac:dyDescent="0.3">
      <c r="A814" s="18" t="s">
        <v>1897</v>
      </c>
      <c r="B814" s="18" t="s">
        <v>415</v>
      </c>
      <c r="C814" s="18" t="s">
        <v>1898</v>
      </c>
      <c r="D814" s="14" t="s">
        <v>771</v>
      </c>
      <c r="E814" s="18" t="s">
        <v>9</v>
      </c>
      <c r="F814" s="14" t="s">
        <v>688</v>
      </c>
      <c r="G814" s="14" t="s">
        <v>518</v>
      </c>
      <c r="H814" s="18" t="s">
        <v>5</v>
      </c>
      <c r="I814" s="14" t="s">
        <v>115</v>
      </c>
      <c r="J814" s="18"/>
      <c r="K814" s="18" t="s">
        <v>642</v>
      </c>
      <c r="L814" s="18"/>
      <c r="M814" s="14">
        <v>1</v>
      </c>
      <c r="N814" s="15">
        <v>101694.92</v>
      </c>
      <c r="O814" s="15">
        <f t="shared" si="30"/>
        <v>101694.92</v>
      </c>
      <c r="P814" s="15"/>
      <c r="Q814" s="14" t="s">
        <v>520</v>
      </c>
      <c r="R814" s="25">
        <v>45361</v>
      </c>
      <c r="S814" s="34" t="str">
        <f>TEXT(Table1[[#This Row],[End Date]],"MMMM")</f>
        <v>March</v>
      </c>
      <c r="T814" s="34" t="str">
        <f>TEXT(Table1[[#This Row],[End Date]],"YYYY")</f>
        <v>2024</v>
      </c>
      <c r="U814" s="24">
        <f t="shared" ca="1" si="31"/>
        <v>-228</v>
      </c>
      <c r="V814" s="14" t="str" cm="1">
        <f t="array" aca="1" ref="V814" ca="1">_xlfn.IFS(Table1[[#This Row],[Agreement Days]]&gt;=0,"Expired",Table1[[#This Row],[Agreement Days]]&gt;=-30,"Expires &lt; 30 Days",Table1[[#This Row],[Agreement Days]]&gt;=-60,"Expires &lt; 60 Days",Table1[[#This Row],[Agreement Days]]&lt;-60,"Valid Contract")</f>
        <v>Valid Contract</v>
      </c>
      <c r="W814" s="18" t="s">
        <v>21</v>
      </c>
      <c r="X814" s="18" t="s">
        <v>1899</v>
      </c>
      <c r="Y814" s="42" t="s">
        <v>1900</v>
      </c>
      <c r="Z814" s="27">
        <v>788359272</v>
      </c>
      <c r="AA814" s="27"/>
      <c r="AB814" s="116"/>
      <c r="AC814" s="116"/>
    </row>
    <row r="815" spans="1:29" x14ac:dyDescent="0.3">
      <c r="A815" s="18" t="s">
        <v>1901</v>
      </c>
      <c r="B815" s="18" t="s">
        <v>457</v>
      </c>
      <c r="C815" s="18" t="s">
        <v>457</v>
      </c>
      <c r="D815" s="14" t="s">
        <v>545</v>
      </c>
      <c r="E815" s="18" t="s">
        <v>9</v>
      </c>
      <c r="F815" s="70" t="s">
        <v>517</v>
      </c>
      <c r="G815" s="70" t="s">
        <v>518</v>
      </c>
      <c r="H815" s="18" t="s">
        <v>5</v>
      </c>
      <c r="I815" s="14" t="s">
        <v>115</v>
      </c>
      <c r="J815" s="14"/>
      <c r="K815" s="18" t="s">
        <v>651</v>
      </c>
      <c r="L815" s="18"/>
      <c r="M815" s="14">
        <v>1</v>
      </c>
      <c r="N815" s="14">
        <v>81355.932203000004</v>
      </c>
      <c r="O815" s="15">
        <f t="shared" si="30"/>
        <v>81355.932203000004</v>
      </c>
      <c r="P815" s="15"/>
      <c r="Q815" s="14" t="s">
        <v>520</v>
      </c>
      <c r="R815" s="25">
        <v>45363</v>
      </c>
      <c r="S815" s="34" t="str">
        <f>TEXT(Table1[[#This Row],[End Date]],"MMMM")</f>
        <v>March</v>
      </c>
      <c r="T815" s="22" t="str">
        <f>TEXT(Table1[[#This Row],[End Date]],"YYYY")</f>
        <v>2024</v>
      </c>
      <c r="U815" s="28">
        <f t="shared" ca="1" si="31"/>
        <v>-230</v>
      </c>
      <c r="V815" s="14" t="str" cm="1">
        <f t="array" aca="1" ref="V815" ca="1">_xlfn.IFS(Table1[[#This Row],[Agreement Days]]&gt;=0,"Expired",Table1[[#This Row],[Agreement Days]]&gt;=-30,"Expires &lt; 30 Days",Table1[[#This Row],[Agreement Days]]&gt;=-60,"Expires &lt; 60 Days",Table1[[#This Row],[Agreement Days]]&lt;-60,"Valid Contract")</f>
        <v>Valid Contract</v>
      </c>
      <c r="W815" s="18" t="s">
        <v>12</v>
      </c>
      <c r="X815" s="52"/>
      <c r="Y815" s="96" t="s">
        <v>1902</v>
      </c>
      <c r="Z815" s="36">
        <v>788302849</v>
      </c>
      <c r="AA815" s="27"/>
      <c r="AB815" s="116"/>
      <c r="AC815" s="116"/>
    </row>
    <row r="816" spans="1:29" hidden="1" x14ac:dyDescent="0.3">
      <c r="A816" s="18" t="s">
        <v>1233</v>
      </c>
      <c r="B816" s="18" t="s">
        <v>149</v>
      </c>
      <c r="C816" s="18" t="s">
        <v>1234</v>
      </c>
      <c r="D816" s="14" t="s">
        <v>545</v>
      </c>
      <c r="E816" s="18" t="s">
        <v>9</v>
      </c>
      <c r="F816" s="14" t="s">
        <v>688</v>
      </c>
      <c r="G816" s="14" t="s">
        <v>518</v>
      </c>
      <c r="H816" s="18" t="s">
        <v>5</v>
      </c>
      <c r="I816" s="14" t="s">
        <v>115</v>
      </c>
      <c r="J816" s="18"/>
      <c r="K816" s="18" t="s">
        <v>651</v>
      </c>
      <c r="L816" s="18"/>
      <c r="M816" s="14">
        <v>2</v>
      </c>
      <c r="N816" s="15">
        <f>96000/1.18</f>
        <v>81355.932203389835</v>
      </c>
      <c r="O816" s="15">
        <f t="shared" si="30"/>
        <v>162711.86440677967</v>
      </c>
      <c r="P816" s="15"/>
      <c r="Q816" s="14" t="s">
        <v>520</v>
      </c>
      <c r="R816" s="25">
        <v>45369</v>
      </c>
      <c r="S816" s="34" t="str">
        <f>TEXT(Table1[[#This Row],[End Date]],"MMMM")</f>
        <v>March</v>
      </c>
      <c r="T816" s="34" t="str">
        <f>TEXT(Table1[[#This Row],[End Date]],"YYYY")</f>
        <v>2024</v>
      </c>
      <c r="U816" s="24">
        <f t="shared" ca="1" si="31"/>
        <v>-236</v>
      </c>
      <c r="V816" s="14" t="str" cm="1">
        <f t="array" aca="1" ref="V816" ca="1">_xlfn.IFS(Table1[[#This Row],[Agreement Days]]&gt;=0,"Expired",Table1[[#This Row],[Agreement Days]]&gt;=-30,"Expires &lt; 30 Days",Table1[[#This Row],[Agreement Days]]&gt;=-60,"Expires &lt; 60 Days",Table1[[#This Row],[Agreement Days]]&lt;-60,"Valid Contract")</f>
        <v>Valid Contract</v>
      </c>
      <c r="W816" s="18" t="s">
        <v>21</v>
      </c>
      <c r="X816" s="18" t="s">
        <v>1236</v>
      </c>
      <c r="Y816" s="42" t="s">
        <v>1237</v>
      </c>
      <c r="Z816" s="27">
        <v>788512162</v>
      </c>
      <c r="AA816" s="27"/>
      <c r="AB816" s="116"/>
      <c r="AC816" s="116"/>
    </row>
    <row r="817" spans="1:29" hidden="1" x14ac:dyDescent="0.3">
      <c r="A817" s="18" t="s">
        <v>1233</v>
      </c>
      <c r="B817" s="18" t="s">
        <v>149</v>
      </c>
      <c r="C817" s="18" t="s">
        <v>1234</v>
      </c>
      <c r="D817" s="14" t="s">
        <v>545</v>
      </c>
      <c r="E817" s="18" t="s">
        <v>9</v>
      </c>
      <c r="F817" s="14" t="s">
        <v>688</v>
      </c>
      <c r="G817" s="14" t="s">
        <v>518</v>
      </c>
      <c r="H817" s="18" t="s">
        <v>5</v>
      </c>
      <c r="I817" s="14" t="s">
        <v>115</v>
      </c>
      <c r="J817" s="14"/>
      <c r="K817" s="14" t="s">
        <v>1245</v>
      </c>
      <c r="L817" s="14"/>
      <c r="M817" s="14">
        <v>3</v>
      </c>
      <c r="N817" s="15">
        <v>45338.983051000003</v>
      </c>
      <c r="O817" s="15">
        <f t="shared" si="30"/>
        <v>136016.94915300002</v>
      </c>
      <c r="P817" s="15"/>
      <c r="Q817" s="14" t="s">
        <v>520</v>
      </c>
      <c r="R817" s="25">
        <v>45369</v>
      </c>
      <c r="S817" s="22" t="str">
        <f>TEXT(Table1[[#This Row],[End Date]],"MMMM")</f>
        <v>March</v>
      </c>
      <c r="T817" s="34" t="str">
        <f>TEXT(Table1[[#This Row],[End Date]],"YYYY")</f>
        <v>2024</v>
      </c>
      <c r="U817" s="24">
        <f t="shared" ca="1" si="31"/>
        <v>-236</v>
      </c>
      <c r="V817" s="14" t="str" cm="1">
        <f t="array" aca="1" ref="V817" ca="1">_xlfn.IFS(Table1[[#This Row],[Agreement Days]]&gt;=0,"Expired",Table1[[#This Row],[Agreement Days]]&gt;=-30,"Expires &lt; 30 Days",Table1[[#This Row],[Agreement Days]]&gt;=-60,"Expires &lt; 60 Days",Table1[[#This Row],[Agreement Days]]&lt;-60,"Valid Contract")</f>
        <v>Valid Contract</v>
      </c>
      <c r="W817" s="18" t="s">
        <v>21</v>
      </c>
      <c r="X817" s="18" t="s">
        <v>1236</v>
      </c>
      <c r="Y817" s="42" t="s">
        <v>1237</v>
      </c>
      <c r="Z817" s="27">
        <v>788512162</v>
      </c>
      <c r="AA817" s="17"/>
      <c r="AB817" s="116"/>
      <c r="AC817" s="116"/>
    </row>
    <row r="818" spans="1:29" hidden="1" x14ac:dyDescent="0.3">
      <c r="A818" s="18" t="s">
        <v>1903</v>
      </c>
      <c r="B818" s="18" t="s">
        <v>35</v>
      </c>
      <c r="C818" s="18" t="s">
        <v>1904</v>
      </c>
      <c r="D818" s="14" t="s">
        <v>540</v>
      </c>
      <c r="E818" s="18" t="s">
        <v>10</v>
      </c>
      <c r="F818" s="14" t="s">
        <v>631</v>
      </c>
      <c r="G818" s="14" t="s">
        <v>518</v>
      </c>
      <c r="H818" s="18" t="s">
        <v>2</v>
      </c>
      <c r="I818" s="14" t="s">
        <v>134</v>
      </c>
      <c r="J818" s="14">
        <v>50</v>
      </c>
      <c r="K818" s="14" t="s">
        <v>725</v>
      </c>
      <c r="L818" s="14"/>
      <c r="M818" s="14">
        <v>1</v>
      </c>
      <c r="N818" s="15">
        <f>1869120/1.18</f>
        <v>1584000</v>
      </c>
      <c r="O818" s="15">
        <f t="shared" si="30"/>
        <v>1584000</v>
      </c>
      <c r="P818" s="15"/>
      <c r="Q818" s="14" t="s">
        <v>520</v>
      </c>
      <c r="R818" s="25">
        <v>45381</v>
      </c>
      <c r="S818" s="22" t="str">
        <f>TEXT(Table1[[#This Row],[End Date]],"MMMM")</f>
        <v>March</v>
      </c>
      <c r="T818" s="23" t="str">
        <f>TEXT(Table1[[#This Row],[End Date]],"YYYY")</f>
        <v>2024</v>
      </c>
      <c r="U818" s="24">
        <f t="shared" ca="1" si="31"/>
        <v>-248</v>
      </c>
      <c r="V818" s="14" t="str" cm="1">
        <f t="array" aca="1" ref="V818" ca="1">_xlfn.IFS(Table1[[#This Row],[Agreement Days]]&gt;=0,"Expired",Table1[[#This Row],[Agreement Days]]&gt;=-30,"Expires &lt; 30 Days",Table1[[#This Row],[Agreement Days]]&gt;=-60,"Expires &lt; 60 Days",Table1[[#This Row],[Agreement Days]]&lt;-60,"Valid Contract")</f>
        <v>Valid Contract</v>
      </c>
      <c r="W818" s="14" t="s">
        <v>13</v>
      </c>
      <c r="X818" s="14" t="s">
        <v>1905</v>
      </c>
      <c r="Y818" s="43" t="s">
        <v>1906</v>
      </c>
      <c r="Z818" s="27" t="s">
        <v>1907</v>
      </c>
      <c r="AA818" s="17"/>
      <c r="AB818" s="116"/>
      <c r="AC818" s="116"/>
    </row>
    <row r="819" spans="1:29" hidden="1" x14ac:dyDescent="0.3">
      <c r="A819" s="18" t="s">
        <v>1908</v>
      </c>
      <c r="B819" s="18" t="s">
        <v>473</v>
      </c>
      <c r="C819" s="18" t="s">
        <v>544</v>
      </c>
      <c r="D819" s="14" t="s">
        <v>516</v>
      </c>
      <c r="E819" s="18" t="s">
        <v>9</v>
      </c>
      <c r="F819" s="14" t="s">
        <v>517</v>
      </c>
      <c r="G819" s="14" t="s">
        <v>546</v>
      </c>
      <c r="H819" s="18" t="s">
        <v>5</v>
      </c>
      <c r="I819" s="14" t="s">
        <v>115</v>
      </c>
      <c r="J819" s="18"/>
      <c r="K819" s="18" t="s">
        <v>573</v>
      </c>
      <c r="L819" s="18"/>
      <c r="M819" s="14">
        <v>1</v>
      </c>
      <c r="N819" s="15">
        <v>19491.53</v>
      </c>
      <c r="O819" s="15">
        <f t="shared" si="30"/>
        <v>19491.53</v>
      </c>
      <c r="P819" s="15"/>
      <c r="Q819" s="14" t="s">
        <v>520</v>
      </c>
      <c r="R819" s="25">
        <v>45382</v>
      </c>
      <c r="S819" s="34" t="str">
        <f>TEXT(Table1[[#This Row],[End Date]],"MMMM")</f>
        <v>March</v>
      </c>
      <c r="T819" s="34" t="str">
        <f>TEXT(Table1[[#This Row],[End Date]],"YYYY")</f>
        <v>2024</v>
      </c>
      <c r="U819" s="24">
        <f t="shared" ca="1" si="31"/>
        <v>-249</v>
      </c>
      <c r="V819" s="14" t="str" cm="1">
        <f t="array" aca="1" ref="V819" ca="1">_xlfn.IFS(Table1[[#This Row],[Agreement Days]]&gt;=0,"Expired",Table1[[#This Row],[Agreement Days]]&gt;=-30,"Expires &lt; 30 Days",Table1[[#This Row],[Agreement Days]]&gt;=-60,"Expires &lt; 60 Days",Table1[[#This Row],[Agreement Days]]&lt;-60,"Valid Contract")</f>
        <v>Valid Contract</v>
      </c>
      <c r="W819" s="18" t="s">
        <v>16</v>
      </c>
      <c r="X819" s="18" t="s">
        <v>1909</v>
      </c>
      <c r="Y819" s="18" t="s">
        <v>1910</v>
      </c>
      <c r="Z819" s="27" t="s">
        <v>1911</v>
      </c>
      <c r="AA819" s="27"/>
      <c r="AB819" s="116"/>
      <c r="AC819" s="116"/>
    </row>
    <row r="820" spans="1:29" hidden="1" x14ac:dyDescent="0.3">
      <c r="A820" s="18" t="s">
        <v>1912</v>
      </c>
      <c r="B820" s="18" t="s">
        <v>313</v>
      </c>
      <c r="C820" s="18" t="s">
        <v>1913</v>
      </c>
      <c r="D820" s="14" t="s">
        <v>848</v>
      </c>
      <c r="E820" s="18" t="s">
        <v>9</v>
      </c>
      <c r="F820" s="14" t="s">
        <v>688</v>
      </c>
      <c r="G820" s="14" t="s">
        <v>518</v>
      </c>
      <c r="H820" s="18" t="s">
        <v>5</v>
      </c>
      <c r="I820" s="14" t="s">
        <v>117</v>
      </c>
      <c r="J820" s="14">
        <v>5</v>
      </c>
      <c r="K820" s="18" t="s">
        <v>519</v>
      </c>
      <c r="L820" s="18"/>
      <c r="M820" s="14">
        <v>1</v>
      </c>
      <c r="N820" s="15">
        <v>270000</v>
      </c>
      <c r="O820" s="15">
        <f t="shared" si="30"/>
        <v>270000</v>
      </c>
      <c r="P820" s="15"/>
      <c r="Q820" s="14" t="s">
        <v>520</v>
      </c>
      <c r="R820" s="25">
        <v>45382</v>
      </c>
      <c r="S820" s="34" t="str">
        <f>TEXT(Table1[[#This Row],[End Date]],"MMMM")</f>
        <v>March</v>
      </c>
      <c r="T820" s="34" t="str">
        <f>TEXT(Table1[[#This Row],[End Date]],"YYYY")</f>
        <v>2024</v>
      </c>
      <c r="U820" s="24">
        <f t="shared" ca="1" si="31"/>
        <v>-249</v>
      </c>
      <c r="V820" s="14" t="str" cm="1">
        <f t="array" aca="1" ref="V820" ca="1">_xlfn.IFS(Table1[[#This Row],[Agreement Days]]&gt;=0,"Expired",Table1[[#This Row],[Agreement Days]]&gt;=-30,"Expires &lt; 30 Days",Table1[[#This Row],[Agreement Days]]&gt;=-60,"Expires &lt; 60 Days",Table1[[#This Row],[Agreement Days]]&lt;-60,"Valid Contract")</f>
        <v>Valid Contract</v>
      </c>
      <c r="W820" s="18" t="s">
        <v>21</v>
      </c>
      <c r="X820" s="18" t="s">
        <v>1914</v>
      </c>
      <c r="Y820" s="42" t="s">
        <v>1915</v>
      </c>
      <c r="Z820" s="27">
        <v>786274819</v>
      </c>
      <c r="AA820" s="27"/>
      <c r="AB820" s="116"/>
      <c r="AC820" s="116"/>
    </row>
    <row r="821" spans="1:29" hidden="1" x14ac:dyDescent="0.3">
      <c r="A821" s="18" t="s">
        <v>1916</v>
      </c>
      <c r="B821" s="18" t="s">
        <v>312</v>
      </c>
      <c r="C821" s="18" t="s">
        <v>1917</v>
      </c>
      <c r="D821" s="14" t="s">
        <v>946</v>
      </c>
      <c r="E821" s="18" t="s">
        <v>9</v>
      </c>
      <c r="F821" s="14" t="s">
        <v>688</v>
      </c>
      <c r="G821" s="14" t="s">
        <v>518</v>
      </c>
      <c r="H821" s="18" t="s">
        <v>5</v>
      </c>
      <c r="I821" s="14" t="s">
        <v>117</v>
      </c>
      <c r="J821" s="14">
        <v>5</v>
      </c>
      <c r="K821" s="18" t="s">
        <v>519</v>
      </c>
      <c r="L821" s="18"/>
      <c r="M821" s="14">
        <v>1</v>
      </c>
      <c r="N821" s="15">
        <v>270000</v>
      </c>
      <c r="O821" s="15">
        <f t="shared" si="30"/>
        <v>270000</v>
      </c>
      <c r="P821" s="15"/>
      <c r="Q821" s="14" t="s">
        <v>520</v>
      </c>
      <c r="R821" s="25">
        <v>45382</v>
      </c>
      <c r="S821" s="34" t="str">
        <f>TEXT(Table1[[#This Row],[End Date]],"MMMM")</f>
        <v>March</v>
      </c>
      <c r="T821" s="34" t="str">
        <f>TEXT(Table1[[#This Row],[End Date]],"YYYY")</f>
        <v>2024</v>
      </c>
      <c r="U821" s="24">
        <f t="shared" ca="1" si="31"/>
        <v>-249</v>
      </c>
      <c r="V821" s="14" t="str" cm="1">
        <f t="array" aca="1" ref="V821" ca="1">_xlfn.IFS(Table1[[#This Row],[Agreement Days]]&gt;=0,"Expired",Table1[[#This Row],[Agreement Days]]&gt;=-30,"Expires &lt; 30 Days",Table1[[#This Row],[Agreement Days]]&gt;=-60,"Expires &lt; 60 Days",Table1[[#This Row],[Agreement Days]]&lt;-60,"Valid Contract")</f>
        <v>Valid Contract</v>
      </c>
      <c r="W821" s="18" t="s">
        <v>21</v>
      </c>
      <c r="X821" s="42" t="s">
        <v>1918</v>
      </c>
      <c r="Y821" s="42" t="s">
        <v>1919</v>
      </c>
      <c r="Z821" s="27">
        <v>788989730</v>
      </c>
      <c r="AA821" s="27"/>
      <c r="AB821" s="116"/>
      <c r="AC821" s="116"/>
    </row>
    <row r="822" spans="1:29" hidden="1" x14ac:dyDescent="0.3">
      <c r="A822" s="18" t="s">
        <v>1920</v>
      </c>
      <c r="B822" s="18" t="s">
        <v>307</v>
      </c>
      <c r="C822" s="18" t="s">
        <v>1921</v>
      </c>
      <c r="D822" s="14" t="s">
        <v>619</v>
      </c>
      <c r="E822" s="18" t="s">
        <v>9</v>
      </c>
      <c r="F822" s="14" t="s">
        <v>688</v>
      </c>
      <c r="G822" s="14" t="s">
        <v>518</v>
      </c>
      <c r="H822" s="18" t="s">
        <v>5</v>
      </c>
      <c r="I822" s="14" t="s">
        <v>117</v>
      </c>
      <c r="J822" s="14">
        <v>5</v>
      </c>
      <c r="K822" s="18" t="s">
        <v>519</v>
      </c>
      <c r="L822" s="18"/>
      <c r="M822" s="14">
        <v>1</v>
      </c>
      <c r="N822" s="15">
        <v>270000</v>
      </c>
      <c r="O822" s="15">
        <f t="shared" si="30"/>
        <v>270000</v>
      </c>
      <c r="P822" s="15"/>
      <c r="Q822" s="14" t="s">
        <v>520</v>
      </c>
      <c r="R822" s="25">
        <v>45382</v>
      </c>
      <c r="S822" s="34" t="str">
        <f>TEXT(Table1[[#This Row],[End Date]],"MMMM")</f>
        <v>March</v>
      </c>
      <c r="T822" s="34" t="str">
        <f>TEXT(Table1[[#This Row],[End Date]],"YYYY")</f>
        <v>2024</v>
      </c>
      <c r="U822" s="24">
        <f t="shared" ca="1" si="31"/>
        <v>-249</v>
      </c>
      <c r="V822" s="14" t="str" cm="1">
        <f t="array" aca="1" ref="V822" ca="1">_xlfn.IFS(Table1[[#This Row],[Agreement Days]]&gt;=0,"Expired",Table1[[#This Row],[Agreement Days]]&gt;=-30,"Expires &lt; 30 Days",Table1[[#This Row],[Agreement Days]]&gt;=-60,"Expires &lt; 60 Days",Table1[[#This Row],[Agreement Days]]&lt;-60,"Valid Contract")</f>
        <v>Valid Contract</v>
      </c>
      <c r="W822" s="18" t="s">
        <v>21</v>
      </c>
      <c r="X822" s="18" t="s">
        <v>1922</v>
      </c>
      <c r="Y822" s="42" t="s">
        <v>1923</v>
      </c>
      <c r="Z822" s="27">
        <v>788623826</v>
      </c>
      <c r="AA822" s="27"/>
      <c r="AB822" s="116"/>
      <c r="AC822" s="116"/>
    </row>
    <row r="823" spans="1:29" hidden="1" x14ac:dyDescent="0.3">
      <c r="A823" s="18" t="s">
        <v>1920</v>
      </c>
      <c r="B823" s="18" t="s">
        <v>307</v>
      </c>
      <c r="C823" s="18" t="s">
        <v>1921</v>
      </c>
      <c r="D823" s="14" t="s">
        <v>619</v>
      </c>
      <c r="E823" s="18" t="s">
        <v>9</v>
      </c>
      <c r="F823" s="14" t="s">
        <v>688</v>
      </c>
      <c r="G823" s="14" t="s">
        <v>518</v>
      </c>
      <c r="H823" s="18" t="s">
        <v>5</v>
      </c>
      <c r="I823" s="14" t="s">
        <v>117</v>
      </c>
      <c r="J823" s="14">
        <v>5</v>
      </c>
      <c r="K823" s="18" t="s">
        <v>519</v>
      </c>
      <c r="L823" s="18"/>
      <c r="M823" s="14">
        <v>1</v>
      </c>
      <c r="N823" s="15">
        <v>270000</v>
      </c>
      <c r="O823" s="15">
        <f t="shared" si="30"/>
        <v>270000</v>
      </c>
      <c r="P823" s="15"/>
      <c r="Q823" s="14" t="s">
        <v>520</v>
      </c>
      <c r="R823" s="25">
        <v>45382</v>
      </c>
      <c r="S823" s="34" t="str">
        <f>TEXT(Table1[[#This Row],[End Date]],"MMMM")</f>
        <v>March</v>
      </c>
      <c r="T823" s="34" t="str">
        <f>TEXT(Table1[[#This Row],[End Date]],"YYYY")</f>
        <v>2024</v>
      </c>
      <c r="U823" s="24">
        <f t="shared" ca="1" si="31"/>
        <v>-249</v>
      </c>
      <c r="V823" s="14" t="str" cm="1">
        <f t="array" aca="1" ref="V823" ca="1">_xlfn.IFS(Table1[[#This Row],[Agreement Days]]&gt;=0,"Expired",Table1[[#This Row],[Agreement Days]]&gt;=-30,"Expires &lt; 30 Days",Table1[[#This Row],[Agreement Days]]&gt;=-60,"Expires &lt; 60 Days",Table1[[#This Row],[Agreement Days]]&lt;-60,"Valid Contract")</f>
        <v>Valid Contract</v>
      </c>
      <c r="W823" s="18" t="s">
        <v>21</v>
      </c>
      <c r="X823" s="18" t="s">
        <v>1922</v>
      </c>
      <c r="Y823" s="42" t="s">
        <v>1923</v>
      </c>
      <c r="Z823" s="27">
        <v>788623826</v>
      </c>
      <c r="AA823" s="27"/>
      <c r="AB823" s="116"/>
      <c r="AC823" s="116"/>
    </row>
    <row r="824" spans="1:29" hidden="1" x14ac:dyDescent="0.3">
      <c r="A824" s="18" t="s">
        <v>1920</v>
      </c>
      <c r="B824" s="18" t="s">
        <v>307</v>
      </c>
      <c r="C824" s="18" t="s">
        <v>1921</v>
      </c>
      <c r="D824" s="14" t="s">
        <v>619</v>
      </c>
      <c r="E824" s="18" t="s">
        <v>9</v>
      </c>
      <c r="F824" s="14" t="s">
        <v>688</v>
      </c>
      <c r="G824" s="14" t="s">
        <v>518</v>
      </c>
      <c r="H824" s="18" t="s">
        <v>4</v>
      </c>
      <c r="I824" s="14" t="s">
        <v>118</v>
      </c>
      <c r="J824" s="18"/>
      <c r="K824" s="18" t="s">
        <v>650</v>
      </c>
      <c r="L824" s="18"/>
      <c r="M824" s="14">
        <v>1</v>
      </c>
      <c r="N824" s="15">
        <v>369325</v>
      </c>
      <c r="O824" s="15">
        <f t="shared" si="30"/>
        <v>369325</v>
      </c>
      <c r="P824" s="15"/>
      <c r="Q824" s="14" t="s">
        <v>520</v>
      </c>
      <c r="R824" s="25">
        <v>45382</v>
      </c>
      <c r="S824" s="34" t="str">
        <f>TEXT(Table1[[#This Row],[End Date]],"MMMM")</f>
        <v>March</v>
      </c>
      <c r="T824" s="34" t="str">
        <f>TEXT(Table1[[#This Row],[End Date]],"YYYY")</f>
        <v>2024</v>
      </c>
      <c r="U824" s="24">
        <f t="shared" ca="1" si="31"/>
        <v>-249</v>
      </c>
      <c r="V824" s="14" t="str" cm="1">
        <f t="array" aca="1" ref="V824" ca="1">_xlfn.IFS(Table1[[#This Row],[Agreement Days]]&gt;=0,"Expired",Table1[[#This Row],[Agreement Days]]&gt;=-30,"Expires &lt; 30 Days",Table1[[#This Row],[Agreement Days]]&gt;=-60,"Expires &lt; 60 Days",Table1[[#This Row],[Agreement Days]]&lt;-60,"Valid Contract")</f>
        <v>Valid Contract</v>
      </c>
      <c r="W824" s="18" t="s">
        <v>21</v>
      </c>
      <c r="X824" s="18" t="s">
        <v>1922</v>
      </c>
      <c r="Y824" s="42" t="s">
        <v>1923</v>
      </c>
      <c r="Z824" s="27">
        <v>788623826</v>
      </c>
      <c r="AA824" s="27"/>
      <c r="AB824" s="116"/>
      <c r="AC824" s="116"/>
    </row>
    <row r="825" spans="1:29" hidden="1" x14ac:dyDescent="0.3">
      <c r="A825" s="18" t="s">
        <v>1924</v>
      </c>
      <c r="B825" s="18" t="s">
        <v>318</v>
      </c>
      <c r="C825" s="18" t="s">
        <v>1925</v>
      </c>
      <c r="D825" s="14" t="s">
        <v>616</v>
      </c>
      <c r="E825" s="18" t="s">
        <v>9</v>
      </c>
      <c r="F825" s="14" t="s">
        <v>688</v>
      </c>
      <c r="G825" s="14" t="s">
        <v>518</v>
      </c>
      <c r="H825" s="18" t="s">
        <v>5</v>
      </c>
      <c r="I825" s="14" t="s">
        <v>117</v>
      </c>
      <c r="J825" s="14">
        <v>5</v>
      </c>
      <c r="K825" s="18" t="s">
        <v>519</v>
      </c>
      <c r="L825" s="18"/>
      <c r="M825" s="14">
        <v>1</v>
      </c>
      <c r="N825" s="15">
        <v>270000</v>
      </c>
      <c r="O825" s="15">
        <f t="shared" si="30"/>
        <v>270000</v>
      </c>
      <c r="P825" s="15"/>
      <c r="Q825" s="14" t="s">
        <v>520</v>
      </c>
      <c r="R825" s="25">
        <v>45382</v>
      </c>
      <c r="S825" s="34" t="str">
        <f>TEXT(Table1[[#This Row],[End Date]],"MMMM")</f>
        <v>March</v>
      </c>
      <c r="T825" s="34" t="str">
        <f>TEXT(Table1[[#This Row],[End Date]],"YYYY")</f>
        <v>2024</v>
      </c>
      <c r="U825" s="24">
        <f t="shared" ca="1" si="31"/>
        <v>-249</v>
      </c>
      <c r="V825" s="14" t="str" cm="1">
        <f t="array" aca="1" ref="V825" ca="1">_xlfn.IFS(Table1[[#This Row],[Agreement Days]]&gt;=0,"Expired",Table1[[#This Row],[Agreement Days]]&gt;=-30,"Expires &lt; 30 Days",Table1[[#This Row],[Agreement Days]]&gt;=-60,"Expires &lt; 60 Days",Table1[[#This Row],[Agreement Days]]&lt;-60,"Valid Contract")</f>
        <v>Valid Contract</v>
      </c>
      <c r="W825" s="18" t="s">
        <v>21</v>
      </c>
      <c r="X825" s="18" t="s">
        <v>1926</v>
      </c>
      <c r="Y825" s="42" t="s">
        <v>1927</v>
      </c>
      <c r="Z825" s="27">
        <v>788984855</v>
      </c>
      <c r="AA825" s="27"/>
      <c r="AB825" s="116"/>
      <c r="AC825" s="116"/>
    </row>
    <row r="826" spans="1:29" hidden="1" x14ac:dyDescent="0.3">
      <c r="A826" s="18" t="s">
        <v>1928</v>
      </c>
      <c r="B826" s="18" t="s">
        <v>235</v>
      </c>
      <c r="C826" s="18" t="s">
        <v>1929</v>
      </c>
      <c r="D826" s="14" t="s">
        <v>545</v>
      </c>
      <c r="E826" s="18" t="s">
        <v>9</v>
      </c>
      <c r="F826" s="14" t="s">
        <v>517</v>
      </c>
      <c r="G826" s="14" t="s">
        <v>518</v>
      </c>
      <c r="H826" s="18" t="s">
        <v>5</v>
      </c>
      <c r="I826" s="14" t="s">
        <v>117</v>
      </c>
      <c r="J826" s="14">
        <v>20</v>
      </c>
      <c r="K826" s="14" t="s">
        <v>689</v>
      </c>
      <c r="L826" s="14"/>
      <c r="M826" s="14">
        <v>1</v>
      </c>
      <c r="N826" s="15">
        <v>900000</v>
      </c>
      <c r="O826" s="15">
        <f t="shared" si="30"/>
        <v>900000</v>
      </c>
      <c r="P826" s="15"/>
      <c r="Q826" s="14" t="s">
        <v>520</v>
      </c>
      <c r="R826" s="25">
        <v>45382</v>
      </c>
      <c r="S826" s="22" t="str">
        <f>TEXT(Table1[[#This Row],[End Date]],"MMMM")</f>
        <v>March</v>
      </c>
      <c r="T826" s="23" t="str">
        <f>TEXT(Table1[[#This Row],[End Date]],"YYYY")</f>
        <v>2024</v>
      </c>
      <c r="U826" s="24">
        <f t="shared" ca="1" si="31"/>
        <v>-249</v>
      </c>
      <c r="V826" s="14" t="str" cm="1">
        <f t="array" aca="1" ref="V826" ca="1">_xlfn.IFS(Table1[[#This Row],[Agreement Days]]&gt;=0,"Expired",Table1[[#This Row],[Agreement Days]]&gt;=-30,"Expires &lt; 30 Days",Table1[[#This Row],[Agreement Days]]&gt;=-60,"Expires &lt; 60 Days",Table1[[#This Row],[Agreement Days]]&lt;-60,"Valid Contract")</f>
        <v>Valid Contract</v>
      </c>
      <c r="W826" s="14" t="s">
        <v>20</v>
      </c>
      <c r="X826" s="26" t="s">
        <v>1930</v>
      </c>
      <c r="Y826" s="16" t="s">
        <v>1931</v>
      </c>
      <c r="Z826" s="27" t="s">
        <v>1932</v>
      </c>
      <c r="AA826" s="19"/>
      <c r="AB826" s="116"/>
      <c r="AC826" s="116"/>
    </row>
    <row r="827" spans="1:29" hidden="1" x14ac:dyDescent="0.3">
      <c r="A827" s="18" t="s">
        <v>1928</v>
      </c>
      <c r="B827" s="18" t="s">
        <v>235</v>
      </c>
      <c r="C827" s="18" t="s">
        <v>1929</v>
      </c>
      <c r="D827" s="14" t="s">
        <v>545</v>
      </c>
      <c r="E827" s="18" t="s">
        <v>9</v>
      </c>
      <c r="F827" s="14" t="s">
        <v>517</v>
      </c>
      <c r="G827" s="14" t="s">
        <v>518</v>
      </c>
      <c r="H827" s="18" t="s">
        <v>4</v>
      </c>
      <c r="I827" s="14" t="s">
        <v>118</v>
      </c>
      <c r="J827" s="14"/>
      <c r="K827" s="14" t="s">
        <v>650</v>
      </c>
      <c r="L827" s="14"/>
      <c r="M827" s="14">
        <v>1</v>
      </c>
      <c r="N827" s="15">
        <v>369325.42</v>
      </c>
      <c r="O827" s="15">
        <f t="shared" si="30"/>
        <v>369325.42</v>
      </c>
      <c r="P827" s="15"/>
      <c r="Q827" s="14" t="s">
        <v>520</v>
      </c>
      <c r="R827" s="25">
        <v>45382</v>
      </c>
      <c r="S827" s="22" t="str">
        <f>TEXT(Table1[[#This Row],[End Date]],"MMMM")</f>
        <v>March</v>
      </c>
      <c r="T827" s="23" t="str">
        <f>TEXT(Table1[[#This Row],[End Date]],"YYYY")</f>
        <v>2024</v>
      </c>
      <c r="U827" s="24">
        <f t="shared" ca="1" si="31"/>
        <v>-249</v>
      </c>
      <c r="V827" s="14" t="str" cm="1">
        <f t="array" aca="1" ref="V827" ca="1">_xlfn.IFS(Table1[[#This Row],[Agreement Days]]&gt;=0,"Expired",Table1[[#This Row],[Agreement Days]]&gt;=-30,"Expires &lt; 30 Days",Table1[[#This Row],[Agreement Days]]&gt;=-60,"Expires &lt; 60 Days",Table1[[#This Row],[Agreement Days]]&lt;-60,"Valid Contract")</f>
        <v>Valid Contract</v>
      </c>
      <c r="W827" s="14" t="s">
        <v>20</v>
      </c>
      <c r="X827" s="26" t="s">
        <v>1930</v>
      </c>
      <c r="Y827" s="16" t="s">
        <v>1931</v>
      </c>
      <c r="Z827" s="27" t="s">
        <v>1932</v>
      </c>
      <c r="AA827" s="19"/>
      <c r="AB827" s="116"/>
      <c r="AC827" s="116"/>
    </row>
    <row r="828" spans="1:29" hidden="1" x14ac:dyDescent="0.3">
      <c r="A828" s="18" t="s">
        <v>1928</v>
      </c>
      <c r="B828" s="18" t="s">
        <v>235</v>
      </c>
      <c r="C828" s="18" t="s">
        <v>1933</v>
      </c>
      <c r="D828" s="14" t="s">
        <v>545</v>
      </c>
      <c r="E828" s="18" t="s">
        <v>9</v>
      </c>
      <c r="F828" s="14" t="s">
        <v>517</v>
      </c>
      <c r="G828" s="14" t="s">
        <v>518</v>
      </c>
      <c r="H828" s="18" t="s">
        <v>2</v>
      </c>
      <c r="I828" s="14" t="s">
        <v>120</v>
      </c>
      <c r="J828" s="14"/>
      <c r="K828" s="14" t="s">
        <v>649</v>
      </c>
      <c r="L828" s="14"/>
      <c r="M828" s="14">
        <v>1</v>
      </c>
      <c r="N828" s="15">
        <v>258044.92</v>
      </c>
      <c r="O828" s="15">
        <f t="shared" si="30"/>
        <v>258044.92</v>
      </c>
      <c r="P828" s="15"/>
      <c r="Q828" s="14" t="s">
        <v>520</v>
      </c>
      <c r="R828" s="25">
        <v>45382</v>
      </c>
      <c r="S828" s="22" t="str">
        <f>TEXT(Table1[[#This Row],[End Date]],"MMMM")</f>
        <v>March</v>
      </c>
      <c r="T828" s="23" t="str">
        <f>TEXT(Table1[[#This Row],[End Date]],"YYYY")</f>
        <v>2024</v>
      </c>
      <c r="U828" s="24">
        <f t="shared" ca="1" si="31"/>
        <v>-249</v>
      </c>
      <c r="V828" s="14" t="str" cm="1">
        <f t="array" aca="1" ref="V828" ca="1">_xlfn.IFS(Table1[[#This Row],[Agreement Days]]&gt;=0,"Expired",Table1[[#This Row],[Agreement Days]]&gt;=-30,"Expires &lt; 30 Days",Table1[[#This Row],[Agreement Days]]&gt;=-60,"Expires &lt; 60 Days",Table1[[#This Row],[Agreement Days]]&lt;-60,"Valid Contract")</f>
        <v>Valid Contract</v>
      </c>
      <c r="W828" s="14" t="s">
        <v>20</v>
      </c>
      <c r="X828" s="26" t="s">
        <v>1930</v>
      </c>
      <c r="Y828" s="16" t="s">
        <v>1931</v>
      </c>
      <c r="Z828" s="27" t="s">
        <v>1932</v>
      </c>
      <c r="AA828" s="19"/>
      <c r="AB828" s="116"/>
      <c r="AC828" s="116"/>
    </row>
    <row r="829" spans="1:29" hidden="1" x14ac:dyDescent="0.3">
      <c r="A829" s="18" t="s">
        <v>1928</v>
      </c>
      <c r="B829" s="18" t="s">
        <v>235</v>
      </c>
      <c r="C829" s="18" t="s">
        <v>1933</v>
      </c>
      <c r="D829" s="14" t="s">
        <v>545</v>
      </c>
      <c r="E829" s="18" t="s">
        <v>9</v>
      </c>
      <c r="F829" s="14" t="s">
        <v>517</v>
      </c>
      <c r="G829" s="14" t="s">
        <v>518</v>
      </c>
      <c r="H829" s="18" t="s">
        <v>2</v>
      </c>
      <c r="I829" s="14" t="s">
        <v>131</v>
      </c>
      <c r="J829" s="14"/>
      <c r="K829" s="14" t="s">
        <v>554</v>
      </c>
      <c r="L829" s="14"/>
      <c r="M829" s="14">
        <v>1</v>
      </c>
      <c r="N829" s="15">
        <v>189000</v>
      </c>
      <c r="O829" s="15">
        <f t="shared" si="30"/>
        <v>189000</v>
      </c>
      <c r="P829" s="15"/>
      <c r="Q829" s="14" t="s">
        <v>520</v>
      </c>
      <c r="R829" s="25">
        <v>45382</v>
      </c>
      <c r="S829" s="22" t="str">
        <f>TEXT(Table1[[#This Row],[End Date]],"MMMM")</f>
        <v>March</v>
      </c>
      <c r="T829" s="23" t="str">
        <f>TEXT(Table1[[#This Row],[End Date]],"YYYY")</f>
        <v>2024</v>
      </c>
      <c r="U829" s="24">
        <f t="shared" ca="1" si="31"/>
        <v>-249</v>
      </c>
      <c r="V829" s="14" t="str" cm="1">
        <f t="array" aca="1" ref="V829" ca="1">_xlfn.IFS(Table1[[#This Row],[Agreement Days]]&gt;=0,"Expired",Table1[[#This Row],[Agreement Days]]&gt;=-30,"Expires &lt; 30 Days",Table1[[#This Row],[Agreement Days]]&gt;=-60,"Expires &lt; 60 Days",Table1[[#This Row],[Agreement Days]]&lt;-60,"Valid Contract")</f>
        <v>Valid Contract</v>
      </c>
      <c r="W829" s="14" t="s">
        <v>20</v>
      </c>
      <c r="X829" s="26" t="s">
        <v>1930</v>
      </c>
      <c r="Y829" s="16" t="s">
        <v>1931</v>
      </c>
      <c r="Z829" s="27" t="s">
        <v>1932</v>
      </c>
      <c r="AA829" s="19"/>
      <c r="AB829" s="116"/>
      <c r="AC829" s="116"/>
    </row>
    <row r="830" spans="1:29" hidden="1" x14ac:dyDescent="0.3">
      <c r="A830" s="18" t="s">
        <v>1928</v>
      </c>
      <c r="B830" s="18" t="s">
        <v>235</v>
      </c>
      <c r="C830" s="18" t="s">
        <v>1929</v>
      </c>
      <c r="D830" s="14" t="s">
        <v>545</v>
      </c>
      <c r="E830" s="18" t="s">
        <v>9</v>
      </c>
      <c r="F830" s="14" t="s">
        <v>517</v>
      </c>
      <c r="G830" s="14" t="s">
        <v>518</v>
      </c>
      <c r="H830" s="18" t="s">
        <v>5</v>
      </c>
      <c r="I830" s="14" t="s">
        <v>115</v>
      </c>
      <c r="J830" s="14"/>
      <c r="K830" s="14" t="s">
        <v>1934</v>
      </c>
      <c r="L830" s="14"/>
      <c r="M830" s="14">
        <v>2</v>
      </c>
      <c r="N830" s="15">
        <v>245677.97</v>
      </c>
      <c r="O830" s="15">
        <f t="shared" si="30"/>
        <v>491355.94</v>
      </c>
      <c r="P830" s="15"/>
      <c r="Q830" s="14" t="s">
        <v>520</v>
      </c>
      <c r="R830" s="25">
        <v>45382</v>
      </c>
      <c r="S830" s="22" t="str">
        <f>TEXT(Table1[[#This Row],[End Date]],"MMMM")</f>
        <v>March</v>
      </c>
      <c r="T830" s="23" t="str">
        <f>TEXT(Table1[[#This Row],[End Date]],"YYYY")</f>
        <v>2024</v>
      </c>
      <c r="U830" s="24">
        <f t="shared" ca="1" si="31"/>
        <v>-249</v>
      </c>
      <c r="V830" s="14" t="str" cm="1">
        <f t="array" aca="1" ref="V830" ca="1">_xlfn.IFS(Table1[[#This Row],[Agreement Days]]&gt;=0,"Expired",Table1[[#This Row],[Agreement Days]]&gt;=-30,"Expires &lt; 30 Days",Table1[[#This Row],[Agreement Days]]&gt;=-60,"Expires &lt; 60 Days",Table1[[#This Row],[Agreement Days]]&lt;-60,"Valid Contract")</f>
        <v>Valid Contract</v>
      </c>
      <c r="W830" s="14" t="s">
        <v>20</v>
      </c>
      <c r="X830" s="26" t="s">
        <v>1930</v>
      </c>
      <c r="Y830" s="45" t="s">
        <v>1931</v>
      </c>
      <c r="Z830" s="27" t="s">
        <v>1932</v>
      </c>
      <c r="AA830" s="19"/>
      <c r="AB830" s="116"/>
      <c r="AC830" s="116"/>
    </row>
    <row r="831" spans="1:29" hidden="1" x14ac:dyDescent="0.3">
      <c r="A831" s="18" t="s">
        <v>1928</v>
      </c>
      <c r="B831" s="18" t="s">
        <v>235</v>
      </c>
      <c r="C831" s="18" t="s">
        <v>1933</v>
      </c>
      <c r="D831" s="14" t="s">
        <v>545</v>
      </c>
      <c r="E831" s="18" t="s">
        <v>9</v>
      </c>
      <c r="F831" s="14" t="s">
        <v>517</v>
      </c>
      <c r="G831" s="14" t="s">
        <v>518</v>
      </c>
      <c r="H831" s="18" t="s">
        <v>5</v>
      </c>
      <c r="I831" s="14" t="s">
        <v>115</v>
      </c>
      <c r="J831" s="14"/>
      <c r="K831" s="18" t="s">
        <v>573</v>
      </c>
      <c r="L831" s="14"/>
      <c r="M831" s="14">
        <v>3</v>
      </c>
      <c r="N831" s="15">
        <v>19491.53</v>
      </c>
      <c r="O831" s="15">
        <f t="shared" si="30"/>
        <v>58474.59</v>
      </c>
      <c r="P831" s="15"/>
      <c r="Q831" s="14" t="s">
        <v>520</v>
      </c>
      <c r="R831" s="25">
        <v>45382</v>
      </c>
      <c r="S831" s="22" t="str">
        <f>TEXT(Table1[[#This Row],[End Date]],"MMMM")</f>
        <v>March</v>
      </c>
      <c r="T831" s="23" t="str">
        <f>TEXT(Table1[[#This Row],[End Date]],"YYYY")</f>
        <v>2024</v>
      </c>
      <c r="U831" s="24">
        <f t="shared" ca="1" si="31"/>
        <v>-249</v>
      </c>
      <c r="V831" s="14" t="str" cm="1">
        <f t="array" aca="1" ref="V831" ca="1">_xlfn.IFS(Table1[[#This Row],[Agreement Days]]&gt;=0,"Expired",Table1[[#This Row],[Agreement Days]]&gt;=-30,"Expires &lt; 30 Days",Table1[[#This Row],[Agreement Days]]&gt;=-60,"Expires &lt; 60 Days",Table1[[#This Row],[Agreement Days]]&lt;-60,"Valid Contract")</f>
        <v>Valid Contract</v>
      </c>
      <c r="W831" s="14" t="s">
        <v>20</v>
      </c>
      <c r="X831" s="26" t="s">
        <v>1930</v>
      </c>
      <c r="Y831" s="16" t="s">
        <v>1931</v>
      </c>
      <c r="Z831" s="27" t="s">
        <v>1932</v>
      </c>
      <c r="AA831" s="19"/>
      <c r="AB831" s="116"/>
      <c r="AC831" s="116"/>
    </row>
    <row r="832" spans="1:29" hidden="1" x14ac:dyDescent="0.3">
      <c r="A832" s="18" t="s">
        <v>1935</v>
      </c>
      <c r="B832" s="18" t="s">
        <v>240</v>
      </c>
      <c r="C832" s="18" t="s">
        <v>1936</v>
      </c>
      <c r="D832" s="14" t="s">
        <v>545</v>
      </c>
      <c r="E832" s="18" t="s">
        <v>9</v>
      </c>
      <c r="F832" s="14" t="s">
        <v>517</v>
      </c>
      <c r="G832" s="14" t="s">
        <v>518</v>
      </c>
      <c r="H832" s="18" t="s">
        <v>5</v>
      </c>
      <c r="I832" s="14" t="s">
        <v>117</v>
      </c>
      <c r="J832" s="14">
        <v>10</v>
      </c>
      <c r="K832" s="14" t="s">
        <v>547</v>
      </c>
      <c r="L832" s="14"/>
      <c r="M832" s="14">
        <v>1</v>
      </c>
      <c r="N832" s="15">
        <v>510000</v>
      </c>
      <c r="O832" s="15">
        <f t="shared" si="30"/>
        <v>510000</v>
      </c>
      <c r="P832" s="15"/>
      <c r="Q832" s="14" t="s">
        <v>520</v>
      </c>
      <c r="R832" s="25">
        <v>45382</v>
      </c>
      <c r="S832" s="22" t="str">
        <f>TEXT(Table1[[#This Row],[End Date]],"MMMM")</f>
        <v>March</v>
      </c>
      <c r="T832" s="23" t="str">
        <f>TEXT(Table1[[#This Row],[End Date]],"YYYY")</f>
        <v>2024</v>
      </c>
      <c r="U832" s="24">
        <f t="shared" ca="1" si="31"/>
        <v>-249</v>
      </c>
      <c r="V832" s="14" t="str" cm="1">
        <f t="array" aca="1" ref="V832" ca="1">_xlfn.IFS(Table1[[#This Row],[Agreement Days]]&gt;=0,"Expired",Table1[[#This Row],[Agreement Days]]&gt;=-30,"Expires &lt; 30 Days",Table1[[#This Row],[Agreement Days]]&gt;=-60,"Expires &lt; 60 Days",Table1[[#This Row],[Agreement Days]]&lt;-60,"Valid Contract")</f>
        <v>Valid Contract</v>
      </c>
      <c r="W832" s="14" t="s">
        <v>20</v>
      </c>
      <c r="X832" s="26" t="s">
        <v>1937</v>
      </c>
      <c r="Y832" s="45" t="s">
        <v>1938</v>
      </c>
      <c r="Z832" s="27" t="s">
        <v>1939</v>
      </c>
      <c r="AA832" s="19"/>
      <c r="AB832" s="116"/>
      <c r="AC832" s="116"/>
    </row>
    <row r="833" spans="1:29" hidden="1" x14ac:dyDescent="0.3">
      <c r="A833" s="18" t="s">
        <v>1935</v>
      </c>
      <c r="B833" s="18" t="s">
        <v>240</v>
      </c>
      <c r="C833" s="18" t="s">
        <v>1940</v>
      </c>
      <c r="D833" s="14" t="s">
        <v>545</v>
      </c>
      <c r="E833" s="18" t="s">
        <v>9</v>
      </c>
      <c r="F833" s="14" t="s">
        <v>517</v>
      </c>
      <c r="G833" s="14" t="s">
        <v>518</v>
      </c>
      <c r="H833" s="18" t="s">
        <v>5</v>
      </c>
      <c r="I833" s="14" t="s">
        <v>117</v>
      </c>
      <c r="J833" s="14">
        <v>30</v>
      </c>
      <c r="K833" s="20" t="s">
        <v>694</v>
      </c>
      <c r="L833" s="14"/>
      <c r="M833" s="14">
        <v>1</v>
      </c>
      <c r="N833" s="15">
        <v>1260000</v>
      </c>
      <c r="O833" s="15">
        <f t="shared" si="30"/>
        <v>1260000</v>
      </c>
      <c r="P833" s="15"/>
      <c r="Q833" s="14" t="s">
        <v>520</v>
      </c>
      <c r="R833" s="25">
        <v>45382</v>
      </c>
      <c r="S833" s="22" t="str">
        <f>TEXT(Table1[[#This Row],[End Date]],"MMMM")</f>
        <v>March</v>
      </c>
      <c r="T833" s="23" t="str">
        <f>TEXT(Table1[[#This Row],[End Date]],"YYYY")</f>
        <v>2024</v>
      </c>
      <c r="U833" s="24">
        <f t="shared" ca="1" si="31"/>
        <v>-249</v>
      </c>
      <c r="V833" s="14" t="str" cm="1">
        <f t="array" aca="1" ref="V833" ca="1">_xlfn.IFS(Table1[[#This Row],[Agreement Days]]&gt;=0,"Expired",Table1[[#This Row],[Agreement Days]]&gt;=-30,"Expires &lt; 30 Days",Table1[[#This Row],[Agreement Days]]&gt;=-60,"Expires &lt; 60 Days",Table1[[#This Row],[Agreement Days]]&lt;-60,"Valid Contract")</f>
        <v>Valid Contract</v>
      </c>
      <c r="W833" s="14" t="s">
        <v>20</v>
      </c>
      <c r="X833" s="26" t="s">
        <v>1937</v>
      </c>
      <c r="Y833" s="16" t="s">
        <v>1938</v>
      </c>
      <c r="Z833" s="27" t="s">
        <v>1941</v>
      </c>
      <c r="AA833" s="19"/>
      <c r="AB833" s="116"/>
      <c r="AC833" s="116"/>
    </row>
    <row r="834" spans="1:29" hidden="1" x14ac:dyDescent="0.3">
      <c r="A834" s="18" t="s">
        <v>1935</v>
      </c>
      <c r="B834" s="18" t="s">
        <v>240</v>
      </c>
      <c r="C834" s="18" t="s">
        <v>1940</v>
      </c>
      <c r="D834" s="14" t="s">
        <v>545</v>
      </c>
      <c r="E834" s="18" t="s">
        <v>9</v>
      </c>
      <c r="F834" s="14" t="s">
        <v>517</v>
      </c>
      <c r="G834" s="14" t="s">
        <v>518</v>
      </c>
      <c r="H834" s="18" t="s">
        <v>5</v>
      </c>
      <c r="I834" s="14" t="s">
        <v>115</v>
      </c>
      <c r="J834" s="14"/>
      <c r="K834" s="18" t="s">
        <v>643</v>
      </c>
      <c r="L834" s="14"/>
      <c r="M834" s="14">
        <v>2</v>
      </c>
      <c r="N834" s="15">
        <v>28305.08</v>
      </c>
      <c r="O834" s="15">
        <f t="shared" si="30"/>
        <v>56610.16</v>
      </c>
      <c r="P834" s="15"/>
      <c r="Q834" s="14" t="s">
        <v>520</v>
      </c>
      <c r="R834" s="25">
        <v>45382</v>
      </c>
      <c r="S834" s="22" t="str">
        <f>TEXT(Table1[[#This Row],[End Date]],"MMMM")</f>
        <v>March</v>
      </c>
      <c r="T834" s="23" t="str">
        <f>TEXT(Table1[[#This Row],[End Date]],"YYYY")</f>
        <v>2024</v>
      </c>
      <c r="U834" s="24">
        <f t="shared" ca="1" si="31"/>
        <v>-249</v>
      </c>
      <c r="V834" s="14" t="str" cm="1">
        <f t="array" aca="1" ref="V834" ca="1">_xlfn.IFS(Table1[[#This Row],[Agreement Days]]&gt;=0,"Expired",Table1[[#This Row],[Agreement Days]]&gt;=-30,"Expires &lt; 30 Days",Table1[[#This Row],[Agreement Days]]&gt;=-60,"Expires &lt; 60 Days",Table1[[#This Row],[Agreement Days]]&lt;-60,"Valid Contract")</f>
        <v>Valid Contract</v>
      </c>
      <c r="W834" s="14" t="s">
        <v>20</v>
      </c>
      <c r="X834" s="26" t="s">
        <v>1937</v>
      </c>
      <c r="Y834" s="16" t="s">
        <v>1938</v>
      </c>
      <c r="Z834" s="27" t="s">
        <v>1942</v>
      </c>
      <c r="AA834" s="19"/>
      <c r="AB834" s="116"/>
      <c r="AC834" s="116"/>
    </row>
    <row r="835" spans="1:29" hidden="1" x14ac:dyDescent="0.3">
      <c r="A835" s="18" t="s">
        <v>1935</v>
      </c>
      <c r="B835" s="18" t="s">
        <v>240</v>
      </c>
      <c r="C835" s="18" t="s">
        <v>1940</v>
      </c>
      <c r="D835" s="14" t="s">
        <v>545</v>
      </c>
      <c r="E835" s="18" t="s">
        <v>9</v>
      </c>
      <c r="F835" s="14" t="s">
        <v>517</v>
      </c>
      <c r="G835" s="14" t="s">
        <v>518</v>
      </c>
      <c r="H835" s="18" t="s">
        <v>5</v>
      </c>
      <c r="I835" s="14" t="s">
        <v>115</v>
      </c>
      <c r="J835" s="14"/>
      <c r="K835" s="18" t="s">
        <v>657</v>
      </c>
      <c r="L835" s="14"/>
      <c r="M835" s="14">
        <v>2</v>
      </c>
      <c r="N835" s="15">
        <v>45338.98</v>
      </c>
      <c r="O835" s="15">
        <f t="shared" si="30"/>
        <v>90677.96</v>
      </c>
      <c r="P835" s="15"/>
      <c r="Q835" s="14" t="s">
        <v>520</v>
      </c>
      <c r="R835" s="25">
        <v>45382</v>
      </c>
      <c r="S835" s="22" t="str">
        <f>TEXT(Table1[[#This Row],[End Date]],"MMMM")</f>
        <v>March</v>
      </c>
      <c r="T835" s="23" t="str">
        <f>TEXT(Table1[[#This Row],[End Date]],"YYYY")</f>
        <v>2024</v>
      </c>
      <c r="U835" s="24">
        <f t="shared" ca="1" si="31"/>
        <v>-249</v>
      </c>
      <c r="V835" s="14" t="str" cm="1">
        <f t="array" aca="1" ref="V835" ca="1">_xlfn.IFS(Table1[[#This Row],[Agreement Days]]&gt;=0,"Expired",Table1[[#This Row],[Agreement Days]]&gt;=-30,"Expires &lt; 30 Days",Table1[[#This Row],[Agreement Days]]&gt;=-60,"Expires &lt; 60 Days",Table1[[#This Row],[Agreement Days]]&lt;-60,"Valid Contract")</f>
        <v>Valid Contract</v>
      </c>
      <c r="W835" s="14" t="s">
        <v>20</v>
      </c>
      <c r="X835" s="26" t="s">
        <v>1937</v>
      </c>
      <c r="Y835" s="16" t="s">
        <v>1938</v>
      </c>
      <c r="Z835" s="27" t="s">
        <v>1943</v>
      </c>
      <c r="AA835" s="19"/>
      <c r="AB835" s="116"/>
      <c r="AC835" s="116"/>
    </row>
    <row r="836" spans="1:29" hidden="1" x14ac:dyDescent="0.3">
      <c r="A836" s="18" t="s">
        <v>1935</v>
      </c>
      <c r="B836" s="18" t="s">
        <v>240</v>
      </c>
      <c r="C836" s="18" t="s">
        <v>1940</v>
      </c>
      <c r="D836" s="14" t="s">
        <v>545</v>
      </c>
      <c r="E836" s="18" t="s">
        <v>9</v>
      </c>
      <c r="F836" s="14" t="s">
        <v>517</v>
      </c>
      <c r="G836" s="14" t="s">
        <v>518</v>
      </c>
      <c r="H836" s="18" t="s">
        <v>5</v>
      </c>
      <c r="I836" s="14" t="s">
        <v>115</v>
      </c>
      <c r="J836" s="14"/>
      <c r="K836" s="18" t="s">
        <v>573</v>
      </c>
      <c r="L836" s="14"/>
      <c r="M836" s="14">
        <v>11</v>
      </c>
      <c r="N836" s="15">
        <v>19491.53</v>
      </c>
      <c r="O836" s="15">
        <f t="shared" si="30"/>
        <v>214406.83</v>
      </c>
      <c r="P836" s="15"/>
      <c r="Q836" s="14" t="s">
        <v>520</v>
      </c>
      <c r="R836" s="25">
        <v>45382</v>
      </c>
      <c r="S836" s="22" t="str">
        <f>TEXT(Table1[[#This Row],[End Date]],"MMMM")</f>
        <v>March</v>
      </c>
      <c r="T836" s="23" t="str">
        <f>TEXT(Table1[[#This Row],[End Date]],"YYYY")</f>
        <v>2024</v>
      </c>
      <c r="U836" s="24">
        <f t="shared" ca="1" si="31"/>
        <v>-249</v>
      </c>
      <c r="V836" s="14" t="str" cm="1">
        <f t="array" aca="1" ref="V836" ca="1">_xlfn.IFS(Table1[[#This Row],[Agreement Days]]&gt;=0,"Expired",Table1[[#This Row],[Agreement Days]]&gt;=-30,"Expires &lt; 30 Days",Table1[[#This Row],[Agreement Days]]&gt;=-60,"Expires &lt; 60 Days",Table1[[#This Row],[Agreement Days]]&lt;-60,"Valid Contract")</f>
        <v>Valid Contract</v>
      </c>
      <c r="W836" s="14" t="s">
        <v>20</v>
      </c>
      <c r="X836" s="26" t="s">
        <v>1937</v>
      </c>
      <c r="Y836" s="16" t="s">
        <v>1938</v>
      </c>
      <c r="Z836" s="27" t="s">
        <v>1944</v>
      </c>
      <c r="AA836" s="19"/>
      <c r="AB836" s="116"/>
      <c r="AC836" s="116"/>
    </row>
    <row r="837" spans="1:29" hidden="1" x14ac:dyDescent="0.3">
      <c r="A837" s="18" t="s">
        <v>1945</v>
      </c>
      <c r="B837" s="18" t="s">
        <v>267</v>
      </c>
      <c r="C837" s="18" t="s">
        <v>1946</v>
      </c>
      <c r="D837" s="14" t="s">
        <v>653</v>
      </c>
      <c r="E837" s="18" t="s">
        <v>9</v>
      </c>
      <c r="F837" s="14" t="s">
        <v>517</v>
      </c>
      <c r="G837" s="14" t="s">
        <v>518</v>
      </c>
      <c r="H837" s="18" t="s">
        <v>5</v>
      </c>
      <c r="I837" s="14" t="s">
        <v>117</v>
      </c>
      <c r="J837" s="14">
        <v>10</v>
      </c>
      <c r="K837" s="14" t="s">
        <v>547</v>
      </c>
      <c r="L837" s="14"/>
      <c r="M837" s="14">
        <v>1</v>
      </c>
      <c r="N837" s="15">
        <v>510000</v>
      </c>
      <c r="O837" s="15">
        <f t="shared" si="30"/>
        <v>510000</v>
      </c>
      <c r="P837" s="15"/>
      <c r="Q837" s="14" t="s">
        <v>520</v>
      </c>
      <c r="R837" s="25">
        <v>45382</v>
      </c>
      <c r="S837" s="22" t="str">
        <f>TEXT(Table1[[#This Row],[End Date]],"MMMM")</f>
        <v>March</v>
      </c>
      <c r="T837" s="23" t="str">
        <f>TEXT(Table1[[#This Row],[End Date]],"YYYY")</f>
        <v>2024</v>
      </c>
      <c r="U837" s="24">
        <f t="shared" ca="1" si="31"/>
        <v>-249</v>
      </c>
      <c r="V837" s="14" t="str" cm="1">
        <f t="array" aca="1" ref="V837" ca="1">_xlfn.IFS(Table1[[#This Row],[Agreement Days]]&gt;=0,"Expired",Table1[[#This Row],[Agreement Days]]&gt;=-30,"Expires &lt; 30 Days",Table1[[#This Row],[Agreement Days]]&gt;=-60,"Expires &lt; 60 Days",Table1[[#This Row],[Agreement Days]]&lt;-60,"Valid Contract")</f>
        <v>Valid Contract</v>
      </c>
      <c r="W837" s="14" t="s">
        <v>20</v>
      </c>
      <c r="X837" s="26" t="s">
        <v>1208</v>
      </c>
      <c r="Y837" s="45" t="s">
        <v>1209</v>
      </c>
      <c r="Z837" s="27" t="s">
        <v>1210</v>
      </c>
      <c r="AA837" s="19"/>
      <c r="AB837" s="116"/>
      <c r="AC837" s="116"/>
    </row>
    <row r="838" spans="1:29" hidden="1" x14ac:dyDescent="0.3">
      <c r="A838" s="18" t="s">
        <v>1945</v>
      </c>
      <c r="B838" s="18" t="s">
        <v>267</v>
      </c>
      <c r="C838" s="18" t="s">
        <v>1946</v>
      </c>
      <c r="D838" s="14" t="s">
        <v>653</v>
      </c>
      <c r="E838" s="18" t="s">
        <v>9</v>
      </c>
      <c r="F838" s="14" t="s">
        <v>517</v>
      </c>
      <c r="G838" s="14" t="s">
        <v>518</v>
      </c>
      <c r="H838" s="18" t="s">
        <v>5</v>
      </c>
      <c r="I838" s="14" t="s">
        <v>131</v>
      </c>
      <c r="J838" s="14"/>
      <c r="K838" s="14" t="s">
        <v>1947</v>
      </c>
      <c r="L838" s="14"/>
      <c r="M838" s="14">
        <v>1</v>
      </c>
      <c r="N838" s="15">
        <v>108000</v>
      </c>
      <c r="O838" s="15">
        <f t="shared" si="30"/>
        <v>108000</v>
      </c>
      <c r="P838" s="15"/>
      <c r="Q838" s="14" t="s">
        <v>520</v>
      </c>
      <c r="R838" s="25">
        <v>45382</v>
      </c>
      <c r="S838" s="22" t="str">
        <f>TEXT(Table1[[#This Row],[End Date]],"MMMM")</f>
        <v>March</v>
      </c>
      <c r="T838" s="23" t="str">
        <f>TEXT(Table1[[#This Row],[End Date]],"YYYY")</f>
        <v>2024</v>
      </c>
      <c r="U838" s="24">
        <f t="shared" ca="1" si="31"/>
        <v>-249</v>
      </c>
      <c r="V838" s="14" t="str" cm="1">
        <f t="array" aca="1" ref="V838" ca="1">_xlfn.IFS(Table1[[#This Row],[Agreement Days]]&gt;=0,"Expired",Table1[[#This Row],[Agreement Days]]&gt;=-30,"Expires &lt; 30 Days",Table1[[#This Row],[Agreement Days]]&gt;=-60,"Expires &lt; 60 Days",Table1[[#This Row],[Agreement Days]]&lt;-60,"Valid Contract")</f>
        <v>Valid Contract</v>
      </c>
      <c r="W838" s="14" t="s">
        <v>20</v>
      </c>
      <c r="X838" s="26" t="s">
        <v>1208</v>
      </c>
      <c r="Y838" s="16" t="s">
        <v>1209</v>
      </c>
      <c r="Z838" s="27" t="s">
        <v>1210</v>
      </c>
      <c r="AA838" s="19"/>
      <c r="AB838" s="116"/>
      <c r="AC838" s="116"/>
    </row>
    <row r="839" spans="1:29" hidden="1" x14ac:dyDescent="0.3">
      <c r="A839" s="18" t="s">
        <v>1948</v>
      </c>
      <c r="B839" s="18" t="s">
        <v>267</v>
      </c>
      <c r="C839" s="18" t="s">
        <v>1946</v>
      </c>
      <c r="D839" s="14" t="s">
        <v>653</v>
      </c>
      <c r="E839" s="18" t="s">
        <v>9</v>
      </c>
      <c r="F839" s="14" t="s">
        <v>517</v>
      </c>
      <c r="G839" s="14" t="s">
        <v>518</v>
      </c>
      <c r="H839" s="18" t="s">
        <v>5</v>
      </c>
      <c r="I839" s="14" t="s">
        <v>118</v>
      </c>
      <c r="J839" s="14"/>
      <c r="K839" s="14" t="s">
        <v>650</v>
      </c>
      <c r="L839" s="14"/>
      <c r="M839" s="14">
        <v>1</v>
      </c>
      <c r="N839" s="15">
        <v>369325.42372899997</v>
      </c>
      <c r="O839" s="15">
        <f t="shared" ref="O839:O902" si="33">N839*M839</f>
        <v>369325.42372899997</v>
      </c>
      <c r="P839" s="15"/>
      <c r="Q839" s="14" t="s">
        <v>520</v>
      </c>
      <c r="R839" s="25">
        <v>45382</v>
      </c>
      <c r="S839" s="22" t="str">
        <f>TEXT(Table1[[#This Row],[End Date]],"MMMM")</f>
        <v>March</v>
      </c>
      <c r="T839" s="23" t="str">
        <f>TEXT(Table1[[#This Row],[End Date]],"YYYY")</f>
        <v>2024</v>
      </c>
      <c r="U839" s="24">
        <f t="shared" ref="U839:U902" ca="1" si="34">TODAY()-R839</f>
        <v>-249</v>
      </c>
      <c r="V839" s="14" t="str" cm="1">
        <f t="array" aca="1" ref="V839" ca="1">_xlfn.IFS(Table1[[#This Row],[Agreement Days]]&gt;=0,"Expired",Table1[[#This Row],[Agreement Days]]&gt;=-30,"Expires &lt; 30 Days",Table1[[#This Row],[Agreement Days]]&gt;=-60,"Expires &lt; 60 Days",Table1[[#This Row],[Agreement Days]]&lt;-60,"Valid Contract")</f>
        <v>Valid Contract</v>
      </c>
      <c r="W839" s="14" t="s">
        <v>20</v>
      </c>
      <c r="X839" s="26" t="s">
        <v>1208</v>
      </c>
      <c r="Y839" s="16" t="s">
        <v>1209</v>
      </c>
      <c r="Z839" s="27" t="s">
        <v>1949</v>
      </c>
      <c r="AA839" s="19"/>
      <c r="AB839" s="116"/>
      <c r="AC839" s="116"/>
    </row>
    <row r="840" spans="1:29" hidden="1" x14ac:dyDescent="0.3">
      <c r="A840" s="18" t="s">
        <v>1945</v>
      </c>
      <c r="B840" s="18" t="s">
        <v>267</v>
      </c>
      <c r="C840" s="18" t="s">
        <v>1946</v>
      </c>
      <c r="D840" s="14" t="s">
        <v>653</v>
      </c>
      <c r="E840" s="18" t="s">
        <v>9</v>
      </c>
      <c r="F840" s="14" t="s">
        <v>517</v>
      </c>
      <c r="G840" s="14" t="s">
        <v>518</v>
      </c>
      <c r="H840" s="18" t="s">
        <v>5</v>
      </c>
      <c r="I840" s="14" t="s">
        <v>115</v>
      </c>
      <c r="J840" s="14"/>
      <c r="K840" s="18" t="s">
        <v>643</v>
      </c>
      <c r="L840" s="14"/>
      <c r="M840" s="14">
        <v>1</v>
      </c>
      <c r="N840" s="15">
        <v>28305.08</v>
      </c>
      <c r="O840" s="15">
        <f t="shared" si="33"/>
        <v>28305.08</v>
      </c>
      <c r="P840" s="15"/>
      <c r="Q840" s="14" t="s">
        <v>520</v>
      </c>
      <c r="R840" s="25">
        <v>45382</v>
      </c>
      <c r="S840" s="22" t="str">
        <f>TEXT(Table1[[#This Row],[End Date]],"MMMM")</f>
        <v>March</v>
      </c>
      <c r="T840" s="23" t="str">
        <f>TEXT(Table1[[#This Row],[End Date]],"YYYY")</f>
        <v>2024</v>
      </c>
      <c r="U840" s="24">
        <f t="shared" ca="1" si="34"/>
        <v>-249</v>
      </c>
      <c r="V840" s="14" t="str" cm="1">
        <f t="array" aca="1" ref="V840" ca="1">_xlfn.IFS(Table1[[#This Row],[Agreement Days]]&gt;=0,"Expired",Table1[[#This Row],[Agreement Days]]&gt;=-30,"Expires &lt; 30 Days",Table1[[#This Row],[Agreement Days]]&gt;=-60,"Expires &lt; 60 Days",Table1[[#This Row],[Agreement Days]]&lt;-60,"Valid Contract")</f>
        <v>Valid Contract</v>
      </c>
      <c r="W840" s="14" t="s">
        <v>20</v>
      </c>
      <c r="X840" s="26" t="s">
        <v>1208</v>
      </c>
      <c r="Y840" s="16" t="s">
        <v>1209</v>
      </c>
      <c r="Z840" s="27" t="s">
        <v>1210</v>
      </c>
      <c r="AA840" s="19"/>
      <c r="AB840" s="116"/>
      <c r="AC840" s="116"/>
    </row>
    <row r="841" spans="1:29" hidden="1" x14ac:dyDescent="0.3">
      <c r="A841" s="18" t="s">
        <v>1945</v>
      </c>
      <c r="B841" s="18" t="s">
        <v>267</v>
      </c>
      <c r="C841" s="18" t="s">
        <v>1946</v>
      </c>
      <c r="D841" s="14" t="s">
        <v>653</v>
      </c>
      <c r="E841" s="18" t="s">
        <v>9</v>
      </c>
      <c r="F841" s="14" t="s">
        <v>517</v>
      </c>
      <c r="G841" s="14" t="s">
        <v>518</v>
      </c>
      <c r="H841" s="18" t="s">
        <v>5</v>
      </c>
      <c r="I841" s="14" t="s">
        <v>115</v>
      </c>
      <c r="J841" s="14"/>
      <c r="K841" s="18" t="s">
        <v>642</v>
      </c>
      <c r="L841" s="14"/>
      <c r="M841" s="14">
        <v>2</v>
      </c>
      <c r="N841" s="15">
        <v>101694.92</v>
      </c>
      <c r="O841" s="15">
        <f t="shared" si="33"/>
        <v>203389.84</v>
      </c>
      <c r="P841" s="15"/>
      <c r="Q841" s="14" t="s">
        <v>520</v>
      </c>
      <c r="R841" s="25">
        <v>45382</v>
      </c>
      <c r="S841" s="22" t="str">
        <f>TEXT(Table1[[#This Row],[End Date]],"MMMM")</f>
        <v>March</v>
      </c>
      <c r="T841" s="22" t="str">
        <f>TEXT(Table1[[#This Row],[End Date]],"YYYY")</f>
        <v>2024</v>
      </c>
      <c r="U841" s="24">
        <f t="shared" ca="1" si="34"/>
        <v>-249</v>
      </c>
      <c r="V841" s="14" t="str" cm="1">
        <f t="array" aca="1" ref="V841" ca="1">_xlfn.IFS(Table1[[#This Row],[Agreement Days]]&gt;=0,"Expired",Table1[[#This Row],[Agreement Days]]&gt;=-30,"Expires &lt; 30 Days",Table1[[#This Row],[Agreement Days]]&gt;=-60,"Expires &lt; 60 Days",Table1[[#This Row],[Agreement Days]]&lt;-60,"Valid Contract")</f>
        <v>Valid Contract</v>
      </c>
      <c r="W841" s="14" t="s">
        <v>20</v>
      </c>
      <c r="X841" s="26" t="s">
        <v>1208</v>
      </c>
      <c r="Y841" s="45" t="s">
        <v>1209</v>
      </c>
      <c r="Z841" s="27" t="s">
        <v>1210</v>
      </c>
      <c r="AA841" s="19"/>
      <c r="AB841" s="116"/>
      <c r="AC841" s="116"/>
    </row>
    <row r="842" spans="1:29" hidden="1" x14ac:dyDescent="0.3">
      <c r="A842" s="18" t="s">
        <v>1945</v>
      </c>
      <c r="B842" s="18" t="s">
        <v>267</v>
      </c>
      <c r="C842" s="18" t="s">
        <v>1946</v>
      </c>
      <c r="D842" s="14" t="s">
        <v>653</v>
      </c>
      <c r="E842" s="18" t="s">
        <v>9</v>
      </c>
      <c r="F842" s="14" t="s">
        <v>517</v>
      </c>
      <c r="G842" s="14" t="s">
        <v>518</v>
      </c>
      <c r="H842" s="18" t="s">
        <v>5</v>
      </c>
      <c r="I842" s="14" t="s">
        <v>115</v>
      </c>
      <c r="J842" s="14"/>
      <c r="K842" s="18" t="s">
        <v>573</v>
      </c>
      <c r="L842" s="14"/>
      <c r="M842" s="14">
        <v>8</v>
      </c>
      <c r="N842" s="15">
        <v>19491.53</v>
      </c>
      <c r="O842" s="15">
        <f t="shared" si="33"/>
        <v>155932.24</v>
      </c>
      <c r="P842" s="15"/>
      <c r="Q842" s="14" t="s">
        <v>520</v>
      </c>
      <c r="R842" s="25">
        <v>45382</v>
      </c>
      <c r="S842" s="22" t="str">
        <f>TEXT(Table1[[#This Row],[End Date]],"MMMM")</f>
        <v>March</v>
      </c>
      <c r="T842" s="23" t="str">
        <f>TEXT(Table1[[#This Row],[End Date]],"YYYY")</f>
        <v>2024</v>
      </c>
      <c r="U842" s="24">
        <f t="shared" ca="1" si="34"/>
        <v>-249</v>
      </c>
      <c r="V842" s="14" t="str" cm="1">
        <f t="array" aca="1" ref="V842" ca="1">_xlfn.IFS(Table1[[#This Row],[Agreement Days]]&gt;=0,"Expired",Table1[[#This Row],[Agreement Days]]&gt;=-30,"Expires &lt; 30 Days",Table1[[#This Row],[Agreement Days]]&gt;=-60,"Expires &lt; 60 Days",Table1[[#This Row],[Agreement Days]]&lt;-60,"Valid Contract")</f>
        <v>Valid Contract</v>
      </c>
      <c r="W842" s="14" t="s">
        <v>20</v>
      </c>
      <c r="X842" s="26" t="s">
        <v>1208</v>
      </c>
      <c r="Y842" s="16" t="s">
        <v>1209</v>
      </c>
      <c r="Z842" s="27" t="s">
        <v>1210</v>
      </c>
      <c r="AA842" s="19"/>
      <c r="AB842" s="116"/>
      <c r="AC842" s="116"/>
    </row>
    <row r="843" spans="1:29" hidden="1" x14ac:dyDescent="0.3">
      <c r="A843" s="18" t="s">
        <v>1950</v>
      </c>
      <c r="B843" s="18" t="s">
        <v>201</v>
      </c>
      <c r="C843" s="18" t="s">
        <v>201</v>
      </c>
      <c r="D843" s="14" t="s">
        <v>540</v>
      </c>
      <c r="E843" s="18" t="s">
        <v>9</v>
      </c>
      <c r="F843" s="14" t="s">
        <v>517</v>
      </c>
      <c r="G843" s="14" t="s">
        <v>518</v>
      </c>
      <c r="H843" s="18" t="s">
        <v>2</v>
      </c>
      <c r="I843" s="14" t="s">
        <v>117</v>
      </c>
      <c r="J843" s="14">
        <v>10</v>
      </c>
      <c r="K843" s="14" t="s">
        <v>547</v>
      </c>
      <c r="L843" s="14"/>
      <c r="M843" s="14">
        <v>1</v>
      </c>
      <c r="N843" s="15">
        <v>510000</v>
      </c>
      <c r="O843" s="15">
        <f t="shared" si="33"/>
        <v>510000</v>
      </c>
      <c r="P843" s="15"/>
      <c r="Q843" s="14" t="s">
        <v>520</v>
      </c>
      <c r="R843" s="25">
        <v>45382</v>
      </c>
      <c r="S843" s="22" t="str">
        <f>TEXT(Table1[[#This Row],[End Date]],"MMMM")</f>
        <v>March</v>
      </c>
      <c r="T843" s="23" t="str">
        <f>TEXT(Table1[[#This Row],[End Date]],"YYYY")</f>
        <v>2024</v>
      </c>
      <c r="U843" s="24">
        <f t="shared" ca="1" si="34"/>
        <v>-249</v>
      </c>
      <c r="V843" s="14" t="str" cm="1">
        <f t="array" aca="1" ref="V843" ca="1">_xlfn.IFS(Table1[[#This Row],[Agreement Days]]&gt;=0,"Expired",Table1[[#This Row],[Agreement Days]]&gt;=-30,"Expires &lt; 30 Days",Table1[[#This Row],[Agreement Days]]&gt;=-60,"Expires &lt; 60 Days",Table1[[#This Row],[Agreement Days]]&lt;-60,"Valid Contract")</f>
        <v>Valid Contract</v>
      </c>
      <c r="W843" s="14" t="s">
        <v>20</v>
      </c>
      <c r="X843" s="26" t="s">
        <v>1951</v>
      </c>
      <c r="Y843" s="45" t="s">
        <v>1952</v>
      </c>
      <c r="Z843" s="27" t="s">
        <v>1953</v>
      </c>
      <c r="AA843" s="19"/>
      <c r="AB843" s="116"/>
      <c r="AC843" s="116"/>
    </row>
    <row r="844" spans="1:29" hidden="1" x14ac:dyDescent="0.3">
      <c r="A844" s="18" t="s">
        <v>1950</v>
      </c>
      <c r="B844" s="18" t="s">
        <v>201</v>
      </c>
      <c r="C844" s="18" t="s">
        <v>201</v>
      </c>
      <c r="D844" s="14" t="s">
        <v>540</v>
      </c>
      <c r="E844" s="18" t="s">
        <v>9</v>
      </c>
      <c r="F844" s="14" t="s">
        <v>517</v>
      </c>
      <c r="G844" s="14" t="s">
        <v>518</v>
      </c>
      <c r="H844" s="18" t="s">
        <v>2</v>
      </c>
      <c r="I844" s="14" t="s">
        <v>131</v>
      </c>
      <c r="J844" s="14"/>
      <c r="K844" s="26" t="s">
        <v>720</v>
      </c>
      <c r="L844" s="14"/>
      <c r="M844" s="14">
        <v>1</v>
      </c>
      <c r="N844" s="15">
        <v>60000</v>
      </c>
      <c r="O844" s="15">
        <f t="shared" si="33"/>
        <v>60000</v>
      </c>
      <c r="P844" s="15"/>
      <c r="Q844" s="14" t="s">
        <v>520</v>
      </c>
      <c r="R844" s="25">
        <v>45382</v>
      </c>
      <c r="S844" s="22" t="str">
        <f>TEXT(Table1[[#This Row],[End Date]],"MMMM")</f>
        <v>March</v>
      </c>
      <c r="T844" s="23" t="str">
        <f>TEXT(Table1[[#This Row],[End Date]],"YYYY")</f>
        <v>2024</v>
      </c>
      <c r="U844" s="24">
        <f t="shared" ca="1" si="34"/>
        <v>-249</v>
      </c>
      <c r="V844" s="14" t="str" cm="1">
        <f t="array" aca="1" ref="V844" ca="1">_xlfn.IFS(Table1[[#This Row],[Agreement Days]]&gt;=0,"Expired",Table1[[#This Row],[Agreement Days]]&gt;=-30,"Expires &lt; 30 Days",Table1[[#This Row],[Agreement Days]]&gt;=-60,"Expires &lt; 60 Days",Table1[[#This Row],[Agreement Days]]&lt;-60,"Valid Contract")</f>
        <v>Valid Contract</v>
      </c>
      <c r="W844" s="14" t="s">
        <v>20</v>
      </c>
      <c r="X844" s="26" t="s">
        <v>1951</v>
      </c>
      <c r="Y844" s="45" t="s">
        <v>1952</v>
      </c>
      <c r="Z844" s="27" t="s">
        <v>1953</v>
      </c>
      <c r="AA844" s="19"/>
      <c r="AB844" s="116"/>
      <c r="AC844" s="116"/>
    </row>
    <row r="845" spans="1:29" hidden="1" x14ac:dyDescent="0.3">
      <c r="A845" s="18" t="s">
        <v>1950</v>
      </c>
      <c r="B845" s="18" t="s">
        <v>201</v>
      </c>
      <c r="C845" s="18" t="s">
        <v>201</v>
      </c>
      <c r="D845" s="14" t="s">
        <v>540</v>
      </c>
      <c r="E845" s="18" t="s">
        <v>9</v>
      </c>
      <c r="F845" s="14" t="s">
        <v>517</v>
      </c>
      <c r="G845" s="14" t="s">
        <v>518</v>
      </c>
      <c r="H845" s="18" t="s">
        <v>2</v>
      </c>
      <c r="I845" s="14" t="s">
        <v>131</v>
      </c>
      <c r="J845" s="14"/>
      <c r="K845" s="14" t="s">
        <v>1954</v>
      </c>
      <c r="L845" s="14"/>
      <c r="M845" s="14">
        <v>1</v>
      </c>
      <c r="N845" s="15">
        <v>100500</v>
      </c>
      <c r="O845" s="15">
        <f t="shared" si="33"/>
        <v>100500</v>
      </c>
      <c r="P845" s="15"/>
      <c r="Q845" s="14" t="s">
        <v>520</v>
      </c>
      <c r="R845" s="25">
        <v>45382</v>
      </c>
      <c r="S845" s="22" t="str">
        <f>TEXT(Table1[[#This Row],[End Date]],"MMMM")</f>
        <v>March</v>
      </c>
      <c r="T845" s="23" t="str">
        <f>TEXT(Table1[[#This Row],[End Date]],"YYYY")</f>
        <v>2024</v>
      </c>
      <c r="U845" s="24">
        <f t="shared" ca="1" si="34"/>
        <v>-249</v>
      </c>
      <c r="V845" s="14" t="str" cm="1">
        <f t="array" aca="1" ref="V845" ca="1">_xlfn.IFS(Table1[[#This Row],[Agreement Days]]&gt;=0,"Expired",Table1[[#This Row],[Agreement Days]]&gt;=-30,"Expires &lt; 30 Days",Table1[[#This Row],[Agreement Days]]&gt;=-60,"Expires &lt; 60 Days",Table1[[#This Row],[Agreement Days]]&lt;-60,"Valid Contract")</f>
        <v>Valid Contract</v>
      </c>
      <c r="W845" s="14" t="s">
        <v>20</v>
      </c>
      <c r="X845" s="26" t="s">
        <v>1951</v>
      </c>
      <c r="Y845" s="45" t="s">
        <v>1952</v>
      </c>
      <c r="Z845" s="27" t="s">
        <v>1953</v>
      </c>
      <c r="AA845" s="19"/>
      <c r="AB845" s="116"/>
      <c r="AC845" s="116"/>
    </row>
    <row r="846" spans="1:29" hidden="1" x14ac:dyDescent="0.3">
      <c r="A846" s="18" t="s">
        <v>1950</v>
      </c>
      <c r="B846" s="18" t="s">
        <v>201</v>
      </c>
      <c r="C846" s="18" t="s">
        <v>201</v>
      </c>
      <c r="D846" s="14" t="s">
        <v>540</v>
      </c>
      <c r="E846" s="18" t="s">
        <v>9</v>
      </c>
      <c r="F846" s="14" t="s">
        <v>517</v>
      </c>
      <c r="G846" s="14" t="s">
        <v>518</v>
      </c>
      <c r="H846" s="18" t="s">
        <v>4</v>
      </c>
      <c r="I846" s="14" t="s">
        <v>118</v>
      </c>
      <c r="J846" s="14"/>
      <c r="K846" s="14" t="s">
        <v>650</v>
      </c>
      <c r="L846" s="14"/>
      <c r="M846" s="14">
        <v>1</v>
      </c>
      <c r="N846" s="15">
        <v>369325.42</v>
      </c>
      <c r="O846" s="15">
        <f t="shared" si="33"/>
        <v>369325.42</v>
      </c>
      <c r="P846" s="15"/>
      <c r="Q846" s="14" t="s">
        <v>520</v>
      </c>
      <c r="R846" s="25">
        <v>45382</v>
      </c>
      <c r="S846" s="22" t="str">
        <f>TEXT(Table1[[#This Row],[End Date]],"MMMM")</f>
        <v>March</v>
      </c>
      <c r="T846" s="23" t="str">
        <f>TEXT(Table1[[#This Row],[End Date]],"YYYY")</f>
        <v>2024</v>
      </c>
      <c r="U846" s="24">
        <f t="shared" ca="1" si="34"/>
        <v>-249</v>
      </c>
      <c r="V846" s="14" t="str" cm="1">
        <f t="array" aca="1" ref="V846" ca="1">_xlfn.IFS(Table1[[#This Row],[Agreement Days]]&gt;=0,"Expired",Table1[[#This Row],[Agreement Days]]&gt;=-30,"Expires &lt; 30 Days",Table1[[#This Row],[Agreement Days]]&gt;=-60,"Expires &lt; 60 Days",Table1[[#This Row],[Agreement Days]]&lt;-60,"Valid Contract")</f>
        <v>Valid Contract</v>
      </c>
      <c r="W846" s="14" t="s">
        <v>20</v>
      </c>
      <c r="X846" s="26" t="s">
        <v>1951</v>
      </c>
      <c r="Y846" s="45" t="s">
        <v>1952</v>
      </c>
      <c r="Z846" s="27" t="s">
        <v>1953</v>
      </c>
      <c r="AA846" s="19"/>
      <c r="AB846" s="116"/>
      <c r="AC846" s="116"/>
    </row>
    <row r="847" spans="1:29" hidden="1" x14ac:dyDescent="0.3">
      <c r="A847" s="18" t="s">
        <v>1950</v>
      </c>
      <c r="B847" s="18" t="s">
        <v>201</v>
      </c>
      <c r="C847" s="18" t="s">
        <v>201</v>
      </c>
      <c r="D847" s="14" t="s">
        <v>540</v>
      </c>
      <c r="E847" s="18" t="s">
        <v>9</v>
      </c>
      <c r="F847" s="14" t="s">
        <v>517</v>
      </c>
      <c r="G847" s="14" t="s">
        <v>518</v>
      </c>
      <c r="H847" s="18" t="s">
        <v>2</v>
      </c>
      <c r="I847" s="14" t="s">
        <v>120</v>
      </c>
      <c r="J847" s="14"/>
      <c r="K847" s="14" t="s">
        <v>649</v>
      </c>
      <c r="L847" s="14"/>
      <c r="M847" s="14">
        <v>1</v>
      </c>
      <c r="N847" s="15">
        <v>258044.92</v>
      </c>
      <c r="O847" s="15">
        <f t="shared" si="33"/>
        <v>258044.92</v>
      </c>
      <c r="P847" s="15"/>
      <c r="Q847" s="14" t="s">
        <v>520</v>
      </c>
      <c r="R847" s="25">
        <v>45382</v>
      </c>
      <c r="S847" s="22" t="str">
        <f>TEXT(Table1[[#This Row],[End Date]],"MMMM")</f>
        <v>March</v>
      </c>
      <c r="T847" s="23" t="str">
        <f>TEXT(Table1[[#This Row],[End Date]],"YYYY")</f>
        <v>2024</v>
      </c>
      <c r="U847" s="24">
        <f t="shared" ca="1" si="34"/>
        <v>-249</v>
      </c>
      <c r="V847" s="14" t="str" cm="1">
        <f t="array" aca="1" ref="V847" ca="1">_xlfn.IFS(Table1[[#This Row],[Agreement Days]]&gt;=0,"Expired",Table1[[#This Row],[Agreement Days]]&gt;=-30,"Expires &lt; 30 Days",Table1[[#This Row],[Agreement Days]]&gt;=-60,"Expires &lt; 60 Days",Table1[[#This Row],[Agreement Days]]&lt;-60,"Valid Contract")</f>
        <v>Valid Contract</v>
      </c>
      <c r="W847" s="14" t="s">
        <v>20</v>
      </c>
      <c r="X847" s="26" t="s">
        <v>1951</v>
      </c>
      <c r="Y847" s="45" t="s">
        <v>1952</v>
      </c>
      <c r="Z847" s="27" t="s">
        <v>1953</v>
      </c>
      <c r="AA847" s="19"/>
      <c r="AB847" s="116"/>
      <c r="AC847" s="116"/>
    </row>
    <row r="848" spans="1:29" hidden="1" x14ac:dyDescent="0.3">
      <c r="A848" s="18" t="s">
        <v>1950</v>
      </c>
      <c r="B848" s="18" t="s">
        <v>201</v>
      </c>
      <c r="C848" s="18" t="s">
        <v>201</v>
      </c>
      <c r="D848" s="14" t="s">
        <v>540</v>
      </c>
      <c r="E848" s="18" t="s">
        <v>9</v>
      </c>
      <c r="F848" s="14" t="s">
        <v>517</v>
      </c>
      <c r="G848" s="14" t="s">
        <v>518</v>
      </c>
      <c r="H848" s="18" t="s">
        <v>5</v>
      </c>
      <c r="I848" s="14" t="s">
        <v>115</v>
      </c>
      <c r="J848" s="14"/>
      <c r="K848" s="18" t="s">
        <v>573</v>
      </c>
      <c r="L848" s="14"/>
      <c r="M848" s="14">
        <v>1</v>
      </c>
      <c r="N848" s="15">
        <v>19491.53</v>
      </c>
      <c r="O848" s="15">
        <f t="shared" si="33"/>
        <v>19491.53</v>
      </c>
      <c r="P848" s="15"/>
      <c r="Q848" s="14" t="s">
        <v>520</v>
      </c>
      <c r="R848" s="25">
        <v>45382</v>
      </c>
      <c r="S848" s="22" t="str">
        <f>TEXT(Table1[[#This Row],[End Date]],"MMMM")</f>
        <v>March</v>
      </c>
      <c r="T848" s="23" t="str">
        <f>TEXT(Table1[[#This Row],[End Date]],"YYYY")</f>
        <v>2024</v>
      </c>
      <c r="U848" s="24">
        <f t="shared" ca="1" si="34"/>
        <v>-249</v>
      </c>
      <c r="V848" s="14" t="str" cm="1">
        <f t="array" aca="1" ref="V848" ca="1">_xlfn.IFS(Table1[[#This Row],[Agreement Days]]&gt;=0,"Expired",Table1[[#This Row],[Agreement Days]]&gt;=-30,"Expires &lt; 30 Days",Table1[[#This Row],[Agreement Days]]&gt;=-60,"Expires &lt; 60 Days",Table1[[#This Row],[Agreement Days]]&lt;-60,"Valid Contract")</f>
        <v>Valid Contract</v>
      </c>
      <c r="W848" s="14" t="s">
        <v>20</v>
      </c>
      <c r="X848" s="26" t="s">
        <v>1951</v>
      </c>
      <c r="Y848" s="45" t="s">
        <v>1952</v>
      </c>
      <c r="Z848" s="27" t="s">
        <v>1953</v>
      </c>
      <c r="AA848" s="19"/>
      <c r="AB848" s="116"/>
      <c r="AC848" s="116"/>
    </row>
    <row r="849" spans="1:29" hidden="1" x14ac:dyDescent="0.3">
      <c r="A849" s="18" t="s">
        <v>593</v>
      </c>
      <c r="B849" s="18" t="s">
        <v>326</v>
      </c>
      <c r="C849" s="18" t="s">
        <v>326</v>
      </c>
      <c r="D849" s="14" t="s">
        <v>545</v>
      </c>
      <c r="E849" s="18" t="s">
        <v>9</v>
      </c>
      <c r="F849" s="14" t="s">
        <v>517</v>
      </c>
      <c r="G849" s="14" t="s">
        <v>518</v>
      </c>
      <c r="H849" s="18" t="s">
        <v>2</v>
      </c>
      <c r="I849" s="14" t="s">
        <v>117</v>
      </c>
      <c r="J849" s="14">
        <v>15</v>
      </c>
      <c r="K849" s="14" t="s">
        <v>899</v>
      </c>
      <c r="L849" s="14"/>
      <c r="M849" s="14">
        <v>1</v>
      </c>
      <c r="N849" s="15">
        <v>720000</v>
      </c>
      <c r="O849" s="15">
        <f t="shared" si="33"/>
        <v>720000</v>
      </c>
      <c r="P849" s="15"/>
      <c r="Q849" s="14" t="s">
        <v>520</v>
      </c>
      <c r="R849" s="25">
        <v>45382</v>
      </c>
      <c r="S849" s="22" t="str">
        <f>TEXT(Table1[[#This Row],[End Date]],"MMMM")</f>
        <v>March</v>
      </c>
      <c r="T849" s="23" t="str">
        <f>TEXT(Table1[[#This Row],[End Date]],"YYYY")</f>
        <v>2024</v>
      </c>
      <c r="U849" s="24">
        <f t="shared" ca="1" si="34"/>
        <v>-249</v>
      </c>
      <c r="V849" s="14" t="str" cm="1">
        <f t="array" aca="1" ref="V849" ca="1">_xlfn.IFS(Table1[[#This Row],[Agreement Days]]&gt;=0,"Expired",Table1[[#This Row],[Agreement Days]]&gt;=-30,"Expires &lt; 30 Days",Table1[[#This Row],[Agreement Days]]&gt;=-60,"Expires &lt; 60 Days",Table1[[#This Row],[Agreement Days]]&lt;-60,"Valid Contract")</f>
        <v>Valid Contract</v>
      </c>
      <c r="W849" s="14" t="s">
        <v>20</v>
      </c>
      <c r="X849" s="26" t="s">
        <v>595</v>
      </c>
      <c r="Y849" s="45" t="s">
        <v>596</v>
      </c>
      <c r="Z849" s="27" t="s">
        <v>597</v>
      </c>
      <c r="AA849" s="19"/>
      <c r="AB849" s="116"/>
      <c r="AC849" s="116"/>
    </row>
    <row r="850" spans="1:29" hidden="1" x14ac:dyDescent="0.3">
      <c r="A850" s="18" t="s">
        <v>1955</v>
      </c>
      <c r="B850" s="18" t="s">
        <v>252</v>
      </c>
      <c r="C850" s="18" t="s">
        <v>544</v>
      </c>
      <c r="D850" s="20" t="s">
        <v>545</v>
      </c>
      <c r="E850" s="18" t="s">
        <v>9</v>
      </c>
      <c r="F850" s="20" t="s">
        <v>517</v>
      </c>
      <c r="G850" s="20" t="s">
        <v>546</v>
      </c>
      <c r="H850" s="18" t="s">
        <v>5</v>
      </c>
      <c r="I850" s="20" t="s">
        <v>117</v>
      </c>
      <c r="J850" s="20">
        <v>15</v>
      </c>
      <c r="K850" s="18" t="s">
        <v>1956</v>
      </c>
      <c r="L850" s="18"/>
      <c r="M850" s="20">
        <v>1</v>
      </c>
      <c r="N850" s="15">
        <v>720000</v>
      </c>
      <c r="O850" s="15">
        <f t="shared" si="33"/>
        <v>720000</v>
      </c>
      <c r="P850" s="15"/>
      <c r="Q850" s="14" t="s">
        <v>520</v>
      </c>
      <c r="R850" s="25">
        <v>45382</v>
      </c>
      <c r="S850" s="34" t="str">
        <f>TEXT(Table1[[#This Row],[End Date]],"MMMM")</f>
        <v>March</v>
      </c>
      <c r="T850" s="34" t="str">
        <f>TEXT(Table1[[#This Row],[End Date]],"YYYY")</f>
        <v>2024</v>
      </c>
      <c r="U850" s="24">
        <f t="shared" ca="1" si="34"/>
        <v>-249</v>
      </c>
      <c r="V850" s="14" t="str" cm="1">
        <f t="array" aca="1" ref="V850" ca="1">_xlfn.IFS(Table1[[#This Row],[Agreement Days]]&gt;=0,"Expired",Table1[[#This Row],[Agreement Days]]&gt;=-30,"Expires &lt; 30 Days",Table1[[#This Row],[Agreement Days]]&gt;=-60,"Expires &lt; 60 Days",Table1[[#This Row],[Agreement Days]]&lt;-60,"Valid Contract")</f>
        <v>Valid Contract</v>
      </c>
      <c r="W850" s="18" t="s">
        <v>18</v>
      </c>
      <c r="X850" s="18" t="s">
        <v>1957</v>
      </c>
      <c r="Y850" s="42" t="s">
        <v>1958</v>
      </c>
      <c r="Z850" s="36" t="s">
        <v>1959</v>
      </c>
      <c r="AA850" s="36"/>
      <c r="AB850" s="116"/>
      <c r="AC850" s="116"/>
    </row>
    <row r="851" spans="1:29" hidden="1" x14ac:dyDescent="0.3">
      <c r="A851" s="18" t="s">
        <v>1955</v>
      </c>
      <c r="B851" s="18" t="s">
        <v>252</v>
      </c>
      <c r="C851" s="18" t="s">
        <v>544</v>
      </c>
      <c r="D851" s="20" t="s">
        <v>545</v>
      </c>
      <c r="E851" s="18" t="s">
        <v>9</v>
      </c>
      <c r="F851" s="20" t="s">
        <v>517</v>
      </c>
      <c r="G851" s="20" t="s">
        <v>546</v>
      </c>
      <c r="H851" s="18" t="s">
        <v>5</v>
      </c>
      <c r="I851" s="20" t="s">
        <v>115</v>
      </c>
      <c r="J851" s="18"/>
      <c r="K851" s="18" t="s">
        <v>643</v>
      </c>
      <c r="L851" s="18"/>
      <c r="M851" s="20">
        <v>2</v>
      </c>
      <c r="N851" s="15">
        <v>28305.08</v>
      </c>
      <c r="O851" s="15">
        <f t="shared" si="33"/>
        <v>56610.16</v>
      </c>
      <c r="P851" s="15"/>
      <c r="Q851" s="14" t="s">
        <v>520</v>
      </c>
      <c r="R851" s="25">
        <v>45382</v>
      </c>
      <c r="S851" s="34" t="str">
        <f>TEXT(Table1[[#This Row],[End Date]],"MMMM")</f>
        <v>March</v>
      </c>
      <c r="T851" s="34" t="str">
        <f>TEXT(Table1[[#This Row],[End Date]],"YYYY")</f>
        <v>2024</v>
      </c>
      <c r="U851" s="24">
        <f t="shared" ca="1" si="34"/>
        <v>-249</v>
      </c>
      <c r="V851" s="14" t="str" cm="1">
        <f t="array" aca="1" ref="V851" ca="1">_xlfn.IFS(Table1[[#This Row],[Agreement Days]]&gt;=0,"Expired",Table1[[#This Row],[Agreement Days]]&gt;=-30,"Expires &lt; 30 Days",Table1[[#This Row],[Agreement Days]]&gt;=-60,"Expires &lt; 60 Days",Table1[[#This Row],[Agreement Days]]&lt;-60,"Valid Contract")</f>
        <v>Valid Contract</v>
      </c>
      <c r="W851" s="18" t="s">
        <v>18</v>
      </c>
      <c r="X851" s="18" t="s">
        <v>1957</v>
      </c>
      <c r="Y851" s="42" t="s">
        <v>1958</v>
      </c>
      <c r="Z851" s="36" t="s">
        <v>1959</v>
      </c>
      <c r="AA851" s="27"/>
      <c r="AB851" s="116"/>
      <c r="AC851" s="116"/>
    </row>
    <row r="852" spans="1:29" hidden="1" x14ac:dyDescent="0.3">
      <c r="A852" s="18" t="s">
        <v>1955</v>
      </c>
      <c r="B852" s="18" t="s">
        <v>252</v>
      </c>
      <c r="C852" s="18" t="s">
        <v>544</v>
      </c>
      <c r="D852" s="20" t="s">
        <v>545</v>
      </c>
      <c r="E852" s="18" t="s">
        <v>9</v>
      </c>
      <c r="F852" s="20" t="s">
        <v>517</v>
      </c>
      <c r="G852" s="20" t="s">
        <v>546</v>
      </c>
      <c r="H852" s="18" t="s">
        <v>5</v>
      </c>
      <c r="I852" s="20" t="s">
        <v>115</v>
      </c>
      <c r="J852" s="18"/>
      <c r="K852" s="20" t="s">
        <v>722</v>
      </c>
      <c r="L852" s="18"/>
      <c r="M852" s="20">
        <v>7</v>
      </c>
      <c r="N852" s="15">
        <v>77711.86</v>
      </c>
      <c r="O852" s="15">
        <f t="shared" si="33"/>
        <v>543983.02</v>
      </c>
      <c r="P852" s="15"/>
      <c r="Q852" s="14" t="s">
        <v>520</v>
      </c>
      <c r="R852" s="25">
        <v>45382</v>
      </c>
      <c r="S852" s="34" t="str">
        <f>TEXT(Table1[[#This Row],[End Date]],"MMMM")</f>
        <v>March</v>
      </c>
      <c r="T852" s="34" t="str">
        <f>TEXT(Table1[[#This Row],[End Date]],"YYYY")</f>
        <v>2024</v>
      </c>
      <c r="U852" s="24">
        <f t="shared" ca="1" si="34"/>
        <v>-249</v>
      </c>
      <c r="V852" s="14" t="str" cm="1">
        <f t="array" aca="1" ref="V852" ca="1">_xlfn.IFS(Table1[[#This Row],[Agreement Days]]&gt;=0,"Expired",Table1[[#This Row],[Agreement Days]]&gt;=-30,"Expires &lt; 30 Days",Table1[[#This Row],[Agreement Days]]&gt;=-60,"Expires &lt; 60 Days",Table1[[#This Row],[Agreement Days]]&lt;-60,"Valid Contract")</f>
        <v>Valid Contract</v>
      </c>
      <c r="W852" s="18" t="s">
        <v>18</v>
      </c>
      <c r="X852" s="18" t="s">
        <v>1957</v>
      </c>
      <c r="Y852" s="42" t="s">
        <v>1958</v>
      </c>
      <c r="Z852" s="36" t="s">
        <v>1959</v>
      </c>
      <c r="AA852" s="27"/>
      <c r="AB852" s="116"/>
      <c r="AC852" s="116"/>
    </row>
    <row r="853" spans="1:29" hidden="1" x14ac:dyDescent="0.3">
      <c r="A853" s="18" t="s">
        <v>1955</v>
      </c>
      <c r="B853" s="18" t="s">
        <v>252</v>
      </c>
      <c r="C853" s="18" t="s">
        <v>544</v>
      </c>
      <c r="D853" s="20" t="s">
        <v>545</v>
      </c>
      <c r="E853" s="18" t="s">
        <v>9</v>
      </c>
      <c r="F853" s="20" t="s">
        <v>517</v>
      </c>
      <c r="G853" s="20" t="s">
        <v>546</v>
      </c>
      <c r="H853" s="18" t="s">
        <v>5</v>
      </c>
      <c r="I853" s="20" t="s">
        <v>115</v>
      </c>
      <c r="J853" s="18"/>
      <c r="K853" s="18" t="s">
        <v>657</v>
      </c>
      <c r="L853" s="18"/>
      <c r="M853" s="20">
        <v>9</v>
      </c>
      <c r="N853" s="15">
        <v>45338.98</v>
      </c>
      <c r="O853" s="15">
        <f t="shared" si="33"/>
        <v>408050.82</v>
      </c>
      <c r="P853" s="15"/>
      <c r="Q853" s="14" t="s">
        <v>520</v>
      </c>
      <c r="R853" s="25">
        <v>45382</v>
      </c>
      <c r="S853" s="34" t="str">
        <f>TEXT(Table1[[#This Row],[End Date]],"MMMM")</f>
        <v>March</v>
      </c>
      <c r="T853" s="34" t="str">
        <f>TEXT(Table1[[#This Row],[End Date]],"YYYY")</f>
        <v>2024</v>
      </c>
      <c r="U853" s="24">
        <f t="shared" ca="1" si="34"/>
        <v>-249</v>
      </c>
      <c r="V853" s="14" t="str" cm="1">
        <f t="array" aca="1" ref="V853" ca="1">_xlfn.IFS(Table1[[#This Row],[Agreement Days]]&gt;=0,"Expired",Table1[[#This Row],[Agreement Days]]&gt;=-30,"Expires &lt; 30 Days",Table1[[#This Row],[Agreement Days]]&gt;=-60,"Expires &lt; 60 Days",Table1[[#This Row],[Agreement Days]]&lt;-60,"Valid Contract")</f>
        <v>Valid Contract</v>
      </c>
      <c r="W853" s="18" t="s">
        <v>18</v>
      </c>
      <c r="X853" s="18" t="s">
        <v>1957</v>
      </c>
      <c r="Y853" s="42" t="s">
        <v>1958</v>
      </c>
      <c r="Z853" s="36" t="s">
        <v>1959</v>
      </c>
      <c r="AA853" s="27"/>
      <c r="AB853" s="116"/>
      <c r="AC853" s="116"/>
    </row>
    <row r="854" spans="1:29" hidden="1" x14ac:dyDescent="0.3">
      <c r="A854" s="18" t="s">
        <v>1960</v>
      </c>
      <c r="B854" s="18" t="s">
        <v>151</v>
      </c>
      <c r="C854" s="18" t="s">
        <v>1961</v>
      </c>
      <c r="D854" s="14" t="s">
        <v>873</v>
      </c>
      <c r="E854" s="18" t="s">
        <v>9</v>
      </c>
      <c r="F854" s="14" t="s">
        <v>517</v>
      </c>
      <c r="G854" s="14" t="s">
        <v>518</v>
      </c>
      <c r="H854" s="18" t="s">
        <v>5</v>
      </c>
      <c r="I854" s="14" t="s">
        <v>117</v>
      </c>
      <c r="J854" s="14">
        <v>3</v>
      </c>
      <c r="K854" s="14" t="s">
        <v>646</v>
      </c>
      <c r="L854" s="14"/>
      <c r="M854" s="14">
        <v>1</v>
      </c>
      <c r="N854" s="15">
        <v>180000</v>
      </c>
      <c r="O854" s="15">
        <f t="shared" si="33"/>
        <v>180000</v>
      </c>
      <c r="P854" s="15"/>
      <c r="Q854" s="14" t="s">
        <v>520</v>
      </c>
      <c r="R854" s="21">
        <v>45382</v>
      </c>
      <c r="S854" s="22" t="str">
        <f>TEXT(Table1[[#This Row],[End Date]],"MMMM")</f>
        <v>March</v>
      </c>
      <c r="T854" s="23" t="str">
        <f>TEXT(Table1[[#This Row],[End Date]],"YYYY")</f>
        <v>2024</v>
      </c>
      <c r="U854" s="24">
        <f t="shared" ca="1" si="34"/>
        <v>-249</v>
      </c>
      <c r="V854" s="14" t="str" cm="1">
        <f t="array" aca="1" ref="V854" ca="1">_xlfn.IFS(Table1[[#This Row],[Agreement Days]]&gt;=0,"Expired",Table1[[#This Row],[Agreement Days]]&gt;=-30,"Expires &lt; 30 Days",Table1[[#This Row],[Agreement Days]]&gt;=-60,"Expires &lt; 60 Days",Table1[[#This Row],[Agreement Days]]&lt;-60,"Valid Contract")</f>
        <v>Valid Contract</v>
      </c>
      <c r="W854" s="14" t="s">
        <v>20</v>
      </c>
      <c r="X854" s="26" t="s">
        <v>1962</v>
      </c>
      <c r="Y854" s="45" t="s">
        <v>1963</v>
      </c>
      <c r="Z854" s="17" t="s">
        <v>1964</v>
      </c>
      <c r="AA854" s="19"/>
      <c r="AB854" s="116"/>
      <c r="AC854" s="116"/>
    </row>
    <row r="855" spans="1:29" hidden="1" x14ac:dyDescent="0.3">
      <c r="A855" s="18" t="s">
        <v>1960</v>
      </c>
      <c r="B855" s="18" t="s">
        <v>151</v>
      </c>
      <c r="C855" s="18" t="s">
        <v>1965</v>
      </c>
      <c r="D855" s="14" t="s">
        <v>873</v>
      </c>
      <c r="E855" s="18" t="s">
        <v>9</v>
      </c>
      <c r="F855" s="14" t="s">
        <v>517</v>
      </c>
      <c r="G855" s="14" t="s">
        <v>518</v>
      </c>
      <c r="H855" s="18" t="s">
        <v>5</v>
      </c>
      <c r="I855" s="14" t="s">
        <v>117</v>
      </c>
      <c r="J855" s="14">
        <v>15</v>
      </c>
      <c r="K855" s="14" t="s">
        <v>899</v>
      </c>
      <c r="L855" s="14"/>
      <c r="M855" s="14">
        <v>1</v>
      </c>
      <c r="N855" s="15">
        <v>720000</v>
      </c>
      <c r="O855" s="15">
        <f t="shared" si="33"/>
        <v>720000</v>
      </c>
      <c r="P855" s="15"/>
      <c r="Q855" s="14" t="s">
        <v>520</v>
      </c>
      <c r="R855" s="21">
        <v>45382</v>
      </c>
      <c r="S855" s="22" t="str">
        <f>TEXT(Table1[[#This Row],[End Date]],"MMMM")</f>
        <v>March</v>
      </c>
      <c r="T855" s="23" t="str">
        <f>TEXT(Table1[[#This Row],[End Date]],"YYYY")</f>
        <v>2024</v>
      </c>
      <c r="U855" s="24">
        <f t="shared" ca="1" si="34"/>
        <v>-249</v>
      </c>
      <c r="V855" s="14" t="str" cm="1">
        <f t="array" aca="1" ref="V855" ca="1">_xlfn.IFS(Table1[[#This Row],[Agreement Days]]&gt;=0,"Expired",Table1[[#This Row],[Agreement Days]]&gt;=-30,"Expires &lt; 30 Days",Table1[[#This Row],[Agreement Days]]&gt;=-60,"Expires &lt; 60 Days",Table1[[#This Row],[Agreement Days]]&lt;-60,"Valid Contract")</f>
        <v>Valid Contract</v>
      </c>
      <c r="W855" s="14" t="s">
        <v>20</v>
      </c>
      <c r="X855" s="26" t="s">
        <v>1962</v>
      </c>
      <c r="Y855" s="16" t="s">
        <v>1963</v>
      </c>
      <c r="Z855" s="17" t="s">
        <v>1964</v>
      </c>
      <c r="AA855" s="19"/>
      <c r="AB855" s="116"/>
      <c r="AC855" s="116"/>
    </row>
    <row r="856" spans="1:29" hidden="1" x14ac:dyDescent="0.3">
      <c r="A856" s="18" t="s">
        <v>1960</v>
      </c>
      <c r="B856" s="18" t="s">
        <v>151</v>
      </c>
      <c r="C856" s="18" t="s">
        <v>1965</v>
      </c>
      <c r="D856" s="14" t="s">
        <v>873</v>
      </c>
      <c r="E856" s="18" t="s">
        <v>9</v>
      </c>
      <c r="F856" s="14" t="s">
        <v>517</v>
      </c>
      <c r="G856" s="14" t="s">
        <v>518</v>
      </c>
      <c r="H856" s="18" t="s">
        <v>5</v>
      </c>
      <c r="I856" s="14" t="s">
        <v>120</v>
      </c>
      <c r="J856" s="14"/>
      <c r="K856" s="14" t="s">
        <v>649</v>
      </c>
      <c r="L856" s="14"/>
      <c r="M856" s="14">
        <v>1</v>
      </c>
      <c r="N856" s="15">
        <v>258044.92</v>
      </c>
      <c r="O856" s="15">
        <f t="shared" si="33"/>
        <v>258044.92</v>
      </c>
      <c r="P856" s="15"/>
      <c r="Q856" s="14" t="s">
        <v>520</v>
      </c>
      <c r="R856" s="21">
        <v>45382</v>
      </c>
      <c r="S856" s="22" t="str">
        <f>TEXT(Table1[[#This Row],[End Date]],"MMMM")</f>
        <v>March</v>
      </c>
      <c r="T856" s="23" t="str">
        <f>TEXT(Table1[[#This Row],[End Date]],"YYYY")</f>
        <v>2024</v>
      </c>
      <c r="U856" s="24">
        <f t="shared" ca="1" si="34"/>
        <v>-249</v>
      </c>
      <c r="V856" s="14" t="str" cm="1">
        <f t="array" aca="1" ref="V856" ca="1">_xlfn.IFS(Table1[[#This Row],[Agreement Days]]&gt;=0,"Expired",Table1[[#This Row],[Agreement Days]]&gt;=-30,"Expires &lt; 30 Days",Table1[[#This Row],[Agreement Days]]&gt;=-60,"Expires &lt; 60 Days",Table1[[#This Row],[Agreement Days]]&lt;-60,"Valid Contract")</f>
        <v>Valid Contract</v>
      </c>
      <c r="W856" s="14" t="s">
        <v>20</v>
      </c>
      <c r="X856" s="26" t="s">
        <v>1962</v>
      </c>
      <c r="Y856" s="16" t="s">
        <v>1963</v>
      </c>
      <c r="Z856" s="17" t="s">
        <v>1964</v>
      </c>
      <c r="AA856" s="19"/>
      <c r="AB856" s="116"/>
      <c r="AC856" s="116"/>
    </row>
    <row r="857" spans="1:29" hidden="1" x14ac:dyDescent="0.3">
      <c r="A857" s="18" t="s">
        <v>1960</v>
      </c>
      <c r="B857" s="18" t="s">
        <v>151</v>
      </c>
      <c r="C857" s="18" t="s">
        <v>1966</v>
      </c>
      <c r="D857" s="14" t="s">
        <v>873</v>
      </c>
      <c r="E857" s="18" t="s">
        <v>9</v>
      </c>
      <c r="F857" s="14" t="s">
        <v>517</v>
      </c>
      <c r="G857" s="14" t="s">
        <v>518</v>
      </c>
      <c r="H857" s="18" t="s">
        <v>4</v>
      </c>
      <c r="I857" s="14" t="s">
        <v>118</v>
      </c>
      <c r="J857" s="14"/>
      <c r="K857" s="20" t="s">
        <v>650</v>
      </c>
      <c r="L857" s="14"/>
      <c r="M857" s="14">
        <v>1</v>
      </c>
      <c r="N857" s="15">
        <v>369325.42</v>
      </c>
      <c r="O857" s="15">
        <f t="shared" si="33"/>
        <v>369325.42</v>
      </c>
      <c r="P857" s="15"/>
      <c r="Q857" s="14" t="s">
        <v>520</v>
      </c>
      <c r="R857" s="21">
        <v>45382</v>
      </c>
      <c r="S857" s="22" t="str">
        <f>TEXT(Table1[[#This Row],[End Date]],"MMMM")</f>
        <v>March</v>
      </c>
      <c r="T857" s="23" t="str">
        <f>TEXT(Table1[[#This Row],[End Date]],"YYYY")</f>
        <v>2024</v>
      </c>
      <c r="U857" s="24">
        <f t="shared" ca="1" si="34"/>
        <v>-249</v>
      </c>
      <c r="V857" s="14" t="str" cm="1">
        <f t="array" aca="1" ref="V857" ca="1">_xlfn.IFS(Table1[[#This Row],[Agreement Days]]&gt;=0,"Expired",Table1[[#This Row],[Agreement Days]]&gt;=-30,"Expires &lt; 30 Days",Table1[[#This Row],[Agreement Days]]&gt;=-60,"Expires &lt; 60 Days",Table1[[#This Row],[Agreement Days]]&lt;-60,"Valid Contract")</f>
        <v>Valid Contract</v>
      </c>
      <c r="W857" s="14" t="s">
        <v>20</v>
      </c>
      <c r="X857" s="26" t="s">
        <v>1962</v>
      </c>
      <c r="Y857" s="16" t="s">
        <v>1963</v>
      </c>
      <c r="Z857" s="17" t="s">
        <v>1964</v>
      </c>
      <c r="AA857" s="19"/>
      <c r="AB857" s="116"/>
      <c r="AC857" s="116"/>
    </row>
    <row r="858" spans="1:29" hidden="1" x14ac:dyDescent="0.3">
      <c r="A858" s="18" t="s">
        <v>1960</v>
      </c>
      <c r="B858" s="18" t="s">
        <v>151</v>
      </c>
      <c r="C858" s="18" t="s">
        <v>151</v>
      </c>
      <c r="D858" s="14" t="s">
        <v>873</v>
      </c>
      <c r="E858" s="18" t="s">
        <v>9</v>
      </c>
      <c r="F858" s="14" t="s">
        <v>517</v>
      </c>
      <c r="G858" s="14" t="s">
        <v>518</v>
      </c>
      <c r="H858" s="18" t="s">
        <v>5</v>
      </c>
      <c r="I858" s="14" t="s">
        <v>115</v>
      </c>
      <c r="J858" s="14"/>
      <c r="K858" s="18" t="s">
        <v>643</v>
      </c>
      <c r="L858" s="14"/>
      <c r="M858" s="14">
        <v>14</v>
      </c>
      <c r="N858" s="15">
        <v>28305.08</v>
      </c>
      <c r="O858" s="15">
        <f t="shared" si="33"/>
        <v>396271.12</v>
      </c>
      <c r="P858" s="15"/>
      <c r="Q858" s="14" t="s">
        <v>520</v>
      </c>
      <c r="R858" s="21">
        <v>45382</v>
      </c>
      <c r="S858" s="22" t="str">
        <f>TEXT(Table1[[#This Row],[End Date]],"MMMM")</f>
        <v>March</v>
      </c>
      <c r="T858" s="23" t="str">
        <f>TEXT(Table1[[#This Row],[End Date]],"YYYY")</f>
        <v>2024</v>
      </c>
      <c r="U858" s="24">
        <f t="shared" ca="1" si="34"/>
        <v>-249</v>
      </c>
      <c r="V858" s="14" t="str" cm="1">
        <f t="array" aca="1" ref="V858" ca="1">_xlfn.IFS(Table1[[#This Row],[Agreement Days]]&gt;=0,"Expired",Table1[[#This Row],[Agreement Days]]&gt;=-30,"Expires &lt; 30 Days",Table1[[#This Row],[Agreement Days]]&gt;=-60,"Expires &lt; 60 Days",Table1[[#This Row],[Agreement Days]]&lt;-60,"Valid Contract")</f>
        <v>Valid Contract</v>
      </c>
      <c r="W858" s="14" t="s">
        <v>20</v>
      </c>
      <c r="X858" s="26" t="s">
        <v>1962</v>
      </c>
      <c r="Y858" s="16" t="s">
        <v>1963</v>
      </c>
      <c r="Z858" s="17" t="s">
        <v>1964</v>
      </c>
      <c r="AA858" s="19"/>
      <c r="AB858" s="116"/>
      <c r="AC858" s="116"/>
    </row>
    <row r="859" spans="1:29" hidden="1" x14ac:dyDescent="0.3">
      <c r="A859" s="18" t="s">
        <v>1960</v>
      </c>
      <c r="B859" s="18" t="s">
        <v>151</v>
      </c>
      <c r="C859" s="18" t="s">
        <v>1966</v>
      </c>
      <c r="D859" s="14" t="s">
        <v>873</v>
      </c>
      <c r="E859" s="18" t="s">
        <v>9</v>
      </c>
      <c r="F859" s="14" t="s">
        <v>517</v>
      </c>
      <c r="G859" s="14" t="s">
        <v>518</v>
      </c>
      <c r="H859" s="18" t="s">
        <v>5</v>
      </c>
      <c r="I859" s="14" t="s">
        <v>115</v>
      </c>
      <c r="J859" s="14"/>
      <c r="K859" s="18" t="s">
        <v>651</v>
      </c>
      <c r="L859" s="14"/>
      <c r="M859" s="14">
        <v>79</v>
      </c>
      <c r="N859" s="15">
        <f>96000/1.18</f>
        <v>81355.932203389835</v>
      </c>
      <c r="O859" s="15">
        <f t="shared" si="33"/>
        <v>6427118.6440677969</v>
      </c>
      <c r="P859" s="15"/>
      <c r="Q859" s="14" t="s">
        <v>520</v>
      </c>
      <c r="R859" s="21">
        <v>45382</v>
      </c>
      <c r="S859" s="22" t="str">
        <f>TEXT(Table1[[#This Row],[End Date]],"MMMM")</f>
        <v>March</v>
      </c>
      <c r="T859" s="23" t="str">
        <f>TEXT(Table1[[#This Row],[End Date]],"YYYY")</f>
        <v>2024</v>
      </c>
      <c r="U859" s="24">
        <f t="shared" ca="1" si="34"/>
        <v>-249</v>
      </c>
      <c r="V859" s="14" t="str" cm="1">
        <f t="array" aca="1" ref="V859" ca="1">_xlfn.IFS(Table1[[#This Row],[Agreement Days]]&gt;=0,"Expired",Table1[[#This Row],[Agreement Days]]&gt;=-30,"Expires &lt; 30 Days",Table1[[#This Row],[Agreement Days]]&gt;=-60,"Expires &lt; 60 Days",Table1[[#This Row],[Agreement Days]]&lt;-60,"Valid Contract")</f>
        <v>Valid Contract</v>
      </c>
      <c r="W859" s="14" t="s">
        <v>20</v>
      </c>
      <c r="X859" s="26" t="s">
        <v>1962</v>
      </c>
      <c r="Y859" s="16" t="s">
        <v>1963</v>
      </c>
      <c r="Z859" s="17" t="s">
        <v>1964</v>
      </c>
      <c r="AA859" s="19"/>
      <c r="AB859" s="116"/>
      <c r="AC859" s="116"/>
    </row>
    <row r="860" spans="1:29" hidden="1" x14ac:dyDescent="0.3">
      <c r="A860" s="18" t="s">
        <v>1967</v>
      </c>
      <c r="B860" s="18" t="s">
        <v>306</v>
      </c>
      <c r="C860" s="18" t="s">
        <v>1968</v>
      </c>
      <c r="D860" s="14" t="s">
        <v>875</v>
      </c>
      <c r="E860" s="18" t="s">
        <v>9</v>
      </c>
      <c r="F860" s="14" t="s">
        <v>688</v>
      </c>
      <c r="G860" s="14" t="s">
        <v>518</v>
      </c>
      <c r="H860" s="18" t="s">
        <v>5</v>
      </c>
      <c r="I860" s="14" t="s">
        <v>117</v>
      </c>
      <c r="J860" s="14">
        <v>5</v>
      </c>
      <c r="K860" s="18" t="s">
        <v>519</v>
      </c>
      <c r="L860" s="18"/>
      <c r="M860" s="14">
        <v>1</v>
      </c>
      <c r="N860" s="15">
        <v>270000</v>
      </c>
      <c r="O860" s="15">
        <f t="shared" si="33"/>
        <v>270000</v>
      </c>
      <c r="P860" s="15"/>
      <c r="Q860" s="14" t="s">
        <v>520</v>
      </c>
      <c r="R860" s="25">
        <v>45382</v>
      </c>
      <c r="S860" s="34" t="str">
        <f>TEXT(Table1[[#This Row],[End Date]],"MMMM")</f>
        <v>March</v>
      </c>
      <c r="T860" s="34" t="str">
        <f>TEXT(Table1[[#This Row],[End Date]],"YYYY")</f>
        <v>2024</v>
      </c>
      <c r="U860" s="24">
        <f t="shared" ca="1" si="34"/>
        <v>-249</v>
      </c>
      <c r="V860" s="14" t="str" cm="1">
        <f t="array" aca="1" ref="V860" ca="1">_xlfn.IFS(Table1[[#This Row],[Agreement Days]]&gt;=0,"Expired",Table1[[#This Row],[Agreement Days]]&gt;=-30,"Expires &lt; 30 Days",Table1[[#This Row],[Agreement Days]]&gt;=-60,"Expires &lt; 60 Days",Table1[[#This Row],[Agreement Days]]&lt;-60,"Valid Contract")</f>
        <v>Valid Contract</v>
      </c>
      <c r="W860" s="18" t="s">
        <v>21</v>
      </c>
      <c r="X860" s="18" t="s">
        <v>1969</v>
      </c>
      <c r="Y860" s="42" t="s">
        <v>1970</v>
      </c>
      <c r="Z860" s="27">
        <v>784893270</v>
      </c>
      <c r="AA860" s="27"/>
      <c r="AB860" s="116"/>
      <c r="AC860" s="116"/>
    </row>
    <row r="861" spans="1:29" x14ac:dyDescent="0.3">
      <c r="A861" s="18" t="s">
        <v>1971</v>
      </c>
      <c r="B861" s="18" t="s">
        <v>232</v>
      </c>
      <c r="C861" s="18" t="s">
        <v>1972</v>
      </c>
      <c r="D861" s="14" t="s">
        <v>545</v>
      </c>
      <c r="E861" s="18" t="s">
        <v>9</v>
      </c>
      <c r="F861" s="14" t="s">
        <v>517</v>
      </c>
      <c r="G861" s="14" t="s">
        <v>518</v>
      </c>
      <c r="H861" s="18" t="s">
        <v>5</v>
      </c>
      <c r="I861" s="14" t="s">
        <v>117</v>
      </c>
      <c r="J861" s="14">
        <v>10</v>
      </c>
      <c r="K861" s="14" t="s">
        <v>1391</v>
      </c>
      <c r="L861" s="14"/>
      <c r="M861" s="14">
        <v>1</v>
      </c>
      <c r="N861" s="15">
        <f>601800/1.18</f>
        <v>510000</v>
      </c>
      <c r="O861" s="15">
        <f t="shared" si="33"/>
        <v>510000</v>
      </c>
      <c r="P861" s="15"/>
      <c r="Q861" s="14" t="s">
        <v>520</v>
      </c>
      <c r="R861" s="25">
        <v>45382</v>
      </c>
      <c r="S861" s="22" t="str">
        <f>TEXT(Table1[[#This Row],[End Date]],"MMMM")</f>
        <v>March</v>
      </c>
      <c r="T861" s="23" t="str">
        <f>TEXT(Table1[[#This Row],[End Date]],"YYYY")</f>
        <v>2024</v>
      </c>
      <c r="U861" s="24">
        <f t="shared" ca="1" si="34"/>
        <v>-249</v>
      </c>
      <c r="V861" s="14" t="str" cm="1">
        <f t="array" aca="1" ref="V861" ca="1">_xlfn.IFS(Table1[[#This Row],[Agreement Days]]&gt;=0,"Expired",Table1[[#This Row],[Agreement Days]]&gt;=-30,"Expires &lt; 30 Days",Table1[[#This Row],[Agreement Days]]&gt;=-60,"Expires &lt; 60 Days",Table1[[#This Row],[Agreement Days]]&lt;-60,"Valid Contract")</f>
        <v>Valid Contract</v>
      </c>
      <c r="W861" s="14" t="s">
        <v>12</v>
      </c>
      <c r="X861" s="14" t="s">
        <v>1973</v>
      </c>
      <c r="Y861" s="16" t="s">
        <v>1974</v>
      </c>
      <c r="Z861" s="27" t="s">
        <v>1975</v>
      </c>
      <c r="AA861" s="17"/>
      <c r="AB861" s="116"/>
      <c r="AC861" s="116"/>
    </row>
    <row r="862" spans="1:29" x14ac:dyDescent="0.3">
      <c r="A862" s="18" t="s">
        <v>1971</v>
      </c>
      <c r="B862" s="18" t="s">
        <v>232</v>
      </c>
      <c r="C862" s="18" t="s">
        <v>1976</v>
      </c>
      <c r="D862" s="14" t="s">
        <v>545</v>
      </c>
      <c r="E862" s="18" t="s">
        <v>9</v>
      </c>
      <c r="F862" s="14" t="s">
        <v>517</v>
      </c>
      <c r="G862" s="14" t="s">
        <v>518</v>
      </c>
      <c r="H862" s="18" t="s">
        <v>5</v>
      </c>
      <c r="I862" s="14" t="s">
        <v>117</v>
      </c>
      <c r="J862" s="14">
        <v>50</v>
      </c>
      <c r="K862" s="14" t="s">
        <v>1977</v>
      </c>
      <c r="L862" s="14"/>
      <c r="M862" s="14">
        <v>1</v>
      </c>
      <c r="N862" s="15">
        <f>2124000/1.18</f>
        <v>1800000</v>
      </c>
      <c r="O862" s="15">
        <f t="shared" si="33"/>
        <v>1800000</v>
      </c>
      <c r="P862" s="15"/>
      <c r="Q862" s="14" t="s">
        <v>520</v>
      </c>
      <c r="R862" s="25">
        <v>45382</v>
      </c>
      <c r="S862" s="22" t="str">
        <f>TEXT(Table1[[#This Row],[End Date]],"MMMM")</f>
        <v>March</v>
      </c>
      <c r="T862" s="23" t="str">
        <f>TEXT(Table1[[#This Row],[End Date]],"YYYY")</f>
        <v>2024</v>
      </c>
      <c r="U862" s="24">
        <f t="shared" ca="1" si="34"/>
        <v>-249</v>
      </c>
      <c r="V862" s="14" t="str" cm="1">
        <f t="array" aca="1" ref="V862" ca="1">_xlfn.IFS(Table1[[#This Row],[Agreement Days]]&gt;=0,"Expired",Table1[[#This Row],[Agreement Days]]&gt;=-30,"Expires &lt; 30 Days",Table1[[#This Row],[Agreement Days]]&gt;=-60,"Expires &lt; 60 Days",Table1[[#This Row],[Agreement Days]]&lt;-60,"Valid Contract")</f>
        <v>Valid Contract</v>
      </c>
      <c r="W862" s="14" t="s">
        <v>12</v>
      </c>
      <c r="X862" s="14" t="s">
        <v>1973</v>
      </c>
      <c r="Y862" s="16" t="s">
        <v>1974</v>
      </c>
      <c r="Z862" s="27" t="s">
        <v>1975</v>
      </c>
      <c r="AA862" s="17"/>
      <c r="AB862" s="116"/>
      <c r="AC862" s="116"/>
    </row>
    <row r="863" spans="1:29" x14ac:dyDescent="0.3">
      <c r="A863" s="18" t="s">
        <v>1971</v>
      </c>
      <c r="B863" s="18" t="s">
        <v>232</v>
      </c>
      <c r="C863" s="18" t="s">
        <v>1972</v>
      </c>
      <c r="D863" s="14" t="s">
        <v>545</v>
      </c>
      <c r="E863" s="18" t="s">
        <v>9</v>
      </c>
      <c r="F863" s="14" t="s">
        <v>517</v>
      </c>
      <c r="G863" s="14" t="s">
        <v>518</v>
      </c>
      <c r="H863" s="18" t="s">
        <v>5</v>
      </c>
      <c r="I863" s="14" t="s">
        <v>115</v>
      </c>
      <c r="J863" s="14"/>
      <c r="K863" s="14" t="s">
        <v>643</v>
      </c>
      <c r="L863" s="14"/>
      <c r="M863" s="14">
        <v>1</v>
      </c>
      <c r="N863" s="15">
        <v>28305.084746</v>
      </c>
      <c r="O863" s="2">
        <f t="shared" si="33"/>
        <v>28305.084746</v>
      </c>
      <c r="P863" s="2"/>
      <c r="Q863" s="14" t="s">
        <v>520</v>
      </c>
      <c r="R863" s="25">
        <v>45382</v>
      </c>
      <c r="S863" s="57" t="str">
        <f>TEXT(Table1[[#This Row],[End Date]],"MMMM")</f>
        <v>March</v>
      </c>
      <c r="T863" s="57" t="str">
        <f>TEXT(Table1[[#This Row],[End Date]],"YYYY")</f>
        <v>2024</v>
      </c>
      <c r="U863" s="58">
        <f t="shared" ca="1" si="34"/>
        <v>-249</v>
      </c>
      <c r="V863" s="14" t="str" cm="1">
        <f t="array" aca="1" ref="V863" ca="1">_xlfn.IFS(Table1[[#This Row],[Agreement Days]]&gt;=0,"Expired",Table1[[#This Row],[Agreement Days]]&gt;=-30,"Expires &lt; 30 Days",Table1[[#This Row],[Agreement Days]]&gt;=-60,"Expires &lt; 60 Days",Table1[[#This Row],[Agreement Days]]&lt;-60,"Valid Contract")</f>
        <v>Valid Contract</v>
      </c>
      <c r="W863" s="14" t="s">
        <v>12</v>
      </c>
      <c r="X863" s="14" t="s">
        <v>1973</v>
      </c>
      <c r="Y863" s="16" t="s">
        <v>1974</v>
      </c>
      <c r="Z863" s="27" t="s">
        <v>1975</v>
      </c>
      <c r="AA863" s="17"/>
      <c r="AB863" s="116"/>
      <c r="AC863" s="116"/>
    </row>
    <row r="864" spans="1:29" hidden="1" x14ac:dyDescent="0.3">
      <c r="A864" s="18" t="s">
        <v>1978</v>
      </c>
      <c r="B864" s="18" t="s">
        <v>253</v>
      </c>
      <c r="C864" s="18" t="s">
        <v>253</v>
      </c>
      <c r="D864" s="14" t="s">
        <v>545</v>
      </c>
      <c r="E864" s="18" t="s">
        <v>9</v>
      </c>
      <c r="F864" s="14" t="s">
        <v>517</v>
      </c>
      <c r="G864" s="14" t="s">
        <v>518</v>
      </c>
      <c r="H864" s="18" t="s">
        <v>5</v>
      </c>
      <c r="I864" s="14" t="s">
        <v>117</v>
      </c>
      <c r="J864" s="14">
        <v>30</v>
      </c>
      <c r="K864" s="20" t="s">
        <v>694</v>
      </c>
      <c r="L864" s="14"/>
      <c r="M864" s="14">
        <v>1</v>
      </c>
      <c r="N864" s="15">
        <v>1260000</v>
      </c>
      <c r="O864" s="15">
        <f t="shared" si="33"/>
        <v>1260000</v>
      </c>
      <c r="P864" s="15"/>
      <c r="Q864" s="14" t="s">
        <v>520</v>
      </c>
      <c r="R864" s="25">
        <v>45382</v>
      </c>
      <c r="S864" s="22" t="str">
        <f>TEXT(Table1[[#This Row],[End Date]],"MMMM")</f>
        <v>March</v>
      </c>
      <c r="T864" s="23" t="str">
        <f>TEXT(Table1[[#This Row],[End Date]],"YYYY")</f>
        <v>2024</v>
      </c>
      <c r="U864" s="24">
        <f t="shared" ca="1" si="34"/>
        <v>-249</v>
      </c>
      <c r="V864" s="14" t="str" cm="1">
        <f t="array" aca="1" ref="V864" ca="1">_xlfn.IFS(Table1[[#This Row],[Agreement Days]]&gt;=0,"Expired",Table1[[#This Row],[Agreement Days]]&gt;=-30,"Expires &lt; 30 Days",Table1[[#This Row],[Agreement Days]]&gt;=-60,"Expires &lt; 60 Days",Table1[[#This Row],[Agreement Days]]&lt;-60,"Valid Contract")</f>
        <v>Valid Contract</v>
      </c>
      <c r="W864" s="14" t="s">
        <v>20</v>
      </c>
      <c r="X864" s="14" t="s">
        <v>1979</v>
      </c>
      <c r="Y864" s="16" t="s">
        <v>1980</v>
      </c>
      <c r="Z864" s="27" t="s">
        <v>1981</v>
      </c>
      <c r="AA864" s="19"/>
      <c r="AB864" s="116"/>
      <c r="AC864" s="116"/>
    </row>
    <row r="865" spans="1:29" hidden="1" x14ac:dyDescent="0.3">
      <c r="A865" s="18" t="s">
        <v>1978</v>
      </c>
      <c r="B865" s="18" t="s">
        <v>253</v>
      </c>
      <c r="C865" s="18" t="s">
        <v>1982</v>
      </c>
      <c r="D865" s="14" t="s">
        <v>545</v>
      </c>
      <c r="E865" s="18" t="s">
        <v>9</v>
      </c>
      <c r="F865" s="14" t="s">
        <v>517</v>
      </c>
      <c r="G865" s="14" t="s">
        <v>518</v>
      </c>
      <c r="H865" s="18" t="s">
        <v>4</v>
      </c>
      <c r="I865" s="14" t="s">
        <v>118</v>
      </c>
      <c r="J865" s="14"/>
      <c r="K865" s="20" t="s">
        <v>650</v>
      </c>
      <c r="L865" s="14"/>
      <c r="M865" s="14">
        <v>1</v>
      </c>
      <c r="N865" s="15">
        <v>369325.42</v>
      </c>
      <c r="O865" s="15">
        <f t="shared" si="33"/>
        <v>369325.42</v>
      </c>
      <c r="P865" s="15"/>
      <c r="Q865" s="14" t="s">
        <v>520</v>
      </c>
      <c r="R865" s="25">
        <v>45382</v>
      </c>
      <c r="S865" s="22" t="str">
        <f>TEXT(Table1[[#This Row],[End Date]],"MMMM")</f>
        <v>March</v>
      </c>
      <c r="T865" s="23" t="str">
        <f>TEXT(Table1[[#This Row],[End Date]],"YYYY")</f>
        <v>2024</v>
      </c>
      <c r="U865" s="24">
        <f t="shared" ca="1" si="34"/>
        <v>-249</v>
      </c>
      <c r="V865" s="14" t="str" cm="1">
        <f t="array" aca="1" ref="V865" ca="1">_xlfn.IFS(Table1[[#This Row],[Agreement Days]]&gt;=0,"Expired",Table1[[#This Row],[Agreement Days]]&gt;=-30,"Expires &lt; 30 Days",Table1[[#This Row],[Agreement Days]]&gt;=-60,"Expires &lt; 60 Days",Table1[[#This Row],[Agreement Days]]&lt;-60,"Valid Contract")</f>
        <v>Valid Contract</v>
      </c>
      <c r="W865" s="14" t="s">
        <v>20</v>
      </c>
      <c r="X865" s="14" t="s">
        <v>1979</v>
      </c>
      <c r="Y865" s="16" t="s">
        <v>1983</v>
      </c>
      <c r="Z865" s="27" t="s">
        <v>1981</v>
      </c>
      <c r="AA865" s="19"/>
      <c r="AB865" s="116"/>
      <c r="AC865" s="116"/>
    </row>
    <row r="866" spans="1:29" hidden="1" x14ac:dyDescent="0.3">
      <c r="A866" s="18" t="s">
        <v>1978</v>
      </c>
      <c r="B866" s="18" t="s">
        <v>253</v>
      </c>
      <c r="C866" s="18" t="s">
        <v>1982</v>
      </c>
      <c r="D866" s="14" t="s">
        <v>545</v>
      </c>
      <c r="E866" s="18" t="s">
        <v>9</v>
      </c>
      <c r="F866" s="14" t="s">
        <v>517</v>
      </c>
      <c r="G866" s="14" t="s">
        <v>518</v>
      </c>
      <c r="H866" s="18" t="s">
        <v>5</v>
      </c>
      <c r="I866" s="14" t="s">
        <v>115</v>
      </c>
      <c r="J866" s="14"/>
      <c r="K866" s="18" t="s">
        <v>657</v>
      </c>
      <c r="L866" s="14"/>
      <c r="M866" s="14">
        <v>2</v>
      </c>
      <c r="N866" s="15">
        <v>45338.98</v>
      </c>
      <c r="O866" s="15">
        <f t="shared" si="33"/>
        <v>90677.96</v>
      </c>
      <c r="P866" s="15"/>
      <c r="Q866" s="14" t="s">
        <v>520</v>
      </c>
      <c r="R866" s="25">
        <v>45382</v>
      </c>
      <c r="S866" s="22" t="str">
        <f>TEXT(Table1[[#This Row],[End Date]],"MMMM")</f>
        <v>March</v>
      </c>
      <c r="T866" s="23" t="str">
        <f>TEXT(Table1[[#This Row],[End Date]],"YYYY")</f>
        <v>2024</v>
      </c>
      <c r="U866" s="24">
        <f t="shared" ca="1" si="34"/>
        <v>-249</v>
      </c>
      <c r="V866" s="14" t="str" cm="1">
        <f t="array" aca="1" ref="V866" ca="1">_xlfn.IFS(Table1[[#This Row],[Agreement Days]]&gt;=0,"Expired",Table1[[#This Row],[Agreement Days]]&gt;=-30,"Expires &lt; 30 Days",Table1[[#This Row],[Agreement Days]]&gt;=-60,"Expires &lt; 60 Days",Table1[[#This Row],[Agreement Days]]&lt;-60,"Valid Contract")</f>
        <v>Valid Contract</v>
      </c>
      <c r="W866" s="14" t="s">
        <v>20</v>
      </c>
      <c r="X866" s="14" t="s">
        <v>1979</v>
      </c>
      <c r="Y866" s="16" t="s">
        <v>1983</v>
      </c>
      <c r="Z866" s="27" t="s">
        <v>1981</v>
      </c>
      <c r="AA866" s="19"/>
      <c r="AB866" s="116"/>
      <c r="AC866" s="116"/>
    </row>
    <row r="867" spans="1:29" hidden="1" x14ac:dyDescent="0.3">
      <c r="A867" s="18" t="s">
        <v>1984</v>
      </c>
      <c r="B867" s="18" t="s">
        <v>297</v>
      </c>
      <c r="C867" s="18" t="s">
        <v>297</v>
      </c>
      <c r="D867" s="14" t="s">
        <v>545</v>
      </c>
      <c r="E867" s="18" t="s">
        <v>10</v>
      </c>
      <c r="F867" s="14" t="s">
        <v>560</v>
      </c>
      <c r="G867" s="14" t="s">
        <v>518</v>
      </c>
      <c r="H867" s="18" t="s">
        <v>5</v>
      </c>
      <c r="I867" s="14" t="s">
        <v>134</v>
      </c>
      <c r="J867" s="14">
        <v>10</v>
      </c>
      <c r="K867" s="20" t="s">
        <v>1257</v>
      </c>
      <c r="L867" s="14"/>
      <c r="M867" s="14">
        <v>1</v>
      </c>
      <c r="N867" s="15">
        <v>1045000</v>
      </c>
      <c r="O867" s="15">
        <f t="shared" si="33"/>
        <v>1045000</v>
      </c>
      <c r="P867" s="15"/>
      <c r="Q867" s="14" t="s">
        <v>520</v>
      </c>
      <c r="R867" s="25">
        <v>45382</v>
      </c>
      <c r="S867" s="22" t="str">
        <f>TEXT(Table1[[#This Row],[End Date]],"MMMM")</f>
        <v>March</v>
      </c>
      <c r="T867" s="22" t="str">
        <f>TEXT(Table1[[#This Row],[End Date]],"YYYY")</f>
        <v>2024</v>
      </c>
      <c r="U867" s="24">
        <f t="shared" ca="1" si="34"/>
        <v>-249</v>
      </c>
      <c r="V867" s="14" t="str" cm="1">
        <f t="array" aca="1" ref="V867" ca="1">_xlfn.IFS(Table1[[#This Row],[Agreement Days]]&gt;=0,"Expired",Table1[[#This Row],[Agreement Days]]&gt;=-30,"Expires &lt; 30 Days",Table1[[#This Row],[Agreement Days]]&gt;=-60,"Expires &lt; 60 Days",Table1[[#This Row],[Agreement Days]]&lt;-60,"Valid Contract")</f>
        <v>Valid Contract</v>
      </c>
      <c r="W867" s="14" t="s">
        <v>20</v>
      </c>
      <c r="X867" s="26" t="s">
        <v>1985</v>
      </c>
      <c r="Y867" s="45" t="s">
        <v>1986</v>
      </c>
      <c r="Z867" s="27" t="s">
        <v>1987</v>
      </c>
      <c r="AA867" s="19"/>
      <c r="AB867" s="116"/>
      <c r="AC867" s="116"/>
    </row>
    <row r="868" spans="1:29" x14ac:dyDescent="0.3">
      <c r="A868" s="18" t="s">
        <v>1668</v>
      </c>
      <c r="B868" s="18" t="s">
        <v>275</v>
      </c>
      <c r="C868" s="18" t="s">
        <v>1988</v>
      </c>
      <c r="D868" s="14" t="s">
        <v>545</v>
      </c>
      <c r="E868" s="18" t="s">
        <v>9</v>
      </c>
      <c r="F868" s="14" t="s">
        <v>517</v>
      </c>
      <c r="G868" s="14" t="s">
        <v>518</v>
      </c>
      <c r="H868" s="18" t="s">
        <v>5</v>
      </c>
      <c r="I868" s="14" t="s">
        <v>117</v>
      </c>
      <c r="J868" s="14">
        <v>10</v>
      </c>
      <c r="K868" s="14" t="s">
        <v>1391</v>
      </c>
      <c r="L868" s="14"/>
      <c r="M868" s="14">
        <v>1</v>
      </c>
      <c r="N868" s="15">
        <f>601800/1.18</f>
        <v>510000</v>
      </c>
      <c r="O868" s="15">
        <f t="shared" si="33"/>
        <v>510000</v>
      </c>
      <c r="P868" s="15"/>
      <c r="Q868" s="14" t="s">
        <v>520</v>
      </c>
      <c r="R868" s="21">
        <v>45382</v>
      </c>
      <c r="S868" s="22" t="str">
        <f>TEXT(Table1[[#This Row],[End Date]],"MMMM")</f>
        <v>March</v>
      </c>
      <c r="T868" s="23" t="str">
        <f>TEXT(Table1[[#This Row],[End Date]],"YYYY")</f>
        <v>2024</v>
      </c>
      <c r="U868" s="24">
        <f t="shared" ca="1" si="34"/>
        <v>-249</v>
      </c>
      <c r="V868" s="14" t="str" cm="1">
        <f t="array" aca="1" ref="V868" ca="1">_xlfn.IFS(Table1[[#This Row],[Agreement Days]]&gt;=0,"Expired",Table1[[#This Row],[Agreement Days]]&gt;=-30,"Expires &lt; 30 Days",Table1[[#This Row],[Agreement Days]]&gt;=-60,"Expires &lt; 60 Days",Table1[[#This Row],[Agreement Days]]&lt;-60,"Valid Contract")</f>
        <v>Valid Contract</v>
      </c>
      <c r="W868" s="14" t="s">
        <v>12</v>
      </c>
      <c r="X868" s="14" t="s">
        <v>1669</v>
      </c>
      <c r="Y868" s="16" t="s">
        <v>1670</v>
      </c>
      <c r="Z868" s="17" t="s">
        <v>1671</v>
      </c>
      <c r="AA868" s="17"/>
      <c r="AB868" s="116"/>
      <c r="AC868" s="116"/>
    </row>
    <row r="869" spans="1:29" hidden="1" x14ac:dyDescent="0.3">
      <c r="A869" s="18" t="s">
        <v>1989</v>
      </c>
      <c r="B869" s="18" t="s">
        <v>246</v>
      </c>
      <c r="C869" s="18" t="s">
        <v>1990</v>
      </c>
      <c r="D869" s="14" t="s">
        <v>653</v>
      </c>
      <c r="E869" s="18" t="s">
        <v>9</v>
      </c>
      <c r="F869" s="14" t="s">
        <v>517</v>
      </c>
      <c r="G869" s="14" t="s">
        <v>518</v>
      </c>
      <c r="H869" s="18" t="s">
        <v>5</v>
      </c>
      <c r="I869" s="14" t="s">
        <v>117</v>
      </c>
      <c r="J869" s="14">
        <v>5</v>
      </c>
      <c r="K869" s="14" t="s">
        <v>519</v>
      </c>
      <c r="L869" s="14"/>
      <c r="M869" s="14">
        <v>1</v>
      </c>
      <c r="N869" s="15">
        <v>270000</v>
      </c>
      <c r="O869" s="15">
        <f t="shared" si="33"/>
        <v>270000</v>
      </c>
      <c r="P869" s="15"/>
      <c r="Q869" s="14" t="s">
        <v>520</v>
      </c>
      <c r="R869" s="25">
        <v>45382</v>
      </c>
      <c r="S869" s="22" t="str">
        <f>TEXT(Table1[[#This Row],[End Date]],"MMMM")</f>
        <v>March</v>
      </c>
      <c r="T869" s="23" t="str">
        <f>TEXT(Table1[[#This Row],[End Date]],"YYYY")</f>
        <v>2024</v>
      </c>
      <c r="U869" s="24">
        <f t="shared" ca="1" si="34"/>
        <v>-249</v>
      </c>
      <c r="V869" s="14" t="str" cm="1">
        <f t="array" aca="1" ref="V869" ca="1">_xlfn.IFS(Table1[[#This Row],[Agreement Days]]&gt;=0,"Expired",Table1[[#This Row],[Agreement Days]]&gt;=-30,"Expires &lt; 30 Days",Table1[[#This Row],[Agreement Days]]&gt;=-60,"Expires &lt; 60 Days",Table1[[#This Row],[Agreement Days]]&lt;-60,"Valid Contract")</f>
        <v>Valid Contract</v>
      </c>
      <c r="W869" s="14" t="s">
        <v>19</v>
      </c>
      <c r="X869" s="14" t="s">
        <v>1991</v>
      </c>
      <c r="Y869" s="14" t="s">
        <v>1992</v>
      </c>
      <c r="Z869" s="27">
        <v>785920129</v>
      </c>
      <c r="AA869" s="17"/>
      <c r="AB869" s="116"/>
      <c r="AC869" s="116"/>
    </row>
    <row r="870" spans="1:29" hidden="1" x14ac:dyDescent="0.3">
      <c r="A870" s="18" t="s">
        <v>1989</v>
      </c>
      <c r="B870" s="18" t="s">
        <v>246</v>
      </c>
      <c r="C870" s="18" t="s">
        <v>1993</v>
      </c>
      <c r="D870" s="14" t="s">
        <v>653</v>
      </c>
      <c r="E870" s="18" t="s">
        <v>9</v>
      </c>
      <c r="F870" s="14" t="s">
        <v>517</v>
      </c>
      <c r="G870" s="14" t="s">
        <v>518</v>
      </c>
      <c r="H870" s="18" t="s">
        <v>5</v>
      </c>
      <c r="I870" s="14" t="s">
        <v>117</v>
      </c>
      <c r="J870" s="14">
        <v>5</v>
      </c>
      <c r="K870" s="14" t="s">
        <v>519</v>
      </c>
      <c r="L870" s="14"/>
      <c r="M870" s="14">
        <v>1</v>
      </c>
      <c r="N870" s="15">
        <v>270000</v>
      </c>
      <c r="O870" s="15">
        <f t="shared" si="33"/>
        <v>270000</v>
      </c>
      <c r="P870" s="15"/>
      <c r="Q870" s="14" t="s">
        <v>520</v>
      </c>
      <c r="R870" s="25">
        <v>45382</v>
      </c>
      <c r="S870" s="22" t="str">
        <f>TEXT(Table1[[#This Row],[End Date]],"MMMM")</f>
        <v>March</v>
      </c>
      <c r="T870" s="23" t="str">
        <f>TEXT(Table1[[#This Row],[End Date]],"YYYY")</f>
        <v>2024</v>
      </c>
      <c r="U870" s="24">
        <f t="shared" ca="1" si="34"/>
        <v>-249</v>
      </c>
      <c r="V870" s="14" t="str" cm="1">
        <f t="array" aca="1" ref="V870" ca="1">_xlfn.IFS(Table1[[#This Row],[Agreement Days]]&gt;=0,"Expired",Table1[[#This Row],[Agreement Days]]&gt;=-30,"Expires &lt; 30 Days",Table1[[#This Row],[Agreement Days]]&gt;=-60,"Expires &lt; 60 Days",Table1[[#This Row],[Agreement Days]]&lt;-60,"Valid Contract")</f>
        <v>Valid Contract</v>
      </c>
      <c r="W870" s="14" t="s">
        <v>19</v>
      </c>
      <c r="X870" s="14" t="s">
        <v>1991</v>
      </c>
      <c r="Y870" s="14" t="s">
        <v>1992</v>
      </c>
      <c r="Z870" s="27">
        <v>785920129</v>
      </c>
      <c r="AA870" s="17"/>
      <c r="AB870" s="116"/>
      <c r="AC870" s="116"/>
    </row>
    <row r="871" spans="1:29" hidden="1" x14ac:dyDescent="0.3">
      <c r="A871" s="18" t="s">
        <v>1989</v>
      </c>
      <c r="B871" s="18" t="s">
        <v>246</v>
      </c>
      <c r="C871" s="18" t="s">
        <v>1994</v>
      </c>
      <c r="D871" s="14" t="s">
        <v>653</v>
      </c>
      <c r="E871" s="18" t="s">
        <v>9</v>
      </c>
      <c r="F871" s="14" t="s">
        <v>517</v>
      </c>
      <c r="G871" s="14" t="s">
        <v>518</v>
      </c>
      <c r="H871" s="18" t="s">
        <v>5</v>
      </c>
      <c r="I871" s="14" t="s">
        <v>118</v>
      </c>
      <c r="J871" s="14"/>
      <c r="K871" s="14" t="s">
        <v>1020</v>
      </c>
      <c r="L871" s="14"/>
      <c r="M871" s="14">
        <v>1</v>
      </c>
      <c r="N871" s="15">
        <v>369325</v>
      </c>
      <c r="O871" s="15">
        <f t="shared" si="33"/>
        <v>369325</v>
      </c>
      <c r="P871" s="15"/>
      <c r="Q871" s="14" t="s">
        <v>520</v>
      </c>
      <c r="R871" s="25">
        <v>45382</v>
      </c>
      <c r="S871" s="22" t="str">
        <f>TEXT(Table1[[#This Row],[End Date]],"MMMM")</f>
        <v>March</v>
      </c>
      <c r="T871" s="23" t="str">
        <f>TEXT(Table1[[#This Row],[End Date]],"YYYY")</f>
        <v>2024</v>
      </c>
      <c r="U871" s="24">
        <f t="shared" ca="1" si="34"/>
        <v>-249</v>
      </c>
      <c r="V871" s="14" t="str" cm="1">
        <f t="array" aca="1" ref="V871" ca="1">_xlfn.IFS(Table1[[#This Row],[Agreement Days]]&gt;=0,"Expired",Table1[[#This Row],[Agreement Days]]&gt;=-30,"Expires &lt; 30 Days",Table1[[#This Row],[Agreement Days]]&gt;=-60,"Expires &lt; 60 Days",Table1[[#This Row],[Agreement Days]]&lt;-60,"Valid Contract")</f>
        <v>Valid Contract</v>
      </c>
      <c r="W871" s="14" t="s">
        <v>19</v>
      </c>
      <c r="X871" s="14" t="s">
        <v>1991</v>
      </c>
      <c r="Y871" s="14" t="s">
        <v>1992</v>
      </c>
      <c r="Z871" s="27">
        <v>785920129</v>
      </c>
      <c r="AA871" s="17"/>
      <c r="AB871" s="116"/>
      <c r="AC871" s="116"/>
    </row>
    <row r="872" spans="1:29" hidden="1" x14ac:dyDescent="0.3">
      <c r="A872" s="18" t="s">
        <v>1989</v>
      </c>
      <c r="B872" s="18" t="s">
        <v>246</v>
      </c>
      <c r="C872" s="18" t="s">
        <v>1995</v>
      </c>
      <c r="D872" s="14" t="s">
        <v>653</v>
      </c>
      <c r="E872" s="18" t="s">
        <v>9</v>
      </c>
      <c r="F872" s="14" t="s">
        <v>517</v>
      </c>
      <c r="G872" s="14" t="s">
        <v>518</v>
      </c>
      <c r="H872" s="18" t="s">
        <v>5</v>
      </c>
      <c r="I872" s="14" t="s">
        <v>118</v>
      </c>
      <c r="J872" s="14"/>
      <c r="K872" s="14" t="s">
        <v>1020</v>
      </c>
      <c r="L872" s="14"/>
      <c r="M872" s="14">
        <v>1</v>
      </c>
      <c r="N872" s="15">
        <v>369325</v>
      </c>
      <c r="O872" s="15">
        <f t="shared" si="33"/>
        <v>369325</v>
      </c>
      <c r="P872" s="15"/>
      <c r="Q872" s="14" t="s">
        <v>520</v>
      </c>
      <c r="R872" s="25">
        <v>45382</v>
      </c>
      <c r="S872" s="22" t="str">
        <f>TEXT(Table1[[#This Row],[End Date]],"MMMM")</f>
        <v>March</v>
      </c>
      <c r="T872" s="23" t="str">
        <f>TEXT(Table1[[#This Row],[End Date]],"YYYY")</f>
        <v>2024</v>
      </c>
      <c r="U872" s="24">
        <f t="shared" ca="1" si="34"/>
        <v>-249</v>
      </c>
      <c r="V872" s="14" t="str" cm="1">
        <f t="array" aca="1" ref="V872" ca="1">_xlfn.IFS(Table1[[#This Row],[Agreement Days]]&gt;=0,"Expired",Table1[[#This Row],[Agreement Days]]&gt;=-30,"Expires &lt; 30 Days",Table1[[#This Row],[Agreement Days]]&gt;=-60,"Expires &lt; 60 Days",Table1[[#This Row],[Agreement Days]]&lt;-60,"Valid Contract")</f>
        <v>Valid Contract</v>
      </c>
      <c r="W872" s="14" t="s">
        <v>19</v>
      </c>
      <c r="X872" s="14" t="s">
        <v>1991</v>
      </c>
      <c r="Y872" s="14" t="s">
        <v>1992</v>
      </c>
      <c r="Z872" s="27">
        <v>785920129</v>
      </c>
      <c r="AA872" s="17"/>
      <c r="AB872" s="116"/>
      <c r="AC872" s="116"/>
    </row>
    <row r="873" spans="1:29" hidden="1" x14ac:dyDescent="0.3">
      <c r="A873" s="18" t="s">
        <v>1989</v>
      </c>
      <c r="B873" s="18" t="s">
        <v>246</v>
      </c>
      <c r="C873" s="18" t="s">
        <v>1996</v>
      </c>
      <c r="D873" s="14" t="s">
        <v>653</v>
      </c>
      <c r="E873" s="18" t="s">
        <v>9</v>
      </c>
      <c r="F873" s="14" t="s">
        <v>517</v>
      </c>
      <c r="G873" s="14" t="s">
        <v>518</v>
      </c>
      <c r="H873" s="18" t="s">
        <v>5</v>
      </c>
      <c r="I873" s="14" t="s">
        <v>115</v>
      </c>
      <c r="J873" s="14"/>
      <c r="K873" s="18" t="s">
        <v>643</v>
      </c>
      <c r="L873" s="14"/>
      <c r="M873" s="14">
        <v>1</v>
      </c>
      <c r="N873" s="15">
        <v>28305.08</v>
      </c>
      <c r="O873" s="15">
        <f t="shared" si="33"/>
        <v>28305.08</v>
      </c>
      <c r="P873" s="15"/>
      <c r="Q873" s="14" t="s">
        <v>520</v>
      </c>
      <c r="R873" s="25">
        <v>45382</v>
      </c>
      <c r="S873" s="22" t="str">
        <f>TEXT(Table1[[#This Row],[End Date]],"MMMM")</f>
        <v>March</v>
      </c>
      <c r="T873" s="23" t="str">
        <f>TEXT(Table1[[#This Row],[End Date]],"YYYY")</f>
        <v>2024</v>
      </c>
      <c r="U873" s="24">
        <f t="shared" ca="1" si="34"/>
        <v>-249</v>
      </c>
      <c r="V873" s="14" t="str" cm="1">
        <f t="array" aca="1" ref="V873" ca="1">_xlfn.IFS(Table1[[#This Row],[Agreement Days]]&gt;=0,"Expired",Table1[[#This Row],[Agreement Days]]&gt;=-30,"Expires &lt; 30 Days",Table1[[#This Row],[Agreement Days]]&gt;=-60,"Expires &lt; 60 Days",Table1[[#This Row],[Agreement Days]]&lt;-60,"Valid Contract")</f>
        <v>Valid Contract</v>
      </c>
      <c r="W873" s="14" t="s">
        <v>19</v>
      </c>
      <c r="X873" s="14" t="s">
        <v>1991</v>
      </c>
      <c r="Y873" s="14" t="s">
        <v>1992</v>
      </c>
      <c r="Z873" s="27">
        <v>785920129</v>
      </c>
      <c r="AA873" s="17"/>
      <c r="AB873" s="116"/>
      <c r="AC873" s="116"/>
    </row>
    <row r="874" spans="1:29" hidden="1" x14ac:dyDescent="0.3">
      <c r="A874" s="18" t="s">
        <v>1989</v>
      </c>
      <c r="B874" s="18" t="s">
        <v>246</v>
      </c>
      <c r="C874" s="18" t="s">
        <v>1997</v>
      </c>
      <c r="D874" s="14" t="s">
        <v>653</v>
      </c>
      <c r="E874" s="18" t="s">
        <v>9</v>
      </c>
      <c r="F874" s="14" t="s">
        <v>517</v>
      </c>
      <c r="G874" s="14" t="s">
        <v>518</v>
      </c>
      <c r="H874" s="18" t="s">
        <v>5</v>
      </c>
      <c r="I874" s="14" t="s">
        <v>115</v>
      </c>
      <c r="J874" s="14"/>
      <c r="K874" s="18" t="s">
        <v>642</v>
      </c>
      <c r="L874" s="14"/>
      <c r="M874" s="14">
        <v>6</v>
      </c>
      <c r="N874" s="15">
        <v>101694.92</v>
      </c>
      <c r="O874" s="15">
        <f t="shared" si="33"/>
        <v>610169.52</v>
      </c>
      <c r="P874" s="15"/>
      <c r="Q874" s="14" t="s">
        <v>520</v>
      </c>
      <c r="R874" s="25">
        <v>45382</v>
      </c>
      <c r="S874" s="22" t="str">
        <f>TEXT(Table1[[#This Row],[End Date]],"MMMM")</f>
        <v>March</v>
      </c>
      <c r="T874" s="23" t="str">
        <f>TEXT(Table1[[#This Row],[End Date]],"YYYY")</f>
        <v>2024</v>
      </c>
      <c r="U874" s="24">
        <f t="shared" ca="1" si="34"/>
        <v>-249</v>
      </c>
      <c r="V874" s="14" t="str" cm="1">
        <f t="array" aca="1" ref="V874" ca="1">_xlfn.IFS(Table1[[#This Row],[Agreement Days]]&gt;=0,"Expired",Table1[[#This Row],[Agreement Days]]&gt;=-30,"Expires &lt; 30 Days",Table1[[#This Row],[Agreement Days]]&gt;=-60,"Expires &lt; 60 Days",Table1[[#This Row],[Agreement Days]]&lt;-60,"Valid Contract")</f>
        <v>Valid Contract</v>
      </c>
      <c r="W874" s="14" t="s">
        <v>19</v>
      </c>
      <c r="X874" s="14" t="s">
        <v>1991</v>
      </c>
      <c r="Y874" s="14" t="s">
        <v>1992</v>
      </c>
      <c r="Z874" s="27">
        <v>785920129</v>
      </c>
      <c r="AA874" s="17"/>
      <c r="AB874" s="116"/>
      <c r="AC874" s="116"/>
    </row>
    <row r="875" spans="1:29" hidden="1" x14ac:dyDescent="0.3">
      <c r="A875" s="18" t="s">
        <v>1998</v>
      </c>
      <c r="B875" s="18" t="s">
        <v>270</v>
      </c>
      <c r="C875" s="18" t="s">
        <v>544</v>
      </c>
      <c r="D875" s="14" t="s">
        <v>545</v>
      </c>
      <c r="E875" s="18" t="s">
        <v>9</v>
      </c>
      <c r="F875" s="14" t="s">
        <v>517</v>
      </c>
      <c r="G875" s="14" t="s">
        <v>518</v>
      </c>
      <c r="H875" s="18" t="s">
        <v>5</v>
      </c>
      <c r="I875" s="14" t="s">
        <v>117</v>
      </c>
      <c r="J875" s="19">
        <v>20</v>
      </c>
      <c r="K875" s="26" t="s">
        <v>689</v>
      </c>
      <c r="L875" s="26"/>
      <c r="M875" s="19">
        <v>1</v>
      </c>
      <c r="N875" s="15">
        <v>900000</v>
      </c>
      <c r="O875" s="15">
        <f t="shared" si="33"/>
        <v>900000</v>
      </c>
      <c r="P875" s="15"/>
      <c r="Q875" s="14" t="s">
        <v>520</v>
      </c>
      <c r="R875" s="25">
        <v>45382</v>
      </c>
      <c r="S875" s="34" t="str">
        <f>TEXT(Table1[[#This Row],[End Date]],"MMMM")</f>
        <v>March</v>
      </c>
      <c r="T875" s="34" t="str">
        <f>TEXT(Table1[[#This Row],[End Date]],"YYYY")</f>
        <v>2024</v>
      </c>
      <c r="U875" s="24">
        <f t="shared" ca="1" si="34"/>
        <v>-249</v>
      </c>
      <c r="V875" s="14" t="str" cm="1">
        <f t="array" aca="1" ref="V875" ca="1">_xlfn.IFS(Table1[[#This Row],[Agreement Days]]&gt;=0,"Expired",Table1[[#This Row],[Agreement Days]]&gt;=-30,"Expires &lt; 30 Days",Table1[[#This Row],[Agreement Days]]&gt;=-60,"Expires &lt; 60 Days",Table1[[#This Row],[Agreement Days]]&lt;-60,"Valid Contract")</f>
        <v>Valid Contract</v>
      </c>
      <c r="W875" s="26" t="s">
        <v>17</v>
      </c>
      <c r="X875" s="26" t="s">
        <v>1999</v>
      </c>
      <c r="Y875" s="53" t="s">
        <v>2000</v>
      </c>
      <c r="Z875" s="27">
        <v>788826645</v>
      </c>
      <c r="AA875" s="27"/>
      <c r="AB875" s="116"/>
      <c r="AC875" s="116"/>
    </row>
    <row r="876" spans="1:29" hidden="1" x14ac:dyDescent="0.3">
      <c r="A876" s="18" t="s">
        <v>1998</v>
      </c>
      <c r="B876" s="18" t="s">
        <v>270</v>
      </c>
      <c r="C876" s="18" t="s">
        <v>544</v>
      </c>
      <c r="D876" s="14" t="s">
        <v>545</v>
      </c>
      <c r="E876" s="18" t="s">
        <v>9</v>
      </c>
      <c r="F876" s="14" t="s">
        <v>517</v>
      </c>
      <c r="G876" s="14" t="s">
        <v>518</v>
      </c>
      <c r="H876" s="18" t="s">
        <v>5</v>
      </c>
      <c r="I876" s="14" t="s">
        <v>118</v>
      </c>
      <c r="J876" s="19"/>
      <c r="K876" s="26" t="s">
        <v>2001</v>
      </c>
      <c r="L876" s="26"/>
      <c r="M876" s="19">
        <v>1</v>
      </c>
      <c r="N876" s="15">
        <v>86130</v>
      </c>
      <c r="O876" s="2">
        <f t="shared" si="33"/>
        <v>86130</v>
      </c>
      <c r="P876" s="2"/>
      <c r="Q876" s="14" t="s">
        <v>520</v>
      </c>
      <c r="R876" s="25">
        <v>45382</v>
      </c>
      <c r="S876" s="34" t="str">
        <f>TEXT(Table1[[#This Row],[End Date]],"MMMM")</f>
        <v>March</v>
      </c>
      <c r="T876" s="34" t="str">
        <f>TEXT(Table1[[#This Row],[End Date]],"YYYY")</f>
        <v>2024</v>
      </c>
      <c r="U876" s="58">
        <f t="shared" ca="1" si="34"/>
        <v>-249</v>
      </c>
      <c r="V876" s="14" t="str" cm="1">
        <f t="array" aca="1" ref="V876" ca="1">_xlfn.IFS(Table1[[#This Row],[Agreement Days]]&gt;=0,"Expired",Table1[[#This Row],[Agreement Days]]&gt;=-30,"Expires &lt; 30 Days",Table1[[#This Row],[Agreement Days]]&gt;=-60,"Expires &lt; 60 Days",Table1[[#This Row],[Agreement Days]]&lt;-60,"Valid Contract")</f>
        <v>Valid Contract</v>
      </c>
      <c r="W876" s="26" t="s">
        <v>17</v>
      </c>
      <c r="X876" s="26" t="s">
        <v>1999</v>
      </c>
      <c r="Y876" s="53" t="s">
        <v>2000</v>
      </c>
      <c r="Z876" s="27">
        <v>788826645</v>
      </c>
      <c r="AA876" s="27"/>
      <c r="AB876" s="116"/>
      <c r="AC876" s="116"/>
    </row>
    <row r="877" spans="1:29" hidden="1" x14ac:dyDescent="0.3">
      <c r="A877" s="18" t="s">
        <v>1998</v>
      </c>
      <c r="B877" s="18" t="s">
        <v>270</v>
      </c>
      <c r="C877" s="18" t="s">
        <v>544</v>
      </c>
      <c r="D877" s="14" t="s">
        <v>545</v>
      </c>
      <c r="E877" s="18" t="s">
        <v>9</v>
      </c>
      <c r="F877" s="14" t="s">
        <v>517</v>
      </c>
      <c r="G877" s="14" t="s">
        <v>518</v>
      </c>
      <c r="H877" s="18" t="s">
        <v>5</v>
      </c>
      <c r="I877" s="14" t="s">
        <v>115</v>
      </c>
      <c r="J877" s="26"/>
      <c r="K877" s="18" t="s">
        <v>657</v>
      </c>
      <c r="L877" s="26"/>
      <c r="M877" s="19">
        <v>7</v>
      </c>
      <c r="N877" s="15">
        <v>45338.98</v>
      </c>
      <c r="O877" s="15">
        <f t="shared" si="33"/>
        <v>317372.86000000004</v>
      </c>
      <c r="P877" s="15"/>
      <c r="Q877" s="14" t="s">
        <v>520</v>
      </c>
      <c r="R877" s="25">
        <v>45382</v>
      </c>
      <c r="S877" s="34" t="str">
        <f>TEXT(Table1[[#This Row],[End Date]],"MMMM")</f>
        <v>March</v>
      </c>
      <c r="T877" s="23" t="str">
        <f>TEXT(Table1[[#This Row],[End Date]],"YYYY")</f>
        <v>2024</v>
      </c>
      <c r="U877" s="24">
        <f t="shared" ca="1" si="34"/>
        <v>-249</v>
      </c>
      <c r="V877" s="14" t="str" cm="1">
        <f t="array" aca="1" ref="V877" ca="1">_xlfn.IFS(Table1[[#This Row],[Agreement Days]]&gt;=0,"Expired",Table1[[#This Row],[Agreement Days]]&gt;=-30,"Expires &lt; 30 Days",Table1[[#This Row],[Agreement Days]]&gt;=-60,"Expires &lt; 60 Days",Table1[[#This Row],[Agreement Days]]&lt;-60,"Valid Contract")</f>
        <v>Valid Contract</v>
      </c>
      <c r="W877" s="26" t="s">
        <v>17</v>
      </c>
      <c r="X877" s="26" t="s">
        <v>1999</v>
      </c>
      <c r="Y877" s="53" t="s">
        <v>2000</v>
      </c>
      <c r="Z877" s="27">
        <v>788826645</v>
      </c>
      <c r="AA877" s="27"/>
      <c r="AB877" s="116"/>
      <c r="AC877" s="116"/>
    </row>
    <row r="878" spans="1:29" hidden="1" x14ac:dyDescent="0.3">
      <c r="A878" s="18" t="s">
        <v>2002</v>
      </c>
      <c r="B878" s="18" t="s">
        <v>385</v>
      </c>
      <c r="C878" s="18" t="s">
        <v>2003</v>
      </c>
      <c r="D878" s="14" t="s">
        <v>653</v>
      </c>
      <c r="E878" s="18" t="s">
        <v>9</v>
      </c>
      <c r="F878" s="14" t="s">
        <v>517</v>
      </c>
      <c r="G878" s="14" t="s">
        <v>518</v>
      </c>
      <c r="H878" s="18" t="s">
        <v>5</v>
      </c>
      <c r="I878" s="14" t="s">
        <v>115</v>
      </c>
      <c r="J878" s="14"/>
      <c r="K878" s="18" t="s">
        <v>657</v>
      </c>
      <c r="L878" s="14"/>
      <c r="M878" s="14">
        <v>1</v>
      </c>
      <c r="N878" s="15">
        <v>45338.98</v>
      </c>
      <c r="O878" s="15">
        <f t="shared" si="33"/>
        <v>45338.98</v>
      </c>
      <c r="P878" s="15"/>
      <c r="Q878" s="14" t="s">
        <v>520</v>
      </c>
      <c r="R878" s="21">
        <v>45382</v>
      </c>
      <c r="S878" s="22" t="str">
        <f>TEXT(Table1[[#This Row],[End Date]],"MMMM")</f>
        <v>March</v>
      </c>
      <c r="T878" s="23" t="str">
        <f>TEXT(Table1[[#This Row],[End Date]],"YYYY")</f>
        <v>2024</v>
      </c>
      <c r="U878" s="24">
        <f t="shared" ca="1" si="34"/>
        <v>-249</v>
      </c>
      <c r="V878" s="14" t="str" cm="1">
        <f t="array" aca="1" ref="V878" ca="1">_xlfn.IFS(Table1[[#This Row],[Agreement Days]]&gt;=0,"Expired",Table1[[#This Row],[Agreement Days]]&gt;=-30,"Expires &lt; 30 Days",Table1[[#This Row],[Agreement Days]]&gt;=-60,"Expires &lt; 60 Days",Table1[[#This Row],[Agreement Days]]&lt;-60,"Valid Contract")</f>
        <v>Valid Contract</v>
      </c>
      <c r="W878" s="14" t="s">
        <v>19</v>
      </c>
      <c r="X878" s="14" t="s">
        <v>2004</v>
      </c>
      <c r="Y878" s="14" t="s">
        <v>2005</v>
      </c>
      <c r="Z878" s="17">
        <v>788602677</v>
      </c>
      <c r="AA878" s="17"/>
      <c r="AB878" s="116"/>
      <c r="AC878" s="116"/>
    </row>
    <row r="879" spans="1:29" hidden="1" x14ac:dyDescent="0.3">
      <c r="A879" s="18" t="s">
        <v>2006</v>
      </c>
      <c r="B879" s="18" t="s">
        <v>216</v>
      </c>
      <c r="C879" s="18" t="s">
        <v>2007</v>
      </c>
      <c r="D879" s="14" t="s">
        <v>540</v>
      </c>
      <c r="E879" s="18" t="s">
        <v>9</v>
      </c>
      <c r="F879" s="14" t="s">
        <v>688</v>
      </c>
      <c r="G879" s="14" t="s">
        <v>518</v>
      </c>
      <c r="H879" s="18" t="s">
        <v>5</v>
      </c>
      <c r="I879" s="14" t="s">
        <v>117</v>
      </c>
      <c r="J879" s="14">
        <v>10</v>
      </c>
      <c r="K879" s="18" t="s">
        <v>547</v>
      </c>
      <c r="L879" s="18"/>
      <c r="M879" s="14">
        <v>1</v>
      </c>
      <c r="N879" s="15">
        <v>510000</v>
      </c>
      <c r="O879" s="15">
        <f t="shared" si="33"/>
        <v>510000</v>
      </c>
      <c r="P879" s="15"/>
      <c r="Q879" s="14" t="s">
        <v>520</v>
      </c>
      <c r="R879" s="25">
        <v>45382</v>
      </c>
      <c r="S879" s="34" t="str">
        <f>TEXT(Table1[[#This Row],[End Date]],"MMMM")</f>
        <v>March</v>
      </c>
      <c r="T879" s="34" t="str">
        <f>TEXT(Table1[[#This Row],[End Date]],"YYYY")</f>
        <v>2024</v>
      </c>
      <c r="U879" s="24">
        <f t="shared" ca="1" si="34"/>
        <v>-249</v>
      </c>
      <c r="V879" s="14" t="str" cm="1">
        <f t="array" aca="1" ref="V879" ca="1">_xlfn.IFS(Table1[[#This Row],[Agreement Days]]&gt;=0,"Expired",Table1[[#This Row],[Agreement Days]]&gt;=-30,"Expires &lt; 30 Days",Table1[[#This Row],[Agreement Days]]&gt;=-60,"Expires &lt; 60 Days",Table1[[#This Row],[Agreement Days]]&lt;-60,"Valid Contract")</f>
        <v>Valid Contract</v>
      </c>
      <c r="W879" s="18" t="s">
        <v>21</v>
      </c>
      <c r="X879" s="18" t="s">
        <v>2008</v>
      </c>
      <c r="Y879" s="42" t="s">
        <v>2009</v>
      </c>
      <c r="Z879" s="27">
        <v>788286474</v>
      </c>
      <c r="AA879" s="27"/>
      <c r="AB879" s="116"/>
      <c r="AC879" s="116"/>
    </row>
    <row r="880" spans="1:29" hidden="1" x14ac:dyDescent="0.3">
      <c r="A880" s="18" t="s">
        <v>2006</v>
      </c>
      <c r="B880" s="18" t="s">
        <v>216</v>
      </c>
      <c r="C880" s="18" t="s">
        <v>2010</v>
      </c>
      <c r="D880" s="14" t="s">
        <v>540</v>
      </c>
      <c r="E880" s="18" t="s">
        <v>9</v>
      </c>
      <c r="F880" s="14" t="s">
        <v>688</v>
      </c>
      <c r="G880" s="14" t="s">
        <v>518</v>
      </c>
      <c r="H880" s="18" t="s">
        <v>5</v>
      </c>
      <c r="I880" s="14" t="s">
        <v>117</v>
      </c>
      <c r="J880" s="14">
        <v>10</v>
      </c>
      <c r="K880" s="18" t="s">
        <v>547</v>
      </c>
      <c r="L880" s="18"/>
      <c r="M880" s="14">
        <v>1</v>
      </c>
      <c r="N880" s="15">
        <v>510000</v>
      </c>
      <c r="O880" s="15">
        <f t="shared" si="33"/>
        <v>510000</v>
      </c>
      <c r="P880" s="15"/>
      <c r="Q880" s="14" t="s">
        <v>520</v>
      </c>
      <c r="R880" s="25">
        <v>45382</v>
      </c>
      <c r="S880" s="34" t="str">
        <f>TEXT(Table1[[#This Row],[End Date]],"MMMM")</f>
        <v>March</v>
      </c>
      <c r="T880" s="34" t="str">
        <f>TEXT(Table1[[#This Row],[End Date]],"YYYY")</f>
        <v>2024</v>
      </c>
      <c r="U880" s="24">
        <f t="shared" ca="1" si="34"/>
        <v>-249</v>
      </c>
      <c r="V880" s="14" t="str" cm="1">
        <f t="array" aca="1" ref="V880" ca="1">_xlfn.IFS(Table1[[#This Row],[Agreement Days]]&gt;=0,"Expired",Table1[[#This Row],[Agreement Days]]&gt;=-30,"Expires &lt; 30 Days",Table1[[#This Row],[Agreement Days]]&gt;=-60,"Expires &lt; 60 Days",Table1[[#This Row],[Agreement Days]]&lt;-60,"Valid Contract")</f>
        <v>Valid Contract</v>
      </c>
      <c r="W880" s="18" t="s">
        <v>21</v>
      </c>
      <c r="X880" s="18" t="s">
        <v>2008</v>
      </c>
      <c r="Y880" s="42" t="s">
        <v>2009</v>
      </c>
      <c r="Z880" s="27">
        <v>788286474</v>
      </c>
      <c r="AA880" s="27"/>
      <c r="AB880" s="116"/>
      <c r="AC880" s="116"/>
    </row>
    <row r="881" spans="1:29" hidden="1" x14ac:dyDescent="0.3">
      <c r="A881" s="18" t="s">
        <v>2006</v>
      </c>
      <c r="B881" s="18" t="s">
        <v>216</v>
      </c>
      <c r="C881" s="18" t="s">
        <v>2011</v>
      </c>
      <c r="D881" s="14" t="s">
        <v>540</v>
      </c>
      <c r="E881" s="18" t="s">
        <v>9</v>
      </c>
      <c r="F881" s="14" t="s">
        <v>688</v>
      </c>
      <c r="G881" s="14" t="s">
        <v>518</v>
      </c>
      <c r="H881" s="18" t="s">
        <v>5</v>
      </c>
      <c r="I881" s="14" t="s">
        <v>117</v>
      </c>
      <c r="J881" s="14">
        <v>30</v>
      </c>
      <c r="K881" s="18" t="s">
        <v>694</v>
      </c>
      <c r="L881" s="18"/>
      <c r="M881" s="14">
        <v>1</v>
      </c>
      <c r="N881" s="15">
        <f>1486800/1.18</f>
        <v>1260000</v>
      </c>
      <c r="O881" s="15">
        <f t="shared" si="33"/>
        <v>1260000</v>
      </c>
      <c r="P881" s="15"/>
      <c r="Q881" s="14" t="s">
        <v>520</v>
      </c>
      <c r="R881" s="25">
        <v>45382</v>
      </c>
      <c r="S881" s="34" t="str">
        <f>TEXT(Table1[[#This Row],[End Date]],"MMMM")</f>
        <v>March</v>
      </c>
      <c r="T881" s="34" t="str">
        <f>TEXT(Table1[[#This Row],[End Date]],"YYYY")</f>
        <v>2024</v>
      </c>
      <c r="U881" s="24">
        <f t="shared" ca="1" si="34"/>
        <v>-249</v>
      </c>
      <c r="V881" s="14" t="str" cm="1">
        <f t="array" aca="1" ref="V881" ca="1">_xlfn.IFS(Table1[[#This Row],[Agreement Days]]&gt;=0,"Expired",Table1[[#This Row],[Agreement Days]]&gt;=-30,"Expires &lt; 30 Days",Table1[[#This Row],[Agreement Days]]&gt;=-60,"Expires &lt; 60 Days",Table1[[#This Row],[Agreement Days]]&lt;-60,"Valid Contract")</f>
        <v>Valid Contract</v>
      </c>
      <c r="W881" s="18" t="s">
        <v>21</v>
      </c>
      <c r="X881" s="18" t="s">
        <v>2008</v>
      </c>
      <c r="Y881" s="42" t="s">
        <v>2009</v>
      </c>
      <c r="Z881" s="27">
        <v>788286474</v>
      </c>
      <c r="AA881" s="27"/>
      <c r="AB881" s="116"/>
      <c r="AC881" s="116"/>
    </row>
    <row r="882" spans="1:29" hidden="1" x14ac:dyDescent="0.3">
      <c r="A882" s="18" t="s">
        <v>2006</v>
      </c>
      <c r="B882" s="18" t="s">
        <v>216</v>
      </c>
      <c r="C882" s="18" t="s">
        <v>2011</v>
      </c>
      <c r="D882" s="14" t="s">
        <v>540</v>
      </c>
      <c r="E882" s="18" t="s">
        <v>9</v>
      </c>
      <c r="F882" s="14" t="s">
        <v>688</v>
      </c>
      <c r="G882" s="14" t="s">
        <v>518</v>
      </c>
      <c r="H882" s="18" t="s">
        <v>2</v>
      </c>
      <c r="I882" s="14" t="s">
        <v>120</v>
      </c>
      <c r="J882" s="18"/>
      <c r="K882" s="18" t="s">
        <v>1470</v>
      </c>
      <c r="L882" s="18"/>
      <c r="M882" s="14">
        <v>1</v>
      </c>
      <c r="N882" s="15">
        <f>304493/1.18</f>
        <v>258044.9152542373</v>
      </c>
      <c r="O882" s="15">
        <f t="shared" si="33"/>
        <v>258044.9152542373</v>
      </c>
      <c r="P882" s="15"/>
      <c r="Q882" s="14" t="s">
        <v>520</v>
      </c>
      <c r="R882" s="25">
        <v>45382</v>
      </c>
      <c r="S882" s="34" t="str">
        <f>TEXT(Table1[[#This Row],[End Date]],"MMMM")</f>
        <v>March</v>
      </c>
      <c r="T882" s="34" t="str">
        <f>TEXT(Table1[[#This Row],[End Date]],"YYYY")</f>
        <v>2024</v>
      </c>
      <c r="U882" s="24">
        <f t="shared" ca="1" si="34"/>
        <v>-249</v>
      </c>
      <c r="V882" s="14" t="str" cm="1">
        <f t="array" aca="1" ref="V882" ca="1">_xlfn.IFS(Table1[[#This Row],[Agreement Days]]&gt;=0,"Expired",Table1[[#This Row],[Agreement Days]]&gt;=-30,"Expires &lt; 30 Days",Table1[[#This Row],[Agreement Days]]&gt;=-60,"Expires &lt; 60 Days",Table1[[#This Row],[Agreement Days]]&lt;-60,"Valid Contract")</f>
        <v>Valid Contract</v>
      </c>
      <c r="W882" s="18" t="s">
        <v>21</v>
      </c>
      <c r="X882" s="18" t="s">
        <v>2008</v>
      </c>
      <c r="Y882" s="42" t="s">
        <v>2009</v>
      </c>
      <c r="Z882" s="27">
        <v>788286474</v>
      </c>
      <c r="AA882" s="27"/>
      <c r="AB882" s="116"/>
      <c r="AC882" s="116"/>
    </row>
    <row r="883" spans="1:29" hidden="1" x14ac:dyDescent="0.3">
      <c r="A883" s="18" t="s">
        <v>2006</v>
      </c>
      <c r="B883" s="18" t="s">
        <v>216</v>
      </c>
      <c r="C883" s="18" t="s">
        <v>2011</v>
      </c>
      <c r="D883" s="14" t="s">
        <v>540</v>
      </c>
      <c r="E883" s="18" t="s">
        <v>9</v>
      </c>
      <c r="F883" s="14" t="s">
        <v>688</v>
      </c>
      <c r="G883" s="14" t="s">
        <v>518</v>
      </c>
      <c r="H883" s="18" t="s">
        <v>5</v>
      </c>
      <c r="I883" s="14" t="s">
        <v>115</v>
      </c>
      <c r="J883" s="18"/>
      <c r="K883" s="18" t="s">
        <v>657</v>
      </c>
      <c r="L883" s="18"/>
      <c r="M883" s="14">
        <v>1</v>
      </c>
      <c r="N883" s="15">
        <v>45338.98</v>
      </c>
      <c r="O883" s="15">
        <f t="shared" si="33"/>
        <v>45338.98</v>
      </c>
      <c r="P883" s="15"/>
      <c r="Q883" s="14" t="s">
        <v>520</v>
      </c>
      <c r="R883" s="25">
        <v>45382</v>
      </c>
      <c r="S883" s="34" t="str">
        <f>TEXT(Table1[[#This Row],[End Date]],"MMMM")</f>
        <v>March</v>
      </c>
      <c r="T883" s="34" t="str">
        <f>TEXT(Table1[[#This Row],[End Date]],"YYYY")</f>
        <v>2024</v>
      </c>
      <c r="U883" s="24">
        <f t="shared" ca="1" si="34"/>
        <v>-249</v>
      </c>
      <c r="V883" s="14" t="str" cm="1">
        <f t="array" aca="1" ref="V883" ca="1">_xlfn.IFS(Table1[[#This Row],[Agreement Days]]&gt;=0,"Expired",Table1[[#This Row],[Agreement Days]]&gt;=-30,"Expires &lt; 30 Days",Table1[[#This Row],[Agreement Days]]&gt;=-60,"Expires &lt; 60 Days",Table1[[#This Row],[Agreement Days]]&lt;-60,"Valid Contract")</f>
        <v>Valid Contract</v>
      </c>
      <c r="W883" s="18" t="s">
        <v>21</v>
      </c>
      <c r="X883" s="18" t="s">
        <v>2008</v>
      </c>
      <c r="Y883" s="42" t="s">
        <v>2009</v>
      </c>
      <c r="Z883" s="27">
        <v>788286474</v>
      </c>
      <c r="AA883" s="27"/>
      <c r="AB883" s="116"/>
      <c r="AC883" s="116"/>
    </row>
    <row r="884" spans="1:29" hidden="1" x14ac:dyDescent="0.3">
      <c r="A884" s="18" t="s">
        <v>2006</v>
      </c>
      <c r="B884" s="18" t="s">
        <v>216</v>
      </c>
      <c r="C884" s="18" t="s">
        <v>2011</v>
      </c>
      <c r="D884" s="14" t="s">
        <v>540</v>
      </c>
      <c r="E884" s="18" t="s">
        <v>9</v>
      </c>
      <c r="F884" s="14" t="s">
        <v>688</v>
      </c>
      <c r="G884" s="14" t="s">
        <v>518</v>
      </c>
      <c r="H884" s="18" t="s">
        <v>5</v>
      </c>
      <c r="I884" s="14" t="s">
        <v>115</v>
      </c>
      <c r="J884" s="18"/>
      <c r="K884" s="18" t="s">
        <v>573</v>
      </c>
      <c r="L884" s="18"/>
      <c r="M884" s="14">
        <v>1</v>
      </c>
      <c r="N884" s="15">
        <v>19491.53</v>
      </c>
      <c r="O884" s="15">
        <f t="shared" si="33"/>
        <v>19491.53</v>
      </c>
      <c r="P884" s="15"/>
      <c r="Q884" s="14" t="s">
        <v>520</v>
      </c>
      <c r="R884" s="25">
        <v>45382</v>
      </c>
      <c r="S884" s="34" t="str">
        <f>TEXT(Table1[[#This Row],[End Date]],"MMMM")</f>
        <v>March</v>
      </c>
      <c r="T884" s="34" t="str">
        <f>TEXT(Table1[[#This Row],[End Date]],"YYYY")</f>
        <v>2024</v>
      </c>
      <c r="U884" s="24">
        <f t="shared" ca="1" si="34"/>
        <v>-249</v>
      </c>
      <c r="V884" s="14" t="str" cm="1">
        <f t="array" aca="1" ref="V884" ca="1">_xlfn.IFS(Table1[[#This Row],[Agreement Days]]&gt;=0,"Expired",Table1[[#This Row],[Agreement Days]]&gt;=-30,"Expires &lt; 30 Days",Table1[[#This Row],[Agreement Days]]&gt;=-60,"Expires &lt; 60 Days",Table1[[#This Row],[Agreement Days]]&lt;-60,"Valid Contract")</f>
        <v>Valid Contract</v>
      </c>
      <c r="W884" s="18" t="s">
        <v>21</v>
      </c>
      <c r="X884" s="18" t="s">
        <v>2008</v>
      </c>
      <c r="Y884" s="42" t="s">
        <v>2009</v>
      </c>
      <c r="Z884" s="27">
        <v>788286474</v>
      </c>
      <c r="AA884" s="27"/>
      <c r="AB884" s="116"/>
      <c r="AC884" s="116"/>
    </row>
    <row r="885" spans="1:29" hidden="1" x14ac:dyDescent="0.3">
      <c r="A885" s="18" t="s">
        <v>2012</v>
      </c>
      <c r="B885" s="18" t="s">
        <v>209</v>
      </c>
      <c r="C885" s="18" t="s">
        <v>544</v>
      </c>
      <c r="D885" s="14" t="s">
        <v>545</v>
      </c>
      <c r="E885" s="18" t="s">
        <v>10</v>
      </c>
      <c r="F885" s="14" t="s">
        <v>560</v>
      </c>
      <c r="G885" s="14" t="s">
        <v>546</v>
      </c>
      <c r="H885" s="18" t="s">
        <v>5</v>
      </c>
      <c r="I885" s="26" t="s">
        <v>134</v>
      </c>
      <c r="J885" s="26">
        <v>5</v>
      </c>
      <c r="K885" s="18" t="s">
        <v>836</v>
      </c>
      <c r="L885" s="26"/>
      <c r="M885" s="19">
        <v>1</v>
      </c>
      <c r="N885" s="15">
        <v>595000</v>
      </c>
      <c r="O885" s="15">
        <f t="shared" si="33"/>
        <v>595000</v>
      </c>
      <c r="P885" s="15"/>
      <c r="Q885" s="14" t="s">
        <v>520</v>
      </c>
      <c r="R885" s="25">
        <v>45382</v>
      </c>
      <c r="S885" s="34" t="str">
        <f>TEXT(Table1[[#This Row],[End Date]],"MMMM")</f>
        <v>March</v>
      </c>
      <c r="T885" s="34" t="str">
        <f>TEXT(Table1[[#This Row],[End Date]],"YYYY")</f>
        <v>2024</v>
      </c>
      <c r="U885" s="24">
        <f t="shared" ca="1" si="34"/>
        <v>-249</v>
      </c>
      <c r="V885" s="14" t="str" cm="1">
        <f t="array" aca="1" ref="V885" ca="1">_xlfn.IFS(Table1[[#This Row],[Agreement Days]]&gt;=0,"Expired",Table1[[#This Row],[Agreement Days]]&gt;=-30,"Expires &lt; 30 Days",Table1[[#This Row],[Agreement Days]]&gt;=-60,"Expires &lt; 60 Days",Table1[[#This Row],[Agreement Days]]&lt;-60,"Valid Contract")</f>
        <v>Valid Contract</v>
      </c>
      <c r="W885" s="26" t="s">
        <v>17</v>
      </c>
      <c r="X885" s="26" t="s">
        <v>2013</v>
      </c>
      <c r="Y885" s="53" t="s">
        <v>2014</v>
      </c>
      <c r="Z885" s="27">
        <v>788648595</v>
      </c>
      <c r="AA885" s="27"/>
      <c r="AB885" s="116"/>
      <c r="AC885" s="116"/>
    </row>
    <row r="886" spans="1:29" hidden="1" x14ac:dyDescent="0.3">
      <c r="A886" s="18" t="s">
        <v>2012</v>
      </c>
      <c r="B886" s="18" t="s">
        <v>209</v>
      </c>
      <c r="C886" s="18" t="s">
        <v>544</v>
      </c>
      <c r="D886" s="14" t="s">
        <v>545</v>
      </c>
      <c r="E886" s="18" t="s">
        <v>10</v>
      </c>
      <c r="F886" s="14" t="s">
        <v>560</v>
      </c>
      <c r="G886" s="14" t="s">
        <v>546</v>
      </c>
      <c r="H886" s="18" t="s">
        <v>5</v>
      </c>
      <c r="I886" s="14" t="s">
        <v>115</v>
      </c>
      <c r="J886" s="26"/>
      <c r="K886" s="26" t="s">
        <v>2015</v>
      </c>
      <c r="L886" s="26"/>
      <c r="M886" s="19">
        <v>1</v>
      </c>
      <c r="N886" s="15">
        <v>448305.08</v>
      </c>
      <c r="O886" s="15">
        <f t="shared" si="33"/>
        <v>448305.08</v>
      </c>
      <c r="P886" s="15"/>
      <c r="Q886" s="14" t="s">
        <v>520</v>
      </c>
      <c r="R886" s="25">
        <v>45382</v>
      </c>
      <c r="S886" s="34" t="str">
        <f>TEXT(Table1[[#This Row],[End Date]],"MMMM")</f>
        <v>March</v>
      </c>
      <c r="T886" s="34" t="str">
        <f>TEXT(Table1[[#This Row],[End Date]],"YYYY")</f>
        <v>2024</v>
      </c>
      <c r="U886" s="24">
        <f t="shared" ca="1" si="34"/>
        <v>-249</v>
      </c>
      <c r="V886" s="14" t="str" cm="1">
        <f t="array" aca="1" ref="V886" ca="1">_xlfn.IFS(Table1[[#This Row],[Agreement Days]]&gt;=0,"Expired",Table1[[#This Row],[Agreement Days]]&gt;=-30,"Expires &lt; 30 Days",Table1[[#This Row],[Agreement Days]]&gt;=-60,"Expires &lt; 60 Days",Table1[[#This Row],[Agreement Days]]&lt;-60,"Valid Contract")</f>
        <v>Valid Contract</v>
      </c>
      <c r="W886" s="26" t="s">
        <v>17</v>
      </c>
      <c r="X886" s="26" t="s">
        <v>2013</v>
      </c>
      <c r="Y886" s="35" t="s">
        <v>2014</v>
      </c>
      <c r="Z886" s="27">
        <v>788648595</v>
      </c>
      <c r="AA886" s="27"/>
      <c r="AB886" s="116"/>
      <c r="AC886" s="116"/>
    </row>
    <row r="887" spans="1:29" hidden="1" x14ac:dyDescent="0.3">
      <c r="A887" s="18" t="s">
        <v>2012</v>
      </c>
      <c r="B887" s="18" t="s">
        <v>209</v>
      </c>
      <c r="C887" s="18" t="s">
        <v>544</v>
      </c>
      <c r="D887" s="14" t="s">
        <v>545</v>
      </c>
      <c r="E887" s="18" t="s">
        <v>10</v>
      </c>
      <c r="F887" s="14" t="s">
        <v>560</v>
      </c>
      <c r="G887" s="14" t="s">
        <v>546</v>
      </c>
      <c r="H887" s="18" t="s">
        <v>5</v>
      </c>
      <c r="I887" s="14" t="s">
        <v>115</v>
      </c>
      <c r="J887" s="26"/>
      <c r="K887" s="18" t="s">
        <v>845</v>
      </c>
      <c r="L887" s="26"/>
      <c r="M887" s="19">
        <v>6</v>
      </c>
      <c r="N887" s="15">
        <v>28305.08</v>
      </c>
      <c r="O887" s="15">
        <f t="shared" si="33"/>
        <v>169830.48</v>
      </c>
      <c r="P887" s="15"/>
      <c r="Q887" s="14" t="s">
        <v>520</v>
      </c>
      <c r="R887" s="25">
        <v>45382</v>
      </c>
      <c r="S887" s="34" t="str">
        <f>TEXT(Table1[[#This Row],[End Date]],"MMMM")</f>
        <v>March</v>
      </c>
      <c r="T887" s="34" t="str">
        <f>TEXT(Table1[[#This Row],[End Date]],"YYYY")</f>
        <v>2024</v>
      </c>
      <c r="U887" s="24">
        <f t="shared" ca="1" si="34"/>
        <v>-249</v>
      </c>
      <c r="V887" s="14" t="str" cm="1">
        <f t="array" aca="1" ref="V887" ca="1">_xlfn.IFS(Table1[[#This Row],[Agreement Days]]&gt;=0,"Expired",Table1[[#This Row],[Agreement Days]]&gt;=-30,"Expires &lt; 30 Days",Table1[[#This Row],[Agreement Days]]&gt;=-60,"Expires &lt; 60 Days",Table1[[#This Row],[Agreement Days]]&lt;-60,"Valid Contract")</f>
        <v>Valid Contract</v>
      </c>
      <c r="W887" s="26" t="s">
        <v>17</v>
      </c>
      <c r="X887" s="26" t="s">
        <v>2013</v>
      </c>
      <c r="Y887" s="35" t="s">
        <v>2014</v>
      </c>
      <c r="Z887" s="27">
        <v>788648595</v>
      </c>
      <c r="AA887" s="27"/>
      <c r="AB887" s="116"/>
      <c r="AC887" s="116"/>
    </row>
    <row r="888" spans="1:29" hidden="1" x14ac:dyDescent="0.3">
      <c r="A888" s="18" t="s">
        <v>2012</v>
      </c>
      <c r="B888" s="18" t="s">
        <v>209</v>
      </c>
      <c r="C888" s="18" t="s">
        <v>544</v>
      </c>
      <c r="D888" s="14" t="s">
        <v>545</v>
      </c>
      <c r="E888" s="18" t="s">
        <v>10</v>
      </c>
      <c r="F888" s="14" t="s">
        <v>560</v>
      </c>
      <c r="G888" s="14" t="s">
        <v>546</v>
      </c>
      <c r="H888" s="18" t="s">
        <v>5</v>
      </c>
      <c r="I888" s="14" t="s">
        <v>115</v>
      </c>
      <c r="J888" s="26"/>
      <c r="K888" s="18" t="s">
        <v>657</v>
      </c>
      <c r="L888" s="26"/>
      <c r="M888" s="19">
        <v>36</v>
      </c>
      <c r="N888" s="15">
        <v>45338.98</v>
      </c>
      <c r="O888" s="15">
        <f t="shared" si="33"/>
        <v>1632203.28</v>
      </c>
      <c r="P888" s="15"/>
      <c r="Q888" s="14" t="s">
        <v>520</v>
      </c>
      <c r="R888" s="25">
        <v>45382</v>
      </c>
      <c r="S888" s="34" t="str">
        <f>TEXT(Table1[[#This Row],[End Date]],"MMMM")</f>
        <v>March</v>
      </c>
      <c r="T888" s="34" t="str">
        <f>TEXT(Table1[[#This Row],[End Date]],"YYYY")</f>
        <v>2024</v>
      </c>
      <c r="U888" s="24">
        <f t="shared" ca="1" si="34"/>
        <v>-249</v>
      </c>
      <c r="V888" s="14" t="str" cm="1">
        <f t="array" aca="1" ref="V888" ca="1">_xlfn.IFS(Table1[[#This Row],[Agreement Days]]&gt;=0,"Expired",Table1[[#This Row],[Agreement Days]]&gt;=-30,"Expires &lt; 30 Days",Table1[[#This Row],[Agreement Days]]&gt;=-60,"Expires &lt; 60 Days",Table1[[#This Row],[Agreement Days]]&lt;-60,"Valid Contract")</f>
        <v>Valid Contract</v>
      </c>
      <c r="W888" s="26" t="s">
        <v>17</v>
      </c>
      <c r="X888" s="26" t="s">
        <v>2013</v>
      </c>
      <c r="Y888" s="53" t="s">
        <v>2014</v>
      </c>
      <c r="Z888" s="27">
        <v>788648595</v>
      </c>
      <c r="AA888" s="27"/>
      <c r="AB888" s="116"/>
      <c r="AC888" s="116"/>
    </row>
    <row r="889" spans="1:29" hidden="1" x14ac:dyDescent="0.3">
      <c r="A889" s="18" t="s">
        <v>2016</v>
      </c>
      <c r="B889" s="18" t="s">
        <v>124</v>
      </c>
      <c r="C889" s="18" t="s">
        <v>2017</v>
      </c>
      <c r="D889" s="14" t="s">
        <v>2018</v>
      </c>
      <c r="E889" s="18" t="s">
        <v>9</v>
      </c>
      <c r="F889" s="14" t="s">
        <v>517</v>
      </c>
      <c r="G889" s="14" t="s">
        <v>546</v>
      </c>
      <c r="H889" s="18" t="s">
        <v>7</v>
      </c>
      <c r="I889" s="14" t="s">
        <v>117</v>
      </c>
      <c r="J889" s="19">
        <v>1</v>
      </c>
      <c r="K889" s="26" t="s">
        <v>2019</v>
      </c>
      <c r="L889" s="26"/>
      <c r="M889" s="19">
        <v>1</v>
      </c>
      <c r="N889" s="15">
        <v>220762</v>
      </c>
      <c r="O889" s="15">
        <f t="shared" si="33"/>
        <v>220762</v>
      </c>
      <c r="P889" s="15"/>
      <c r="Q889" s="14" t="s">
        <v>520</v>
      </c>
      <c r="R889" s="25">
        <v>45382</v>
      </c>
      <c r="S889" s="34" t="str">
        <f>TEXT(Table1[[#This Row],[End Date]],"MMMM")</f>
        <v>March</v>
      </c>
      <c r="T889" s="34" t="str">
        <f>TEXT(Table1[[#This Row],[End Date]],"YYYY")</f>
        <v>2024</v>
      </c>
      <c r="U889" s="24">
        <f t="shared" ca="1" si="34"/>
        <v>-249</v>
      </c>
      <c r="V889" s="14" t="str" cm="1">
        <f t="array" aca="1" ref="V889" ca="1">_xlfn.IFS(Table1[[#This Row],[Agreement Days]]&gt;=0,"Expired",Table1[[#This Row],[Agreement Days]]&gt;=-30,"Expires &lt; 30 Days",Table1[[#This Row],[Agreement Days]]&gt;=-60,"Expires &lt; 60 Days",Table1[[#This Row],[Agreement Days]]&lt;-60,"Valid Contract")</f>
        <v>Valid Contract</v>
      </c>
      <c r="W889" s="26" t="s">
        <v>17</v>
      </c>
      <c r="X889" s="26" t="s">
        <v>2020</v>
      </c>
      <c r="Y889" s="81" t="s">
        <v>2021</v>
      </c>
      <c r="Z889" s="27">
        <v>783152689</v>
      </c>
      <c r="AA889" s="27"/>
      <c r="AB889" s="116"/>
      <c r="AC889" s="116"/>
    </row>
    <row r="890" spans="1:29" hidden="1" x14ac:dyDescent="0.3">
      <c r="A890" s="18" t="s">
        <v>2016</v>
      </c>
      <c r="B890" s="18" t="s">
        <v>124</v>
      </c>
      <c r="C890" s="18" t="s">
        <v>2022</v>
      </c>
      <c r="D890" s="14" t="s">
        <v>2018</v>
      </c>
      <c r="E890" s="18" t="s">
        <v>9</v>
      </c>
      <c r="F890" s="14" t="s">
        <v>517</v>
      </c>
      <c r="G890" s="14" t="s">
        <v>546</v>
      </c>
      <c r="H890" s="18" t="s">
        <v>7</v>
      </c>
      <c r="I890" s="14" t="s">
        <v>117</v>
      </c>
      <c r="J890" s="19">
        <v>3</v>
      </c>
      <c r="K890" s="26" t="s">
        <v>1025</v>
      </c>
      <c r="L890" s="26"/>
      <c r="M890" s="19">
        <v>1</v>
      </c>
      <c r="N890" s="15">
        <v>670932.19999999995</v>
      </c>
      <c r="O890" s="15">
        <f t="shared" si="33"/>
        <v>670932.19999999995</v>
      </c>
      <c r="P890" s="15"/>
      <c r="Q890" s="14" t="s">
        <v>520</v>
      </c>
      <c r="R890" s="25">
        <v>45382</v>
      </c>
      <c r="S890" s="34" t="str">
        <f>TEXT(Table1[[#This Row],[End Date]],"MMMM")</f>
        <v>March</v>
      </c>
      <c r="T890" s="34" t="str">
        <f>TEXT(Table1[[#This Row],[End Date]],"YYYY")</f>
        <v>2024</v>
      </c>
      <c r="U890" s="24">
        <f t="shared" ca="1" si="34"/>
        <v>-249</v>
      </c>
      <c r="V890" s="14" t="str" cm="1">
        <f t="array" aca="1" ref="V890" ca="1">_xlfn.IFS(Table1[[#This Row],[Agreement Days]]&gt;=0,"Expired",Table1[[#This Row],[Agreement Days]]&gt;=-30,"Expires &lt; 30 Days",Table1[[#This Row],[Agreement Days]]&gt;=-60,"Expires &lt; 60 Days",Table1[[#This Row],[Agreement Days]]&lt;-60,"Valid Contract")</f>
        <v>Valid Contract</v>
      </c>
      <c r="W890" s="26" t="s">
        <v>17</v>
      </c>
      <c r="X890" s="26" t="s">
        <v>2020</v>
      </c>
      <c r="Y890" s="81" t="s">
        <v>2021</v>
      </c>
      <c r="Z890" s="27">
        <v>783152689</v>
      </c>
      <c r="AA890" s="27"/>
      <c r="AB890" s="116"/>
      <c r="AC890" s="116"/>
    </row>
    <row r="891" spans="1:29" hidden="1" x14ac:dyDescent="0.3">
      <c r="A891" s="18" t="s">
        <v>2016</v>
      </c>
      <c r="B891" s="18" t="s">
        <v>124</v>
      </c>
      <c r="C891" s="18" t="s">
        <v>2023</v>
      </c>
      <c r="D891" s="14" t="s">
        <v>739</v>
      </c>
      <c r="E891" s="18" t="s">
        <v>9</v>
      </c>
      <c r="F891" s="14" t="s">
        <v>517</v>
      </c>
      <c r="G891" s="14" t="s">
        <v>546</v>
      </c>
      <c r="H891" s="18" t="s">
        <v>5</v>
      </c>
      <c r="I891" s="14" t="s">
        <v>117</v>
      </c>
      <c r="J891" s="19">
        <v>3</v>
      </c>
      <c r="K891" s="26" t="s">
        <v>646</v>
      </c>
      <c r="L891" s="26"/>
      <c r="M891" s="19">
        <v>1</v>
      </c>
      <c r="N891" s="15">
        <v>180000</v>
      </c>
      <c r="O891" s="15">
        <f t="shared" si="33"/>
        <v>180000</v>
      </c>
      <c r="P891" s="15"/>
      <c r="Q891" s="14" t="s">
        <v>520</v>
      </c>
      <c r="R891" s="25">
        <v>45382</v>
      </c>
      <c r="S891" s="34" t="str">
        <f>TEXT(Table1[[#This Row],[End Date]],"MMMM")</f>
        <v>March</v>
      </c>
      <c r="T891" s="34" t="str">
        <f>TEXT(Table1[[#This Row],[End Date]],"YYYY")</f>
        <v>2024</v>
      </c>
      <c r="U891" s="24">
        <f t="shared" ca="1" si="34"/>
        <v>-249</v>
      </c>
      <c r="V891" s="14" t="str" cm="1">
        <f t="array" aca="1" ref="V891" ca="1">_xlfn.IFS(Table1[[#This Row],[Agreement Days]]&gt;=0,"Expired",Table1[[#This Row],[Agreement Days]]&gt;=-30,"Expires &lt; 30 Days",Table1[[#This Row],[Agreement Days]]&gt;=-60,"Expires &lt; 60 Days",Table1[[#This Row],[Agreement Days]]&lt;-60,"Valid Contract")</f>
        <v>Valid Contract</v>
      </c>
      <c r="W891" s="26" t="s">
        <v>17</v>
      </c>
      <c r="X891" s="26" t="s">
        <v>2020</v>
      </c>
      <c r="Y891" s="81" t="s">
        <v>2021</v>
      </c>
      <c r="Z891" s="27">
        <v>783152689</v>
      </c>
      <c r="AA891" s="27"/>
      <c r="AB891" s="116"/>
      <c r="AC891" s="116"/>
    </row>
    <row r="892" spans="1:29" hidden="1" x14ac:dyDescent="0.3">
      <c r="A892" s="18" t="s">
        <v>2016</v>
      </c>
      <c r="B892" s="18" t="s">
        <v>124</v>
      </c>
      <c r="C892" s="18" t="s">
        <v>2024</v>
      </c>
      <c r="D892" s="14" t="s">
        <v>526</v>
      </c>
      <c r="E892" s="18" t="s">
        <v>9</v>
      </c>
      <c r="F892" s="14" t="s">
        <v>517</v>
      </c>
      <c r="G892" s="14" t="s">
        <v>546</v>
      </c>
      <c r="H892" s="18" t="s">
        <v>5</v>
      </c>
      <c r="I892" s="14" t="s">
        <v>117</v>
      </c>
      <c r="J892" s="19">
        <v>3</v>
      </c>
      <c r="K892" s="26" t="s">
        <v>646</v>
      </c>
      <c r="L892" s="26"/>
      <c r="M892" s="19">
        <v>1</v>
      </c>
      <c r="N892" s="15">
        <v>180000</v>
      </c>
      <c r="O892" s="15">
        <f t="shared" si="33"/>
        <v>180000</v>
      </c>
      <c r="P892" s="15"/>
      <c r="Q892" s="14" t="s">
        <v>520</v>
      </c>
      <c r="R892" s="25">
        <v>45382</v>
      </c>
      <c r="S892" s="34" t="str">
        <f>TEXT(Table1[[#This Row],[End Date]],"MMMM")</f>
        <v>March</v>
      </c>
      <c r="T892" s="34" t="str">
        <f>TEXT(Table1[[#This Row],[End Date]],"YYYY")</f>
        <v>2024</v>
      </c>
      <c r="U892" s="24">
        <f t="shared" ca="1" si="34"/>
        <v>-249</v>
      </c>
      <c r="V892" s="14" t="str" cm="1">
        <f t="array" aca="1" ref="V892" ca="1">_xlfn.IFS(Table1[[#This Row],[Agreement Days]]&gt;=0,"Expired",Table1[[#This Row],[Agreement Days]]&gt;=-30,"Expires &lt; 30 Days",Table1[[#This Row],[Agreement Days]]&gt;=-60,"Expires &lt; 60 Days",Table1[[#This Row],[Agreement Days]]&lt;-60,"Valid Contract")</f>
        <v>Valid Contract</v>
      </c>
      <c r="W892" s="26" t="s">
        <v>17</v>
      </c>
      <c r="X892" s="26" t="s">
        <v>2020</v>
      </c>
      <c r="Y892" s="81" t="s">
        <v>2021</v>
      </c>
      <c r="Z892" s="27">
        <v>783152689</v>
      </c>
      <c r="AA892" s="27"/>
      <c r="AB892" s="116"/>
      <c r="AC892" s="116"/>
    </row>
    <row r="893" spans="1:29" hidden="1" x14ac:dyDescent="0.3">
      <c r="A893" s="18" t="s">
        <v>2016</v>
      </c>
      <c r="B893" s="18" t="s">
        <v>124</v>
      </c>
      <c r="C893" s="18" t="s">
        <v>2025</v>
      </c>
      <c r="D893" s="14" t="s">
        <v>1140</v>
      </c>
      <c r="E893" s="18" t="s">
        <v>9</v>
      </c>
      <c r="F893" s="14" t="s">
        <v>517</v>
      </c>
      <c r="G893" s="14" t="s">
        <v>546</v>
      </c>
      <c r="H893" s="18" t="s">
        <v>5</v>
      </c>
      <c r="I893" s="14" t="s">
        <v>117</v>
      </c>
      <c r="J893" s="19">
        <v>3</v>
      </c>
      <c r="K893" s="26" t="s">
        <v>646</v>
      </c>
      <c r="L893" s="26"/>
      <c r="M893" s="19">
        <v>1</v>
      </c>
      <c r="N893" s="15">
        <v>180000</v>
      </c>
      <c r="O893" s="15">
        <f t="shared" si="33"/>
        <v>180000</v>
      </c>
      <c r="P893" s="15"/>
      <c r="Q893" s="14" t="s">
        <v>520</v>
      </c>
      <c r="R893" s="25">
        <v>45382</v>
      </c>
      <c r="S893" s="34" t="str">
        <f>TEXT(Table1[[#This Row],[End Date]],"MMMM")</f>
        <v>March</v>
      </c>
      <c r="T893" s="34" t="str">
        <f>TEXT(Table1[[#This Row],[End Date]],"YYYY")</f>
        <v>2024</v>
      </c>
      <c r="U893" s="24">
        <f t="shared" ca="1" si="34"/>
        <v>-249</v>
      </c>
      <c r="V893" s="14" t="str" cm="1">
        <f t="array" aca="1" ref="V893" ca="1">_xlfn.IFS(Table1[[#This Row],[Agreement Days]]&gt;=0,"Expired",Table1[[#This Row],[Agreement Days]]&gt;=-30,"Expires &lt; 30 Days",Table1[[#This Row],[Agreement Days]]&gt;=-60,"Expires &lt; 60 Days",Table1[[#This Row],[Agreement Days]]&lt;-60,"Valid Contract")</f>
        <v>Valid Contract</v>
      </c>
      <c r="W893" s="26" t="s">
        <v>17</v>
      </c>
      <c r="X893" s="26" t="s">
        <v>2020</v>
      </c>
      <c r="Y893" s="81" t="s">
        <v>2021</v>
      </c>
      <c r="Z893" s="27">
        <v>783152689</v>
      </c>
      <c r="AA893" s="27"/>
      <c r="AB893" s="116"/>
      <c r="AC893" s="116"/>
    </row>
    <row r="894" spans="1:29" hidden="1" x14ac:dyDescent="0.3">
      <c r="A894" s="18" t="s">
        <v>2016</v>
      </c>
      <c r="B894" s="18" t="s">
        <v>124</v>
      </c>
      <c r="C894" s="18" t="s">
        <v>2026</v>
      </c>
      <c r="D894" s="14" t="s">
        <v>545</v>
      </c>
      <c r="E894" s="18" t="s">
        <v>9</v>
      </c>
      <c r="F894" s="14" t="s">
        <v>517</v>
      </c>
      <c r="G894" s="14" t="s">
        <v>546</v>
      </c>
      <c r="H894" s="18" t="s">
        <v>5</v>
      </c>
      <c r="I894" s="14" t="s">
        <v>117</v>
      </c>
      <c r="J894" s="19">
        <v>3</v>
      </c>
      <c r="K894" s="26" t="s">
        <v>646</v>
      </c>
      <c r="L894" s="26"/>
      <c r="M894" s="19">
        <v>1</v>
      </c>
      <c r="N894" s="15">
        <v>180000</v>
      </c>
      <c r="O894" s="15">
        <f t="shared" si="33"/>
        <v>180000</v>
      </c>
      <c r="P894" s="15"/>
      <c r="Q894" s="14" t="s">
        <v>520</v>
      </c>
      <c r="R894" s="25">
        <v>45382</v>
      </c>
      <c r="S894" s="34" t="str">
        <f>TEXT(Table1[[#This Row],[End Date]],"MMMM")</f>
        <v>March</v>
      </c>
      <c r="T894" s="34" t="str">
        <f>TEXT(Table1[[#This Row],[End Date]],"YYYY")</f>
        <v>2024</v>
      </c>
      <c r="U894" s="24">
        <f t="shared" ca="1" si="34"/>
        <v>-249</v>
      </c>
      <c r="V894" s="14" t="str" cm="1">
        <f t="array" aca="1" ref="V894" ca="1">_xlfn.IFS(Table1[[#This Row],[Agreement Days]]&gt;=0,"Expired",Table1[[#This Row],[Agreement Days]]&gt;=-30,"Expires &lt; 30 Days",Table1[[#This Row],[Agreement Days]]&gt;=-60,"Expires &lt; 60 Days",Table1[[#This Row],[Agreement Days]]&lt;-60,"Valid Contract")</f>
        <v>Valid Contract</v>
      </c>
      <c r="W894" s="26" t="s">
        <v>17</v>
      </c>
      <c r="X894" s="26" t="s">
        <v>2020</v>
      </c>
      <c r="Y894" s="81" t="s">
        <v>2021</v>
      </c>
      <c r="Z894" s="27">
        <v>783152689</v>
      </c>
      <c r="AA894" s="27"/>
      <c r="AB894" s="116"/>
      <c r="AC894" s="116"/>
    </row>
    <row r="895" spans="1:29" hidden="1" x14ac:dyDescent="0.3">
      <c r="A895" s="18" t="s">
        <v>2016</v>
      </c>
      <c r="B895" s="18" t="s">
        <v>124</v>
      </c>
      <c r="C895" s="18" t="s">
        <v>2027</v>
      </c>
      <c r="D895" s="14" t="s">
        <v>532</v>
      </c>
      <c r="E895" s="18" t="s">
        <v>9</v>
      </c>
      <c r="F895" s="14" t="s">
        <v>517</v>
      </c>
      <c r="G895" s="14" t="s">
        <v>546</v>
      </c>
      <c r="H895" s="18" t="s">
        <v>5</v>
      </c>
      <c r="I895" s="14" t="s">
        <v>117</v>
      </c>
      <c r="J895" s="19">
        <v>3</v>
      </c>
      <c r="K895" s="26" t="s">
        <v>646</v>
      </c>
      <c r="L895" s="26"/>
      <c r="M895" s="19">
        <v>1</v>
      </c>
      <c r="N895" s="15">
        <v>180000</v>
      </c>
      <c r="O895" s="15">
        <f t="shared" si="33"/>
        <v>180000</v>
      </c>
      <c r="P895" s="15"/>
      <c r="Q895" s="14" t="s">
        <v>520</v>
      </c>
      <c r="R895" s="25">
        <v>45382</v>
      </c>
      <c r="S895" s="34" t="str">
        <f>TEXT(Table1[[#This Row],[End Date]],"MMMM")</f>
        <v>March</v>
      </c>
      <c r="T895" s="34" t="str">
        <f>TEXT(Table1[[#This Row],[End Date]],"YYYY")</f>
        <v>2024</v>
      </c>
      <c r="U895" s="24">
        <f t="shared" ca="1" si="34"/>
        <v>-249</v>
      </c>
      <c r="V895" s="14" t="str" cm="1">
        <f t="array" aca="1" ref="V895" ca="1">_xlfn.IFS(Table1[[#This Row],[Agreement Days]]&gt;=0,"Expired",Table1[[#This Row],[Agreement Days]]&gt;=-30,"Expires &lt; 30 Days",Table1[[#This Row],[Agreement Days]]&gt;=-60,"Expires &lt; 60 Days",Table1[[#This Row],[Agreement Days]]&lt;-60,"Valid Contract")</f>
        <v>Valid Contract</v>
      </c>
      <c r="W895" s="26" t="s">
        <v>17</v>
      </c>
      <c r="X895" s="26" t="s">
        <v>2020</v>
      </c>
      <c r="Y895" s="81" t="s">
        <v>2021</v>
      </c>
      <c r="Z895" s="27">
        <v>783152689</v>
      </c>
      <c r="AA895" s="27"/>
      <c r="AB895" s="116"/>
      <c r="AC895" s="116"/>
    </row>
    <row r="896" spans="1:29" hidden="1" x14ac:dyDescent="0.3">
      <c r="A896" s="18" t="s">
        <v>2016</v>
      </c>
      <c r="B896" s="18" t="s">
        <v>124</v>
      </c>
      <c r="C896" s="18" t="s">
        <v>2028</v>
      </c>
      <c r="D896" s="14" t="s">
        <v>929</v>
      </c>
      <c r="E896" s="18" t="s">
        <v>9</v>
      </c>
      <c r="F896" s="14" t="s">
        <v>517</v>
      </c>
      <c r="G896" s="14" t="s">
        <v>546</v>
      </c>
      <c r="H896" s="18" t="s">
        <v>5</v>
      </c>
      <c r="I896" s="14" t="s">
        <v>117</v>
      </c>
      <c r="J896" s="19">
        <v>3</v>
      </c>
      <c r="K896" s="26" t="s">
        <v>646</v>
      </c>
      <c r="L896" s="26"/>
      <c r="M896" s="19">
        <v>1</v>
      </c>
      <c r="N896" s="15">
        <v>180000</v>
      </c>
      <c r="O896" s="15">
        <f t="shared" si="33"/>
        <v>180000</v>
      </c>
      <c r="P896" s="15"/>
      <c r="Q896" s="14" t="s">
        <v>520</v>
      </c>
      <c r="R896" s="25">
        <v>45382</v>
      </c>
      <c r="S896" s="34" t="str">
        <f>TEXT(Table1[[#This Row],[End Date]],"MMMM")</f>
        <v>March</v>
      </c>
      <c r="T896" s="34" t="str">
        <f>TEXT(Table1[[#This Row],[End Date]],"YYYY")</f>
        <v>2024</v>
      </c>
      <c r="U896" s="24">
        <f t="shared" ca="1" si="34"/>
        <v>-249</v>
      </c>
      <c r="V896" s="14" t="str" cm="1">
        <f t="array" aca="1" ref="V896" ca="1">_xlfn.IFS(Table1[[#This Row],[Agreement Days]]&gt;=0,"Expired",Table1[[#This Row],[Agreement Days]]&gt;=-30,"Expires &lt; 30 Days",Table1[[#This Row],[Agreement Days]]&gt;=-60,"Expires &lt; 60 Days",Table1[[#This Row],[Agreement Days]]&lt;-60,"Valid Contract")</f>
        <v>Valid Contract</v>
      </c>
      <c r="W896" s="26" t="s">
        <v>17</v>
      </c>
      <c r="X896" s="26" t="s">
        <v>2020</v>
      </c>
      <c r="Y896" s="81" t="s">
        <v>2021</v>
      </c>
      <c r="Z896" s="27">
        <v>783152689</v>
      </c>
      <c r="AA896" s="27"/>
      <c r="AB896" s="116"/>
      <c r="AC896" s="116"/>
    </row>
    <row r="897" spans="1:29" hidden="1" x14ac:dyDescent="0.3">
      <c r="A897" s="18" t="s">
        <v>2016</v>
      </c>
      <c r="B897" s="18" t="s">
        <v>124</v>
      </c>
      <c r="C897" s="18" t="s">
        <v>2029</v>
      </c>
      <c r="D897" s="14" t="s">
        <v>808</v>
      </c>
      <c r="E897" s="18" t="s">
        <v>9</v>
      </c>
      <c r="F897" s="14" t="s">
        <v>517</v>
      </c>
      <c r="G897" s="14" t="s">
        <v>546</v>
      </c>
      <c r="H897" s="18" t="s">
        <v>5</v>
      </c>
      <c r="I897" s="14" t="s">
        <v>117</v>
      </c>
      <c r="J897" s="19">
        <v>3</v>
      </c>
      <c r="K897" s="26" t="s">
        <v>646</v>
      </c>
      <c r="L897" s="26"/>
      <c r="M897" s="19">
        <v>1</v>
      </c>
      <c r="N897" s="15">
        <v>180000</v>
      </c>
      <c r="O897" s="15">
        <f t="shared" si="33"/>
        <v>180000</v>
      </c>
      <c r="P897" s="15"/>
      <c r="Q897" s="14" t="s">
        <v>520</v>
      </c>
      <c r="R897" s="25">
        <v>45382</v>
      </c>
      <c r="S897" s="34" t="str">
        <f>TEXT(Table1[[#This Row],[End Date]],"MMMM")</f>
        <v>March</v>
      </c>
      <c r="T897" s="34" t="str">
        <f>TEXT(Table1[[#This Row],[End Date]],"YYYY")</f>
        <v>2024</v>
      </c>
      <c r="U897" s="24">
        <f t="shared" ca="1" si="34"/>
        <v>-249</v>
      </c>
      <c r="V897" s="14" t="str" cm="1">
        <f t="array" aca="1" ref="V897" ca="1">_xlfn.IFS(Table1[[#This Row],[Agreement Days]]&gt;=0,"Expired",Table1[[#This Row],[Agreement Days]]&gt;=-30,"Expires &lt; 30 Days",Table1[[#This Row],[Agreement Days]]&gt;=-60,"Expires &lt; 60 Days",Table1[[#This Row],[Agreement Days]]&lt;-60,"Valid Contract")</f>
        <v>Valid Contract</v>
      </c>
      <c r="W897" s="26" t="s">
        <v>17</v>
      </c>
      <c r="X897" s="26" t="s">
        <v>2020</v>
      </c>
      <c r="Y897" s="81" t="s">
        <v>2021</v>
      </c>
      <c r="Z897" s="27">
        <v>783152689</v>
      </c>
      <c r="AA897" s="27"/>
      <c r="AB897" s="116"/>
      <c r="AC897" s="116"/>
    </row>
    <row r="898" spans="1:29" hidden="1" x14ac:dyDescent="0.3">
      <c r="A898" s="18" t="s">
        <v>2016</v>
      </c>
      <c r="B898" s="18" t="s">
        <v>124</v>
      </c>
      <c r="C898" s="18" t="s">
        <v>2030</v>
      </c>
      <c r="D898" s="14" t="s">
        <v>808</v>
      </c>
      <c r="E898" s="18" t="s">
        <v>9</v>
      </c>
      <c r="F898" s="14" t="s">
        <v>517</v>
      </c>
      <c r="G898" s="14" t="s">
        <v>546</v>
      </c>
      <c r="H898" s="18" t="s">
        <v>5</v>
      </c>
      <c r="I898" s="14" t="s">
        <v>117</v>
      </c>
      <c r="J898" s="19">
        <v>3</v>
      </c>
      <c r="K898" s="26" t="s">
        <v>646</v>
      </c>
      <c r="L898" s="26"/>
      <c r="M898" s="19">
        <v>1</v>
      </c>
      <c r="N898" s="15">
        <v>180000</v>
      </c>
      <c r="O898" s="15">
        <f t="shared" si="33"/>
        <v>180000</v>
      </c>
      <c r="P898" s="15"/>
      <c r="Q898" s="14" t="s">
        <v>520</v>
      </c>
      <c r="R898" s="25">
        <v>45382</v>
      </c>
      <c r="S898" s="34" t="str">
        <f>TEXT(Table1[[#This Row],[End Date]],"MMMM")</f>
        <v>March</v>
      </c>
      <c r="T898" s="34" t="str">
        <f>TEXT(Table1[[#This Row],[End Date]],"YYYY")</f>
        <v>2024</v>
      </c>
      <c r="U898" s="24">
        <f t="shared" ca="1" si="34"/>
        <v>-249</v>
      </c>
      <c r="V898" s="14" t="str" cm="1">
        <f t="array" aca="1" ref="V898" ca="1">_xlfn.IFS(Table1[[#This Row],[Agreement Days]]&gt;=0,"Expired",Table1[[#This Row],[Agreement Days]]&gt;=-30,"Expires &lt; 30 Days",Table1[[#This Row],[Agreement Days]]&gt;=-60,"Expires &lt; 60 Days",Table1[[#This Row],[Agreement Days]]&lt;-60,"Valid Contract")</f>
        <v>Valid Contract</v>
      </c>
      <c r="W898" s="26" t="s">
        <v>17</v>
      </c>
      <c r="X898" s="26" t="s">
        <v>2020</v>
      </c>
      <c r="Y898" s="81" t="s">
        <v>2021</v>
      </c>
      <c r="Z898" s="27">
        <v>783152689</v>
      </c>
      <c r="AA898" s="27"/>
      <c r="AB898" s="116"/>
      <c r="AC898" s="116"/>
    </row>
    <row r="899" spans="1:29" hidden="1" x14ac:dyDescent="0.3">
      <c r="A899" s="18" t="s">
        <v>2016</v>
      </c>
      <c r="B899" s="18" t="s">
        <v>124</v>
      </c>
      <c r="C899" s="18" t="s">
        <v>2031</v>
      </c>
      <c r="D899" s="14" t="s">
        <v>1280</v>
      </c>
      <c r="E899" s="18" t="s">
        <v>9</v>
      </c>
      <c r="F899" s="14" t="s">
        <v>517</v>
      </c>
      <c r="G899" s="14" t="s">
        <v>546</v>
      </c>
      <c r="H899" s="18" t="s">
        <v>5</v>
      </c>
      <c r="I899" s="14" t="s">
        <v>117</v>
      </c>
      <c r="J899" s="19">
        <v>3</v>
      </c>
      <c r="K899" s="26" t="s">
        <v>646</v>
      </c>
      <c r="L899" s="26"/>
      <c r="M899" s="19">
        <v>1</v>
      </c>
      <c r="N899" s="15">
        <v>180000</v>
      </c>
      <c r="O899" s="15">
        <f t="shared" si="33"/>
        <v>180000</v>
      </c>
      <c r="P899" s="15"/>
      <c r="Q899" s="14" t="s">
        <v>520</v>
      </c>
      <c r="R899" s="25">
        <v>45382</v>
      </c>
      <c r="S899" s="34" t="str">
        <f>TEXT(Table1[[#This Row],[End Date]],"MMMM")</f>
        <v>March</v>
      </c>
      <c r="T899" s="34" t="str">
        <f>TEXT(Table1[[#This Row],[End Date]],"YYYY")</f>
        <v>2024</v>
      </c>
      <c r="U899" s="24">
        <f t="shared" ca="1" si="34"/>
        <v>-249</v>
      </c>
      <c r="V899" s="14" t="str" cm="1">
        <f t="array" aca="1" ref="V899" ca="1">_xlfn.IFS(Table1[[#This Row],[Agreement Days]]&gt;=0,"Expired",Table1[[#This Row],[Agreement Days]]&gt;=-30,"Expires &lt; 30 Days",Table1[[#This Row],[Agreement Days]]&gt;=-60,"Expires &lt; 60 Days",Table1[[#This Row],[Agreement Days]]&lt;-60,"Valid Contract")</f>
        <v>Valid Contract</v>
      </c>
      <c r="W899" s="26" t="s">
        <v>17</v>
      </c>
      <c r="X899" s="26" t="s">
        <v>2020</v>
      </c>
      <c r="Y899" s="81" t="s">
        <v>2021</v>
      </c>
      <c r="Z899" s="27">
        <v>783152689</v>
      </c>
      <c r="AA899" s="27"/>
      <c r="AB899" s="116"/>
      <c r="AC899" s="116"/>
    </row>
    <row r="900" spans="1:29" hidden="1" x14ac:dyDescent="0.3">
      <c r="A900" s="18" t="s">
        <v>2016</v>
      </c>
      <c r="B900" s="18" t="s">
        <v>124</v>
      </c>
      <c r="C900" s="18" t="s">
        <v>2032</v>
      </c>
      <c r="D900" s="14" t="s">
        <v>616</v>
      </c>
      <c r="E900" s="18" t="s">
        <v>9</v>
      </c>
      <c r="F900" s="14" t="s">
        <v>517</v>
      </c>
      <c r="G900" s="14" t="s">
        <v>546</v>
      </c>
      <c r="H900" s="18" t="s">
        <v>5</v>
      </c>
      <c r="I900" s="14" t="s">
        <v>117</v>
      </c>
      <c r="J900" s="19">
        <v>3</v>
      </c>
      <c r="K900" s="26" t="s">
        <v>646</v>
      </c>
      <c r="L900" s="26"/>
      <c r="M900" s="19">
        <v>1</v>
      </c>
      <c r="N900" s="15">
        <v>180000</v>
      </c>
      <c r="O900" s="15">
        <f t="shared" si="33"/>
        <v>180000</v>
      </c>
      <c r="P900" s="15"/>
      <c r="Q900" s="14" t="s">
        <v>520</v>
      </c>
      <c r="R900" s="25">
        <v>45382</v>
      </c>
      <c r="S900" s="34" t="str">
        <f>TEXT(Table1[[#This Row],[End Date]],"MMMM")</f>
        <v>March</v>
      </c>
      <c r="T900" s="34" t="str">
        <f>TEXT(Table1[[#This Row],[End Date]],"YYYY")</f>
        <v>2024</v>
      </c>
      <c r="U900" s="24">
        <f t="shared" ca="1" si="34"/>
        <v>-249</v>
      </c>
      <c r="V900" s="14" t="str" cm="1">
        <f t="array" aca="1" ref="V900" ca="1">_xlfn.IFS(Table1[[#This Row],[Agreement Days]]&gt;=0,"Expired",Table1[[#This Row],[Agreement Days]]&gt;=-30,"Expires &lt; 30 Days",Table1[[#This Row],[Agreement Days]]&gt;=-60,"Expires &lt; 60 Days",Table1[[#This Row],[Agreement Days]]&lt;-60,"Valid Contract")</f>
        <v>Valid Contract</v>
      </c>
      <c r="W900" s="26" t="s">
        <v>17</v>
      </c>
      <c r="X900" s="26" t="s">
        <v>2020</v>
      </c>
      <c r="Y900" s="81" t="s">
        <v>2021</v>
      </c>
      <c r="Z900" s="27">
        <v>783152689</v>
      </c>
      <c r="AA900" s="27"/>
      <c r="AB900" s="116"/>
      <c r="AC900" s="116"/>
    </row>
    <row r="901" spans="1:29" hidden="1" x14ac:dyDescent="0.3">
      <c r="A901" s="18" t="s">
        <v>2016</v>
      </c>
      <c r="B901" s="18" t="s">
        <v>124</v>
      </c>
      <c r="C901" s="18" t="s">
        <v>2033</v>
      </c>
      <c r="D901" s="14" t="s">
        <v>848</v>
      </c>
      <c r="E901" s="18" t="s">
        <v>9</v>
      </c>
      <c r="F901" s="14" t="s">
        <v>517</v>
      </c>
      <c r="G901" s="14" t="s">
        <v>546</v>
      </c>
      <c r="H901" s="18" t="s">
        <v>5</v>
      </c>
      <c r="I901" s="14" t="s">
        <v>117</v>
      </c>
      <c r="J901" s="19">
        <v>3</v>
      </c>
      <c r="K901" s="26" t="s">
        <v>646</v>
      </c>
      <c r="L901" s="26"/>
      <c r="M901" s="19">
        <v>1</v>
      </c>
      <c r="N901" s="15">
        <v>180000</v>
      </c>
      <c r="O901" s="15">
        <f t="shared" si="33"/>
        <v>180000</v>
      </c>
      <c r="P901" s="15"/>
      <c r="Q901" s="14" t="s">
        <v>520</v>
      </c>
      <c r="R901" s="25">
        <v>45382</v>
      </c>
      <c r="S901" s="34" t="str">
        <f>TEXT(Table1[[#This Row],[End Date]],"MMMM")</f>
        <v>March</v>
      </c>
      <c r="T901" s="34" t="str">
        <f>TEXT(Table1[[#This Row],[End Date]],"YYYY")</f>
        <v>2024</v>
      </c>
      <c r="U901" s="24">
        <f t="shared" ca="1" si="34"/>
        <v>-249</v>
      </c>
      <c r="V901" s="14" t="str" cm="1">
        <f t="array" aca="1" ref="V901" ca="1">_xlfn.IFS(Table1[[#This Row],[Agreement Days]]&gt;=0,"Expired",Table1[[#This Row],[Agreement Days]]&gt;=-30,"Expires &lt; 30 Days",Table1[[#This Row],[Agreement Days]]&gt;=-60,"Expires &lt; 60 Days",Table1[[#This Row],[Agreement Days]]&lt;-60,"Valid Contract")</f>
        <v>Valid Contract</v>
      </c>
      <c r="W901" s="26" t="s">
        <v>17</v>
      </c>
      <c r="X901" s="26" t="s">
        <v>2020</v>
      </c>
      <c r="Y901" s="81" t="s">
        <v>2021</v>
      </c>
      <c r="Z901" s="27">
        <v>783152689</v>
      </c>
      <c r="AA901" s="27"/>
      <c r="AB901" s="116"/>
      <c r="AC901" s="116"/>
    </row>
    <row r="902" spans="1:29" hidden="1" x14ac:dyDescent="0.3">
      <c r="A902" s="18" t="s">
        <v>2016</v>
      </c>
      <c r="B902" s="18" t="s">
        <v>124</v>
      </c>
      <c r="C902" s="18" t="s">
        <v>2034</v>
      </c>
      <c r="D902" s="14" t="s">
        <v>540</v>
      </c>
      <c r="E902" s="18" t="s">
        <v>9</v>
      </c>
      <c r="F902" s="14" t="s">
        <v>517</v>
      </c>
      <c r="G902" s="14" t="s">
        <v>546</v>
      </c>
      <c r="H902" s="18" t="s">
        <v>5</v>
      </c>
      <c r="I902" s="14" t="s">
        <v>117</v>
      </c>
      <c r="J902" s="19">
        <v>3</v>
      </c>
      <c r="K902" s="26" t="s">
        <v>646</v>
      </c>
      <c r="L902" s="26"/>
      <c r="M902" s="19">
        <v>1</v>
      </c>
      <c r="N902" s="15">
        <v>180000</v>
      </c>
      <c r="O902" s="15">
        <f t="shared" si="33"/>
        <v>180000</v>
      </c>
      <c r="P902" s="15"/>
      <c r="Q902" s="14" t="s">
        <v>520</v>
      </c>
      <c r="R902" s="25">
        <v>45382</v>
      </c>
      <c r="S902" s="34" t="str">
        <f>TEXT(Table1[[#This Row],[End Date]],"MMMM")</f>
        <v>March</v>
      </c>
      <c r="T902" s="34" t="str">
        <f>TEXT(Table1[[#This Row],[End Date]],"YYYY")</f>
        <v>2024</v>
      </c>
      <c r="U902" s="24">
        <f t="shared" ca="1" si="34"/>
        <v>-249</v>
      </c>
      <c r="V902" s="14" t="str" cm="1">
        <f t="array" aca="1" ref="V902" ca="1">_xlfn.IFS(Table1[[#This Row],[Agreement Days]]&gt;=0,"Expired",Table1[[#This Row],[Agreement Days]]&gt;=-30,"Expires &lt; 30 Days",Table1[[#This Row],[Agreement Days]]&gt;=-60,"Expires &lt; 60 Days",Table1[[#This Row],[Agreement Days]]&lt;-60,"Valid Contract")</f>
        <v>Valid Contract</v>
      </c>
      <c r="W902" s="26" t="s">
        <v>17</v>
      </c>
      <c r="X902" s="26" t="s">
        <v>2020</v>
      </c>
      <c r="Y902" s="81" t="s">
        <v>2021</v>
      </c>
      <c r="Z902" s="27">
        <v>783152689</v>
      </c>
      <c r="AA902" s="27"/>
      <c r="AB902" s="116"/>
      <c r="AC902" s="116"/>
    </row>
    <row r="903" spans="1:29" hidden="1" x14ac:dyDescent="0.3">
      <c r="A903" s="18" t="s">
        <v>2016</v>
      </c>
      <c r="B903" s="18" t="s">
        <v>124</v>
      </c>
      <c r="C903" s="18" t="s">
        <v>2035</v>
      </c>
      <c r="D903" s="14" t="s">
        <v>540</v>
      </c>
      <c r="E903" s="18" t="s">
        <v>9</v>
      </c>
      <c r="F903" s="14" t="s">
        <v>517</v>
      </c>
      <c r="G903" s="14" t="s">
        <v>546</v>
      </c>
      <c r="H903" s="18" t="s">
        <v>5</v>
      </c>
      <c r="I903" s="14" t="s">
        <v>117</v>
      </c>
      <c r="J903" s="19">
        <v>3</v>
      </c>
      <c r="K903" s="26" t="s">
        <v>646</v>
      </c>
      <c r="L903" s="26"/>
      <c r="M903" s="19">
        <v>1</v>
      </c>
      <c r="N903" s="15">
        <v>180000</v>
      </c>
      <c r="O903" s="15">
        <f t="shared" ref="O903:O966" si="35">N903*M903</f>
        <v>180000</v>
      </c>
      <c r="P903" s="15"/>
      <c r="Q903" s="14" t="s">
        <v>520</v>
      </c>
      <c r="R903" s="25">
        <v>45382</v>
      </c>
      <c r="S903" s="34" t="str">
        <f>TEXT(Table1[[#This Row],[End Date]],"MMMM")</f>
        <v>March</v>
      </c>
      <c r="T903" s="34" t="str">
        <f>TEXT(Table1[[#This Row],[End Date]],"YYYY")</f>
        <v>2024</v>
      </c>
      <c r="U903" s="24">
        <f t="shared" ref="U903:U966" ca="1" si="36">TODAY()-R903</f>
        <v>-249</v>
      </c>
      <c r="V903" s="14" t="str" cm="1">
        <f t="array" aca="1" ref="V903" ca="1">_xlfn.IFS(Table1[[#This Row],[Agreement Days]]&gt;=0,"Expired",Table1[[#This Row],[Agreement Days]]&gt;=-30,"Expires &lt; 30 Days",Table1[[#This Row],[Agreement Days]]&gt;=-60,"Expires &lt; 60 Days",Table1[[#This Row],[Agreement Days]]&lt;-60,"Valid Contract")</f>
        <v>Valid Contract</v>
      </c>
      <c r="W903" s="26" t="s">
        <v>17</v>
      </c>
      <c r="X903" s="26" t="s">
        <v>2020</v>
      </c>
      <c r="Y903" s="81" t="s">
        <v>2021</v>
      </c>
      <c r="Z903" s="27">
        <v>783152689</v>
      </c>
      <c r="AA903" s="27"/>
      <c r="AB903" s="116"/>
      <c r="AC903" s="116"/>
    </row>
    <row r="904" spans="1:29" hidden="1" x14ac:dyDescent="0.3">
      <c r="A904" s="18" t="s">
        <v>2016</v>
      </c>
      <c r="B904" s="18" t="s">
        <v>124</v>
      </c>
      <c r="C904" s="18" t="s">
        <v>2036</v>
      </c>
      <c r="D904" s="14" t="s">
        <v>759</v>
      </c>
      <c r="E904" s="18" t="s">
        <v>9</v>
      </c>
      <c r="F904" s="14" t="s">
        <v>517</v>
      </c>
      <c r="G904" s="14" t="s">
        <v>546</v>
      </c>
      <c r="H904" s="18" t="s">
        <v>5</v>
      </c>
      <c r="I904" s="14" t="s">
        <v>117</v>
      </c>
      <c r="J904" s="19">
        <v>3</v>
      </c>
      <c r="K904" s="26" t="s">
        <v>646</v>
      </c>
      <c r="L904" s="26"/>
      <c r="M904" s="19">
        <v>1</v>
      </c>
      <c r="N904" s="15">
        <v>180000</v>
      </c>
      <c r="O904" s="15">
        <f t="shared" si="35"/>
        <v>180000</v>
      </c>
      <c r="P904" s="15"/>
      <c r="Q904" s="14" t="s">
        <v>520</v>
      </c>
      <c r="R904" s="25">
        <v>45382</v>
      </c>
      <c r="S904" s="34" t="str">
        <f>TEXT(Table1[[#This Row],[End Date]],"MMMM")</f>
        <v>March</v>
      </c>
      <c r="T904" s="34" t="str">
        <f>TEXT(Table1[[#This Row],[End Date]],"YYYY")</f>
        <v>2024</v>
      </c>
      <c r="U904" s="24">
        <f t="shared" ca="1" si="36"/>
        <v>-249</v>
      </c>
      <c r="V904" s="14" t="str" cm="1">
        <f t="array" aca="1" ref="V904" ca="1">_xlfn.IFS(Table1[[#This Row],[Agreement Days]]&gt;=0,"Expired",Table1[[#This Row],[Agreement Days]]&gt;=-30,"Expires &lt; 30 Days",Table1[[#This Row],[Agreement Days]]&gt;=-60,"Expires &lt; 60 Days",Table1[[#This Row],[Agreement Days]]&lt;-60,"Valid Contract")</f>
        <v>Valid Contract</v>
      </c>
      <c r="W904" s="26" t="s">
        <v>17</v>
      </c>
      <c r="X904" s="26" t="s">
        <v>2020</v>
      </c>
      <c r="Y904" s="81" t="s">
        <v>2021</v>
      </c>
      <c r="Z904" s="27">
        <v>783152689</v>
      </c>
      <c r="AA904" s="27"/>
      <c r="AB904" s="116"/>
      <c r="AC904" s="116"/>
    </row>
    <row r="905" spans="1:29" hidden="1" x14ac:dyDescent="0.3">
      <c r="A905" s="18" t="s">
        <v>2016</v>
      </c>
      <c r="B905" s="18" t="s">
        <v>124</v>
      </c>
      <c r="C905" s="18" t="s">
        <v>2037</v>
      </c>
      <c r="D905" s="14" t="s">
        <v>761</v>
      </c>
      <c r="E905" s="18" t="s">
        <v>9</v>
      </c>
      <c r="F905" s="14" t="s">
        <v>517</v>
      </c>
      <c r="G905" s="14" t="s">
        <v>546</v>
      </c>
      <c r="H905" s="18" t="s">
        <v>5</v>
      </c>
      <c r="I905" s="14" t="s">
        <v>117</v>
      </c>
      <c r="J905" s="19">
        <v>3</v>
      </c>
      <c r="K905" s="26" t="s">
        <v>646</v>
      </c>
      <c r="L905" s="26"/>
      <c r="M905" s="19">
        <v>1</v>
      </c>
      <c r="N905" s="15">
        <v>180000</v>
      </c>
      <c r="O905" s="15">
        <f t="shared" si="35"/>
        <v>180000</v>
      </c>
      <c r="P905" s="15"/>
      <c r="Q905" s="14" t="s">
        <v>520</v>
      </c>
      <c r="R905" s="25">
        <v>45382</v>
      </c>
      <c r="S905" s="34" t="str">
        <f>TEXT(Table1[[#This Row],[End Date]],"MMMM")</f>
        <v>March</v>
      </c>
      <c r="T905" s="34" t="str">
        <f>TEXT(Table1[[#This Row],[End Date]],"YYYY")</f>
        <v>2024</v>
      </c>
      <c r="U905" s="24">
        <f t="shared" ca="1" si="36"/>
        <v>-249</v>
      </c>
      <c r="V905" s="14" t="str" cm="1">
        <f t="array" aca="1" ref="V905" ca="1">_xlfn.IFS(Table1[[#This Row],[Agreement Days]]&gt;=0,"Expired",Table1[[#This Row],[Agreement Days]]&gt;=-30,"Expires &lt; 30 Days",Table1[[#This Row],[Agreement Days]]&gt;=-60,"Expires &lt; 60 Days",Table1[[#This Row],[Agreement Days]]&lt;-60,"Valid Contract")</f>
        <v>Valid Contract</v>
      </c>
      <c r="W905" s="26" t="s">
        <v>17</v>
      </c>
      <c r="X905" s="26" t="s">
        <v>2020</v>
      </c>
      <c r="Y905" s="81" t="s">
        <v>2021</v>
      </c>
      <c r="Z905" s="27">
        <v>783152689</v>
      </c>
      <c r="AA905" s="27"/>
      <c r="AB905" s="116"/>
      <c r="AC905" s="116"/>
    </row>
    <row r="906" spans="1:29" hidden="1" x14ac:dyDescent="0.3">
      <c r="A906" s="18" t="s">
        <v>2016</v>
      </c>
      <c r="B906" s="18" t="s">
        <v>124</v>
      </c>
      <c r="C906" s="18" t="s">
        <v>2038</v>
      </c>
      <c r="D906" s="14" t="s">
        <v>735</v>
      </c>
      <c r="E906" s="18" t="s">
        <v>9</v>
      </c>
      <c r="F906" s="14" t="s">
        <v>517</v>
      </c>
      <c r="G906" s="14" t="s">
        <v>546</v>
      </c>
      <c r="H906" s="18" t="s">
        <v>5</v>
      </c>
      <c r="I906" s="14" t="s">
        <v>117</v>
      </c>
      <c r="J906" s="19">
        <v>3</v>
      </c>
      <c r="K906" s="26" t="s">
        <v>646</v>
      </c>
      <c r="L906" s="26"/>
      <c r="M906" s="19">
        <v>1</v>
      </c>
      <c r="N906" s="15">
        <v>180000</v>
      </c>
      <c r="O906" s="15">
        <f t="shared" si="35"/>
        <v>180000</v>
      </c>
      <c r="P906" s="15"/>
      <c r="Q906" s="14" t="s">
        <v>520</v>
      </c>
      <c r="R906" s="25">
        <v>45382</v>
      </c>
      <c r="S906" s="34" t="str">
        <f>TEXT(Table1[[#This Row],[End Date]],"MMMM")</f>
        <v>March</v>
      </c>
      <c r="T906" s="34" t="str">
        <f>TEXT(Table1[[#This Row],[End Date]],"YYYY")</f>
        <v>2024</v>
      </c>
      <c r="U906" s="24">
        <f t="shared" ca="1" si="36"/>
        <v>-249</v>
      </c>
      <c r="V906" s="14" t="str" cm="1">
        <f t="array" aca="1" ref="V906" ca="1">_xlfn.IFS(Table1[[#This Row],[Agreement Days]]&gt;=0,"Expired",Table1[[#This Row],[Agreement Days]]&gt;=-30,"Expires &lt; 30 Days",Table1[[#This Row],[Agreement Days]]&gt;=-60,"Expires &lt; 60 Days",Table1[[#This Row],[Agreement Days]]&lt;-60,"Valid Contract")</f>
        <v>Valid Contract</v>
      </c>
      <c r="W906" s="26" t="s">
        <v>17</v>
      </c>
      <c r="X906" s="26" t="s">
        <v>2020</v>
      </c>
      <c r="Y906" s="81" t="s">
        <v>2021</v>
      </c>
      <c r="Z906" s="27">
        <v>783152689</v>
      </c>
      <c r="AA906" s="27"/>
      <c r="AB906" s="116"/>
      <c r="AC906" s="116"/>
    </row>
    <row r="907" spans="1:29" hidden="1" x14ac:dyDescent="0.3">
      <c r="A907" s="18" t="s">
        <v>2016</v>
      </c>
      <c r="B907" s="18" t="s">
        <v>124</v>
      </c>
      <c r="C907" s="18" t="s">
        <v>2039</v>
      </c>
      <c r="D907" s="14" t="s">
        <v>619</v>
      </c>
      <c r="E907" s="18" t="s">
        <v>9</v>
      </c>
      <c r="F907" s="14" t="s">
        <v>517</v>
      </c>
      <c r="G907" s="14" t="s">
        <v>546</v>
      </c>
      <c r="H907" s="18" t="s">
        <v>5</v>
      </c>
      <c r="I907" s="14" t="s">
        <v>117</v>
      </c>
      <c r="J907" s="19">
        <v>3</v>
      </c>
      <c r="K907" s="26" t="s">
        <v>646</v>
      </c>
      <c r="L907" s="26"/>
      <c r="M907" s="19">
        <v>1</v>
      </c>
      <c r="N907" s="15">
        <v>180000</v>
      </c>
      <c r="O907" s="15">
        <f t="shared" si="35"/>
        <v>180000</v>
      </c>
      <c r="P907" s="15"/>
      <c r="Q907" s="14" t="s">
        <v>520</v>
      </c>
      <c r="R907" s="25">
        <v>45382</v>
      </c>
      <c r="S907" s="34" t="str">
        <f>TEXT(Table1[[#This Row],[End Date]],"MMMM")</f>
        <v>March</v>
      </c>
      <c r="T907" s="34" t="str">
        <f>TEXT(Table1[[#This Row],[End Date]],"YYYY")</f>
        <v>2024</v>
      </c>
      <c r="U907" s="24">
        <f t="shared" ca="1" si="36"/>
        <v>-249</v>
      </c>
      <c r="V907" s="14" t="str" cm="1">
        <f t="array" aca="1" ref="V907" ca="1">_xlfn.IFS(Table1[[#This Row],[Agreement Days]]&gt;=0,"Expired",Table1[[#This Row],[Agreement Days]]&gt;=-30,"Expires &lt; 30 Days",Table1[[#This Row],[Agreement Days]]&gt;=-60,"Expires &lt; 60 Days",Table1[[#This Row],[Agreement Days]]&lt;-60,"Valid Contract")</f>
        <v>Valid Contract</v>
      </c>
      <c r="W907" s="26" t="s">
        <v>17</v>
      </c>
      <c r="X907" s="26" t="s">
        <v>2020</v>
      </c>
      <c r="Y907" s="81" t="s">
        <v>2021</v>
      </c>
      <c r="Z907" s="27">
        <v>783152689</v>
      </c>
      <c r="AA907" s="27"/>
      <c r="AB907" s="116"/>
      <c r="AC907" s="116"/>
    </row>
    <row r="908" spans="1:29" hidden="1" x14ac:dyDescent="0.3">
      <c r="A908" s="18" t="s">
        <v>2016</v>
      </c>
      <c r="B908" s="18" t="s">
        <v>124</v>
      </c>
      <c r="C908" s="18" t="s">
        <v>2040</v>
      </c>
      <c r="D908" s="14" t="s">
        <v>810</v>
      </c>
      <c r="E908" s="18" t="s">
        <v>9</v>
      </c>
      <c r="F908" s="14" t="s">
        <v>517</v>
      </c>
      <c r="G908" s="14" t="s">
        <v>546</v>
      </c>
      <c r="H908" s="18" t="s">
        <v>5</v>
      </c>
      <c r="I908" s="14" t="s">
        <v>117</v>
      </c>
      <c r="J908" s="19">
        <v>3</v>
      </c>
      <c r="K908" s="26" t="s">
        <v>646</v>
      </c>
      <c r="L908" s="26"/>
      <c r="M908" s="19">
        <v>1</v>
      </c>
      <c r="N908" s="15">
        <v>180000</v>
      </c>
      <c r="O908" s="15">
        <f t="shared" si="35"/>
        <v>180000</v>
      </c>
      <c r="P908" s="15"/>
      <c r="Q908" s="14" t="s">
        <v>520</v>
      </c>
      <c r="R908" s="25">
        <v>45382</v>
      </c>
      <c r="S908" s="34" t="str">
        <f>TEXT(Table1[[#This Row],[End Date]],"MMMM")</f>
        <v>March</v>
      </c>
      <c r="T908" s="34" t="str">
        <f>TEXT(Table1[[#This Row],[End Date]],"YYYY")</f>
        <v>2024</v>
      </c>
      <c r="U908" s="24">
        <f t="shared" ca="1" si="36"/>
        <v>-249</v>
      </c>
      <c r="V908" s="14" t="str" cm="1">
        <f t="array" aca="1" ref="V908" ca="1">_xlfn.IFS(Table1[[#This Row],[Agreement Days]]&gt;=0,"Expired",Table1[[#This Row],[Agreement Days]]&gt;=-30,"Expires &lt; 30 Days",Table1[[#This Row],[Agreement Days]]&gt;=-60,"Expires &lt; 60 Days",Table1[[#This Row],[Agreement Days]]&lt;-60,"Valid Contract")</f>
        <v>Valid Contract</v>
      </c>
      <c r="W908" s="26" t="s">
        <v>17</v>
      </c>
      <c r="X908" s="26" t="s">
        <v>2020</v>
      </c>
      <c r="Y908" s="81" t="s">
        <v>2021</v>
      </c>
      <c r="Z908" s="27">
        <v>783152689</v>
      </c>
      <c r="AA908" s="27"/>
      <c r="AB908" s="116"/>
      <c r="AC908" s="116"/>
    </row>
    <row r="909" spans="1:29" hidden="1" x14ac:dyDescent="0.3">
      <c r="A909" s="18" t="s">
        <v>2016</v>
      </c>
      <c r="B909" s="18" t="s">
        <v>124</v>
      </c>
      <c r="C909" s="18" t="s">
        <v>2041</v>
      </c>
      <c r="D909" s="14" t="s">
        <v>873</v>
      </c>
      <c r="E909" s="18" t="s">
        <v>9</v>
      </c>
      <c r="F909" s="14" t="s">
        <v>517</v>
      </c>
      <c r="G909" s="14" t="s">
        <v>546</v>
      </c>
      <c r="H909" s="18" t="s">
        <v>5</v>
      </c>
      <c r="I909" s="14" t="s">
        <v>117</v>
      </c>
      <c r="J909" s="19">
        <v>3</v>
      </c>
      <c r="K909" s="26" t="s">
        <v>646</v>
      </c>
      <c r="L909" s="26"/>
      <c r="M909" s="19">
        <v>1</v>
      </c>
      <c r="N909" s="15">
        <v>180000</v>
      </c>
      <c r="O909" s="15">
        <f t="shared" si="35"/>
        <v>180000</v>
      </c>
      <c r="P909" s="15"/>
      <c r="Q909" s="14" t="s">
        <v>520</v>
      </c>
      <c r="R909" s="25">
        <v>45382</v>
      </c>
      <c r="S909" s="34" t="str">
        <f>TEXT(Table1[[#This Row],[End Date]],"MMMM")</f>
        <v>March</v>
      </c>
      <c r="T909" s="34" t="str">
        <f>TEXT(Table1[[#This Row],[End Date]],"YYYY")</f>
        <v>2024</v>
      </c>
      <c r="U909" s="24">
        <f t="shared" ca="1" si="36"/>
        <v>-249</v>
      </c>
      <c r="V909" s="14" t="str" cm="1">
        <f t="array" aca="1" ref="V909" ca="1">_xlfn.IFS(Table1[[#This Row],[Agreement Days]]&gt;=0,"Expired",Table1[[#This Row],[Agreement Days]]&gt;=-30,"Expires &lt; 30 Days",Table1[[#This Row],[Agreement Days]]&gt;=-60,"Expires &lt; 60 Days",Table1[[#This Row],[Agreement Days]]&lt;-60,"Valid Contract")</f>
        <v>Valid Contract</v>
      </c>
      <c r="W909" s="26" t="s">
        <v>17</v>
      </c>
      <c r="X909" s="26" t="s">
        <v>2020</v>
      </c>
      <c r="Y909" s="81" t="s">
        <v>2021</v>
      </c>
      <c r="Z909" s="27">
        <v>783152689</v>
      </c>
      <c r="AA909" s="27"/>
      <c r="AB909" s="116"/>
      <c r="AC909" s="116"/>
    </row>
    <row r="910" spans="1:29" hidden="1" x14ac:dyDescent="0.3">
      <c r="A910" s="18" t="s">
        <v>2016</v>
      </c>
      <c r="B910" s="18" t="s">
        <v>124</v>
      </c>
      <c r="C910" s="18" t="s">
        <v>2042</v>
      </c>
      <c r="D910" s="14" t="s">
        <v>875</v>
      </c>
      <c r="E910" s="18" t="s">
        <v>9</v>
      </c>
      <c r="F910" s="14" t="s">
        <v>517</v>
      </c>
      <c r="G910" s="14" t="s">
        <v>546</v>
      </c>
      <c r="H910" s="18" t="s">
        <v>5</v>
      </c>
      <c r="I910" s="14" t="s">
        <v>117</v>
      </c>
      <c r="J910" s="19">
        <v>3</v>
      </c>
      <c r="K910" s="26" t="s">
        <v>646</v>
      </c>
      <c r="L910" s="26"/>
      <c r="M910" s="19">
        <v>1</v>
      </c>
      <c r="N910" s="15">
        <v>180000</v>
      </c>
      <c r="O910" s="15">
        <f t="shared" si="35"/>
        <v>180000</v>
      </c>
      <c r="P910" s="15"/>
      <c r="Q910" s="14" t="s">
        <v>520</v>
      </c>
      <c r="R910" s="25">
        <v>45382</v>
      </c>
      <c r="S910" s="34" t="str">
        <f>TEXT(Table1[[#This Row],[End Date]],"MMMM")</f>
        <v>March</v>
      </c>
      <c r="T910" s="34" t="str">
        <f>TEXT(Table1[[#This Row],[End Date]],"YYYY")</f>
        <v>2024</v>
      </c>
      <c r="U910" s="24">
        <f t="shared" ca="1" si="36"/>
        <v>-249</v>
      </c>
      <c r="V910" s="14" t="str" cm="1">
        <f t="array" aca="1" ref="V910" ca="1">_xlfn.IFS(Table1[[#This Row],[Agreement Days]]&gt;=0,"Expired",Table1[[#This Row],[Agreement Days]]&gt;=-30,"Expires &lt; 30 Days",Table1[[#This Row],[Agreement Days]]&gt;=-60,"Expires &lt; 60 Days",Table1[[#This Row],[Agreement Days]]&lt;-60,"Valid Contract")</f>
        <v>Valid Contract</v>
      </c>
      <c r="W910" s="26" t="s">
        <v>17</v>
      </c>
      <c r="X910" s="26" t="s">
        <v>2020</v>
      </c>
      <c r="Y910" s="81" t="s">
        <v>2021</v>
      </c>
      <c r="Z910" s="27">
        <v>783152689</v>
      </c>
      <c r="AA910" s="27"/>
      <c r="AB910" s="116"/>
      <c r="AC910" s="116"/>
    </row>
    <row r="911" spans="1:29" hidden="1" x14ac:dyDescent="0.3">
      <c r="A911" s="18" t="s">
        <v>2016</v>
      </c>
      <c r="B911" s="18" t="s">
        <v>124</v>
      </c>
      <c r="C911" s="18" t="s">
        <v>2043</v>
      </c>
      <c r="D911" s="14" t="s">
        <v>946</v>
      </c>
      <c r="E911" s="18" t="s">
        <v>9</v>
      </c>
      <c r="F911" s="14" t="s">
        <v>517</v>
      </c>
      <c r="G911" s="14" t="s">
        <v>546</v>
      </c>
      <c r="H911" s="18" t="s">
        <v>5</v>
      </c>
      <c r="I911" s="14" t="s">
        <v>117</v>
      </c>
      <c r="J911" s="19">
        <v>3</v>
      </c>
      <c r="K911" s="26" t="s">
        <v>646</v>
      </c>
      <c r="L911" s="26"/>
      <c r="M911" s="19">
        <v>1</v>
      </c>
      <c r="N911" s="15">
        <v>180000</v>
      </c>
      <c r="O911" s="15">
        <f t="shared" si="35"/>
        <v>180000</v>
      </c>
      <c r="P911" s="15"/>
      <c r="Q911" s="14" t="s">
        <v>520</v>
      </c>
      <c r="R911" s="25">
        <v>45382</v>
      </c>
      <c r="S911" s="34" t="str">
        <f>TEXT(Table1[[#This Row],[End Date]],"MMMM")</f>
        <v>March</v>
      </c>
      <c r="T911" s="34" t="str">
        <f>TEXT(Table1[[#This Row],[End Date]],"YYYY")</f>
        <v>2024</v>
      </c>
      <c r="U911" s="24">
        <f t="shared" ca="1" si="36"/>
        <v>-249</v>
      </c>
      <c r="V911" s="14" t="str" cm="1">
        <f t="array" aca="1" ref="V911" ca="1">_xlfn.IFS(Table1[[#This Row],[Agreement Days]]&gt;=0,"Expired",Table1[[#This Row],[Agreement Days]]&gt;=-30,"Expires &lt; 30 Days",Table1[[#This Row],[Agreement Days]]&gt;=-60,"Expires &lt; 60 Days",Table1[[#This Row],[Agreement Days]]&lt;-60,"Valid Contract")</f>
        <v>Valid Contract</v>
      </c>
      <c r="W911" s="26" t="s">
        <v>17</v>
      </c>
      <c r="X911" s="26" t="s">
        <v>2020</v>
      </c>
      <c r="Y911" s="81" t="s">
        <v>2021</v>
      </c>
      <c r="Z911" s="27">
        <v>783152689</v>
      </c>
      <c r="AA911" s="27"/>
      <c r="AB911" s="116"/>
      <c r="AC911" s="116"/>
    </row>
    <row r="912" spans="1:29" hidden="1" x14ac:dyDescent="0.3">
      <c r="A912" s="18" t="s">
        <v>2016</v>
      </c>
      <c r="B912" s="18" t="s">
        <v>124</v>
      </c>
      <c r="C912" s="18" t="s">
        <v>2044</v>
      </c>
      <c r="D912" s="14" t="s">
        <v>662</v>
      </c>
      <c r="E912" s="18" t="s">
        <v>9</v>
      </c>
      <c r="F912" s="14" t="s">
        <v>517</v>
      </c>
      <c r="G912" s="14" t="s">
        <v>546</v>
      </c>
      <c r="H912" s="18" t="s">
        <v>5</v>
      </c>
      <c r="I912" s="14" t="s">
        <v>117</v>
      </c>
      <c r="J912" s="19">
        <v>3</v>
      </c>
      <c r="K912" s="26" t="s">
        <v>646</v>
      </c>
      <c r="L912" s="26"/>
      <c r="M912" s="19">
        <v>1</v>
      </c>
      <c r="N912" s="15">
        <v>180000</v>
      </c>
      <c r="O912" s="15">
        <f t="shared" si="35"/>
        <v>180000</v>
      </c>
      <c r="P912" s="15"/>
      <c r="Q912" s="14" t="s">
        <v>520</v>
      </c>
      <c r="R912" s="25">
        <v>45382</v>
      </c>
      <c r="S912" s="34" t="str">
        <f>TEXT(Table1[[#This Row],[End Date]],"MMMM")</f>
        <v>March</v>
      </c>
      <c r="T912" s="34" t="str">
        <f>TEXT(Table1[[#This Row],[End Date]],"YYYY")</f>
        <v>2024</v>
      </c>
      <c r="U912" s="24">
        <f t="shared" ca="1" si="36"/>
        <v>-249</v>
      </c>
      <c r="V912" s="14" t="str" cm="1">
        <f t="array" aca="1" ref="V912" ca="1">_xlfn.IFS(Table1[[#This Row],[Agreement Days]]&gt;=0,"Expired",Table1[[#This Row],[Agreement Days]]&gt;=-30,"Expires &lt; 30 Days",Table1[[#This Row],[Agreement Days]]&gt;=-60,"Expires &lt; 60 Days",Table1[[#This Row],[Agreement Days]]&lt;-60,"Valid Contract")</f>
        <v>Valid Contract</v>
      </c>
      <c r="W912" s="26" t="s">
        <v>17</v>
      </c>
      <c r="X912" s="26" t="s">
        <v>2020</v>
      </c>
      <c r="Y912" s="81" t="s">
        <v>2021</v>
      </c>
      <c r="Z912" s="27">
        <v>783152689</v>
      </c>
      <c r="AA912" s="27"/>
      <c r="AB912" s="116"/>
      <c r="AC912" s="116"/>
    </row>
    <row r="913" spans="1:29" hidden="1" x14ac:dyDescent="0.3">
      <c r="A913" s="18" t="s">
        <v>2016</v>
      </c>
      <c r="B913" s="18" t="s">
        <v>124</v>
      </c>
      <c r="C913" s="18" t="s">
        <v>2045</v>
      </c>
      <c r="D913" s="14" t="s">
        <v>630</v>
      </c>
      <c r="E913" s="18" t="s">
        <v>9</v>
      </c>
      <c r="F913" s="14" t="s">
        <v>517</v>
      </c>
      <c r="G913" s="14" t="s">
        <v>546</v>
      </c>
      <c r="H913" s="18" t="s">
        <v>5</v>
      </c>
      <c r="I913" s="14" t="s">
        <v>117</v>
      </c>
      <c r="J913" s="19">
        <v>3</v>
      </c>
      <c r="K913" s="26" t="s">
        <v>646</v>
      </c>
      <c r="L913" s="26"/>
      <c r="M913" s="19">
        <v>1</v>
      </c>
      <c r="N913" s="15">
        <v>180000</v>
      </c>
      <c r="O913" s="15">
        <f t="shared" si="35"/>
        <v>180000</v>
      </c>
      <c r="P913" s="15"/>
      <c r="Q913" s="14" t="s">
        <v>520</v>
      </c>
      <c r="R913" s="25">
        <v>45382</v>
      </c>
      <c r="S913" s="34" t="str">
        <f>TEXT(Table1[[#This Row],[End Date]],"MMMM")</f>
        <v>March</v>
      </c>
      <c r="T913" s="34" t="str">
        <f>TEXT(Table1[[#This Row],[End Date]],"YYYY")</f>
        <v>2024</v>
      </c>
      <c r="U913" s="24">
        <f t="shared" ca="1" si="36"/>
        <v>-249</v>
      </c>
      <c r="V913" s="14" t="str" cm="1">
        <f t="array" aca="1" ref="V913" ca="1">_xlfn.IFS(Table1[[#This Row],[Agreement Days]]&gt;=0,"Expired",Table1[[#This Row],[Agreement Days]]&gt;=-30,"Expires &lt; 30 Days",Table1[[#This Row],[Agreement Days]]&gt;=-60,"Expires &lt; 60 Days",Table1[[#This Row],[Agreement Days]]&lt;-60,"Valid Contract")</f>
        <v>Valid Contract</v>
      </c>
      <c r="W913" s="26" t="s">
        <v>17</v>
      </c>
      <c r="X913" s="26" t="s">
        <v>2020</v>
      </c>
      <c r="Y913" s="81" t="s">
        <v>2021</v>
      </c>
      <c r="Z913" s="27">
        <v>783152689</v>
      </c>
      <c r="AA913" s="27"/>
      <c r="AB913" s="116"/>
      <c r="AC913" s="116"/>
    </row>
    <row r="914" spans="1:29" hidden="1" x14ac:dyDescent="0.3">
      <c r="A914" s="18" t="s">
        <v>2016</v>
      </c>
      <c r="B914" s="18" t="s">
        <v>124</v>
      </c>
      <c r="C914" s="18" t="s">
        <v>2046</v>
      </c>
      <c r="D914" s="14" t="s">
        <v>653</v>
      </c>
      <c r="E914" s="18" t="s">
        <v>9</v>
      </c>
      <c r="F914" s="14" t="s">
        <v>517</v>
      </c>
      <c r="G914" s="14" t="s">
        <v>546</v>
      </c>
      <c r="H914" s="18" t="s">
        <v>5</v>
      </c>
      <c r="I914" s="14" t="s">
        <v>117</v>
      </c>
      <c r="J914" s="19">
        <v>3</v>
      </c>
      <c r="K914" s="26" t="s">
        <v>646</v>
      </c>
      <c r="L914" s="26"/>
      <c r="M914" s="19">
        <v>1</v>
      </c>
      <c r="N914" s="15">
        <v>180000</v>
      </c>
      <c r="O914" s="15">
        <f t="shared" si="35"/>
        <v>180000</v>
      </c>
      <c r="P914" s="15"/>
      <c r="Q914" s="14" t="s">
        <v>520</v>
      </c>
      <c r="R914" s="25">
        <v>45382</v>
      </c>
      <c r="S914" s="34" t="str">
        <f>TEXT(Table1[[#This Row],[End Date]],"MMMM")</f>
        <v>March</v>
      </c>
      <c r="T914" s="34" t="str">
        <f>TEXT(Table1[[#This Row],[End Date]],"YYYY")</f>
        <v>2024</v>
      </c>
      <c r="U914" s="24">
        <f t="shared" ca="1" si="36"/>
        <v>-249</v>
      </c>
      <c r="V914" s="14" t="str" cm="1">
        <f t="array" aca="1" ref="V914" ca="1">_xlfn.IFS(Table1[[#This Row],[Agreement Days]]&gt;=0,"Expired",Table1[[#This Row],[Agreement Days]]&gt;=-30,"Expires &lt; 30 Days",Table1[[#This Row],[Agreement Days]]&gt;=-60,"Expires &lt; 60 Days",Table1[[#This Row],[Agreement Days]]&lt;-60,"Valid Contract")</f>
        <v>Valid Contract</v>
      </c>
      <c r="W914" s="26" t="s">
        <v>17</v>
      </c>
      <c r="X914" s="26" t="s">
        <v>2020</v>
      </c>
      <c r="Y914" s="81" t="s">
        <v>2021</v>
      </c>
      <c r="Z914" s="27">
        <v>783152689</v>
      </c>
      <c r="AA914" s="27"/>
      <c r="AB914" s="116"/>
      <c r="AC914" s="116"/>
    </row>
    <row r="915" spans="1:29" hidden="1" x14ac:dyDescent="0.3">
      <c r="A915" s="18" t="s">
        <v>2016</v>
      </c>
      <c r="B915" s="18" t="s">
        <v>124</v>
      </c>
      <c r="C915" s="18" t="s">
        <v>2047</v>
      </c>
      <c r="D915" s="14" t="s">
        <v>653</v>
      </c>
      <c r="E915" s="18" t="s">
        <v>9</v>
      </c>
      <c r="F915" s="14" t="s">
        <v>517</v>
      </c>
      <c r="G915" s="14" t="s">
        <v>546</v>
      </c>
      <c r="H915" s="18" t="s">
        <v>5</v>
      </c>
      <c r="I915" s="14" t="s">
        <v>117</v>
      </c>
      <c r="J915" s="19">
        <v>3</v>
      </c>
      <c r="K915" s="26" t="s">
        <v>646</v>
      </c>
      <c r="L915" s="26"/>
      <c r="M915" s="19">
        <v>1</v>
      </c>
      <c r="N915" s="15">
        <v>180000</v>
      </c>
      <c r="O915" s="15">
        <f t="shared" si="35"/>
        <v>180000</v>
      </c>
      <c r="P915" s="15"/>
      <c r="Q915" s="14" t="s">
        <v>520</v>
      </c>
      <c r="R915" s="25">
        <v>45382</v>
      </c>
      <c r="S915" s="34" t="str">
        <f>TEXT(Table1[[#This Row],[End Date]],"MMMM")</f>
        <v>March</v>
      </c>
      <c r="T915" s="34" t="str">
        <f>TEXT(Table1[[#This Row],[End Date]],"YYYY")</f>
        <v>2024</v>
      </c>
      <c r="U915" s="24">
        <f t="shared" ca="1" si="36"/>
        <v>-249</v>
      </c>
      <c r="V915" s="14" t="str" cm="1">
        <f t="array" aca="1" ref="V915" ca="1">_xlfn.IFS(Table1[[#This Row],[Agreement Days]]&gt;=0,"Expired",Table1[[#This Row],[Agreement Days]]&gt;=-30,"Expires &lt; 30 Days",Table1[[#This Row],[Agreement Days]]&gt;=-60,"Expires &lt; 60 Days",Table1[[#This Row],[Agreement Days]]&lt;-60,"Valid Contract")</f>
        <v>Valid Contract</v>
      </c>
      <c r="W915" s="26" t="s">
        <v>17</v>
      </c>
      <c r="X915" s="26" t="s">
        <v>2020</v>
      </c>
      <c r="Y915" s="81" t="s">
        <v>2021</v>
      </c>
      <c r="Z915" s="27">
        <v>783152689</v>
      </c>
      <c r="AA915" s="27"/>
      <c r="AB915" s="116"/>
      <c r="AC915" s="116"/>
    </row>
    <row r="916" spans="1:29" hidden="1" x14ac:dyDescent="0.3">
      <c r="A916" s="18" t="s">
        <v>2016</v>
      </c>
      <c r="B916" s="18" t="s">
        <v>124</v>
      </c>
      <c r="C916" s="18" t="s">
        <v>2048</v>
      </c>
      <c r="D916" s="14" t="s">
        <v>653</v>
      </c>
      <c r="E916" s="18" t="s">
        <v>9</v>
      </c>
      <c r="F916" s="14" t="s">
        <v>517</v>
      </c>
      <c r="G916" s="14" t="s">
        <v>546</v>
      </c>
      <c r="H916" s="18" t="s">
        <v>5</v>
      </c>
      <c r="I916" s="14" t="s">
        <v>117</v>
      </c>
      <c r="J916" s="19">
        <v>3</v>
      </c>
      <c r="K916" s="26" t="s">
        <v>646</v>
      </c>
      <c r="L916" s="26"/>
      <c r="M916" s="19">
        <v>1</v>
      </c>
      <c r="N916" s="15">
        <v>180000</v>
      </c>
      <c r="O916" s="15">
        <f t="shared" si="35"/>
        <v>180000</v>
      </c>
      <c r="P916" s="15"/>
      <c r="Q916" s="14" t="s">
        <v>520</v>
      </c>
      <c r="R916" s="25">
        <v>45382</v>
      </c>
      <c r="S916" s="34" t="str">
        <f>TEXT(Table1[[#This Row],[End Date]],"MMMM")</f>
        <v>March</v>
      </c>
      <c r="T916" s="34" t="str">
        <f>TEXT(Table1[[#This Row],[End Date]],"YYYY")</f>
        <v>2024</v>
      </c>
      <c r="U916" s="24">
        <f t="shared" ca="1" si="36"/>
        <v>-249</v>
      </c>
      <c r="V916" s="14" t="str" cm="1">
        <f t="array" aca="1" ref="V916" ca="1">_xlfn.IFS(Table1[[#This Row],[Agreement Days]]&gt;=0,"Expired",Table1[[#This Row],[Agreement Days]]&gt;=-30,"Expires &lt; 30 Days",Table1[[#This Row],[Agreement Days]]&gt;=-60,"Expires &lt; 60 Days",Table1[[#This Row],[Agreement Days]]&lt;-60,"Valid Contract")</f>
        <v>Valid Contract</v>
      </c>
      <c r="W916" s="26" t="s">
        <v>17</v>
      </c>
      <c r="X916" s="26" t="s">
        <v>2020</v>
      </c>
      <c r="Y916" s="81" t="s">
        <v>2021</v>
      </c>
      <c r="Z916" s="27">
        <v>783152689</v>
      </c>
      <c r="AA916" s="27"/>
      <c r="AB916" s="116"/>
      <c r="AC916" s="116"/>
    </row>
    <row r="917" spans="1:29" hidden="1" x14ac:dyDescent="0.3">
      <c r="A917" s="18" t="s">
        <v>2016</v>
      </c>
      <c r="B917" s="18" t="s">
        <v>124</v>
      </c>
      <c r="C917" s="18" t="s">
        <v>2049</v>
      </c>
      <c r="D917" s="14" t="s">
        <v>653</v>
      </c>
      <c r="E917" s="18" t="s">
        <v>9</v>
      </c>
      <c r="F917" s="14" t="s">
        <v>517</v>
      </c>
      <c r="G917" s="14" t="s">
        <v>546</v>
      </c>
      <c r="H917" s="18" t="s">
        <v>5</v>
      </c>
      <c r="I917" s="14" t="s">
        <v>117</v>
      </c>
      <c r="J917" s="19">
        <v>3</v>
      </c>
      <c r="K917" s="26" t="s">
        <v>646</v>
      </c>
      <c r="L917" s="26"/>
      <c r="M917" s="19">
        <v>1</v>
      </c>
      <c r="N917" s="15">
        <v>180000</v>
      </c>
      <c r="O917" s="15">
        <f t="shared" si="35"/>
        <v>180000</v>
      </c>
      <c r="P917" s="15"/>
      <c r="Q917" s="14" t="s">
        <v>520</v>
      </c>
      <c r="R917" s="25">
        <v>45382</v>
      </c>
      <c r="S917" s="34" t="str">
        <f>TEXT(Table1[[#This Row],[End Date]],"MMMM")</f>
        <v>March</v>
      </c>
      <c r="T917" s="34" t="str">
        <f>TEXT(Table1[[#This Row],[End Date]],"YYYY")</f>
        <v>2024</v>
      </c>
      <c r="U917" s="24">
        <f t="shared" ca="1" si="36"/>
        <v>-249</v>
      </c>
      <c r="V917" s="14" t="str" cm="1">
        <f t="array" aca="1" ref="V917" ca="1">_xlfn.IFS(Table1[[#This Row],[Agreement Days]]&gt;=0,"Expired",Table1[[#This Row],[Agreement Days]]&gt;=-30,"Expires &lt; 30 Days",Table1[[#This Row],[Agreement Days]]&gt;=-60,"Expires &lt; 60 Days",Table1[[#This Row],[Agreement Days]]&lt;-60,"Valid Contract")</f>
        <v>Valid Contract</v>
      </c>
      <c r="W917" s="26" t="s">
        <v>17</v>
      </c>
      <c r="X917" s="26" t="s">
        <v>2020</v>
      </c>
      <c r="Y917" s="81" t="s">
        <v>2021</v>
      </c>
      <c r="Z917" s="27">
        <v>783152689</v>
      </c>
      <c r="AA917" s="27"/>
      <c r="AB917" s="116"/>
      <c r="AC917" s="116"/>
    </row>
    <row r="918" spans="1:29" hidden="1" x14ac:dyDescent="0.3">
      <c r="A918" s="18" t="s">
        <v>2016</v>
      </c>
      <c r="B918" s="18" t="s">
        <v>124</v>
      </c>
      <c r="C918" s="18" t="s">
        <v>2050</v>
      </c>
      <c r="D918" s="14" t="s">
        <v>653</v>
      </c>
      <c r="E918" s="18" t="s">
        <v>9</v>
      </c>
      <c r="F918" s="14" t="s">
        <v>517</v>
      </c>
      <c r="G918" s="14" t="s">
        <v>546</v>
      </c>
      <c r="H918" s="18" t="s">
        <v>5</v>
      </c>
      <c r="I918" s="14" t="s">
        <v>117</v>
      </c>
      <c r="J918" s="19">
        <v>3</v>
      </c>
      <c r="K918" s="26" t="s">
        <v>646</v>
      </c>
      <c r="L918" s="26"/>
      <c r="M918" s="19">
        <v>1</v>
      </c>
      <c r="N918" s="15">
        <v>180000</v>
      </c>
      <c r="O918" s="15">
        <f t="shared" si="35"/>
        <v>180000</v>
      </c>
      <c r="P918" s="15"/>
      <c r="Q918" s="14" t="s">
        <v>520</v>
      </c>
      <c r="R918" s="25">
        <v>45382</v>
      </c>
      <c r="S918" s="34" t="str">
        <f>TEXT(Table1[[#This Row],[End Date]],"MMMM")</f>
        <v>March</v>
      </c>
      <c r="T918" s="34" t="str">
        <f>TEXT(Table1[[#This Row],[End Date]],"YYYY")</f>
        <v>2024</v>
      </c>
      <c r="U918" s="24">
        <f t="shared" ca="1" si="36"/>
        <v>-249</v>
      </c>
      <c r="V918" s="14" t="str" cm="1">
        <f t="array" aca="1" ref="V918" ca="1">_xlfn.IFS(Table1[[#This Row],[Agreement Days]]&gt;=0,"Expired",Table1[[#This Row],[Agreement Days]]&gt;=-30,"Expires &lt; 30 Days",Table1[[#This Row],[Agreement Days]]&gt;=-60,"Expires &lt; 60 Days",Table1[[#This Row],[Agreement Days]]&lt;-60,"Valid Contract")</f>
        <v>Valid Contract</v>
      </c>
      <c r="W918" s="26" t="s">
        <v>17</v>
      </c>
      <c r="X918" s="26" t="s">
        <v>2020</v>
      </c>
      <c r="Y918" s="81" t="s">
        <v>2021</v>
      </c>
      <c r="Z918" s="27">
        <v>783152689</v>
      </c>
      <c r="AA918" s="27"/>
      <c r="AB918" s="116"/>
      <c r="AC918" s="116"/>
    </row>
    <row r="919" spans="1:29" hidden="1" x14ac:dyDescent="0.3">
      <c r="A919" s="18" t="s">
        <v>2016</v>
      </c>
      <c r="B919" s="18" t="s">
        <v>124</v>
      </c>
      <c r="C919" s="18" t="s">
        <v>2051</v>
      </c>
      <c r="D919" s="14" t="s">
        <v>653</v>
      </c>
      <c r="E919" s="18" t="s">
        <v>9</v>
      </c>
      <c r="F919" s="14" t="s">
        <v>517</v>
      </c>
      <c r="G919" s="14" t="s">
        <v>546</v>
      </c>
      <c r="H919" s="18" t="s">
        <v>5</v>
      </c>
      <c r="I919" s="14" t="s">
        <v>117</v>
      </c>
      <c r="J919" s="19">
        <v>3</v>
      </c>
      <c r="K919" s="26" t="s">
        <v>646</v>
      </c>
      <c r="L919" s="26"/>
      <c r="M919" s="19">
        <v>1</v>
      </c>
      <c r="N919" s="15">
        <v>180000</v>
      </c>
      <c r="O919" s="15">
        <f t="shared" si="35"/>
        <v>180000</v>
      </c>
      <c r="P919" s="15"/>
      <c r="Q919" s="14" t="s">
        <v>520</v>
      </c>
      <c r="R919" s="25">
        <v>45382</v>
      </c>
      <c r="S919" s="34" t="str">
        <f>TEXT(Table1[[#This Row],[End Date]],"MMMM")</f>
        <v>March</v>
      </c>
      <c r="T919" s="34" t="str">
        <f>TEXT(Table1[[#This Row],[End Date]],"YYYY")</f>
        <v>2024</v>
      </c>
      <c r="U919" s="24">
        <f t="shared" ca="1" si="36"/>
        <v>-249</v>
      </c>
      <c r="V919" s="14" t="str" cm="1">
        <f t="array" aca="1" ref="V919" ca="1">_xlfn.IFS(Table1[[#This Row],[Agreement Days]]&gt;=0,"Expired",Table1[[#This Row],[Agreement Days]]&gt;=-30,"Expires &lt; 30 Days",Table1[[#This Row],[Agreement Days]]&gt;=-60,"Expires &lt; 60 Days",Table1[[#This Row],[Agreement Days]]&lt;-60,"Valid Contract")</f>
        <v>Valid Contract</v>
      </c>
      <c r="W919" s="26" t="s">
        <v>17</v>
      </c>
      <c r="X919" s="26" t="s">
        <v>2020</v>
      </c>
      <c r="Y919" s="81" t="s">
        <v>2021</v>
      </c>
      <c r="Z919" s="27">
        <v>783152689</v>
      </c>
      <c r="AA919" s="27"/>
      <c r="AB919" s="116"/>
      <c r="AC919" s="116"/>
    </row>
    <row r="920" spans="1:29" hidden="1" x14ac:dyDescent="0.3">
      <c r="A920" s="18" t="s">
        <v>2016</v>
      </c>
      <c r="B920" s="18" t="s">
        <v>124</v>
      </c>
      <c r="C920" s="18" t="s">
        <v>2052</v>
      </c>
      <c r="D920" s="14" t="s">
        <v>653</v>
      </c>
      <c r="E920" s="18" t="s">
        <v>9</v>
      </c>
      <c r="F920" s="14" t="s">
        <v>517</v>
      </c>
      <c r="G920" s="14" t="s">
        <v>546</v>
      </c>
      <c r="H920" s="18" t="s">
        <v>5</v>
      </c>
      <c r="I920" s="14" t="s">
        <v>117</v>
      </c>
      <c r="J920" s="19">
        <v>3</v>
      </c>
      <c r="K920" s="26" t="s">
        <v>646</v>
      </c>
      <c r="L920" s="26"/>
      <c r="M920" s="19">
        <v>1</v>
      </c>
      <c r="N920" s="15">
        <v>180000</v>
      </c>
      <c r="O920" s="15">
        <f t="shared" si="35"/>
        <v>180000</v>
      </c>
      <c r="P920" s="15"/>
      <c r="Q920" s="14" t="s">
        <v>520</v>
      </c>
      <c r="R920" s="25">
        <v>45382</v>
      </c>
      <c r="S920" s="34" t="str">
        <f>TEXT(Table1[[#This Row],[End Date]],"MMMM")</f>
        <v>March</v>
      </c>
      <c r="T920" s="34" t="str">
        <f>TEXT(Table1[[#This Row],[End Date]],"YYYY")</f>
        <v>2024</v>
      </c>
      <c r="U920" s="24">
        <f t="shared" ca="1" si="36"/>
        <v>-249</v>
      </c>
      <c r="V920" s="14" t="str" cm="1">
        <f t="array" aca="1" ref="V920" ca="1">_xlfn.IFS(Table1[[#This Row],[Agreement Days]]&gt;=0,"Expired",Table1[[#This Row],[Agreement Days]]&gt;=-30,"Expires &lt; 30 Days",Table1[[#This Row],[Agreement Days]]&gt;=-60,"Expires &lt; 60 Days",Table1[[#This Row],[Agreement Days]]&lt;-60,"Valid Contract")</f>
        <v>Valid Contract</v>
      </c>
      <c r="W920" s="26" t="s">
        <v>17</v>
      </c>
      <c r="X920" s="26" t="s">
        <v>2020</v>
      </c>
      <c r="Y920" s="81" t="s">
        <v>2021</v>
      </c>
      <c r="Z920" s="27">
        <v>783152689</v>
      </c>
      <c r="AA920" s="27"/>
      <c r="AB920" s="116"/>
      <c r="AC920" s="116"/>
    </row>
    <row r="921" spans="1:29" hidden="1" x14ac:dyDescent="0.3">
      <c r="A921" s="18" t="s">
        <v>2016</v>
      </c>
      <c r="B921" s="18" t="s">
        <v>124</v>
      </c>
      <c r="C921" s="18" t="s">
        <v>2053</v>
      </c>
      <c r="D921" s="14" t="s">
        <v>1719</v>
      </c>
      <c r="E921" s="18" t="s">
        <v>9</v>
      </c>
      <c r="F921" s="14" t="s">
        <v>517</v>
      </c>
      <c r="G921" s="14" t="s">
        <v>546</v>
      </c>
      <c r="H921" s="18" t="s">
        <v>5</v>
      </c>
      <c r="I921" s="14" t="s">
        <v>117</v>
      </c>
      <c r="J921" s="19">
        <v>3</v>
      </c>
      <c r="K921" s="26" t="s">
        <v>646</v>
      </c>
      <c r="L921" s="26"/>
      <c r="M921" s="19">
        <v>1</v>
      </c>
      <c r="N921" s="15">
        <v>180000</v>
      </c>
      <c r="O921" s="15">
        <f t="shared" si="35"/>
        <v>180000</v>
      </c>
      <c r="P921" s="15"/>
      <c r="Q921" s="14" t="s">
        <v>520</v>
      </c>
      <c r="R921" s="25">
        <v>45382</v>
      </c>
      <c r="S921" s="34" t="str">
        <f>TEXT(Table1[[#This Row],[End Date]],"MMMM")</f>
        <v>March</v>
      </c>
      <c r="T921" s="34" t="str">
        <f>TEXT(Table1[[#This Row],[End Date]],"YYYY")</f>
        <v>2024</v>
      </c>
      <c r="U921" s="24">
        <f t="shared" ca="1" si="36"/>
        <v>-249</v>
      </c>
      <c r="V921" s="14" t="str" cm="1">
        <f t="array" aca="1" ref="V921" ca="1">_xlfn.IFS(Table1[[#This Row],[Agreement Days]]&gt;=0,"Expired",Table1[[#This Row],[Agreement Days]]&gt;=-30,"Expires &lt; 30 Days",Table1[[#This Row],[Agreement Days]]&gt;=-60,"Expires &lt; 60 Days",Table1[[#This Row],[Agreement Days]]&lt;-60,"Valid Contract")</f>
        <v>Valid Contract</v>
      </c>
      <c r="W921" s="26" t="s">
        <v>17</v>
      </c>
      <c r="X921" s="26" t="s">
        <v>2020</v>
      </c>
      <c r="Y921" s="81" t="s">
        <v>2021</v>
      </c>
      <c r="Z921" s="27">
        <v>783152689</v>
      </c>
      <c r="AA921" s="27"/>
      <c r="AB921" s="116"/>
      <c r="AC921" s="116"/>
    </row>
    <row r="922" spans="1:29" hidden="1" x14ac:dyDescent="0.3">
      <c r="A922" s="18" t="s">
        <v>2016</v>
      </c>
      <c r="B922" s="18" t="s">
        <v>124</v>
      </c>
      <c r="C922" s="18" t="s">
        <v>2054</v>
      </c>
      <c r="D922" s="14" t="s">
        <v>769</v>
      </c>
      <c r="E922" s="18" t="s">
        <v>9</v>
      </c>
      <c r="F922" s="14" t="s">
        <v>517</v>
      </c>
      <c r="G922" s="14" t="s">
        <v>546</v>
      </c>
      <c r="H922" s="18" t="s">
        <v>5</v>
      </c>
      <c r="I922" s="14" t="s">
        <v>117</v>
      </c>
      <c r="J922" s="19">
        <v>3</v>
      </c>
      <c r="K922" s="26" t="s">
        <v>646</v>
      </c>
      <c r="L922" s="26"/>
      <c r="M922" s="19">
        <v>1</v>
      </c>
      <c r="N922" s="15">
        <v>180000</v>
      </c>
      <c r="O922" s="15">
        <f t="shared" si="35"/>
        <v>180000</v>
      </c>
      <c r="P922" s="15"/>
      <c r="Q922" s="14" t="s">
        <v>520</v>
      </c>
      <c r="R922" s="25">
        <v>45382</v>
      </c>
      <c r="S922" s="34" t="str">
        <f>TEXT(Table1[[#This Row],[End Date]],"MMMM")</f>
        <v>March</v>
      </c>
      <c r="T922" s="34" t="str">
        <f>TEXT(Table1[[#This Row],[End Date]],"YYYY")</f>
        <v>2024</v>
      </c>
      <c r="U922" s="24">
        <f t="shared" ca="1" si="36"/>
        <v>-249</v>
      </c>
      <c r="V922" s="14" t="str" cm="1">
        <f t="array" aca="1" ref="V922" ca="1">_xlfn.IFS(Table1[[#This Row],[Agreement Days]]&gt;=0,"Expired",Table1[[#This Row],[Agreement Days]]&gt;=-30,"Expires &lt; 30 Days",Table1[[#This Row],[Agreement Days]]&gt;=-60,"Expires &lt; 60 Days",Table1[[#This Row],[Agreement Days]]&lt;-60,"Valid Contract")</f>
        <v>Valid Contract</v>
      </c>
      <c r="W922" s="26" t="s">
        <v>17</v>
      </c>
      <c r="X922" s="26" t="s">
        <v>2020</v>
      </c>
      <c r="Y922" s="81" t="s">
        <v>2021</v>
      </c>
      <c r="Z922" s="27">
        <v>783152689</v>
      </c>
      <c r="AA922" s="27"/>
      <c r="AB922" s="116"/>
      <c r="AC922" s="116"/>
    </row>
    <row r="923" spans="1:29" hidden="1" x14ac:dyDescent="0.3">
      <c r="A923" s="18" t="s">
        <v>2016</v>
      </c>
      <c r="B923" s="18" t="s">
        <v>124</v>
      </c>
      <c r="C923" s="18" t="s">
        <v>2055</v>
      </c>
      <c r="D923" s="14" t="s">
        <v>771</v>
      </c>
      <c r="E923" s="18" t="s">
        <v>9</v>
      </c>
      <c r="F923" s="14" t="s">
        <v>517</v>
      </c>
      <c r="G923" s="14" t="s">
        <v>546</v>
      </c>
      <c r="H923" s="18" t="s">
        <v>5</v>
      </c>
      <c r="I923" s="14" t="s">
        <v>117</v>
      </c>
      <c r="J923" s="19">
        <v>3</v>
      </c>
      <c r="K923" s="26" t="s">
        <v>646</v>
      </c>
      <c r="L923" s="26"/>
      <c r="M923" s="19">
        <v>1</v>
      </c>
      <c r="N923" s="15">
        <v>180000</v>
      </c>
      <c r="O923" s="15">
        <f t="shared" si="35"/>
        <v>180000</v>
      </c>
      <c r="P923" s="15"/>
      <c r="Q923" s="14" t="s">
        <v>520</v>
      </c>
      <c r="R923" s="25">
        <v>45382</v>
      </c>
      <c r="S923" s="34" t="str">
        <f>TEXT(Table1[[#This Row],[End Date]],"MMMM")</f>
        <v>March</v>
      </c>
      <c r="T923" s="34" t="str">
        <f>TEXT(Table1[[#This Row],[End Date]],"YYYY")</f>
        <v>2024</v>
      </c>
      <c r="U923" s="24">
        <f t="shared" ca="1" si="36"/>
        <v>-249</v>
      </c>
      <c r="V923" s="14" t="str" cm="1">
        <f t="array" aca="1" ref="V923" ca="1">_xlfn.IFS(Table1[[#This Row],[Agreement Days]]&gt;=0,"Expired",Table1[[#This Row],[Agreement Days]]&gt;=-30,"Expires &lt; 30 Days",Table1[[#This Row],[Agreement Days]]&gt;=-60,"Expires &lt; 60 Days",Table1[[#This Row],[Agreement Days]]&lt;-60,"Valid Contract")</f>
        <v>Valid Contract</v>
      </c>
      <c r="W923" s="26" t="s">
        <v>17</v>
      </c>
      <c r="X923" s="26" t="s">
        <v>2020</v>
      </c>
      <c r="Y923" s="81" t="s">
        <v>2021</v>
      </c>
      <c r="Z923" s="27">
        <v>783152689</v>
      </c>
      <c r="AA923" s="27"/>
      <c r="AB923" s="116"/>
      <c r="AC923" s="116"/>
    </row>
    <row r="924" spans="1:29" hidden="1" x14ac:dyDescent="0.3">
      <c r="A924" s="18" t="s">
        <v>2016</v>
      </c>
      <c r="B924" s="18" t="s">
        <v>124</v>
      </c>
      <c r="C924" s="18" t="s">
        <v>2056</v>
      </c>
      <c r="D924" s="14" t="s">
        <v>542</v>
      </c>
      <c r="E924" s="18" t="s">
        <v>9</v>
      </c>
      <c r="F924" s="14" t="s">
        <v>517</v>
      </c>
      <c r="G924" s="14" t="s">
        <v>546</v>
      </c>
      <c r="H924" s="18" t="s">
        <v>5</v>
      </c>
      <c r="I924" s="14" t="s">
        <v>117</v>
      </c>
      <c r="J924" s="19">
        <v>3</v>
      </c>
      <c r="K924" s="26" t="s">
        <v>646</v>
      </c>
      <c r="L924" s="26"/>
      <c r="M924" s="19">
        <v>1</v>
      </c>
      <c r="N924" s="15">
        <v>180000</v>
      </c>
      <c r="O924" s="15">
        <f t="shared" si="35"/>
        <v>180000</v>
      </c>
      <c r="P924" s="15"/>
      <c r="Q924" s="14" t="s">
        <v>520</v>
      </c>
      <c r="R924" s="25">
        <v>45382</v>
      </c>
      <c r="S924" s="34" t="str">
        <f>TEXT(Table1[[#This Row],[End Date]],"MMMM")</f>
        <v>March</v>
      </c>
      <c r="T924" s="34" t="str">
        <f>TEXT(Table1[[#This Row],[End Date]],"YYYY")</f>
        <v>2024</v>
      </c>
      <c r="U924" s="24">
        <f t="shared" ca="1" si="36"/>
        <v>-249</v>
      </c>
      <c r="V924" s="14" t="str" cm="1">
        <f t="array" aca="1" ref="V924" ca="1">_xlfn.IFS(Table1[[#This Row],[Agreement Days]]&gt;=0,"Expired",Table1[[#This Row],[Agreement Days]]&gt;=-30,"Expires &lt; 30 Days",Table1[[#This Row],[Agreement Days]]&gt;=-60,"Expires &lt; 60 Days",Table1[[#This Row],[Agreement Days]]&lt;-60,"Valid Contract")</f>
        <v>Valid Contract</v>
      </c>
      <c r="W924" s="26" t="s">
        <v>17</v>
      </c>
      <c r="X924" s="26" t="s">
        <v>2020</v>
      </c>
      <c r="Y924" s="81" t="s">
        <v>2021</v>
      </c>
      <c r="Z924" s="27">
        <v>783152689</v>
      </c>
      <c r="AA924" s="27"/>
      <c r="AB924" s="116"/>
      <c r="AC924" s="116"/>
    </row>
    <row r="925" spans="1:29" hidden="1" x14ac:dyDescent="0.3">
      <c r="A925" s="18" t="s">
        <v>2016</v>
      </c>
      <c r="B925" s="18" t="s">
        <v>124</v>
      </c>
      <c r="C925" s="18" t="s">
        <v>2057</v>
      </c>
      <c r="D925" s="14" t="s">
        <v>579</v>
      </c>
      <c r="E925" s="18" t="s">
        <v>9</v>
      </c>
      <c r="F925" s="14" t="s">
        <v>517</v>
      </c>
      <c r="G925" s="14" t="s">
        <v>546</v>
      </c>
      <c r="H925" s="18" t="s">
        <v>5</v>
      </c>
      <c r="I925" s="14" t="s">
        <v>117</v>
      </c>
      <c r="J925" s="19">
        <v>3</v>
      </c>
      <c r="K925" s="26" t="s">
        <v>646</v>
      </c>
      <c r="L925" s="26"/>
      <c r="M925" s="19">
        <v>1</v>
      </c>
      <c r="N925" s="15">
        <v>180000</v>
      </c>
      <c r="O925" s="15">
        <f t="shared" si="35"/>
        <v>180000</v>
      </c>
      <c r="P925" s="15"/>
      <c r="Q925" s="14" t="s">
        <v>520</v>
      </c>
      <c r="R925" s="25">
        <v>45382</v>
      </c>
      <c r="S925" s="34" t="str">
        <f>TEXT(Table1[[#This Row],[End Date]],"MMMM")</f>
        <v>March</v>
      </c>
      <c r="T925" s="34" t="str">
        <f>TEXT(Table1[[#This Row],[End Date]],"YYYY")</f>
        <v>2024</v>
      </c>
      <c r="U925" s="24">
        <f t="shared" ca="1" si="36"/>
        <v>-249</v>
      </c>
      <c r="V925" s="14" t="str" cm="1">
        <f t="array" aca="1" ref="V925" ca="1">_xlfn.IFS(Table1[[#This Row],[Agreement Days]]&gt;=0,"Expired",Table1[[#This Row],[Agreement Days]]&gt;=-30,"Expires &lt; 30 Days",Table1[[#This Row],[Agreement Days]]&gt;=-60,"Expires &lt; 60 Days",Table1[[#This Row],[Agreement Days]]&lt;-60,"Valid Contract")</f>
        <v>Valid Contract</v>
      </c>
      <c r="W925" s="26" t="s">
        <v>17</v>
      </c>
      <c r="X925" s="26" t="s">
        <v>2020</v>
      </c>
      <c r="Y925" s="81" t="s">
        <v>2021</v>
      </c>
      <c r="Z925" s="27">
        <v>783152689</v>
      </c>
      <c r="AA925" s="27"/>
      <c r="AB925" s="116"/>
      <c r="AC925" s="116"/>
    </row>
    <row r="926" spans="1:29" hidden="1" x14ac:dyDescent="0.3">
      <c r="A926" s="18" t="s">
        <v>2016</v>
      </c>
      <c r="B926" s="18" t="s">
        <v>124</v>
      </c>
      <c r="C926" s="18" t="s">
        <v>2058</v>
      </c>
      <c r="D926" s="14" t="s">
        <v>645</v>
      </c>
      <c r="E926" s="18" t="s">
        <v>9</v>
      </c>
      <c r="F926" s="14" t="s">
        <v>517</v>
      </c>
      <c r="G926" s="14" t="s">
        <v>546</v>
      </c>
      <c r="H926" s="18" t="s">
        <v>5</v>
      </c>
      <c r="I926" s="14" t="s">
        <v>117</v>
      </c>
      <c r="J926" s="19">
        <v>3</v>
      </c>
      <c r="K926" s="26" t="s">
        <v>646</v>
      </c>
      <c r="L926" s="26"/>
      <c r="M926" s="19">
        <v>1</v>
      </c>
      <c r="N926" s="15">
        <v>180000</v>
      </c>
      <c r="O926" s="15">
        <f t="shared" si="35"/>
        <v>180000</v>
      </c>
      <c r="P926" s="15"/>
      <c r="Q926" s="14" t="s">
        <v>520</v>
      </c>
      <c r="R926" s="25">
        <v>45382</v>
      </c>
      <c r="S926" s="34" t="str">
        <f>TEXT(Table1[[#This Row],[End Date]],"MMMM")</f>
        <v>March</v>
      </c>
      <c r="T926" s="34" t="str">
        <f>TEXT(Table1[[#This Row],[End Date]],"YYYY")</f>
        <v>2024</v>
      </c>
      <c r="U926" s="24">
        <f t="shared" ca="1" si="36"/>
        <v>-249</v>
      </c>
      <c r="V926" s="14" t="str" cm="1">
        <f t="array" aca="1" ref="V926" ca="1">_xlfn.IFS(Table1[[#This Row],[Agreement Days]]&gt;=0,"Expired",Table1[[#This Row],[Agreement Days]]&gt;=-30,"Expires &lt; 30 Days",Table1[[#This Row],[Agreement Days]]&gt;=-60,"Expires &lt; 60 Days",Table1[[#This Row],[Agreement Days]]&lt;-60,"Valid Contract")</f>
        <v>Valid Contract</v>
      </c>
      <c r="W926" s="26" t="s">
        <v>17</v>
      </c>
      <c r="X926" s="26" t="s">
        <v>2020</v>
      </c>
      <c r="Y926" s="81" t="s">
        <v>2021</v>
      </c>
      <c r="Z926" s="27">
        <v>783152689</v>
      </c>
      <c r="AA926" s="27"/>
      <c r="AB926" s="116"/>
      <c r="AC926" s="116"/>
    </row>
    <row r="927" spans="1:29" hidden="1" x14ac:dyDescent="0.3">
      <c r="A927" s="18" t="s">
        <v>2016</v>
      </c>
      <c r="B927" s="18" t="s">
        <v>124</v>
      </c>
      <c r="C927" s="18" t="s">
        <v>2059</v>
      </c>
      <c r="D927" s="14" t="s">
        <v>516</v>
      </c>
      <c r="E927" s="18" t="s">
        <v>9</v>
      </c>
      <c r="F927" s="14" t="s">
        <v>517</v>
      </c>
      <c r="G927" s="14" t="s">
        <v>546</v>
      </c>
      <c r="H927" s="18" t="s">
        <v>5</v>
      </c>
      <c r="I927" s="14" t="s">
        <v>117</v>
      </c>
      <c r="J927" s="19">
        <v>3</v>
      </c>
      <c r="K927" s="26" t="s">
        <v>646</v>
      </c>
      <c r="L927" s="26"/>
      <c r="M927" s="19">
        <v>1</v>
      </c>
      <c r="N927" s="15">
        <v>180000</v>
      </c>
      <c r="O927" s="15">
        <f t="shared" si="35"/>
        <v>180000</v>
      </c>
      <c r="P927" s="15"/>
      <c r="Q927" s="14" t="s">
        <v>520</v>
      </c>
      <c r="R927" s="25">
        <v>45382</v>
      </c>
      <c r="S927" s="34" t="str">
        <f>TEXT(Table1[[#This Row],[End Date]],"MMMM")</f>
        <v>March</v>
      </c>
      <c r="T927" s="34" t="str">
        <f>TEXT(Table1[[#This Row],[End Date]],"YYYY")</f>
        <v>2024</v>
      </c>
      <c r="U927" s="24">
        <f t="shared" ca="1" si="36"/>
        <v>-249</v>
      </c>
      <c r="V927" s="14" t="str" cm="1">
        <f t="array" aca="1" ref="V927" ca="1">_xlfn.IFS(Table1[[#This Row],[Agreement Days]]&gt;=0,"Expired",Table1[[#This Row],[Agreement Days]]&gt;=-30,"Expires &lt; 30 Days",Table1[[#This Row],[Agreement Days]]&gt;=-60,"Expires &lt; 60 Days",Table1[[#This Row],[Agreement Days]]&lt;-60,"Valid Contract")</f>
        <v>Valid Contract</v>
      </c>
      <c r="W927" s="26" t="s">
        <v>17</v>
      </c>
      <c r="X927" s="26" t="s">
        <v>2020</v>
      </c>
      <c r="Y927" s="81" t="s">
        <v>2021</v>
      </c>
      <c r="Z927" s="27">
        <v>783152689</v>
      </c>
      <c r="AA927" s="27"/>
      <c r="AB927" s="116"/>
      <c r="AC927" s="116"/>
    </row>
    <row r="928" spans="1:29" hidden="1" x14ac:dyDescent="0.3">
      <c r="A928" s="18" t="s">
        <v>2016</v>
      </c>
      <c r="B928" s="18" t="s">
        <v>124</v>
      </c>
      <c r="C928" s="18" t="s">
        <v>2060</v>
      </c>
      <c r="D928" s="14" t="s">
        <v>2018</v>
      </c>
      <c r="E928" s="18" t="s">
        <v>9</v>
      </c>
      <c r="F928" s="14" t="s">
        <v>517</v>
      </c>
      <c r="G928" s="14" t="s">
        <v>546</v>
      </c>
      <c r="H928" s="18" t="s">
        <v>7</v>
      </c>
      <c r="I928" s="14" t="s">
        <v>117</v>
      </c>
      <c r="J928" s="19">
        <v>5</v>
      </c>
      <c r="K928" s="26" t="s">
        <v>836</v>
      </c>
      <c r="L928" s="26"/>
      <c r="M928" s="19">
        <v>1</v>
      </c>
      <c r="N928" s="15">
        <v>1673250</v>
      </c>
      <c r="O928" s="15">
        <f t="shared" si="35"/>
        <v>1673250</v>
      </c>
      <c r="P928" s="15"/>
      <c r="Q928" s="14" t="s">
        <v>520</v>
      </c>
      <c r="R928" s="25">
        <v>45382</v>
      </c>
      <c r="S928" s="34" t="str">
        <f>TEXT(Table1[[#This Row],[End Date]],"MMMM")</f>
        <v>March</v>
      </c>
      <c r="T928" s="34" t="str">
        <f>TEXT(Table1[[#This Row],[End Date]],"YYYY")</f>
        <v>2024</v>
      </c>
      <c r="U928" s="24">
        <f t="shared" ca="1" si="36"/>
        <v>-249</v>
      </c>
      <c r="V928" s="14" t="str" cm="1">
        <f t="array" aca="1" ref="V928" ca="1">_xlfn.IFS(Table1[[#This Row],[Agreement Days]]&gt;=0,"Expired",Table1[[#This Row],[Agreement Days]]&gt;=-30,"Expires &lt; 30 Days",Table1[[#This Row],[Agreement Days]]&gt;=-60,"Expires &lt; 60 Days",Table1[[#This Row],[Agreement Days]]&lt;-60,"Valid Contract")</f>
        <v>Valid Contract</v>
      </c>
      <c r="W928" s="26" t="s">
        <v>17</v>
      </c>
      <c r="X928" s="26" t="s">
        <v>2020</v>
      </c>
      <c r="Y928" s="81" t="s">
        <v>2021</v>
      </c>
      <c r="Z928" s="27">
        <v>783152689</v>
      </c>
      <c r="AA928" s="27"/>
      <c r="AB928" s="116"/>
      <c r="AC928" s="116"/>
    </row>
    <row r="929" spans="1:29" hidden="1" x14ac:dyDescent="0.3">
      <c r="A929" s="18" t="s">
        <v>2016</v>
      </c>
      <c r="B929" s="18" t="s">
        <v>124</v>
      </c>
      <c r="C929" s="18" t="s">
        <v>2061</v>
      </c>
      <c r="D929" s="14" t="s">
        <v>2062</v>
      </c>
      <c r="E929" s="18" t="s">
        <v>9</v>
      </c>
      <c r="F929" s="14" t="s">
        <v>517</v>
      </c>
      <c r="G929" s="14" t="s">
        <v>546</v>
      </c>
      <c r="H929" s="18" t="s">
        <v>7</v>
      </c>
      <c r="I929" s="14" t="s">
        <v>117</v>
      </c>
      <c r="J929" s="19">
        <v>5</v>
      </c>
      <c r="K929" s="26" t="s">
        <v>836</v>
      </c>
      <c r="L929" s="26"/>
      <c r="M929" s="19">
        <v>1</v>
      </c>
      <c r="N929" s="15">
        <v>960000</v>
      </c>
      <c r="O929" s="15">
        <f t="shared" si="35"/>
        <v>960000</v>
      </c>
      <c r="P929" s="15"/>
      <c r="Q929" s="14" t="s">
        <v>520</v>
      </c>
      <c r="R929" s="25">
        <v>45382</v>
      </c>
      <c r="S929" s="34" t="str">
        <f>TEXT(Table1[[#This Row],[End Date]],"MMMM")</f>
        <v>March</v>
      </c>
      <c r="T929" s="34" t="str">
        <f>TEXT(Table1[[#This Row],[End Date]],"YYYY")</f>
        <v>2024</v>
      </c>
      <c r="U929" s="24">
        <f t="shared" ca="1" si="36"/>
        <v>-249</v>
      </c>
      <c r="V929" s="14" t="str" cm="1">
        <f t="array" aca="1" ref="V929" ca="1">_xlfn.IFS(Table1[[#This Row],[Agreement Days]]&gt;=0,"Expired",Table1[[#This Row],[Agreement Days]]&gt;=-30,"Expires &lt; 30 Days",Table1[[#This Row],[Agreement Days]]&gt;=-60,"Expires &lt; 60 Days",Table1[[#This Row],[Agreement Days]]&lt;-60,"Valid Contract")</f>
        <v>Valid Contract</v>
      </c>
      <c r="W929" s="26" t="s">
        <v>17</v>
      </c>
      <c r="X929" s="26" t="s">
        <v>2020</v>
      </c>
      <c r="Y929" s="81" t="s">
        <v>2021</v>
      </c>
      <c r="Z929" s="27">
        <v>783152689</v>
      </c>
      <c r="AA929" s="27"/>
      <c r="AB929" s="116"/>
      <c r="AC929" s="116"/>
    </row>
    <row r="930" spans="1:29" hidden="1" x14ac:dyDescent="0.3">
      <c r="A930" s="18" t="s">
        <v>2016</v>
      </c>
      <c r="B930" s="18" t="s">
        <v>124</v>
      </c>
      <c r="C930" s="18" t="s">
        <v>2063</v>
      </c>
      <c r="D930" s="14" t="s">
        <v>540</v>
      </c>
      <c r="E930" s="18" t="s">
        <v>9</v>
      </c>
      <c r="F930" s="14" t="s">
        <v>517</v>
      </c>
      <c r="G930" s="14" t="s">
        <v>546</v>
      </c>
      <c r="H930" s="18" t="s">
        <v>5</v>
      </c>
      <c r="I930" s="14" t="s">
        <v>117</v>
      </c>
      <c r="J930" s="19">
        <v>5</v>
      </c>
      <c r="K930" s="26" t="s">
        <v>519</v>
      </c>
      <c r="L930" s="26"/>
      <c r="M930" s="19">
        <v>1</v>
      </c>
      <c r="N930" s="15">
        <v>270000</v>
      </c>
      <c r="O930" s="15">
        <f t="shared" si="35"/>
        <v>270000</v>
      </c>
      <c r="P930" s="15"/>
      <c r="Q930" s="14" t="s">
        <v>520</v>
      </c>
      <c r="R930" s="25">
        <v>45382</v>
      </c>
      <c r="S930" s="34" t="str">
        <f>TEXT(Table1[[#This Row],[End Date]],"MMMM")</f>
        <v>March</v>
      </c>
      <c r="T930" s="34" t="str">
        <f>TEXT(Table1[[#This Row],[End Date]],"YYYY")</f>
        <v>2024</v>
      </c>
      <c r="U930" s="24">
        <f t="shared" ca="1" si="36"/>
        <v>-249</v>
      </c>
      <c r="V930" s="14" t="str" cm="1">
        <f t="array" aca="1" ref="V930" ca="1">_xlfn.IFS(Table1[[#This Row],[Agreement Days]]&gt;=0,"Expired",Table1[[#This Row],[Agreement Days]]&gt;=-30,"Expires &lt; 30 Days",Table1[[#This Row],[Agreement Days]]&gt;=-60,"Expires &lt; 60 Days",Table1[[#This Row],[Agreement Days]]&lt;-60,"Valid Contract")</f>
        <v>Valid Contract</v>
      </c>
      <c r="W930" s="26" t="s">
        <v>17</v>
      </c>
      <c r="X930" s="26" t="s">
        <v>2020</v>
      </c>
      <c r="Y930" s="81" t="s">
        <v>2021</v>
      </c>
      <c r="Z930" s="27">
        <v>783152689</v>
      </c>
      <c r="AA930" s="27"/>
      <c r="AB930" s="116"/>
      <c r="AC930" s="116"/>
    </row>
    <row r="931" spans="1:29" hidden="1" x14ac:dyDescent="0.3">
      <c r="A931" s="18" t="s">
        <v>2016</v>
      </c>
      <c r="B931" s="18" t="s">
        <v>124</v>
      </c>
      <c r="C931" s="18" t="s">
        <v>2064</v>
      </c>
      <c r="D931" s="14" t="s">
        <v>739</v>
      </c>
      <c r="E931" s="18" t="s">
        <v>9</v>
      </c>
      <c r="F931" s="14" t="s">
        <v>517</v>
      </c>
      <c r="G931" s="14" t="s">
        <v>546</v>
      </c>
      <c r="H931" s="18" t="s">
        <v>5</v>
      </c>
      <c r="I931" s="14" t="s">
        <v>117</v>
      </c>
      <c r="J931" s="19">
        <v>10</v>
      </c>
      <c r="K931" s="26" t="s">
        <v>547</v>
      </c>
      <c r="L931" s="26"/>
      <c r="M931" s="19">
        <v>1</v>
      </c>
      <c r="N931" s="15">
        <v>510000</v>
      </c>
      <c r="O931" s="15">
        <f t="shared" si="35"/>
        <v>510000</v>
      </c>
      <c r="P931" s="15"/>
      <c r="Q931" s="14" t="s">
        <v>520</v>
      </c>
      <c r="R931" s="25">
        <v>45382</v>
      </c>
      <c r="S931" s="34" t="str">
        <f>TEXT(Table1[[#This Row],[End Date]],"MMMM")</f>
        <v>March</v>
      </c>
      <c r="T931" s="34" t="str">
        <f>TEXT(Table1[[#This Row],[End Date]],"YYYY")</f>
        <v>2024</v>
      </c>
      <c r="U931" s="24">
        <f t="shared" ca="1" si="36"/>
        <v>-249</v>
      </c>
      <c r="V931" s="14" t="str" cm="1">
        <f t="array" aca="1" ref="V931" ca="1">_xlfn.IFS(Table1[[#This Row],[Agreement Days]]&gt;=0,"Expired",Table1[[#This Row],[Agreement Days]]&gt;=-30,"Expires &lt; 30 Days",Table1[[#This Row],[Agreement Days]]&gt;=-60,"Expires &lt; 60 Days",Table1[[#This Row],[Agreement Days]]&lt;-60,"Valid Contract")</f>
        <v>Valid Contract</v>
      </c>
      <c r="W931" s="26" t="s">
        <v>17</v>
      </c>
      <c r="X931" s="26" t="s">
        <v>2020</v>
      </c>
      <c r="Y931" s="81" t="s">
        <v>2021</v>
      </c>
      <c r="Z931" s="27">
        <v>783152689</v>
      </c>
      <c r="AA931" s="27"/>
      <c r="AB931" s="116"/>
      <c r="AC931" s="116"/>
    </row>
    <row r="932" spans="1:29" hidden="1" x14ac:dyDescent="0.3">
      <c r="A932" s="18" t="s">
        <v>2016</v>
      </c>
      <c r="B932" s="18" t="s">
        <v>124</v>
      </c>
      <c r="C932" s="18" t="s">
        <v>2065</v>
      </c>
      <c r="D932" s="14" t="s">
        <v>739</v>
      </c>
      <c r="E932" s="18" t="s">
        <v>9</v>
      </c>
      <c r="F932" s="14" t="s">
        <v>517</v>
      </c>
      <c r="G932" s="14" t="s">
        <v>546</v>
      </c>
      <c r="H932" s="18" t="s">
        <v>5</v>
      </c>
      <c r="I932" s="14" t="s">
        <v>117</v>
      </c>
      <c r="J932" s="19">
        <v>10</v>
      </c>
      <c r="K932" s="26" t="s">
        <v>547</v>
      </c>
      <c r="L932" s="26"/>
      <c r="M932" s="19">
        <v>1</v>
      </c>
      <c r="N932" s="15">
        <v>510000</v>
      </c>
      <c r="O932" s="15">
        <f t="shared" si="35"/>
        <v>510000</v>
      </c>
      <c r="P932" s="15"/>
      <c r="Q932" s="14" t="s">
        <v>520</v>
      </c>
      <c r="R932" s="25">
        <v>45382</v>
      </c>
      <c r="S932" s="34" t="str">
        <f>TEXT(Table1[[#This Row],[End Date]],"MMMM")</f>
        <v>March</v>
      </c>
      <c r="T932" s="34" t="str">
        <f>TEXT(Table1[[#This Row],[End Date]],"YYYY")</f>
        <v>2024</v>
      </c>
      <c r="U932" s="24">
        <f t="shared" ca="1" si="36"/>
        <v>-249</v>
      </c>
      <c r="V932" s="14" t="str" cm="1">
        <f t="array" aca="1" ref="V932" ca="1">_xlfn.IFS(Table1[[#This Row],[Agreement Days]]&gt;=0,"Expired",Table1[[#This Row],[Agreement Days]]&gt;=-30,"Expires &lt; 30 Days",Table1[[#This Row],[Agreement Days]]&gt;=-60,"Expires &lt; 60 Days",Table1[[#This Row],[Agreement Days]]&lt;-60,"Valid Contract")</f>
        <v>Valid Contract</v>
      </c>
      <c r="W932" s="26" t="s">
        <v>17</v>
      </c>
      <c r="X932" s="26" t="s">
        <v>2020</v>
      </c>
      <c r="Y932" s="81" t="s">
        <v>2021</v>
      </c>
      <c r="Z932" s="27">
        <v>783152689</v>
      </c>
      <c r="AA932" s="27"/>
      <c r="AB932" s="116"/>
      <c r="AC932" s="116"/>
    </row>
    <row r="933" spans="1:29" hidden="1" x14ac:dyDescent="0.3">
      <c r="A933" s="18" t="s">
        <v>2016</v>
      </c>
      <c r="B933" s="18" t="s">
        <v>124</v>
      </c>
      <c r="C933" s="18" t="s">
        <v>2066</v>
      </c>
      <c r="D933" s="14" t="s">
        <v>739</v>
      </c>
      <c r="E933" s="18" t="s">
        <v>9</v>
      </c>
      <c r="F933" s="14" t="s">
        <v>517</v>
      </c>
      <c r="G933" s="14" t="s">
        <v>546</v>
      </c>
      <c r="H933" s="18" t="s">
        <v>5</v>
      </c>
      <c r="I933" s="14" t="s">
        <v>117</v>
      </c>
      <c r="J933" s="19">
        <v>10</v>
      </c>
      <c r="K933" s="26" t="s">
        <v>547</v>
      </c>
      <c r="L933" s="26"/>
      <c r="M933" s="19">
        <v>1</v>
      </c>
      <c r="N933" s="15">
        <v>510000</v>
      </c>
      <c r="O933" s="15">
        <f t="shared" si="35"/>
        <v>510000</v>
      </c>
      <c r="P933" s="15"/>
      <c r="Q933" s="14" t="s">
        <v>520</v>
      </c>
      <c r="R933" s="25">
        <v>45382</v>
      </c>
      <c r="S933" s="34" t="str">
        <f>TEXT(Table1[[#This Row],[End Date]],"MMMM")</f>
        <v>March</v>
      </c>
      <c r="T933" s="34" t="str">
        <f>TEXT(Table1[[#This Row],[End Date]],"YYYY")</f>
        <v>2024</v>
      </c>
      <c r="U933" s="24">
        <f t="shared" ca="1" si="36"/>
        <v>-249</v>
      </c>
      <c r="V933" s="14" t="str" cm="1">
        <f t="array" aca="1" ref="V933" ca="1">_xlfn.IFS(Table1[[#This Row],[Agreement Days]]&gt;=0,"Expired",Table1[[#This Row],[Agreement Days]]&gt;=-30,"Expires &lt; 30 Days",Table1[[#This Row],[Agreement Days]]&gt;=-60,"Expires &lt; 60 Days",Table1[[#This Row],[Agreement Days]]&lt;-60,"Valid Contract")</f>
        <v>Valid Contract</v>
      </c>
      <c r="W933" s="26" t="s">
        <v>17</v>
      </c>
      <c r="X933" s="26" t="s">
        <v>2020</v>
      </c>
      <c r="Y933" s="81" t="s">
        <v>2021</v>
      </c>
      <c r="Z933" s="27">
        <v>783152689</v>
      </c>
      <c r="AA933" s="27"/>
      <c r="AB933" s="116"/>
      <c r="AC933" s="116"/>
    </row>
    <row r="934" spans="1:29" hidden="1" x14ac:dyDescent="0.3">
      <c r="A934" s="18" t="s">
        <v>2016</v>
      </c>
      <c r="B934" s="18" t="s">
        <v>124</v>
      </c>
      <c r="C934" s="18" t="s">
        <v>2067</v>
      </c>
      <c r="D934" s="14" t="s">
        <v>739</v>
      </c>
      <c r="E934" s="18" t="s">
        <v>9</v>
      </c>
      <c r="F934" s="14" t="s">
        <v>517</v>
      </c>
      <c r="G934" s="14" t="s">
        <v>546</v>
      </c>
      <c r="H934" s="18" t="s">
        <v>5</v>
      </c>
      <c r="I934" s="14" t="s">
        <v>117</v>
      </c>
      <c r="J934" s="19">
        <v>10</v>
      </c>
      <c r="K934" s="26" t="s">
        <v>547</v>
      </c>
      <c r="L934" s="26"/>
      <c r="M934" s="19">
        <v>1</v>
      </c>
      <c r="N934" s="15">
        <v>510000</v>
      </c>
      <c r="O934" s="15">
        <f t="shared" si="35"/>
        <v>510000</v>
      </c>
      <c r="P934" s="15"/>
      <c r="Q934" s="14" t="s">
        <v>520</v>
      </c>
      <c r="R934" s="25">
        <v>45382</v>
      </c>
      <c r="S934" s="34" t="str">
        <f>TEXT(Table1[[#This Row],[End Date]],"MMMM")</f>
        <v>March</v>
      </c>
      <c r="T934" s="34" t="str">
        <f>TEXT(Table1[[#This Row],[End Date]],"YYYY")</f>
        <v>2024</v>
      </c>
      <c r="U934" s="24">
        <f t="shared" ca="1" si="36"/>
        <v>-249</v>
      </c>
      <c r="V934" s="14" t="str" cm="1">
        <f t="array" aca="1" ref="V934" ca="1">_xlfn.IFS(Table1[[#This Row],[Agreement Days]]&gt;=0,"Expired",Table1[[#This Row],[Agreement Days]]&gt;=-30,"Expires &lt; 30 Days",Table1[[#This Row],[Agreement Days]]&gt;=-60,"Expires &lt; 60 Days",Table1[[#This Row],[Agreement Days]]&lt;-60,"Valid Contract")</f>
        <v>Valid Contract</v>
      </c>
      <c r="W934" s="26" t="s">
        <v>17</v>
      </c>
      <c r="X934" s="26" t="s">
        <v>2020</v>
      </c>
      <c r="Y934" s="81" t="s">
        <v>2021</v>
      </c>
      <c r="Z934" s="27">
        <v>783152689</v>
      </c>
      <c r="AA934" s="27"/>
      <c r="AB934" s="116"/>
      <c r="AC934" s="116"/>
    </row>
    <row r="935" spans="1:29" hidden="1" x14ac:dyDescent="0.3">
      <c r="A935" s="18" t="s">
        <v>2016</v>
      </c>
      <c r="B935" s="18" t="s">
        <v>124</v>
      </c>
      <c r="C935" s="18" t="s">
        <v>2068</v>
      </c>
      <c r="D935" s="14" t="s">
        <v>808</v>
      </c>
      <c r="E935" s="18" t="s">
        <v>9</v>
      </c>
      <c r="F935" s="14" t="s">
        <v>517</v>
      </c>
      <c r="G935" s="14" t="s">
        <v>546</v>
      </c>
      <c r="H935" s="18" t="s">
        <v>5</v>
      </c>
      <c r="I935" s="14" t="s">
        <v>117</v>
      </c>
      <c r="J935" s="19">
        <v>10</v>
      </c>
      <c r="K935" s="26" t="s">
        <v>547</v>
      </c>
      <c r="L935" s="26"/>
      <c r="M935" s="19">
        <v>1</v>
      </c>
      <c r="N935" s="15">
        <v>510000</v>
      </c>
      <c r="O935" s="15">
        <f t="shared" si="35"/>
        <v>510000</v>
      </c>
      <c r="P935" s="15"/>
      <c r="Q935" s="14" t="s">
        <v>520</v>
      </c>
      <c r="R935" s="25">
        <v>45382</v>
      </c>
      <c r="S935" s="34" t="str">
        <f>TEXT(Table1[[#This Row],[End Date]],"MMMM")</f>
        <v>March</v>
      </c>
      <c r="T935" s="34" t="str">
        <f>TEXT(Table1[[#This Row],[End Date]],"YYYY")</f>
        <v>2024</v>
      </c>
      <c r="U935" s="24">
        <f t="shared" ca="1" si="36"/>
        <v>-249</v>
      </c>
      <c r="V935" s="14" t="str" cm="1">
        <f t="array" aca="1" ref="V935" ca="1">_xlfn.IFS(Table1[[#This Row],[Agreement Days]]&gt;=0,"Expired",Table1[[#This Row],[Agreement Days]]&gt;=-30,"Expires &lt; 30 Days",Table1[[#This Row],[Agreement Days]]&gt;=-60,"Expires &lt; 60 Days",Table1[[#This Row],[Agreement Days]]&lt;-60,"Valid Contract")</f>
        <v>Valid Contract</v>
      </c>
      <c r="W935" s="26" t="s">
        <v>17</v>
      </c>
      <c r="X935" s="26" t="s">
        <v>2020</v>
      </c>
      <c r="Y935" s="81" t="s">
        <v>2021</v>
      </c>
      <c r="Z935" s="27">
        <v>783152689</v>
      </c>
      <c r="AA935" s="27"/>
      <c r="AB935" s="116"/>
      <c r="AC935" s="116"/>
    </row>
    <row r="936" spans="1:29" hidden="1" x14ac:dyDescent="0.3">
      <c r="A936" s="18" t="s">
        <v>2016</v>
      </c>
      <c r="B936" s="18" t="s">
        <v>124</v>
      </c>
      <c r="C936" s="18" t="s">
        <v>2069</v>
      </c>
      <c r="D936" s="14" t="s">
        <v>759</v>
      </c>
      <c r="E936" s="18" t="s">
        <v>9</v>
      </c>
      <c r="F936" s="14" t="s">
        <v>517</v>
      </c>
      <c r="G936" s="14" t="s">
        <v>546</v>
      </c>
      <c r="H936" s="18" t="s">
        <v>5</v>
      </c>
      <c r="I936" s="14" t="s">
        <v>117</v>
      </c>
      <c r="J936" s="19">
        <v>10</v>
      </c>
      <c r="K936" s="26" t="s">
        <v>547</v>
      </c>
      <c r="L936" s="26"/>
      <c r="M936" s="19">
        <v>1</v>
      </c>
      <c r="N936" s="15">
        <v>510000</v>
      </c>
      <c r="O936" s="15">
        <f t="shared" si="35"/>
        <v>510000</v>
      </c>
      <c r="P936" s="15"/>
      <c r="Q936" s="14" t="s">
        <v>520</v>
      </c>
      <c r="R936" s="25">
        <v>45382</v>
      </c>
      <c r="S936" s="34" t="str">
        <f>TEXT(Table1[[#This Row],[End Date]],"MMMM")</f>
        <v>March</v>
      </c>
      <c r="T936" s="34" t="str">
        <f>TEXT(Table1[[#This Row],[End Date]],"YYYY")</f>
        <v>2024</v>
      </c>
      <c r="U936" s="24">
        <f t="shared" ca="1" si="36"/>
        <v>-249</v>
      </c>
      <c r="V936" s="14" t="str" cm="1">
        <f t="array" aca="1" ref="V936" ca="1">_xlfn.IFS(Table1[[#This Row],[Agreement Days]]&gt;=0,"Expired",Table1[[#This Row],[Agreement Days]]&gt;=-30,"Expires &lt; 30 Days",Table1[[#This Row],[Agreement Days]]&gt;=-60,"Expires &lt; 60 Days",Table1[[#This Row],[Agreement Days]]&lt;-60,"Valid Contract")</f>
        <v>Valid Contract</v>
      </c>
      <c r="W936" s="26" t="s">
        <v>17</v>
      </c>
      <c r="X936" s="26" t="s">
        <v>2020</v>
      </c>
      <c r="Y936" s="81" t="s">
        <v>2021</v>
      </c>
      <c r="Z936" s="27">
        <v>783152689</v>
      </c>
      <c r="AA936" s="27"/>
      <c r="AB936" s="116"/>
      <c r="AC936" s="116"/>
    </row>
    <row r="937" spans="1:29" hidden="1" x14ac:dyDescent="0.3">
      <c r="A937" s="18" t="s">
        <v>2016</v>
      </c>
      <c r="B937" s="18" t="s">
        <v>124</v>
      </c>
      <c r="C937" s="18" t="s">
        <v>2070</v>
      </c>
      <c r="D937" s="14" t="s">
        <v>735</v>
      </c>
      <c r="E937" s="18" t="s">
        <v>9</v>
      </c>
      <c r="F937" s="14" t="s">
        <v>517</v>
      </c>
      <c r="G937" s="14" t="s">
        <v>546</v>
      </c>
      <c r="H937" s="18" t="s">
        <v>5</v>
      </c>
      <c r="I937" s="14" t="s">
        <v>117</v>
      </c>
      <c r="J937" s="19">
        <v>10</v>
      </c>
      <c r="K937" s="26" t="s">
        <v>547</v>
      </c>
      <c r="L937" s="26"/>
      <c r="M937" s="19">
        <v>1</v>
      </c>
      <c r="N937" s="15">
        <v>510000</v>
      </c>
      <c r="O937" s="15">
        <f t="shared" si="35"/>
        <v>510000</v>
      </c>
      <c r="P937" s="15"/>
      <c r="Q937" s="14" t="s">
        <v>520</v>
      </c>
      <c r="R937" s="25">
        <v>45382</v>
      </c>
      <c r="S937" s="34" t="str">
        <f>TEXT(Table1[[#This Row],[End Date]],"MMMM")</f>
        <v>March</v>
      </c>
      <c r="T937" s="34" t="str">
        <f>TEXT(Table1[[#This Row],[End Date]],"YYYY")</f>
        <v>2024</v>
      </c>
      <c r="U937" s="24">
        <f t="shared" ca="1" si="36"/>
        <v>-249</v>
      </c>
      <c r="V937" s="14" t="str" cm="1">
        <f t="array" aca="1" ref="V937" ca="1">_xlfn.IFS(Table1[[#This Row],[Agreement Days]]&gt;=0,"Expired",Table1[[#This Row],[Agreement Days]]&gt;=-30,"Expires &lt; 30 Days",Table1[[#This Row],[Agreement Days]]&gt;=-60,"Expires &lt; 60 Days",Table1[[#This Row],[Agreement Days]]&lt;-60,"Valid Contract")</f>
        <v>Valid Contract</v>
      </c>
      <c r="W937" s="26" t="s">
        <v>17</v>
      </c>
      <c r="X937" s="26" t="s">
        <v>2020</v>
      </c>
      <c r="Y937" s="81" t="s">
        <v>2021</v>
      </c>
      <c r="Z937" s="27">
        <v>783152689</v>
      </c>
      <c r="AA937" s="27"/>
      <c r="AB937" s="116"/>
      <c r="AC937" s="116"/>
    </row>
    <row r="938" spans="1:29" hidden="1" x14ac:dyDescent="0.3">
      <c r="A938" s="18" t="s">
        <v>2016</v>
      </c>
      <c r="B938" s="18" t="s">
        <v>124</v>
      </c>
      <c r="C938" s="18" t="s">
        <v>2071</v>
      </c>
      <c r="D938" s="14" t="s">
        <v>875</v>
      </c>
      <c r="E938" s="18" t="s">
        <v>9</v>
      </c>
      <c r="F938" s="14" t="s">
        <v>517</v>
      </c>
      <c r="G938" s="14" t="s">
        <v>546</v>
      </c>
      <c r="H938" s="18" t="s">
        <v>5</v>
      </c>
      <c r="I938" s="14" t="s">
        <v>117</v>
      </c>
      <c r="J938" s="19">
        <v>10</v>
      </c>
      <c r="K938" s="26" t="s">
        <v>547</v>
      </c>
      <c r="L938" s="26"/>
      <c r="M938" s="19">
        <v>1</v>
      </c>
      <c r="N938" s="15">
        <v>510000</v>
      </c>
      <c r="O938" s="15">
        <f t="shared" si="35"/>
        <v>510000</v>
      </c>
      <c r="P938" s="15"/>
      <c r="Q938" s="14" t="s">
        <v>520</v>
      </c>
      <c r="R938" s="25">
        <v>45382</v>
      </c>
      <c r="S938" s="34" t="str">
        <f>TEXT(Table1[[#This Row],[End Date]],"MMMM")</f>
        <v>March</v>
      </c>
      <c r="T938" s="34" t="str">
        <f>TEXT(Table1[[#This Row],[End Date]],"YYYY")</f>
        <v>2024</v>
      </c>
      <c r="U938" s="24">
        <f t="shared" ca="1" si="36"/>
        <v>-249</v>
      </c>
      <c r="V938" s="14" t="str" cm="1">
        <f t="array" aca="1" ref="V938" ca="1">_xlfn.IFS(Table1[[#This Row],[Agreement Days]]&gt;=0,"Expired",Table1[[#This Row],[Agreement Days]]&gt;=-30,"Expires &lt; 30 Days",Table1[[#This Row],[Agreement Days]]&gt;=-60,"Expires &lt; 60 Days",Table1[[#This Row],[Agreement Days]]&lt;-60,"Valid Contract")</f>
        <v>Valid Contract</v>
      </c>
      <c r="W938" s="26" t="s">
        <v>17</v>
      </c>
      <c r="X938" s="26" t="s">
        <v>2020</v>
      </c>
      <c r="Y938" s="81" t="s">
        <v>2021</v>
      </c>
      <c r="Z938" s="27">
        <v>783152689</v>
      </c>
      <c r="AA938" s="27"/>
      <c r="AB938" s="116"/>
      <c r="AC938" s="116"/>
    </row>
    <row r="939" spans="1:29" hidden="1" x14ac:dyDescent="0.3">
      <c r="A939" s="18" t="s">
        <v>2016</v>
      </c>
      <c r="B939" s="18" t="s">
        <v>124</v>
      </c>
      <c r="C939" s="18" t="s">
        <v>2072</v>
      </c>
      <c r="D939" s="14" t="s">
        <v>875</v>
      </c>
      <c r="E939" s="18" t="s">
        <v>9</v>
      </c>
      <c r="F939" s="14" t="s">
        <v>517</v>
      </c>
      <c r="G939" s="14" t="s">
        <v>546</v>
      </c>
      <c r="H939" s="18" t="s">
        <v>5</v>
      </c>
      <c r="I939" s="14" t="s">
        <v>117</v>
      </c>
      <c r="J939" s="19">
        <v>10</v>
      </c>
      <c r="K939" s="26" t="s">
        <v>547</v>
      </c>
      <c r="L939" s="26"/>
      <c r="M939" s="19">
        <v>1</v>
      </c>
      <c r="N939" s="15">
        <v>510000</v>
      </c>
      <c r="O939" s="15">
        <f t="shared" si="35"/>
        <v>510000</v>
      </c>
      <c r="P939" s="15"/>
      <c r="Q939" s="14" t="s">
        <v>520</v>
      </c>
      <c r="R939" s="25">
        <v>45382</v>
      </c>
      <c r="S939" s="34" t="str">
        <f>TEXT(Table1[[#This Row],[End Date]],"MMMM")</f>
        <v>March</v>
      </c>
      <c r="T939" s="34" t="str">
        <f>TEXT(Table1[[#This Row],[End Date]],"YYYY")</f>
        <v>2024</v>
      </c>
      <c r="U939" s="24">
        <f t="shared" ca="1" si="36"/>
        <v>-249</v>
      </c>
      <c r="V939" s="14" t="str" cm="1">
        <f t="array" aca="1" ref="V939" ca="1">_xlfn.IFS(Table1[[#This Row],[Agreement Days]]&gt;=0,"Expired",Table1[[#This Row],[Agreement Days]]&gt;=-30,"Expires &lt; 30 Days",Table1[[#This Row],[Agreement Days]]&gt;=-60,"Expires &lt; 60 Days",Table1[[#This Row],[Agreement Days]]&lt;-60,"Valid Contract")</f>
        <v>Valid Contract</v>
      </c>
      <c r="W939" s="26" t="s">
        <v>17</v>
      </c>
      <c r="X939" s="26" t="s">
        <v>2020</v>
      </c>
      <c r="Y939" s="81" t="s">
        <v>2021</v>
      </c>
      <c r="Z939" s="27">
        <v>783152689</v>
      </c>
      <c r="AA939" s="27"/>
      <c r="AB939" s="116"/>
      <c r="AC939" s="116"/>
    </row>
    <row r="940" spans="1:29" hidden="1" x14ac:dyDescent="0.3">
      <c r="A940" s="18" t="s">
        <v>2016</v>
      </c>
      <c r="B940" s="18" t="s">
        <v>124</v>
      </c>
      <c r="C940" s="18" t="s">
        <v>2073</v>
      </c>
      <c r="D940" s="14" t="s">
        <v>653</v>
      </c>
      <c r="E940" s="18" t="s">
        <v>9</v>
      </c>
      <c r="F940" s="14" t="s">
        <v>517</v>
      </c>
      <c r="G940" s="14" t="s">
        <v>546</v>
      </c>
      <c r="H940" s="18" t="s">
        <v>5</v>
      </c>
      <c r="I940" s="14" t="s">
        <v>117</v>
      </c>
      <c r="J940" s="19">
        <v>10</v>
      </c>
      <c r="K940" s="26" t="s">
        <v>547</v>
      </c>
      <c r="L940" s="26"/>
      <c r="M940" s="19">
        <v>1</v>
      </c>
      <c r="N940" s="15">
        <v>510000</v>
      </c>
      <c r="O940" s="15">
        <f t="shared" si="35"/>
        <v>510000</v>
      </c>
      <c r="P940" s="15"/>
      <c r="Q940" s="14" t="s">
        <v>520</v>
      </c>
      <c r="R940" s="25">
        <v>45382</v>
      </c>
      <c r="S940" s="34" t="str">
        <f>TEXT(Table1[[#This Row],[End Date]],"MMMM")</f>
        <v>March</v>
      </c>
      <c r="T940" s="34" t="str">
        <f>TEXT(Table1[[#This Row],[End Date]],"YYYY")</f>
        <v>2024</v>
      </c>
      <c r="U940" s="24">
        <f t="shared" ca="1" si="36"/>
        <v>-249</v>
      </c>
      <c r="V940" s="14" t="str" cm="1">
        <f t="array" aca="1" ref="V940" ca="1">_xlfn.IFS(Table1[[#This Row],[Agreement Days]]&gt;=0,"Expired",Table1[[#This Row],[Agreement Days]]&gt;=-30,"Expires &lt; 30 Days",Table1[[#This Row],[Agreement Days]]&gt;=-60,"Expires &lt; 60 Days",Table1[[#This Row],[Agreement Days]]&lt;-60,"Valid Contract")</f>
        <v>Valid Contract</v>
      </c>
      <c r="W940" s="26" t="s">
        <v>17</v>
      </c>
      <c r="X940" s="26" t="s">
        <v>2020</v>
      </c>
      <c r="Y940" s="81" t="s">
        <v>2021</v>
      </c>
      <c r="Z940" s="27">
        <v>783152689</v>
      </c>
      <c r="AA940" s="27"/>
      <c r="AB940" s="116"/>
      <c r="AC940" s="116"/>
    </row>
    <row r="941" spans="1:29" hidden="1" x14ac:dyDescent="0.3">
      <c r="A941" s="18" t="s">
        <v>2016</v>
      </c>
      <c r="B941" s="18" t="s">
        <v>124</v>
      </c>
      <c r="C941" s="18" t="s">
        <v>2074</v>
      </c>
      <c r="D941" s="14" t="s">
        <v>769</v>
      </c>
      <c r="E941" s="18" t="s">
        <v>9</v>
      </c>
      <c r="F941" s="14" t="s">
        <v>517</v>
      </c>
      <c r="G941" s="14" t="s">
        <v>546</v>
      </c>
      <c r="H941" s="18" t="s">
        <v>5</v>
      </c>
      <c r="I941" s="14" t="s">
        <v>117</v>
      </c>
      <c r="J941" s="19">
        <v>10</v>
      </c>
      <c r="K941" s="26" t="s">
        <v>547</v>
      </c>
      <c r="L941" s="26"/>
      <c r="M941" s="19">
        <v>1</v>
      </c>
      <c r="N941" s="15">
        <v>510000</v>
      </c>
      <c r="O941" s="15">
        <f t="shared" si="35"/>
        <v>510000</v>
      </c>
      <c r="P941" s="15"/>
      <c r="Q941" s="14" t="s">
        <v>520</v>
      </c>
      <c r="R941" s="25">
        <v>45382</v>
      </c>
      <c r="S941" s="34" t="str">
        <f>TEXT(Table1[[#This Row],[End Date]],"MMMM")</f>
        <v>March</v>
      </c>
      <c r="T941" s="34" t="str">
        <f>TEXT(Table1[[#This Row],[End Date]],"YYYY")</f>
        <v>2024</v>
      </c>
      <c r="U941" s="24">
        <f t="shared" ca="1" si="36"/>
        <v>-249</v>
      </c>
      <c r="V941" s="14" t="str" cm="1">
        <f t="array" aca="1" ref="V941" ca="1">_xlfn.IFS(Table1[[#This Row],[Agreement Days]]&gt;=0,"Expired",Table1[[#This Row],[Agreement Days]]&gt;=-30,"Expires &lt; 30 Days",Table1[[#This Row],[Agreement Days]]&gt;=-60,"Expires &lt; 60 Days",Table1[[#This Row],[Agreement Days]]&lt;-60,"Valid Contract")</f>
        <v>Valid Contract</v>
      </c>
      <c r="W941" s="26" t="s">
        <v>17</v>
      </c>
      <c r="X941" s="26" t="s">
        <v>2020</v>
      </c>
      <c r="Y941" s="81" t="s">
        <v>2021</v>
      </c>
      <c r="Z941" s="27">
        <v>783152689</v>
      </c>
      <c r="AA941" s="27"/>
      <c r="AB941" s="116"/>
      <c r="AC941" s="116"/>
    </row>
    <row r="942" spans="1:29" hidden="1" x14ac:dyDescent="0.3">
      <c r="A942" s="18" t="s">
        <v>2016</v>
      </c>
      <c r="B942" s="18" t="s">
        <v>124</v>
      </c>
      <c r="C942" s="18" t="s">
        <v>2075</v>
      </c>
      <c r="D942" s="14" t="s">
        <v>579</v>
      </c>
      <c r="E942" s="18" t="s">
        <v>9</v>
      </c>
      <c r="F942" s="14" t="s">
        <v>517</v>
      </c>
      <c r="G942" s="14" t="s">
        <v>546</v>
      </c>
      <c r="H942" s="18" t="s">
        <v>5</v>
      </c>
      <c r="I942" s="14" t="s">
        <v>117</v>
      </c>
      <c r="J942" s="19">
        <v>10</v>
      </c>
      <c r="K942" s="26" t="s">
        <v>547</v>
      </c>
      <c r="L942" s="26"/>
      <c r="M942" s="19">
        <v>1</v>
      </c>
      <c r="N942" s="15">
        <v>510000</v>
      </c>
      <c r="O942" s="15">
        <f t="shared" si="35"/>
        <v>510000</v>
      </c>
      <c r="P942" s="15"/>
      <c r="Q942" s="14" t="s">
        <v>520</v>
      </c>
      <c r="R942" s="25">
        <v>45382</v>
      </c>
      <c r="S942" s="34" t="str">
        <f>TEXT(Table1[[#This Row],[End Date]],"MMMM")</f>
        <v>March</v>
      </c>
      <c r="T942" s="34" t="str">
        <f>TEXT(Table1[[#This Row],[End Date]],"YYYY")</f>
        <v>2024</v>
      </c>
      <c r="U942" s="24">
        <f t="shared" ca="1" si="36"/>
        <v>-249</v>
      </c>
      <c r="V942" s="14" t="str" cm="1">
        <f t="array" aca="1" ref="V942" ca="1">_xlfn.IFS(Table1[[#This Row],[Agreement Days]]&gt;=0,"Expired",Table1[[#This Row],[Agreement Days]]&gt;=-30,"Expires &lt; 30 Days",Table1[[#This Row],[Agreement Days]]&gt;=-60,"Expires &lt; 60 Days",Table1[[#This Row],[Agreement Days]]&lt;-60,"Valid Contract")</f>
        <v>Valid Contract</v>
      </c>
      <c r="W942" s="26" t="s">
        <v>17</v>
      </c>
      <c r="X942" s="26" t="s">
        <v>2020</v>
      </c>
      <c r="Y942" s="81" t="s">
        <v>2021</v>
      </c>
      <c r="Z942" s="27">
        <v>783152689</v>
      </c>
      <c r="AA942" s="27"/>
      <c r="AB942" s="116"/>
      <c r="AC942" s="116"/>
    </row>
    <row r="943" spans="1:29" hidden="1" x14ac:dyDescent="0.3">
      <c r="A943" s="18" t="s">
        <v>2016</v>
      </c>
      <c r="B943" s="18" t="s">
        <v>124</v>
      </c>
      <c r="C943" s="18" t="s">
        <v>2076</v>
      </c>
      <c r="D943" s="14" t="s">
        <v>579</v>
      </c>
      <c r="E943" s="18" t="s">
        <v>9</v>
      </c>
      <c r="F943" s="14" t="s">
        <v>517</v>
      </c>
      <c r="G943" s="14" t="s">
        <v>546</v>
      </c>
      <c r="H943" s="18" t="s">
        <v>5</v>
      </c>
      <c r="I943" s="14" t="s">
        <v>117</v>
      </c>
      <c r="J943" s="19">
        <v>10</v>
      </c>
      <c r="K943" s="26" t="s">
        <v>547</v>
      </c>
      <c r="L943" s="26"/>
      <c r="M943" s="19">
        <v>1</v>
      </c>
      <c r="N943" s="15">
        <v>510000</v>
      </c>
      <c r="O943" s="15">
        <f t="shared" si="35"/>
        <v>510000</v>
      </c>
      <c r="P943" s="15"/>
      <c r="Q943" s="14" t="s">
        <v>520</v>
      </c>
      <c r="R943" s="25">
        <v>45382</v>
      </c>
      <c r="S943" s="34" t="str">
        <f>TEXT(Table1[[#This Row],[End Date]],"MMMM")</f>
        <v>March</v>
      </c>
      <c r="T943" s="34" t="str">
        <f>TEXT(Table1[[#This Row],[End Date]],"YYYY")</f>
        <v>2024</v>
      </c>
      <c r="U943" s="24">
        <f t="shared" ca="1" si="36"/>
        <v>-249</v>
      </c>
      <c r="V943" s="14" t="str" cm="1">
        <f t="array" aca="1" ref="V943" ca="1">_xlfn.IFS(Table1[[#This Row],[Agreement Days]]&gt;=0,"Expired",Table1[[#This Row],[Agreement Days]]&gt;=-30,"Expires &lt; 30 Days",Table1[[#This Row],[Agreement Days]]&gt;=-60,"Expires &lt; 60 Days",Table1[[#This Row],[Agreement Days]]&lt;-60,"Valid Contract")</f>
        <v>Valid Contract</v>
      </c>
      <c r="W943" s="26" t="s">
        <v>17</v>
      </c>
      <c r="X943" s="26" t="s">
        <v>2020</v>
      </c>
      <c r="Y943" s="81" t="s">
        <v>2021</v>
      </c>
      <c r="Z943" s="27">
        <v>783152689</v>
      </c>
      <c r="AA943" s="27"/>
      <c r="AB943" s="116"/>
      <c r="AC943" s="116"/>
    </row>
    <row r="944" spans="1:29" hidden="1" x14ac:dyDescent="0.3">
      <c r="A944" s="18" t="s">
        <v>2016</v>
      </c>
      <c r="B944" s="18" t="s">
        <v>124</v>
      </c>
      <c r="C944" s="18" t="s">
        <v>2077</v>
      </c>
      <c r="D944" s="14" t="s">
        <v>579</v>
      </c>
      <c r="E944" s="18" t="s">
        <v>9</v>
      </c>
      <c r="F944" s="14" t="s">
        <v>517</v>
      </c>
      <c r="G944" s="14" t="s">
        <v>546</v>
      </c>
      <c r="H944" s="18" t="s">
        <v>5</v>
      </c>
      <c r="I944" s="14" t="s">
        <v>117</v>
      </c>
      <c r="J944" s="19">
        <v>10</v>
      </c>
      <c r="K944" s="26" t="s">
        <v>547</v>
      </c>
      <c r="L944" s="26"/>
      <c r="M944" s="19">
        <v>1</v>
      </c>
      <c r="N944" s="15">
        <v>510000</v>
      </c>
      <c r="O944" s="15">
        <f t="shared" si="35"/>
        <v>510000</v>
      </c>
      <c r="P944" s="15"/>
      <c r="Q944" s="14" t="s">
        <v>520</v>
      </c>
      <c r="R944" s="25">
        <v>45382</v>
      </c>
      <c r="S944" s="34" t="str">
        <f>TEXT(Table1[[#This Row],[End Date]],"MMMM")</f>
        <v>March</v>
      </c>
      <c r="T944" s="34" t="str">
        <f>TEXT(Table1[[#This Row],[End Date]],"YYYY")</f>
        <v>2024</v>
      </c>
      <c r="U944" s="24">
        <f t="shared" ca="1" si="36"/>
        <v>-249</v>
      </c>
      <c r="V944" s="14" t="str" cm="1">
        <f t="array" aca="1" ref="V944" ca="1">_xlfn.IFS(Table1[[#This Row],[Agreement Days]]&gt;=0,"Expired",Table1[[#This Row],[Agreement Days]]&gt;=-30,"Expires &lt; 30 Days",Table1[[#This Row],[Agreement Days]]&gt;=-60,"Expires &lt; 60 Days",Table1[[#This Row],[Agreement Days]]&lt;-60,"Valid Contract")</f>
        <v>Valid Contract</v>
      </c>
      <c r="W944" s="26" t="s">
        <v>17</v>
      </c>
      <c r="X944" s="26" t="s">
        <v>2020</v>
      </c>
      <c r="Y944" s="81" t="s">
        <v>2021</v>
      </c>
      <c r="Z944" s="27">
        <v>783152689</v>
      </c>
      <c r="AA944" s="27"/>
      <c r="AB944" s="116"/>
      <c r="AC944" s="116"/>
    </row>
    <row r="945" spans="1:29" hidden="1" x14ac:dyDescent="0.3">
      <c r="A945" s="18" t="s">
        <v>2016</v>
      </c>
      <c r="B945" s="18" t="s">
        <v>124</v>
      </c>
      <c r="C945" s="18" t="s">
        <v>2078</v>
      </c>
      <c r="D945" s="14" t="s">
        <v>540</v>
      </c>
      <c r="E945" s="18" t="s">
        <v>9</v>
      </c>
      <c r="F945" s="14" t="s">
        <v>517</v>
      </c>
      <c r="G945" s="14" t="s">
        <v>546</v>
      </c>
      <c r="H945" s="18" t="s">
        <v>5</v>
      </c>
      <c r="I945" s="14" t="s">
        <v>117</v>
      </c>
      <c r="J945" s="19">
        <v>20</v>
      </c>
      <c r="K945" s="26" t="s">
        <v>689</v>
      </c>
      <c r="L945" s="26"/>
      <c r="M945" s="19">
        <v>1</v>
      </c>
      <c r="N945" s="15">
        <v>900000</v>
      </c>
      <c r="O945" s="15">
        <f t="shared" si="35"/>
        <v>900000</v>
      </c>
      <c r="P945" s="15"/>
      <c r="Q945" s="14" t="s">
        <v>520</v>
      </c>
      <c r="R945" s="25">
        <v>45382</v>
      </c>
      <c r="S945" s="34" t="str">
        <f>TEXT(Table1[[#This Row],[End Date]],"MMMM")</f>
        <v>March</v>
      </c>
      <c r="T945" s="34" t="str">
        <f>TEXT(Table1[[#This Row],[End Date]],"YYYY")</f>
        <v>2024</v>
      </c>
      <c r="U945" s="24">
        <f t="shared" ca="1" si="36"/>
        <v>-249</v>
      </c>
      <c r="V945" s="14" t="str" cm="1">
        <f t="array" aca="1" ref="V945" ca="1">_xlfn.IFS(Table1[[#This Row],[Agreement Days]]&gt;=0,"Expired",Table1[[#This Row],[Agreement Days]]&gt;=-30,"Expires &lt; 30 Days",Table1[[#This Row],[Agreement Days]]&gt;=-60,"Expires &lt; 60 Days",Table1[[#This Row],[Agreement Days]]&lt;-60,"Valid Contract")</f>
        <v>Valid Contract</v>
      </c>
      <c r="W945" s="26" t="s">
        <v>17</v>
      </c>
      <c r="X945" s="26" t="s">
        <v>2020</v>
      </c>
      <c r="Y945" s="81" t="s">
        <v>2021</v>
      </c>
      <c r="Z945" s="27">
        <v>783152689</v>
      </c>
      <c r="AA945" s="27"/>
      <c r="AB945" s="116"/>
      <c r="AC945" s="116"/>
    </row>
    <row r="946" spans="1:29" hidden="1" x14ac:dyDescent="0.3">
      <c r="A946" s="18" t="s">
        <v>2016</v>
      </c>
      <c r="B946" s="18" t="s">
        <v>124</v>
      </c>
      <c r="C946" s="18" t="s">
        <v>2079</v>
      </c>
      <c r="D946" s="14" t="s">
        <v>545</v>
      </c>
      <c r="E946" s="18" t="s">
        <v>9</v>
      </c>
      <c r="F946" s="14" t="s">
        <v>517</v>
      </c>
      <c r="G946" s="14" t="s">
        <v>546</v>
      </c>
      <c r="H946" s="18" t="s">
        <v>5</v>
      </c>
      <c r="I946" s="14" t="s">
        <v>117</v>
      </c>
      <c r="J946" s="19">
        <v>50</v>
      </c>
      <c r="K946" s="26" t="s">
        <v>673</v>
      </c>
      <c r="L946" s="26"/>
      <c r="M946" s="19">
        <v>1</v>
      </c>
      <c r="N946" s="15">
        <v>1800000</v>
      </c>
      <c r="O946" s="15">
        <f t="shared" si="35"/>
        <v>1800000</v>
      </c>
      <c r="P946" s="15"/>
      <c r="Q946" s="14" t="s">
        <v>520</v>
      </c>
      <c r="R946" s="25">
        <v>45382</v>
      </c>
      <c r="S946" s="34" t="str">
        <f>TEXT(Table1[[#This Row],[End Date]],"MMMM")</f>
        <v>March</v>
      </c>
      <c r="T946" s="34" t="str">
        <f>TEXT(Table1[[#This Row],[End Date]],"YYYY")</f>
        <v>2024</v>
      </c>
      <c r="U946" s="24">
        <f t="shared" ca="1" si="36"/>
        <v>-249</v>
      </c>
      <c r="V946" s="14" t="str" cm="1">
        <f t="array" aca="1" ref="V946" ca="1">_xlfn.IFS(Table1[[#This Row],[Agreement Days]]&gt;=0,"Expired",Table1[[#This Row],[Agreement Days]]&gt;=-30,"Expires &lt; 30 Days",Table1[[#This Row],[Agreement Days]]&gt;=-60,"Expires &lt; 60 Days",Table1[[#This Row],[Agreement Days]]&lt;-60,"Valid Contract")</f>
        <v>Valid Contract</v>
      </c>
      <c r="W946" s="26" t="s">
        <v>17</v>
      </c>
      <c r="X946" s="26" t="s">
        <v>2020</v>
      </c>
      <c r="Y946" s="81" t="s">
        <v>2021</v>
      </c>
      <c r="Z946" s="27">
        <v>783152689</v>
      </c>
      <c r="AA946" s="27"/>
      <c r="AB946" s="116"/>
      <c r="AC946" s="116"/>
    </row>
    <row r="947" spans="1:29" hidden="1" x14ac:dyDescent="0.3">
      <c r="A947" s="18" t="s">
        <v>2016</v>
      </c>
      <c r="B947" s="18" t="s">
        <v>124</v>
      </c>
      <c r="C947" s="18" t="s">
        <v>2080</v>
      </c>
      <c r="D947" s="14" t="s">
        <v>545</v>
      </c>
      <c r="E947" s="18" t="s">
        <v>9</v>
      </c>
      <c r="F947" s="14" t="s">
        <v>517</v>
      </c>
      <c r="G947" s="14" t="s">
        <v>546</v>
      </c>
      <c r="H947" s="18" t="s">
        <v>5</v>
      </c>
      <c r="I947" s="14" t="s">
        <v>117</v>
      </c>
      <c r="J947" s="19">
        <v>50</v>
      </c>
      <c r="K947" s="26" t="s">
        <v>673</v>
      </c>
      <c r="L947" s="26"/>
      <c r="M947" s="19">
        <v>1</v>
      </c>
      <c r="N947" s="15">
        <v>1800000</v>
      </c>
      <c r="O947" s="15">
        <f t="shared" si="35"/>
        <v>1800000</v>
      </c>
      <c r="P947" s="15"/>
      <c r="Q947" s="14" t="s">
        <v>520</v>
      </c>
      <c r="R947" s="25">
        <v>45382</v>
      </c>
      <c r="S947" s="34" t="str">
        <f>TEXT(Table1[[#This Row],[End Date]],"MMMM")</f>
        <v>March</v>
      </c>
      <c r="T947" s="34" t="str">
        <f>TEXT(Table1[[#This Row],[End Date]],"YYYY")</f>
        <v>2024</v>
      </c>
      <c r="U947" s="24">
        <f t="shared" ca="1" si="36"/>
        <v>-249</v>
      </c>
      <c r="V947" s="14" t="str" cm="1">
        <f t="array" aca="1" ref="V947" ca="1">_xlfn.IFS(Table1[[#This Row],[Agreement Days]]&gt;=0,"Expired",Table1[[#This Row],[Agreement Days]]&gt;=-30,"Expires &lt; 30 Days",Table1[[#This Row],[Agreement Days]]&gt;=-60,"Expires &lt; 60 Days",Table1[[#This Row],[Agreement Days]]&lt;-60,"Valid Contract")</f>
        <v>Valid Contract</v>
      </c>
      <c r="W947" s="26" t="s">
        <v>17</v>
      </c>
      <c r="X947" s="26" t="s">
        <v>2020</v>
      </c>
      <c r="Y947" s="81" t="s">
        <v>2021</v>
      </c>
      <c r="Z947" s="27">
        <v>783152689</v>
      </c>
      <c r="AA947" s="27"/>
      <c r="AB947" s="116"/>
      <c r="AC947" s="116"/>
    </row>
    <row r="948" spans="1:29" hidden="1" x14ac:dyDescent="0.3">
      <c r="A948" s="18" t="s">
        <v>2016</v>
      </c>
      <c r="B948" s="18" t="s">
        <v>124</v>
      </c>
      <c r="C948" s="18" t="s">
        <v>2081</v>
      </c>
      <c r="D948" s="14" t="s">
        <v>545</v>
      </c>
      <c r="E948" s="18" t="s">
        <v>9</v>
      </c>
      <c r="F948" s="14" t="s">
        <v>517</v>
      </c>
      <c r="G948" s="14" t="s">
        <v>546</v>
      </c>
      <c r="H948" s="18" t="s">
        <v>5</v>
      </c>
      <c r="I948" s="14" t="s">
        <v>117</v>
      </c>
      <c r="J948" s="19">
        <v>100</v>
      </c>
      <c r="K948" s="26" t="s">
        <v>2082</v>
      </c>
      <c r="L948" s="26"/>
      <c r="M948" s="19">
        <v>1</v>
      </c>
      <c r="N948" s="15">
        <v>3600000</v>
      </c>
      <c r="O948" s="15">
        <f t="shared" si="35"/>
        <v>3600000</v>
      </c>
      <c r="P948" s="15"/>
      <c r="Q948" s="14" t="s">
        <v>520</v>
      </c>
      <c r="R948" s="25">
        <v>45382</v>
      </c>
      <c r="S948" s="34" t="str">
        <f>TEXT(Table1[[#This Row],[End Date]],"MMMM")</f>
        <v>March</v>
      </c>
      <c r="T948" s="34" t="str">
        <f>TEXT(Table1[[#This Row],[End Date]],"YYYY")</f>
        <v>2024</v>
      </c>
      <c r="U948" s="24">
        <f t="shared" ca="1" si="36"/>
        <v>-249</v>
      </c>
      <c r="V948" s="14" t="str" cm="1">
        <f t="array" aca="1" ref="V948" ca="1">_xlfn.IFS(Table1[[#This Row],[Agreement Days]]&gt;=0,"Expired",Table1[[#This Row],[Agreement Days]]&gt;=-30,"Expires &lt; 30 Days",Table1[[#This Row],[Agreement Days]]&gt;=-60,"Expires &lt; 60 Days",Table1[[#This Row],[Agreement Days]]&lt;-60,"Valid Contract")</f>
        <v>Valid Contract</v>
      </c>
      <c r="W948" s="26" t="s">
        <v>17</v>
      </c>
      <c r="X948" s="26" t="s">
        <v>2020</v>
      </c>
      <c r="Y948" s="81" t="s">
        <v>2021</v>
      </c>
      <c r="Z948" s="27">
        <v>783152689</v>
      </c>
      <c r="AA948" s="27"/>
      <c r="AB948" s="116"/>
      <c r="AC948" s="116"/>
    </row>
    <row r="949" spans="1:29" hidden="1" x14ac:dyDescent="0.3">
      <c r="A949" s="18" t="s">
        <v>2016</v>
      </c>
      <c r="B949" s="18" t="s">
        <v>124</v>
      </c>
      <c r="C949" s="18" t="s">
        <v>2083</v>
      </c>
      <c r="D949" s="14" t="s">
        <v>739</v>
      </c>
      <c r="E949" s="18" t="s">
        <v>9</v>
      </c>
      <c r="F949" s="14" t="s">
        <v>517</v>
      </c>
      <c r="G949" s="14" t="s">
        <v>546</v>
      </c>
      <c r="H949" s="18" t="s">
        <v>5</v>
      </c>
      <c r="I949" s="14" t="s">
        <v>116</v>
      </c>
      <c r="J949" s="26"/>
      <c r="K949" s="14" t="s">
        <v>533</v>
      </c>
      <c r="L949" s="26">
        <v>45</v>
      </c>
      <c r="M949" s="19">
        <v>1</v>
      </c>
      <c r="N949" s="15">
        <v>4204629</v>
      </c>
      <c r="O949" s="15">
        <f t="shared" si="35"/>
        <v>4204629</v>
      </c>
      <c r="P949" s="15"/>
      <c r="Q949" s="14" t="s">
        <v>520</v>
      </c>
      <c r="R949" s="25">
        <v>45382</v>
      </c>
      <c r="S949" s="34" t="str">
        <f>TEXT(Table1[[#This Row],[End Date]],"MMMM")</f>
        <v>March</v>
      </c>
      <c r="T949" s="34" t="str">
        <f>TEXT(Table1[[#This Row],[End Date]],"YYYY")</f>
        <v>2024</v>
      </c>
      <c r="U949" s="24">
        <f t="shared" ca="1" si="36"/>
        <v>-249</v>
      </c>
      <c r="V949" s="14" t="str" cm="1">
        <f t="array" aca="1" ref="V949" ca="1">_xlfn.IFS(Table1[[#This Row],[Agreement Days]]&gt;=0,"Expired",Table1[[#This Row],[Agreement Days]]&gt;=-30,"Expires &lt; 30 Days",Table1[[#This Row],[Agreement Days]]&gt;=-60,"Expires &lt; 60 Days",Table1[[#This Row],[Agreement Days]]&lt;-60,"Valid Contract")</f>
        <v>Valid Contract</v>
      </c>
      <c r="W949" s="26" t="s">
        <v>17</v>
      </c>
      <c r="X949" s="26" t="s">
        <v>2020</v>
      </c>
      <c r="Y949" s="81" t="s">
        <v>2021</v>
      </c>
      <c r="Z949" s="27">
        <v>783152689</v>
      </c>
      <c r="AA949" s="27"/>
      <c r="AB949" s="116"/>
      <c r="AC949" s="116"/>
    </row>
    <row r="950" spans="1:29" hidden="1" x14ac:dyDescent="0.3">
      <c r="A950" s="18" t="s">
        <v>2016</v>
      </c>
      <c r="B950" s="18" t="s">
        <v>124</v>
      </c>
      <c r="C950" s="18" t="s">
        <v>544</v>
      </c>
      <c r="D950" s="14" t="s">
        <v>545</v>
      </c>
      <c r="E950" s="18" t="s">
        <v>9</v>
      </c>
      <c r="F950" s="14" t="s">
        <v>517</v>
      </c>
      <c r="G950" s="14" t="s">
        <v>546</v>
      </c>
      <c r="H950" s="18" t="s">
        <v>5</v>
      </c>
      <c r="I950" s="14" t="s">
        <v>115</v>
      </c>
      <c r="J950" s="26"/>
      <c r="K950" s="18" t="s">
        <v>936</v>
      </c>
      <c r="L950" s="26"/>
      <c r="M950" s="19">
        <v>1</v>
      </c>
      <c r="N950" s="15">
        <v>77711.86</v>
      </c>
      <c r="O950" s="15">
        <f t="shared" si="35"/>
        <v>77711.86</v>
      </c>
      <c r="P950" s="15"/>
      <c r="Q950" s="14" t="s">
        <v>520</v>
      </c>
      <c r="R950" s="25">
        <v>45382</v>
      </c>
      <c r="S950" s="34" t="str">
        <f>TEXT(Table1[[#This Row],[End Date]],"MMMM")</f>
        <v>March</v>
      </c>
      <c r="T950" s="34" t="str">
        <f>TEXT(Table1[[#This Row],[End Date]],"YYYY")</f>
        <v>2024</v>
      </c>
      <c r="U950" s="24">
        <f t="shared" ca="1" si="36"/>
        <v>-249</v>
      </c>
      <c r="V950" s="14" t="str" cm="1">
        <f t="array" aca="1" ref="V950" ca="1">_xlfn.IFS(Table1[[#This Row],[Agreement Days]]&gt;=0,"Expired",Table1[[#This Row],[Agreement Days]]&gt;=-30,"Expires &lt; 30 Days",Table1[[#This Row],[Agreement Days]]&gt;=-60,"Expires &lt; 60 Days",Table1[[#This Row],[Agreement Days]]&lt;-60,"Valid Contract")</f>
        <v>Valid Contract</v>
      </c>
      <c r="W950" s="26" t="s">
        <v>17</v>
      </c>
      <c r="X950" s="26" t="s">
        <v>2020</v>
      </c>
      <c r="Y950" s="81" t="s">
        <v>2021</v>
      </c>
      <c r="Z950" s="27">
        <v>783152689</v>
      </c>
      <c r="AA950" s="27"/>
      <c r="AB950" s="116"/>
      <c r="AC950" s="116"/>
    </row>
    <row r="951" spans="1:29" hidden="1" x14ac:dyDescent="0.3">
      <c r="A951" s="18" t="s">
        <v>2016</v>
      </c>
      <c r="B951" s="18" t="s">
        <v>124</v>
      </c>
      <c r="C951" s="18" t="s">
        <v>544</v>
      </c>
      <c r="D951" s="14" t="s">
        <v>545</v>
      </c>
      <c r="E951" s="18" t="s">
        <v>9</v>
      </c>
      <c r="F951" s="14" t="s">
        <v>517</v>
      </c>
      <c r="G951" s="14" t="s">
        <v>546</v>
      </c>
      <c r="H951" s="18" t="s">
        <v>5</v>
      </c>
      <c r="I951" s="14" t="s">
        <v>115</v>
      </c>
      <c r="J951" s="26"/>
      <c r="K951" s="26" t="s">
        <v>2084</v>
      </c>
      <c r="L951" s="26"/>
      <c r="M951" s="19">
        <v>4</v>
      </c>
      <c r="N951" s="15">
        <v>35084.75</v>
      </c>
      <c r="O951" s="15">
        <f t="shared" si="35"/>
        <v>140339</v>
      </c>
      <c r="P951" s="15"/>
      <c r="Q951" s="14" t="s">
        <v>520</v>
      </c>
      <c r="R951" s="25">
        <v>45382</v>
      </c>
      <c r="S951" s="34" t="str">
        <f>TEXT(Table1[[#This Row],[End Date]],"MMMM")</f>
        <v>March</v>
      </c>
      <c r="T951" s="34" t="str">
        <f>TEXT(Table1[[#This Row],[End Date]],"YYYY")</f>
        <v>2024</v>
      </c>
      <c r="U951" s="24">
        <f t="shared" ca="1" si="36"/>
        <v>-249</v>
      </c>
      <c r="V951" s="14" t="str" cm="1">
        <f t="array" aca="1" ref="V951" ca="1">_xlfn.IFS(Table1[[#This Row],[Agreement Days]]&gt;=0,"Expired",Table1[[#This Row],[Agreement Days]]&gt;=-30,"Expires &lt; 30 Days",Table1[[#This Row],[Agreement Days]]&gt;=-60,"Expires &lt; 60 Days",Table1[[#This Row],[Agreement Days]]&lt;-60,"Valid Contract")</f>
        <v>Valid Contract</v>
      </c>
      <c r="W951" s="26" t="s">
        <v>17</v>
      </c>
      <c r="X951" s="26" t="s">
        <v>2020</v>
      </c>
      <c r="Y951" s="81" t="s">
        <v>2021</v>
      </c>
      <c r="Z951" s="27">
        <v>783152689</v>
      </c>
      <c r="AA951" s="27"/>
      <c r="AB951" s="116"/>
      <c r="AC951" s="116"/>
    </row>
    <row r="952" spans="1:29" hidden="1" x14ac:dyDescent="0.3">
      <c r="A952" s="18" t="s">
        <v>2016</v>
      </c>
      <c r="B952" s="18" t="s">
        <v>124</v>
      </c>
      <c r="C952" s="18" t="s">
        <v>544</v>
      </c>
      <c r="D952" s="14" t="s">
        <v>545</v>
      </c>
      <c r="E952" s="18" t="s">
        <v>9</v>
      </c>
      <c r="F952" s="14" t="s">
        <v>517</v>
      </c>
      <c r="G952" s="14" t="s">
        <v>546</v>
      </c>
      <c r="H952" s="18" t="s">
        <v>5</v>
      </c>
      <c r="I952" s="14" t="s">
        <v>115</v>
      </c>
      <c r="J952" s="26"/>
      <c r="K952" s="18" t="s">
        <v>643</v>
      </c>
      <c r="L952" s="26"/>
      <c r="M952" s="19">
        <v>13</v>
      </c>
      <c r="N952" s="15">
        <v>28305.08</v>
      </c>
      <c r="O952" s="15">
        <f t="shared" si="35"/>
        <v>367966.04000000004</v>
      </c>
      <c r="P952" s="15"/>
      <c r="Q952" s="14" t="s">
        <v>520</v>
      </c>
      <c r="R952" s="25">
        <v>45382</v>
      </c>
      <c r="S952" s="34" t="str">
        <f>TEXT(Table1[[#This Row],[End Date]],"MMMM")</f>
        <v>March</v>
      </c>
      <c r="T952" s="34" t="str">
        <f>TEXT(Table1[[#This Row],[End Date]],"YYYY")</f>
        <v>2024</v>
      </c>
      <c r="U952" s="24">
        <f t="shared" ca="1" si="36"/>
        <v>-249</v>
      </c>
      <c r="V952" s="14" t="str" cm="1">
        <f t="array" aca="1" ref="V952" ca="1">_xlfn.IFS(Table1[[#This Row],[Agreement Days]]&gt;=0,"Expired",Table1[[#This Row],[Agreement Days]]&gt;=-30,"Expires &lt; 30 Days",Table1[[#This Row],[Agreement Days]]&gt;=-60,"Expires &lt; 60 Days",Table1[[#This Row],[Agreement Days]]&lt;-60,"Valid Contract")</f>
        <v>Valid Contract</v>
      </c>
      <c r="W952" s="26" t="s">
        <v>17</v>
      </c>
      <c r="X952" s="26" t="s">
        <v>2020</v>
      </c>
      <c r="Y952" s="81" t="s">
        <v>2021</v>
      </c>
      <c r="Z952" s="27">
        <v>783152689</v>
      </c>
      <c r="AA952" s="27"/>
      <c r="AB952" s="116"/>
      <c r="AC952" s="116"/>
    </row>
    <row r="953" spans="1:29" hidden="1" x14ac:dyDescent="0.3">
      <c r="A953" s="18" t="s">
        <v>2016</v>
      </c>
      <c r="B953" s="18" t="s">
        <v>124</v>
      </c>
      <c r="C953" s="18" t="s">
        <v>544</v>
      </c>
      <c r="D953" s="14" t="s">
        <v>545</v>
      </c>
      <c r="E953" s="18" t="s">
        <v>9</v>
      </c>
      <c r="F953" s="14" t="s">
        <v>517</v>
      </c>
      <c r="G953" s="14" t="s">
        <v>546</v>
      </c>
      <c r="H953" s="18" t="s">
        <v>5</v>
      </c>
      <c r="I953" s="14" t="s">
        <v>115</v>
      </c>
      <c r="J953" s="26"/>
      <c r="K953" s="26" t="s">
        <v>2085</v>
      </c>
      <c r="L953" s="26"/>
      <c r="M953" s="19">
        <v>15</v>
      </c>
      <c r="N953" s="15">
        <v>52118.64</v>
      </c>
      <c r="O953" s="15">
        <f t="shared" si="35"/>
        <v>781779.6</v>
      </c>
      <c r="P953" s="15"/>
      <c r="Q953" s="14" t="s">
        <v>520</v>
      </c>
      <c r="R953" s="25">
        <v>45382</v>
      </c>
      <c r="S953" s="34" t="str">
        <f>TEXT(Table1[[#This Row],[End Date]],"MMMM")</f>
        <v>March</v>
      </c>
      <c r="T953" s="34" t="str">
        <f>TEXT(Table1[[#This Row],[End Date]],"YYYY")</f>
        <v>2024</v>
      </c>
      <c r="U953" s="24">
        <f t="shared" ca="1" si="36"/>
        <v>-249</v>
      </c>
      <c r="V953" s="14" t="str" cm="1">
        <f t="array" aca="1" ref="V953" ca="1">_xlfn.IFS(Table1[[#This Row],[Agreement Days]]&gt;=0,"Expired",Table1[[#This Row],[Agreement Days]]&gt;=-30,"Expires &lt; 30 Days",Table1[[#This Row],[Agreement Days]]&gt;=-60,"Expires &lt; 60 Days",Table1[[#This Row],[Agreement Days]]&lt;-60,"Valid Contract")</f>
        <v>Valid Contract</v>
      </c>
      <c r="W953" s="26" t="s">
        <v>17</v>
      </c>
      <c r="X953" s="26" t="s">
        <v>2020</v>
      </c>
      <c r="Y953" s="81" t="s">
        <v>2021</v>
      </c>
      <c r="Z953" s="27">
        <v>783152689</v>
      </c>
      <c r="AA953" s="27"/>
      <c r="AB953" s="116"/>
      <c r="AC953" s="116"/>
    </row>
    <row r="954" spans="1:29" hidden="1" x14ac:dyDescent="0.3">
      <c r="A954" s="18" t="s">
        <v>698</v>
      </c>
      <c r="B954" s="18" t="s">
        <v>122</v>
      </c>
      <c r="C954" s="18" t="s">
        <v>2086</v>
      </c>
      <c r="D954" s="14" t="s">
        <v>545</v>
      </c>
      <c r="E954" s="18" t="s">
        <v>9</v>
      </c>
      <c r="F954" s="14" t="s">
        <v>517</v>
      </c>
      <c r="G954" s="14" t="s">
        <v>546</v>
      </c>
      <c r="H954" s="18" t="s">
        <v>5</v>
      </c>
      <c r="I954" s="14" t="s">
        <v>117</v>
      </c>
      <c r="J954" s="14">
        <v>1</v>
      </c>
      <c r="K954" s="19" t="s">
        <v>2087</v>
      </c>
      <c r="L954" s="14"/>
      <c r="M954" s="20">
        <v>1</v>
      </c>
      <c r="N954" s="15">
        <v>90000</v>
      </c>
      <c r="O954" s="15">
        <f t="shared" si="35"/>
        <v>90000</v>
      </c>
      <c r="P954" s="15"/>
      <c r="Q954" s="14" t="s">
        <v>520</v>
      </c>
      <c r="R954" s="25">
        <v>45382</v>
      </c>
      <c r="S954" s="22" t="str">
        <f>TEXT(Table1[[#This Row],[End Date]],"MMMM")</f>
        <v>March</v>
      </c>
      <c r="T954" s="23" t="str">
        <f>TEXT(Table1[[#This Row],[End Date]],"YYYY")</f>
        <v>2024</v>
      </c>
      <c r="U954" s="24">
        <f t="shared" ca="1" si="36"/>
        <v>-249</v>
      </c>
      <c r="V954" s="14" t="str" cm="1">
        <f t="array" aca="1" ref="V954" ca="1">_xlfn.IFS(Table1[[#This Row],[Agreement Days]]&gt;=0,"Expired",Table1[[#This Row],[Agreement Days]]&gt;=-30,"Expires &lt; 30 Days",Table1[[#This Row],[Agreement Days]]&gt;=-60,"Expires &lt; 60 Days",Table1[[#This Row],[Agreement Days]]&lt;-60,"Valid Contract")</f>
        <v>Valid Contract</v>
      </c>
      <c r="W954" s="14" t="s">
        <v>16</v>
      </c>
      <c r="X954" s="20" t="s">
        <v>701</v>
      </c>
      <c r="Y954" s="16" t="s">
        <v>702</v>
      </c>
      <c r="Z954" s="27" t="s">
        <v>703</v>
      </c>
      <c r="AA954" s="17"/>
      <c r="AB954" s="116"/>
      <c r="AC954" s="116"/>
    </row>
    <row r="955" spans="1:29" hidden="1" x14ac:dyDescent="0.3">
      <c r="A955" s="18" t="s">
        <v>698</v>
      </c>
      <c r="B955" s="18" t="s">
        <v>122</v>
      </c>
      <c r="C955" s="18" t="s">
        <v>2088</v>
      </c>
      <c r="D955" s="14" t="s">
        <v>545</v>
      </c>
      <c r="E955" s="18" t="s">
        <v>9</v>
      </c>
      <c r="F955" s="14" t="s">
        <v>517</v>
      </c>
      <c r="G955" s="14" t="s">
        <v>546</v>
      </c>
      <c r="H955" s="18" t="s">
        <v>5</v>
      </c>
      <c r="I955" s="14" t="s">
        <v>117</v>
      </c>
      <c r="J955" s="14">
        <v>1</v>
      </c>
      <c r="K955" s="19" t="s">
        <v>2087</v>
      </c>
      <c r="L955" s="14"/>
      <c r="M955" s="20">
        <v>1</v>
      </c>
      <c r="N955" s="15">
        <v>90000</v>
      </c>
      <c r="O955" s="15">
        <f t="shared" si="35"/>
        <v>90000</v>
      </c>
      <c r="P955" s="15"/>
      <c r="Q955" s="14" t="s">
        <v>520</v>
      </c>
      <c r="R955" s="25">
        <v>45382</v>
      </c>
      <c r="S955" s="22" t="str">
        <f>TEXT(Table1[[#This Row],[End Date]],"MMMM")</f>
        <v>March</v>
      </c>
      <c r="T955" s="23" t="str">
        <f>TEXT(Table1[[#This Row],[End Date]],"YYYY")</f>
        <v>2024</v>
      </c>
      <c r="U955" s="24">
        <f t="shared" ca="1" si="36"/>
        <v>-249</v>
      </c>
      <c r="V955" s="14" t="str" cm="1">
        <f t="array" aca="1" ref="V955" ca="1">_xlfn.IFS(Table1[[#This Row],[Agreement Days]]&gt;=0,"Expired",Table1[[#This Row],[Agreement Days]]&gt;=-30,"Expires &lt; 30 Days",Table1[[#This Row],[Agreement Days]]&gt;=-60,"Expires &lt; 60 Days",Table1[[#This Row],[Agreement Days]]&lt;-60,"Valid Contract")</f>
        <v>Valid Contract</v>
      </c>
      <c r="W955" s="14" t="s">
        <v>16</v>
      </c>
      <c r="X955" s="20" t="s">
        <v>701</v>
      </c>
      <c r="Y955" s="16" t="s">
        <v>702</v>
      </c>
      <c r="Z955" s="27" t="s">
        <v>703</v>
      </c>
      <c r="AA955" s="17"/>
      <c r="AB955" s="116"/>
      <c r="AC955" s="116"/>
    </row>
    <row r="956" spans="1:29" hidden="1" x14ac:dyDescent="0.3">
      <c r="A956" s="18" t="s">
        <v>698</v>
      </c>
      <c r="B956" s="18" t="s">
        <v>122</v>
      </c>
      <c r="C956" s="18" t="s">
        <v>2089</v>
      </c>
      <c r="D956" s="14" t="s">
        <v>532</v>
      </c>
      <c r="E956" s="18" t="s">
        <v>9</v>
      </c>
      <c r="F956" s="14" t="s">
        <v>517</v>
      </c>
      <c r="G956" s="14" t="s">
        <v>546</v>
      </c>
      <c r="H956" s="18" t="s">
        <v>5</v>
      </c>
      <c r="I956" s="14" t="s">
        <v>117</v>
      </c>
      <c r="J956" s="14">
        <v>1</v>
      </c>
      <c r="K956" s="19" t="s">
        <v>2087</v>
      </c>
      <c r="L956" s="14"/>
      <c r="M956" s="20">
        <v>1</v>
      </c>
      <c r="N956" s="15">
        <v>90000</v>
      </c>
      <c r="O956" s="15">
        <f t="shared" si="35"/>
        <v>90000</v>
      </c>
      <c r="P956" s="15"/>
      <c r="Q956" s="14" t="s">
        <v>520</v>
      </c>
      <c r="R956" s="25">
        <v>45382</v>
      </c>
      <c r="S956" s="22" t="str">
        <f>TEXT(Table1[[#This Row],[End Date]],"MMMM")</f>
        <v>March</v>
      </c>
      <c r="T956" s="23" t="str">
        <f>TEXT(Table1[[#This Row],[End Date]],"YYYY")</f>
        <v>2024</v>
      </c>
      <c r="U956" s="24">
        <f t="shared" ca="1" si="36"/>
        <v>-249</v>
      </c>
      <c r="V956" s="14" t="str" cm="1">
        <f t="array" aca="1" ref="V956" ca="1">_xlfn.IFS(Table1[[#This Row],[Agreement Days]]&gt;=0,"Expired",Table1[[#This Row],[Agreement Days]]&gt;=-30,"Expires &lt; 30 Days",Table1[[#This Row],[Agreement Days]]&gt;=-60,"Expires &lt; 60 Days",Table1[[#This Row],[Agreement Days]]&lt;-60,"Valid Contract")</f>
        <v>Valid Contract</v>
      </c>
      <c r="W956" s="14" t="s">
        <v>16</v>
      </c>
      <c r="X956" s="20" t="s">
        <v>701</v>
      </c>
      <c r="Y956" s="16" t="s">
        <v>702</v>
      </c>
      <c r="Z956" s="27" t="s">
        <v>703</v>
      </c>
      <c r="AA956" s="17"/>
      <c r="AB956" s="116"/>
      <c r="AC956" s="116"/>
    </row>
    <row r="957" spans="1:29" hidden="1" x14ac:dyDescent="0.3">
      <c r="A957" s="18" t="s">
        <v>698</v>
      </c>
      <c r="B957" s="18" t="s">
        <v>122</v>
      </c>
      <c r="C957" s="18" t="s">
        <v>2090</v>
      </c>
      <c r="D957" s="14" t="s">
        <v>1280</v>
      </c>
      <c r="E957" s="18" t="s">
        <v>9</v>
      </c>
      <c r="F957" s="14" t="s">
        <v>517</v>
      </c>
      <c r="G957" s="14" t="s">
        <v>546</v>
      </c>
      <c r="H957" s="18" t="s">
        <v>5</v>
      </c>
      <c r="I957" s="14" t="s">
        <v>117</v>
      </c>
      <c r="J957" s="14">
        <v>1</v>
      </c>
      <c r="K957" s="19" t="s">
        <v>2087</v>
      </c>
      <c r="L957" s="14"/>
      <c r="M957" s="20">
        <v>1</v>
      </c>
      <c r="N957" s="15">
        <v>90000</v>
      </c>
      <c r="O957" s="15">
        <f t="shared" si="35"/>
        <v>90000</v>
      </c>
      <c r="P957" s="15"/>
      <c r="Q957" s="14" t="s">
        <v>520</v>
      </c>
      <c r="R957" s="25">
        <v>45382</v>
      </c>
      <c r="S957" s="22" t="str">
        <f>TEXT(Table1[[#This Row],[End Date]],"MMMM")</f>
        <v>March</v>
      </c>
      <c r="T957" s="23" t="str">
        <f>TEXT(Table1[[#This Row],[End Date]],"YYYY")</f>
        <v>2024</v>
      </c>
      <c r="U957" s="24">
        <f t="shared" ca="1" si="36"/>
        <v>-249</v>
      </c>
      <c r="V957" s="14" t="str" cm="1">
        <f t="array" aca="1" ref="V957" ca="1">_xlfn.IFS(Table1[[#This Row],[Agreement Days]]&gt;=0,"Expired",Table1[[#This Row],[Agreement Days]]&gt;=-30,"Expires &lt; 30 Days",Table1[[#This Row],[Agreement Days]]&gt;=-60,"Expires &lt; 60 Days",Table1[[#This Row],[Agreement Days]]&lt;-60,"Valid Contract")</f>
        <v>Valid Contract</v>
      </c>
      <c r="W957" s="14" t="s">
        <v>16</v>
      </c>
      <c r="X957" s="20" t="s">
        <v>701</v>
      </c>
      <c r="Y957" s="16" t="s">
        <v>702</v>
      </c>
      <c r="Z957" s="27" t="s">
        <v>703</v>
      </c>
      <c r="AA957" s="17"/>
      <c r="AB957" s="116"/>
      <c r="AC957" s="116"/>
    </row>
    <row r="958" spans="1:29" hidden="1" x14ac:dyDescent="0.3">
      <c r="A958" s="18" t="s">
        <v>698</v>
      </c>
      <c r="B958" s="18" t="s">
        <v>122</v>
      </c>
      <c r="C958" s="18" t="s">
        <v>2091</v>
      </c>
      <c r="D958" s="14" t="s">
        <v>540</v>
      </c>
      <c r="E958" s="18" t="s">
        <v>9</v>
      </c>
      <c r="F958" s="14" t="s">
        <v>517</v>
      </c>
      <c r="G958" s="14" t="s">
        <v>546</v>
      </c>
      <c r="H958" s="18" t="s">
        <v>5</v>
      </c>
      <c r="I958" s="14" t="s">
        <v>117</v>
      </c>
      <c r="J958" s="14">
        <v>1</v>
      </c>
      <c r="K958" s="19" t="s">
        <v>2087</v>
      </c>
      <c r="L958" s="14"/>
      <c r="M958" s="20">
        <v>1</v>
      </c>
      <c r="N958" s="15">
        <v>90000</v>
      </c>
      <c r="O958" s="15">
        <f t="shared" si="35"/>
        <v>90000</v>
      </c>
      <c r="P958" s="15"/>
      <c r="Q958" s="14" t="s">
        <v>520</v>
      </c>
      <c r="R958" s="25">
        <v>45382</v>
      </c>
      <c r="S958" s="22" t="str">
        <f>TEXT(Table1[[#This Row],[End Date]],"MMMM")</f>
        <v>March</v>
      </c>
      <c r="T958" s="23" t="str">
        <f>TEXT(Table1[[#This Row],[End Date]],"YYYY")</f>
        <v>2024</v>
      </c>
      <c r="U958" s="24">
        <f t="shared" ca="1" si="36"/>
        <v>-249</v>
      </c>
      <c r="V958" s="14" t="str" cm="1">
        <f t="array" aca="1" ref="V958" ca="1">_xlfn.IFS(Table1[[#This Row],[Agreement Days]]&gt;=0,"Expired",Table1[[#This Row],[Agreement Days]]&gt;=-30,"Expires &lt; 30 Days",Table1[[#This Row],[Agreement Days]]&gt;=-60,"Expires &lt; 60 Days",Table1[[#This Row],[Agreement Days]]&lt;-60,"Valid Contract")</f>
        <v>Valid Contract</v>
      </c>
      <c r="W958" s="14" t="s">
        <v>16</v>
      </c>
      <c r="X958" s="20" t="s">
        <v>701</v>
      </c>
      <c r="Y958" s="16" t="s">
        <v>702</v>
      </c>
      <c r="Z958" s="27" t="s">
        <v>703</v>
      </c>
      <c r="AA958" s="17"/>
      <c r="AB958" s="116"/>
      <c r="AC958" s="116"/>
    </row>
    <row r="959" spans="1:29" hidden="1" x14ac:dyDescent="0.3">
      <c r="A959" s="18" t="s">
        <v>698</v>
      </c>
      <c r="B959" s="18" t="s">
        <v>122</v>
      </c>
      <c r="C959" s="18" t="s">
        <v>2092</v>
      </c>
      <c r="D959" s="14" t="s">
        <v>662</v>
      </c>
      <c r="E959" s="18" t="s">
        <v>9</v>
      </c>
      <c r="F959" s="14" t="s">
        <v>517</v>
      </c>
      <c r="G959" s="14" t="s">
        <v>546</v>
      </c>
      <c r="H959" s="18" t="s">
        <v>5</v>
      </c>
      <c r="I959" s="14" t="s">
        <v>117</v>
      </c>
      <c r="J959" s="14">
        <v>1</v>
      </c>
      <c r="K959" s="19" t="s">
        <v>2087</v>
      </c>
      <c r="L959" s="14"/>
      <c r="M959" s="20">
        <v>1</v>
      </c>
      <c r="N959" s="15">
        <v>90000</v>
      </c>
      <c r="O959" s="15">
        <f t="shared" si="35"/>
        <v>90000</v>
      </c>
      <c r="P959" s="15"/>
      <c r="Q959" s="14" t="s">
        <v>520</v>
      </c>
      <c r="R959" s="25">
        <v>45382</v>
      </c>
      <c r="S959" s="22" t="str">
        <f>TEXT(Table1[[#This Row],[End Date]],"MMMM")</f>
        <v>March</v>
      </c>
      <c r="T959" s="23" t="str">
        <f>TEXT(Table1[[#This Row],[End Date]],"YYYY")</f>
        <v>2024</v>
      </c>
      <c r="U959" s="24">
        <f t="shared" ca="1" si="36"/>
        <v>-249</v>
      </c>
      <c r="V959" s="14" t="str" cm="1">
        <f t="array" aca="1" ref="V959" ca="1">_xlfn.IFS(Table1[[#This Row],[Agreement Days]]&gt;=0,"Expired",Table1[[#This Row],[Agreement Days]]&gt;=-30,"Expires &lt; 30 Days",Table1[[#This Row],[Agreement Days]]&gt;=-60,"Expires &lt; 60 Days",Table1[[#This Row],[Agreement Days]]&lt;-60,"Valid Contract")</f>
        <v>Valid Contract</v>
      </c>
      <c r="W959" s="14" t="s">
        <v>16</v>
      </c>
      <c r="X959" s="20" t="s">
        <v>701</v>
      </c>
      <c r="Y959" s="16" t="s">
        <v>702</v>
      </c>
      <c r="Z959" s="27" t="s">
        <v>703</v>
      </c>
      <c r="AA959" s="17"/>
      <c r="AB959" s="116"/>
      <c r="AC959" s="116"/>
    </row>
    <row r="960" spans="1:29" hidden="1" x14ac:dyDescent="0.3">
      <c r="A960" s="18" t="s">
        <v>698</v>
      </c>
      <c r="B960" s="18" t="s">
        <v>122</v>
      </c>
      <c r="C960" s="18" t="s">
        <v>2093</v>
      </c>
      <c r="D960" s="14" t="s">
        <v>630</v>
      </c>
      <c r="E960" s="18" t="s">
        <v>9</v>
      </c>
      <c r="F960" s="14" t="s">
        <v>517</v>
      </c>
      <c r="G960" s="14" t="s">
        <v>546</v>
      </c>
      <c r="H960" s="18" t="s">
        <v>5</v>
      </c>
      <c r="I960" s="14" t="s">
        <v>117</v>
      </c>
      <c r="J960" s="14">
        <v>1</v>
      </c>
      <c r="K960" s="19" t="s">
        <v>2087</v>
      </c>
      <c r="L960" s="14"/>
      <c r="M960" s="20">
        <v>1</v>
      </c>
      <c r="N960" s="15">
        <v>90000</v>
      </c>
      <c r="O960" s="15">
        <f t="shared" si="35"/>
        <v>90000</v>
      </c>
      <c r="P960" s="15"/>
      <c r="Q960" s="14" t="s">
        <v>520</v>
      </c>
      <c r="R960" s="25">
        <v>45382</v>
      </c>
      <c r="S960" s="22" t="str">
        <f>TEXT(Table1[[#This Row],[End Date]],"MMMM")</f>
        <v>March</v>
      </c>
      <c r="T960" s="23" t="str">
        <f>TEXT(Table1[[#This Row],[End Date]],"YYYY")</f>
        <v>2024</v>
      </c>
      <c r="U960" s="24">
        <f t="shared" ca="1" si="36"/>
        <v>-249</v>
      </c>
      <c r="V960" s="14" t="str" cm="1">
        <f t="array" aca="1" ref="V960" ca="1">_xlfn.IFS(Table1[[#This Row],[Agreement Days]]&gt;=0,"Expired",Table1[[#This Row],[Agreement Days]]&gt;=-30,"Expires &lt; 30 Days",Table1[[#This Row],[Agreement Days]]&gt;=-60,"Expires &lt; 60 Days",Table1[[#This Row],[Agreement Days]]&lt;-60,"Valid Contract")</f>
        <v>Valid Contract</v>
      </c>
      <c r="W960" s="14" t="s">
        <v>16</v>
      </c>
      <c r="X960" s="20" t="s">
        <v>701</v>
      </c>
      <c r="Y960" s="16" t="s">
        <v>702</v>
      </c>
      <c r="Z960" s="27" t="s">
        <v>703</v>
      </c>
      <c r="AA960" s="17"/>
      <c r="AB960" s="116"/>
      <c r="AC960" s="116"/>
    </row>
    <row r="961" spans="1:29" hidden="1" x14ac:dyDescent="0.3">
      <c r="A961" s="18" t="s">
        <v>698</v>
      </c>
      <c r="B961" s="18" t="s">
        <v>122</v>
      </c>
      <c r="C961" s="18" t="s">
        <v>2094</v>
      </c>
      <c r="D961" s="14" t="s">
        <v>653</v>
      </c>
      <c r="E961" s="18" t="s">
        <v>9</v>
      </c>
      <c r="F961" s="14" t="s">
        <v>517</v>
      </c>
      <c r="G961" s="14" t="s">
        <v>546</v>
      </c>
      <c r="H961" s="18" t="s">
        <v>5</v>
      </c>
      <c r="I961" s="14" t="s">
        <v>117</v>
      </c>
      <c r="J961" s="14">
        <v>1</v>
      </c>
      <c r="K961" s="19" t="s">
        <v>2087</v>
      </c>
      <c r="L961" s="14"/>
      <c r="M961" s="20">
        <v>1</v>
      </c>
      <c r="N961" s="15">
        <v>90000</v>
      </c>
      <c r="O961" s="15">
        <f t="shared" si="35"/>
        <v>90000</v>
      </c>
      <c r="P961" s="15"/>
      <c r="Q961" s="14" t="s">
        <v>520</v>
      </c>
      <c r="R961" s="25">
        <v>45382</v>
      </c>
      <c r="S961" s="22" t="str">
        <f>TEXT(Table1[[#This Row],[End Date]],"MMMM")</f>
        <v>March</v>
      </c>
      <c r="T961" s="23" t="str">
        <f>TEXT(Table1[[#This Row],[End Date]],"YYYY")</f>
        <v>2024</v>
      </c>
      <c r="U961" s="24">
        <f t="shared" ca="1" si="36"/>
        <v>-249</v>
      </c>
      <c r="V961" s="14" t="str" cm="1">
        <f t="array" aca="1" ref="V961" ca="1">_xlfn.IFS(Table1[[#This Row],[Agreement Days]]&gt;=0,"Expired",Table1[[#This Row],[Agreement Days]]&gt;=-30,"Expires &lt; 30 Days",Table1[[#This Row],[Agreement Days]]&gt;=-60,"Expires &lt; 60 Days",Table1[[#This Row],[Agreement Days]]&lt;-60,"Valid Contract")</f>
        <v>Valid Contract</v>
      </c>
      <c r="W961" s="14" t="s">
        <v>16</v>
      </c>
      <c r="X961" s="20" t="s">
        <v>701</v>
      </c>
      <c r="Y961" s="16" t="s">
        <v>702</v>
      </c>
      <c r="Z961" s="27" t="s">
        <v>703</v>
      </c>
      <c r="AA961" s="17"/>
      <c r="AB961" s="116"/>
      <c r="AC961" s="116"/>
    </row>
    <row r="962" spans="1:29" hidden="1" x14ac:dyDescent="0.3">
      <c r="A962" s="18" t="s">
        <v>698</v>
      </c>
      <c r="B962" s="18" t="s">
        <v>122</v>
      </c>
      <c r="C962" s="18" t="s">
        <v>2095</v>
      </c>
      <c r="D962" s="14" t="s">
        <v>769</v>
      </c>
      <c r="E962" s="18" t="s">
        <v>9</v>
      </c>
      <c r="F962" s="14" t="s">
        <v>517</v>
      </c>
      <c r="G962" s="14" t="s">
        <v>546</v>
      </c>
      <c r="H962" s="18" t="s">
        <v>5</v>
      </c>
      <c r="I962" s="14" t="s">
        <v>117</v>
      </c>
      <c r="J962" s="14">
        <v>1</v>
      </c>
      <c r="K962" s="19" t="s">
        <v>2087</v>
      </c>
      <c r="L962" s="14"/>
      <c r="M962" s="20">
        <v>1</v>
      </c>
      <c r="N962" s="15">
        <v>90000</v>
      </c>
      <c r="O962" s="15">
        <f t="shared" si="35"/>
        <v>90000</v>
      </c>
      <c r="P962" s="15"/>
      <c r="Q962" s="14" t="s">
        <v>520</v>
      </c>
      <c r="R962" s="25">
        <v>45382</v>
      </c>
      <c r="S962" s="22" t="str">
        <f>TEXT(Table1[[#This Row],[End Date]],"MMMM")</f>
        <v>March</v>
      </c>
      <c r="T962" s="23" t="str">
        <f>TEXT(Table1[[#This Row],[End Date]],"YYYY")</f>
        <v>2024</v>
      </c>
      <c r="U962" s="24">
        <f t="shared" ca="1" si="36"/>
        <v>-249</v>
      </c>
      <c r="V962" s="14" t="str" cm="1">
        <f t="array" aca="1" ref="V962" ca="1">_xlfn.IFS(Table1[[#This Row],[Agreement Days]]&gt;=0,"Expired",Table1[[#This Row],[Agreement Days]]&gt;=-30,"Expires &lt; 30 Days",Table1[[#This Row],[Agreement Days]]&gt;=-60,"Expires &lt; 60 Days",Table1[[#This Row],[Agreement Days]]&lt;-60,"Valid Contract")</f>
        <v>Valid Contract</v>
      </c>
      <c r="W962" s="14" t="s">
        <v>16</v>
      </c>
      <c r="X962" s="20" t="s">
        <v>701</v>
      </c>
      <c r="Y962" s="16" t="s">
        <v>702</v>
      </c>
      <c r="Z962" s="27" t="s">
        <v>703</v>
      </c>
      <c r="AA962" s="17"/>
      <c r="AB962" s="116"/>
      <c r="AC962" s="116"/>
    </row>
    <row r="963" spans="1:29" hidden="1" x14ac:dyDescent="0.3">
      <c r="A963" s="18" t="s">
        <v>698</v>
      </c>
      <c r="B963" s="18" t="s">
        <v>122</v>
      </c>
      <c r="C963" s="18" t="s">
        <v>2096</v>
      </c>
      <c r="D963" s="14" t="s">
        <v>769</v>
      </c>
      <c r="E963" s="18" t="s">
        <v>9</v>
      </c>
      <c r="F963" s="14" t="s">
        <v>517</v>
      </c>
      <c r="G963" s="14" t="s">
        <v>546</v>
      </c>
      <c r="H963" s="18" t="s">
        <v>5</v>
      </c>
      <c r="I963" s="14" t="s">
        <v>117</v>
      </c>
      <c r="J963" s="14">
        <v>1</v>
      </c>
      <c r="K963" s="19" t="s">
        <v>2087</v>
      </c>
      <c r="L963" s="14"/>
      <c r="M963" s="20">
        <v>1</v>
      </c>
      <c r="N963" s="15">
        <v>90000</v>
      </c>
      <c r="O963" s="15">
        <f t="shared" si="35"/>
        <v>90000</v>
      </c>
      <c r="P963" s="15"/>
      <c r="Q963" s="14" t="s">
        <v>520</v>
      </c>
      <c r="R963" s="25">
        <v>45382</v>
      </c>
      <c r="S963" s="22" t="str">
        <f>TEXT(Table1[[#This Row],[End Date]],"MMMM")</f>
        <v>March</v>
      </c>
      <c r="T963" s="23" t="str">
        <f>TEXT(Table1[[#This Row],[End Date]],"YYYY")</f>
        <v>2024</v>
      </c>
      <c r="U963" s="24">
        <f t="shared" ca="1" si="36"/>
        <v>-249</v>
      </c>
      <c r="V963" s="14" t="str" cm="1">
        <f t="array" aca="1" ref="V963" ca="1">_xlfn.IFS(Table1[[#This Row],[Agreement Days]]&gt;=0,"Expired",Table1[[#This Row],[Agreement Days]]&gt;=-30,"Expires &lt; 30 Days",Table1[[#This Row],[Agreement Days]]&gt;=-60,"Expires &lt; 60 Days",Table1[[#This Row],[Agreement Days]]&lt;-60,"Valid Contract")</f>
        <v>Valid Contract</v>
      </c>
      <c r="W963" s="14" t="s">
        <v>16</v>
      </c>
      <c r="X963" s="20" t="s">
        <v>701</v>
      </c>
      <c r="Y963" s="16" t="s">
        <v>702</v>
      </c>
      <c r="Z963" s="27" t="s">
        <v>703</v>
      </c>
      <c r="AA963" s="17"/>
      <c r="AB963" s="116"/>
      <c r="AC963" s="116"/>
    </row>
    <row r="964" spans="1:29" hidden="1" x14ac:dyDescent="0.3">
      <c r="A964" s="18" t="s">
        <v>698</v>
      </c>
      <c r="B964" s="18" t="s">
        <v>122</v>
      </c>
      <c r="C964" s="18" t="s">
        <v>2097</v>
      </c>
      <c r="D964" s="14" t="s">
        <v>739</v>
      </c>
      <c r="E964" s="18" t="s">
        <v>9</v>
      </c>
      <c r="F964" s="14" t="s">
        <v>517</v>
      </c>
      <c r="G964" s="14" t="s">
        <v>546</v>
      </c>
      <c r="H964" s="18" t="s">
        <v>5</v>
      </c>
      <c r="I964" s="14" t="s">
        <v>117</v>
      </c>
      <c r="J964" s="14">
        <v>3</v>
      </c>
      <c r="K964" s="19" t="s">
        <v>646</v>
      </c>
      <c r="L964" s="14"/>
      <c r="M964" s="20">
        <v>1</v>
      </c>
      <c r="N964" s="15">
        <v>180000</v>
      </c>
      <c r="O964" s="15">
        <f t="shared" si="35"/>
        <v>180000</v>
      </c>
      <c r="P964" s="15"/>
      <c r="Q964" s="14" t="s">
        <v>520</v>
      </c>
      <c r="R964" s="25">
        <v>45382</v>
      </c>
      <c r="S964" s="22" t="str">
        <f>TEXT(Table1[[#This Row],[End Date]],"MMMM")</f>
        <v>March</v>
      </c>
      <c r="T964" s="23" t="str">
        <f>TEXT(Table1[[#This Row],[End Date]],"YYYY")</f>
        <v>2024</v>
      </c>
      <c r="U964" s="24">
        <f t="shared" ca="1" si="36"/>
        <v>-249</v>
      </c>
      <c r="V964" s="14" t="str" cm="1">
        <f t="array" aca="1" ref="V964" ca="1">_xlfn.IFS(Table1[[#This Row],[Agreement Days]]&gt;=0,"Expired",Table1[[#This Row],[Agreement Days]]&gt;=-30,"Expires &lt; 30 Days",Table1[[#This Row],[Agreement Days]]&gt;=-60,"Expires &lt; 60 Days",Table1[[#This Row],[Agreement Days]]&lt;-60,"Valid Contract")</f>
        <v>Valid Contract</v>
      </c>
      <c r="W964" s="14" t="s">
        <v>16</v>
      </c>
      <c r="X964" s="20" t="s">
        <v>701</v>
      </c>
      <c r="Y964" s="16" t="s">
        <v>702</v>
      </c>
      <c r="Z964" s="27" t="s">
        <v>703</v>
      </c>
      <c r="AA964" s="17"/>
      <c r="AB964" s="116"/>
      <c r="AC964" s="116"/>
    </row>
    <row r="965" spans="1:29" hidden="1" x14ac:dyDescent="0.3">
      <c r="A965" s="18" t="s">
        <v>698</v>
      </c>
      <c r="B965" s="18" t="s">
        <v>122</v>
      </c>
      <c r="C965" s="18" t="s">
        <v>2098</v>
      </c>
      <c r="D965" s="14" t="s">
        <v>526</v>
      </c>
      <c r="E965" s="18" t="s">
        <v>9</v>
      </c>
      <c r="F965" s="14" t="s">
        <v>517</v>
      </c>
      <c r="G965" s="14" t="s">
        <v>546</v>
      </c>
      <c r="H965" s="18" t="s">
        <v>5</v>
      </c>
      <c r="I965" s="14" t="s">
        <v>117</v>
      </c>
      <c r="J965" s="14">
        <v>3</v>
      </c>
      <c r="K965" s="19" t="s">
        <v>646</v>
      </c>
      <c r="L965" s="14"/>
      <c r="M965" s="20">
        <v>1</v>
      </c>
      <c r="N965" s="15">
        <v>180000</v>
      </c>
      <c r="O965" s="15">
        <f t="shared" si="35"/>
        <v>180000</v>
      </c>
      <c r="P965" s="15"/>
      <c r="Q965" s="14" t="s">
        <v>520</v>
      </c>
      <c r="R965" s="25">
        <v>45382</v>
      </c>
      <c r="S965" s="22" t="str">
        <f>TEXT(Table1[[#This Row],[End Date]],"MMMM")</f>
        <v>March</v>
      </c>
      <c r="T965" s="23" t="str">
        <f>TEXT(Table1[[#This Row],[End Date]],"YYYY")</f>
        <v>2024</v>
      </c>
      <c r="U965" s="24">
        <f t="shared" ca="1" si="36"/>
        <v>-249</v>
      </c>
      <c r="V965" s="14" t="str" cm="1">
        <f t="array" aca="1" ref="V965" ca="1">_xlfn.IFS(Table1[[#This Row],[Agreement Days]]&gt;=0,"Expired",Table1[[#This Row],[Agreement Days]]&gt;=-30,"Expires &lt; 30 Days",Table1[[#This Row],[Agreement Days]]&gt;=-60,"Expires &lt; 60 Days",Table1[[#This Row],[Agreement Days]]&lt;-60,"Valid Contract")</f>
        <v>Valid Contract</v>
      </c>
      <c r="W965" s="14" t="s">
        <v>16</v>
      </c>
      <c r="X965" s="20" t="s">
        <v>701</v>
      </c>
      <c r="Y965" s="16" t="s">
        <v>702</v>
      </c>
      <c r="Z965" s="27" t="s">
        <v>703</v>
      </c>
      <c r="AA965" s="17"/>
      <c r="AB965" s="116"/>
      <c r="AC965" s="116"/>
    </row>
    <row r="966" spans="1:29" hidden="1" x14ac:dyDescent="0.3">
      <c r="A966" s="18" t="s">
        <v>698</v>
      </c>
      <c r="B966" s="18" t="s">
        <v>122</v>
      </c>
      <c r="C966" s="18" t="s">
        <v>2099</v>
      </c>
      <c r="D966" s="14" t="s">
        <v>1140</v>
      </c>
      <c r="E966" s="18" t="s">
        <v>9</v>
      </c>
      <c r="F966" s="14" t="s">
        <v>517</v>
      </c>
      <c r="G966" s="14" t="s">
        <v>546</v>
      </c>
      <c r="H966" s="18" t="s">
        <v>5</v>
      </c>
      <c r="I966" s="14" t="s">
        <v>117</v>
      </c>
      <c r="J966" s="14">
        <v>3</v>
      </c>
      <c r="K966" s="19" t="s">
        <v>646</v>
      </c>
      <c r="L966" s="14"/>
      <c r="M966" s="20">
        <v>1</v>
      </c>
      <c r="N966" s="15">
        <v>180000</v>
      </c>
      <c r="O966" s="15">
        <f t="shared" si="35"/>
        <v>180000</v>
      </c>
      <c r="P966" s="15"/>
      <c r="Q966" s="14" t="s">
        <v>520</v>
      </c>
      <c r="R966" s="25">
        <v>45382</v>
      </c>
      <c r="S966" s="22" t="str">
        <f>TEXT(Table1[[#This Row],[End Date]],"MMMM")</f>
        <v>March</v>
      </c>
      <c r="T966" s="23" t="str">
        <f>TEXT(Table1[[#This Row],[End Date]],"YYYY")</f>
        <v>2024</v>
      </c>
      <c r="U966" s="24">
        <f t="shared" ca="1" si="36"/>
        <v>-249</v>
      </c>
      <c r="V966" s="14" t="str" cm="1">
        <f t="array" aca="1" ref="V966" ca="1">_xlfn.IFS(Table1[[#This Row],[Agreement Days]]&gt;=0,"Expired",Table1[[#This Row],[Agreement Days]]&gt;=-30,"Expires &lt; 30 Days",Table1[[#This Row],[Agreement Days]]&gt;=-60,"Expires &lt; 60 Days",Table1[[#This Row],[Agreement Days]]&lt;-60,"Valid Contract")</f>
        <v>Valid Contract</v>
      </c>
      <c r="W966" s="14" t="s">
        <v>16</v>
      </c>
      <c r="X966" s="20" t="s">
        <v>701</v>
      </c>
      <c r="Y966" s="16" t="s">
        <v>702</v>
      </c>
      <c r="Z966" s="27" t="s">
        <v>703</v>
      </c>
      <c r="AA966" s="17"/>
      <c r="AB966" s="116"/>
      <c r="AC966" s="116"/>
    </row>
    <row r="967" spans="1:29" hidden="1" x14ac:dyDescent="0.3">
      <c r="A967" s="18" t="s">
        <v>698</v>
      </c>
      <c r="B967" s="18" t="s">
        <v>122</v>
      </c>
      <c r="C967" s="18" t="s">
        <v>2100</v>
      </c>
      <c r="D967" s="14" t="s">
        <v>545</v>
      </c>
      <c r="E967" s="18" t="s">
        <v>9</v>
      </c>
      <c r="F967" s="14" t="s">
        <v>517</v>
      </c>
      <c r="G967" s="14" t="s">
        <v>546</v>
      </c>
      <c r="H967" s="18" t="s">
        <v>5</v>
      </c>
      <c r="I967" s="14" t="s">
        <v>117</v>
      </c>
      <c r="J967" s="14">
        <v>3</v>
      </c>
      <c r="K967" s="19" t="s">
        <v>646</v>
      </c>
      <c r="L967" s="14"/>
      <c r="M967" s="20">
        <v>1</v>
      </c>
      <c r="N967" s="15">
        <v>180000</v>
      </c>
      <c r="O967" s="15">
        <f t="shared" ref="O967:O1030" si="37">N967*M967</f>
        <v>180000</v>
      </c>
      <c r="P967" s="15"/>
      <c r="Q967" s="14" t="s">
        <v>520</v>
      </c>
      <c r="R967" s="25">
        <v>45382</v>
      </c>
      <c r="S967" s="22" t="str">
        <f>TEXT(Table1[[#This Row],[End Date]],"MMMM")</f>
        <v>March</v>
      </c>
      <c r="T967" s="23" t="str">
        <f>TEXT(Table1[[#This Row],[End Date]],"YYYY")</f>
        <v>2024</v>
      </c>
      <c r="U967" s="24">
        <f t="shared" ref="U967:U1030" ca="1" si="38">TODAY()-R967</f>
        <v>-249</v>
      </c>
      <c r="V967" s="14" t="str" cm="1">
        <f t="array" aca="1" ref="V967" ca="1">_xlfn.IFS(Table1[[#This Row],[Agreement Days]]&gt;=0,"Expired",Table1[[#This Row],[Agreement Days]]&gt;=-30,"Expires &lt; 30 Days",Table1[[#This Row],[Agreement Days]]&gt;=-60,"Expires &lt; 60 Days",Table1[[#This Row],[Agreement Days]]&lt;-60,"Valid Contract")</f>
        <v>Valid Contract</v>
      </c>
      <c r="W967" s="14" t="s">
        <v>16</v>
      </c>
      <c r="X967" s="20" t="s">
        <v>701</v>
      </c>
      <c r="Y967" s="16" t="s">
        <v>702</v>
      </c>
      <c r="Z967" s="27" t="s">
        <v>703</v>
      </c>
      <c r="AA967" s="17"/>
      <c r="AB967" s="116"/>
      <c r="AC967" s="116"/>
    </row>
    <row r="968" spans="1:29" hidden="1" x14ac:dyDescent="0.3">
      <c r="A968" s="18" t="s">
        <v>698</v>
      </c>
      <c r="B968" s="18" t="s">
        <v>122</v>
      </c>
      <c r="C968" s="18" t="s">
        <v>2101</v>
      </c>
      <c r="D968" s="14" t="s">
        <v>545</v>
      </c>
      <c r="E968" s="18" t="s">
        <v>9</v>
      </c>
      <c r="F968" s="14" t="s">
        <v>517</v>
      </c>
      <c r="G968" s="14" t="s">
        <v>546</v>
      </c>
      <c r="H968" s="18" t="s">
        <v>5</v>
      </c>
      <c r="I968" s="14" t="s">
        <v>117</v>
      </c>
      <c r="J968" s="14">
        <v>3</v>
      </c>
      <c r="K968" s="19" t="s">
        <v>646</v>
      </c>
      <c r="L968" s="14"/>
      <c r="M968" s="20">
        <v>1</v>
      </c>
      <c r="N968" s="15">
        <v>180000</v>
      </c>
      <c r="O968" s="15">
        <f t="shared" si="37"/>
        <v>180000</v>
      </c>
      <c r="P968" s="15"/>
      <c r="Q968" s="14" t="s">
        <v>520</v>
      </c>
      <c r="R968" s="25">
        <v>45382</v>
      </c>
      <c r="S968" s="22" t="str">
        <f>TEXT(Table1[[#This Row],[End Date]],"MMMM")</f>
        <v>March</v>
      </c>
      <c r="T968" s="23" t="str">
        <f>TEXT(Table1[[#This Row],[End Date]],"YYYY")</f>
        <v>2024</v>
      </c>
      <c r="U968" s="24">
        <f t="shared" ca="1" si="38"/>
        <v>-249</v>
      </c>
      <c r="V968" s="14" t="str" cm="1">
        <f t="array" aca="1" ref="V968" ca="1">_xlfn.IFS(Table1[[#This Row],[Agreement Days]]&gt;=0,"Expired",Table1[[#This Row],[Agreement Days]]&gt;=-30,"Expires &lt; 30 Days",Table1[[#This Row],[Agreement Days]]&gt;=-60,"Expires &lt; 60 Days",Table1[[#This Row],[Agreement Days]]&lt;-60,"Valid Contract")</f>
        <v>Valid Contract</v>
      </c>
      <c r="W968" s="14" t="s">
        <v>16</v>
      </c>
      <c r="X968" s="20" t="s">
        <v>701</v>
      </c>
      <c r="Y968" s="16" t="s">
        <v>702</v>
      </c>
      <c r="Z968" s="27" t="s">
        <v>703</v>
      </c>
      <c r="AA968" s="17"/>
      <c r="AB968" s="116"/>
      <c r="AC968" s="116"/>
    </row>
    <row r="969" spans="1:29" hidden="1" x14ac:dyDescent="0.3">
      <c r="A969" s="18" t="s">
        <v>698</v>
      </c>
      <c r="B969" s="18" t="s">
        <v>122</v>
      </c>
      <c r="C969" s="18" t="s">
        <v>2102</v>
      </c>
      <c r="D969" s="14" t="s">
        <v>586</v>
      </c>
      <c r="E969" s="18" t="s">
        <v>9</v>
      </c>
      <c r="F969" s="14" t="s">
        <v>517</v>
      </c>
      <c r="G969" s="14" t="s">
        <v>546</v>
      </c>
      <c r="H969" s="18" t="s">
        <v>5</v>
      </c>
      <c r="I969" s="14" t="s">
        <v>117</v>
      </c>
      <c r="J969" s="14">
        <v>3</v>
      </c>
      <c r="K969" s="19" t="s">
        <v>646</v>
      </c>
      <c r="L969" s="14"/>
      <c r="M969" s="20">
        <v>1</v>
      </c>
      <c r="N969" s="15">
        <v>180000</v>
      </c>
      <c r="O969" s="15">
        <f t="shared" si="37"/>
        <v>180000</v>
      </c>
      <c r="P969" s="15"/>
      <c r="Q969" s="14" t="s">
        <v>520</v>
      </c>
      <c r="R969" s="25">
        <v>45382</v>
      </c>
      <c r="S969" s="22" t="str">
        <f>TEXT(Table1[[#This Row],[End Date]],"MMMM")</f>
        <v>March</v>
      </c>
      <c r="T969" s="23" t="str">
        <f>TEXT(Table1[[#This Row],[End Date]],"YYYY")</f>
        <v>2024</v>
      </c>
      <c r="U969" s="24">
        <f t="shared" ca="1" si="38"/>
        <v>-249</v>
      </c>
      <c r="V969" s="14" t="str" cm="1">
        <f t="array" aca="1" ref="V969" ca="1">_xlfn.IFS(Table1[[#This Row],[Agreement Days]]&gt;=0,"Expired",Table1[[#This Row],[Agreement Days]]&gt;=-30,"Expires &lt; 30 Days",Table1[[#This Row],[Agreement Days]]&gt;=-60,"Expires &lt; 60 Days",Table1[[#This Row],[Agreement Days]]&lt;-60,"Valid Contract")</f>
        <v>Valid Contract</v>
      </c>
      <c r="W969" s="14" t="s">
        <v>16</v>
      </c>
      <c r="X969" s="20" t="s">
        <v>701</v>
      </c>
      <c r="Y969" s="16" t="s">
        <v>702</v>
      </c>
      <c r="Z969" s="27" t="s">
        <v>703</v>
      </c>
      <c r="AA969" s="17"/>
      <c r="AB969" s="116"/>
      <c r="AC969" s="116"/>
    </row>
    <row r="970" spans="1:29" hidden="1" x14ac:dyDescent="0.3">
      <c r="A970" s="18" t="s">
        <v>698</v>
      </c>
      <c r="B970" s="18" t="s">
        <v>122</v>
      </c>
      <c r="C970" s="18" t="s">
        <v>2103</v>
      </c>
      <c r="D970" s="14" t="s">
        <v>532</v>
      </c>
      <c r="E970" s="18" t="s">
        <v>9</v>
      </c>
      <c r="F970" s="14" t="s">
        <v>517</v>
      </c>
      <c r="G970" s="14" t="s">
        <v>546</v>
      </c>
      <c r="H970" s="18" t="s">
        <v>5</v>
      </c>
      <c r="I970" s="14" t="s">
        <v>117</v>
      </c>
      <c r="J970" s="14">
        <v>3</v>
      </c>
      <c r="K970" s="19" t="s">
        <v>646</v>
      </c>
      <c r="L970" s="14"/>
      <c r="M970" s="20">
        <v>1</v>
      </c>
      <c r="N970" s="15">
        <v>180000</v>
      </c>
      <c r="O970" s="15">
        <f t="shared" si="37"/>
        <v>180000</v>
      </c>
      <c r="P970" s="15"/>
      <c r="Q970" s="14" t="s">
        <v>520</v>
      </c>
      <c r="R970" s="25">
        <v>45382</v>
      </c>
      <c r="S970" s="22" t="str">
        <f>TEXT(Table1[[#This Row],[End Date]],"MMMM")</f>
        <v>March</v>
      </c>
      <c r="T970" s="23" t="str">
        <f>TEXT(Table1[[#This Row],[End Date]],"YYYY")</f>
        <v>2024</v>
      </c>
      <c r="U970" s="24">
        <f t="shared" ca="1" si="38"/>
        <v>-249</v>
      </c>
      <c r="V970" s="14" t="str" cm="1">
        <f t="array" aca="1" ref="V970" ca="1">_xlfn.IFS(Table1[[#This Row],[Agreement Days]]&gt;=0,"Expired",Table1[[#This Row],[Agreement Days]]&gt;=-30,"Expires &lt; 30 Days",Table1[[#This Row],[Agreement Days]]&gt;=-60,"Expires &lt; 60 Days",Table1[[#This Row],[Agreement Days]]&lt;-60,"Valid Contract")</f>
        <v>Valid Contract</v>
      </c>
      <c r="W970" s="14" t="s">
        <v>16</v>
      </c>
      <c r="X970" s="20" t="s">
        <v>701</v>
      </c>
      <c r="Y970" s="16" t="s">
        <v>702</v>
      </c>
      <c r="Z970" s="27" t="s">
        <v>703</v>
      </c>
      <c r="AA970" s="17"/>
      <c r="AB970" s="116"/>
      <c r="AC970" s="116"/>
    </row>
    <row r="971" spans="1:29" hidden="1" x14ac:dyDescent="0.3">
      <c r="A971" s="18" t="s">
        <v>698</v>
      </c>
      <c r="B971" s="18" t="s">
        <v>122</v>
      </c>
      <c r="C971" s="18" t="s">
        <v>2104</v>
      </c>
      <c r="D971" s="14" t="s">
        <v>929</v>
      </c>
      <c r="E971" s="18" t="s">
        <v>9</v>
      </c>
      <c r="F971" s="14" t="s">
        <v>517</v>
      </c>
      <c r="G971" s="14" t="s">
        <v>546</v>
      </c>
      <c r="H971" s="18" t="s">
        <v>5</v>
      </c>
      <c r="I971" s="14" t="s">
        <v>117</v>
      </c>
      <c r="J971" s="14">
        <v>3</v>
      </c>
      <c r="K971" s="19" t="s">
        <v>646</v>
      </c>
      <c r="L971" s="14"/>
      <c r="M971" s="20">
        <v>1</v>
      </c>
      <c r="N971" s="15">
        <v>180000</v>
      </c>
      <c r="O971" s="15">
        <f t="shared" si="37"/>
        <v>180000</v>
      </c>
      <c r="P971" s="15"/>
      <c r="Q971" s="14" t="s">
        <v>520</v>
      </c>
      <c r="R971" s="25">
        <v>45382</v>
      </c>
      <c r="S971" s="22" t="str">
        <f>TEXT(Table1[[#This Row],[End Date]],"MMMM")</f>
        <v>March</v>
      </c>
      <c r="T971" s="23" t="str">
        <f>TEXT(Table1[[#This Row],[End Date]],"YYYY")</f>
        <v>2024</v>
      </c>
      <c r="U971" s="24">
        <f t="shared" ca="1" si="38"/>
        <v>-249</v>
      </c>
      <c r="V971" s="14" t="str" cm="1">
        <f t="array" aca="1" ref="V971" ca="1">_xlfn.IFS(Table1[[#This Row],[Agreement Days]]&gt;=0,"Expired",Table1[[#This Row],[Agreement Days]]&gt;=-30,"Expires &lt; 30 Days",Table1[[#This Row],[Agreement Days]]&gt;=-60,"Expires &lt; 60 Days",Table1[[#This Row],[Agreement Days]]&lt;-60,"Valid Contract")</f>
        <v>Valid Contract</v>
      </c>
      <c r="W971" s="14" t="s">
        <v>16</v>
      </c>
      <c r="X971" s="20" t="s">
        <v>701</v>
      </c>
      <c r="Y971" s="16" t="s">
        <v>702</v>
      </c>
      <c r="Z971" s="27" t="s">
        <v>703</v>
      </c>
      <c r="AA971" s="17"/>
      <c r="AB971" s="116"/>
      <c r="AC971" s="116"/>
    </row>
    <row r="972" spans="1:29" hidden="1" x14ac:dyDescent="0.3">
      <c r="A972" s="18" t="s">
        <v>698</v>
      </c>
      <c r="B972" s="18" t="s">
        <v>122</v>
      </c>
      <c r="C972" s="18" t="s">
        <v>2105</v>
      </c>
      <c r="D972" s="14" t="s">
        <v>808</v>
      </c>
      <c r="E972" s="18" t="s">
        <v>9</v>
      </c>
      <c r="F972" s="14" t="s">
        <v>517</v>
      </c>
      <c r="G972" s="14" t="s">
        <v>546</v>
      </c>
      <c r="H972" s="18" t="s">
        <v>5</v>
      </c>
      <c r="I972" s="14" t="s">
        <v>117</v>
      </c>
      <c r="J972" s="14">
        <v>3</v>
      </c>
      <c r="K972" s="19" t="s">
        <v>646</v>
      </c>
      <c r="L972" s="14"/>
      <c r="M972" s="20">
        <v>1</v>
      </c>
      <c r="N972" s="15">
        <v>180000</v>
      </c>
      <c r="O972" s="15">
        <f t="shared" si="37"/>
        <v>180000</v>
      </c>
      <c r="P972" s="15"/>
      <c r="Q972" s="14" t="s">
        <v>520</v>
      </c>
      <c r="R972" s="25">
        <v>45382</v>
      </c>
      <c r="S972" s="22" t="str">
        <f>TEXT(Table1[[#This Row],[End Date]],"MMMM")</f>
        <v>March</v>
      </c>
      <c r="T972" s="23" t="str">
        <f>TEXT(Table1[[#This Row],[End Date]],"YYYY")</f>
        <v>2024</v>
      </c>
      <c r="U972" s="24">
        <f t="shared" ca="1" si="38"/>
        <v>-249</v>
      </c>
      <c r="V972" s="14" t="str" cm="1">
        <f t="array" aca="1" ref="V972" ca="1">_xlfn.IFS(Table1[[#This Row],[Agreement Days]]&gt;=0,"Expired",Table1[[#This Row],[Agreement Days]]&gt;=-30,"Expires &lt; 30 Days",Table1[[#This Row],[Agreement Days]]&gt;=-60,"Expires &lt; 60 Days",Table1[[#This Row],[Agreement Days]]&lt;-60,"Valid Contract")</f>
        <v>Valid Contract</v>
      </c>
      <c r="W972" s="14" t="s">
        <v>16</v>
      </c>
      <c r="X972" s="20" t="s">
        <v>701</v>
      </c>
      <c r="Y972" s="16" t="s">
        <v>702</v>
      </c>
      <c r="Z972" s="27" t="s">
        <v>703</v>
      </c>
      <c r="AA972" s="17"/>
      <c r="AB972" s="116"/>
      <c r="AC972" s="116"/>
    </row>
    <row r="973" spans="1:29" hidden="1" x14ac:dyDescent="0.3">
      <c r="A973" s="18" t="s">
        <v>698</v>
      </c>
      <c r="B973" s="18" t="s">
        <v>122</v>
      </c>
      <c r="C973" s="18" t="s">
        <v>2106</v>
      </c>
      <c r="D973" s="14" t="s">
        <v>1280</v>
      </c>
      <c r="E973" s="18" t="s">
        <v>9</v>
      </c>
      <c r="F973" s="14" t="s">
        <v>517</v>
      </c>
      <c r="G973" s="14" t="s">
        <v>546</v>
      </c>
      <c r="H973" s="18" t="s">
        <v>5</v>
      </c>
      <c r="I973" s="14" t="s">
        <v>117</v>
      </c>
      <c r="J973" s="14">
        <v>3</v>
      </c>
      <c r="K973" s="19" t="s">
        <v>646</v>
      </c>
      <c r="L973" s="14"/>
      <c r="M973" s="20">
        <v>1</v>
      </c>
      <c r="N973" s="15">
        <v>180000</v>
      </c>
      <c r="O973" s="15">
        <f t="shared" si="37"/>
        <v>180000</v>
      </c>
      <c r="P973" s="15"/>
      <c r="Q973" s="14" t="s">
        <v>520</v>
      </c>
      <c r="R973" s="25">
        <v>45382</v>
      </c>
      <c r="S973" s="22" t="str">
        <f>TEXT(Table1[[#This Row],[End Date]],"MMMM")</f>
        <v>March</v>
      </c>
      <c r="T973" s="23" t="str">
        <f>TEXT(Table1[[#This Row],[End Date]],"YYYY")</f>
        <v>2024</v>
      </c>
      <c r="U973" s="24">
        <f t="shared" ca="1" si="38"/>
        <v>-249</v>
      </c>
      <c r="V973" s="14" t="str" cm="1">
        <f t="array" aca="1" ref="V973" ca="1">_xlfn.IFS(Table1[[#This Row],[Agreement Days]]&gt;=0,"Expired",Table1[[#This Row],[Agreement Days]]&gt;=-30,"Expires &lt; 30 Days",Table1[[#This Row],[Agreement Days]]&gt;=-60,"Expires &lt; 60 Days",Table1[[#This Row],[Agreement Days]]&lt;-60,"Valid Contract")</f>
        <v>Valid Contract</v>
      </c>
      <c r="W973" s="14" t="s">
        <v>16</v>
      </c>
      <c r="X973" s="20" t="s">
        <v>701</v>
      </c>
      <c r="Y973" s="16" t="s">
        <v>702</v>
      </c>
      <c r="Z973" s="27" t="s">
        <v>703</v>
      </c>
      <c r="AA973" s="17"/>
      <c r="AB973" s="116"/>
      <c r="AC973" s="116"/>
    </row>
    <row r="974" spans="1:29" hidden="1" x14ac:dyDescent="0.3">
      <c r="A974" s="18" t="s">
        <v>698</v>
      </c>
      <c r="B974" s="18" t="s">
        <v>122</v>
      </c>
      <c r="C974" s="18" t="s">
        <v>2107</v>
      </c>
      <c r="D974" s="14" t="s">
        <v>616</v>
      </c>
      <c r="E974" s="18" t="s">
        <v>9</v>
      </c>
      <c r="F974" s="14" t="s">
        <v>517</v>
      </c>
      <c r="G974" s="14" t="s">
        <v>546</v>
      </c>
      <c r="H974" s="18" t="s">
        <v>5</v>
      </c>
      <c r="I974" s="14" t="s">
        <v>117</v>
      </c>
      <c r="J974" s="14">
        <v>3</v>
      </c>
      <c r="K974" s="19" t="s">
        <v>646</v>
      </c>
      <c r="L974" s="14"/>
      <c r="M974" s="20">
        <v>1</v>
      </c>
      <c r="N974" s="15">
        <v>180000</v>
      </c>
      <c r="O974" s="15">
        <f t="shared" si="37"/>
        <v>180000</v>
      </c>
      <c r="P974" s="15"/>
      <c r="Q974" s="14" t="s">
        <v>520</v>
      </c>
      <c r="R974" s="25">
        <v>45382</v>
      </c>
      <c r="S974" s="22" t="str">
        <f>TEXT(Table1[[#This Row],[End Date]],"MMMM")</f>
        <v>March</v>
      </c>
      <c r="T974" s="23" t="str">
        <f>TEXT(Table1[[#This Row],[End Date]],"YYYY")</f>
        <v>2024</v>
      </c>
      <c r="U974" s="24">
        <f t="shared" ca="1" si="38"/>
        <v>-249</v>
      </c>
      <c r="V974" s="14" t="str" cm="1">
        <f t="array" aca="1" ref="V974" ca="1">_xlfn.IFS(Table1[[#This Row],[Agreement Days]]&gt;=0,"Expired",Table1[[#This Row],[Agreement Days]]&gt;=-30,"Expires &lt; 30 Days",Table1[[#This Row],[Agreement Days]]&gt;=-60,"Expires &lt; 60 Days",Table1[[#This Row],[Agreement Days]]&lt;-60,"Valid Contract")</f>
        <v>Valid Contract</v>
      </c>
      <c r="W974" s="14" t="s">
        <v>16</v>
      </c>
      <c r="X974" s="20" t="s">
        <v>701</v>
      </c>
      <c r="Y974" s="16" t="s">
        <v>702</v>
      </c>
      <c r="Z974" s="27" t="s">
        <v>703</v>
      </c>
      <c r="AA974" s="17"/>
      <c r="AB974" s="116"/>
      <c r="AC974" s="116"/>
    </row>
    <row r="975" spans="1:29" hidden="1" x14ac:dyDescent="0.3">
      <c r="A975" s="18" t="s">
        <v>698</v>
      </c>
      <c r="B975" s="18" t="s">
        <v>122</v>
      </c>
      <c r="C975" s="18" t="s">
        <v>2108</v>
      </c>
      <c r="D975" s="14" t="s">
        <v>848</v>
      </c>
      <c r="E975" s="18" t="s">
        <v>9</v>
      </c>
      <c r="F975" s="14" t="s">
        <v>517</v>
      </c>
      <c r="G975" s="14" t="s">
        <v>546</v>
      </c>
      <c r="H975" s="18" t="s">
        <v>5</v>
      </c>
      <c r="I975" s="14" t="s">
        <v>117</v>
      </c>
      <c r="J975" s="14">
        <v>3</v>
      </c>
      <c r="K975" s="19" t="s">
        <v>646</v>
      </c>
      <c r="L975" s="14"/>
      <c r="M975" s="20">
        <v>1</v>
      </c>
      <c r="N975" s="15">
        <v>180000</v>
      </c>
      <c r="O975" s="15">
        <f t="shared" si="37"/>
        <v>180000</v>
      </c>
      <c r="P975" s="15"/>
      <c r="Q975" s="14" t="s">
        <v>520</v>
      </c>
      <c r="R975" s="25">
        <v>45382</v>
      </c>
      <c r="S975" s="22" t="str">
        <f>TEXT(Table1[[#This Row],[End Date]],"MMMM")</f>
        <v>March</v>
      </c>
      <c r="T975" s="23" t="str">
        <f>TEXT(Table1[[#This Row],[End Date]],"YYYY")</f>
        <v>2024</v>
      </c>
      <c r="U975" s="24">
        <f t="shared" ca="1" si="38"/>
        <v>-249</v>
      </c>
      <c r="V975" s="14" t="str" cm="1">
        <f t="array" aca="1" ref="V975" ca="1">_xlfn.IFS(Table1[[#This Row],[Agreement Days]]&gt;=0,"Expired",Table1[[#This Row],[Agreement Days]]&gt;=-30,"Expires &lt; 30 Days",Table1[[#This Row],[Agreement Days]]&gt;=-60,"Expires &lt; 60 Days",Table1[[#This Row],[Agreement Days]]&lt;-60,"Valid Contract")</f>
        <v>Valid Contract</v>
      </c>
      <c r="W975" s="14" t="s">
        <v>16</v>
      </c>
      <c r="X975" s="20" t="s">
        <v>701</v>
      </c>
      <c r="Y975" s="16" t="s">
        <v>702</v>
      </c>
      <c r="Z975" s="27" t="s">
        <v>703</v>
      </c>
      <c r="AA975" s="17"/>
      <c r="AB975" s="116"/>
      <c r="AC975" s="116"/>
    </row>
    <row r="976" spans="1:29" hidden="1" x14ac:dyDescent="0.3">
      <c r="A976" s="18" t="s">
        <v>698</v>
      </c>
      <c r="B976" s="18" t="s">
        <v>122</v>
      </c>
      <c r="C976" s="18" t="s">
        <v>2109</v>
      </c>
      <c r="D976" s="14" t="s">
        <v>540</v>
      </c>
      <c r="E976" s="18" t="s">
        <v>9</v>
      </c>
      <c r="F976" s="14" t="s">
        <v>517</v>
      </c>
      <c r="G976" s="14" t="s">
        <v>546</v>
      </c>
      <c r="H976" s="18" t="s">
        <v>5</v>
      </c>
      <c r="I976" s="14" t="s">
        <v>117</v>
      </c>
      <c r="J976" s="14">
        <v>3</v>
      </c>
      <c r="K976" s="19" t="s">
        <v>646</v>
      </c>
      <c r="L976" s="14"/>
      <c r="M976" s="20">
        <v>1</v>
      </c>
      <c r="N976" s="15"/>
      <c r="O976" s="15">
        <f t="shared" si="37"/>
        <v>0</v>
      </c>
      <c r="P976" s="15"/>
      <c r="Q976" s="14" t="s">
        <v>520</v>
      </c>
      <c r="R976" s="25">
        <v>45382</v>
      </c>
      <c r="S976" s="22" t="str">
        <f>TEXT(Table1[[#This Row],[End Date]],"MMMM")</f>
        <v>March</v>
      </c>
      <c r="T976" s="23" t="str">
        <f>TEXT(Table1[[#This Row],[End Date]],"YYYY")</f>
        <v>2024</v>
      </c>
      <c r="U976" s="24">
        <f t="shared" ca="1" si="38"/>
        <v>-249</v>
      </c>
      <c r="V976" s="14" t="str" cm="1">
        <f t="array" aca="1" ref="V976" ca="1">_xlfn.IFS(Table1[[#This Row],[Agreement Days]]&gt;=0,"Expired",Table1[[#This Row],[Agreement Days]]&gt;=-30,"Expires &lt; 30 Days",Table1[[#This Row],[Agreement Days]]&gt;=-60,"Expires &lt; 60 Days",Table1[[#This Row],[Agreement Days]]&lt;-60,"Valid Contract")</f>
        <v>Valid Contract</v>
      </c>
      <c r="W976" s="14" t="s">
        <v>16</v>
      </c>
      <c r="X976" s="20" t="s">
        <v>701</v>
      </c>
      <c r="Y976" s="16" t="s">
        <v>702</v>
      </c>
      <c r="Z976" s="27" t="s">
        <v>703</v>
      </c>
      <c r="AA976" s="17"/>
      <c r="AB976" s="116"/>
      <c r="AC976" s="116"/>
    </row>
    <row r="977" spans="1:29" hidden="1" x14ac:dyDescent="0.3">
      <c r="A977" s="18" t="s">
        <v>698</v>
      </c>
      <c r="B977" s="18" t="s">
        <v>122</v>
      </c>
      <c r="C977" s="18" t="s">
        <v>2110</v>
      </c>
      <c r="D977" s="14" t="s">
        <v>759</v>
      </c>
      <c r="E977" s="18" t="s">
        <v>9</v>
      </c>
      <c r="F977" s="14" t="s">
        <v>517</v>
      </c>
      <c r="G977" s="14" t="s">
        <v>546</v>
      </c>
      <c r="H977" s="18" t="s">
        <v>5</v>
      </c>
      <c r="I977" s="14" t="s">
        <v>117</v>
      </c>
      <c r="J977" s="14">
        <v>3</v>
      </c>
      <c r="K977" s="19" t="s">
        <v>646</v>
      </c>
      <c r="L977" s="14"/>
      <c r="M977" s="20">
        <v>1</v>
      </c>
      <c r="N977" s="15">
        <v>180000</v>
      </c>
      <c r="O977" s="15">
        <f t="shared" si="37"/>
        <v>180000</v>
      </c>
      <c r="P977" s="15"/>
      <c r="Q977" s="14" t="s">
        <v>520</v>
      </c>
      <c r="R977" s="25">
        <v>45382</v>
      </c>
      <c r="S977" s="22" t="str">
        <f>TEXT(Table1[[#This Row],[End Date]],"MMMM")</f>
        <v>March</v>
      </c>
      <c r="T977" s="23" t="str">
        <f>TEXT(Table1[[#This Row],[End Date]],"YYYY")</f>
        <v>2024</v>
      </c>
      <c r="U977" s="24">
        <f t="shared" ca="1" si="38"/>
        <v>-249</v>
      </c>
      <c r="V977" s="14" t="str" cm="1">
        <f t="array" aca="1" ref="V977" ca="1">_xlfn.IFS(Table1[[#This Row],[Agreement Days]]&gt;=0,"Expired",Table1[[#This Row],[Agreement Days]]&gt;=-30,"Expires &lt; 30 Days",Table1[[#This Row],[Agreement Days]]&gt;=-60,"Expires &lt; 60 Days",Table1[[#This Row],[Agreement Days]]&lt;-60,"Valid Contract")</f>
        <v>Valid Contract</v>
      </c>
      <c r="W977" s="14" t="s">
        <v>16</v>
      </c>
      <c r="X977" s="20" t="s">
        <v>701</v>
      </c>
      <c r="Y977" s="16" t="s">
        <v>702</v>
      </c>
      <c r="Z977" s="27" t="s">
        <v>703</v>
      </c>
      <c r="AA977" s="17"/>
      <c r="AB977" s="116"/>
      <c r="AC977" s="116"/>
    </row>
    <row r="978" spans="1:29" hidden="1" x14ac:dyDescent="0.3">
      <c r="A978" s="18" t="s">
        <v>698</v>
      </c>
      <c r="B978" s="18" t="s">
        <v>122</v>
      </c>
      <c r="C978" s="18" t="s">
        <v>2111</v>
      </c>
      <c r="D978" s="14" t="s">
        <v>761</v>
      </c>
      <c r="E978" s="18" t="s">
        <v>9</v>
      </c>
      <c r="F978" s="14" t="s">
        <v>517</v>
      </c>
      <c r="G978" s="14" t="s">
        <v>546</v>
      </c>
      <c r="H978" s="18" t="s">
        <v>5</v>
      </c>
      <c r="I978" s="14" t="s">
        <v>117</v>
      </c>
      <c r="J978" s="14">
        <v>3</v>
      </c>
      <c r="K978" s="19" t="s">
        <v>646</v>
      </c>
      <c r="L978" s="14"/>
      <c r="M978" s="20">
        <v>1</v>
      </c>
      <c r="N978" s="15">
        <v>180000</v>
      </c>
      <c r="O978" s="15">
        <f t="shared" si="37"/>
        <v>180000</v>
      </c>
      <c r="P978" s="15"/>
      <c r="Q978" s="14" t="s">
        <v>520</v>
      </c>
      <c r="R978" s="25">
        <v>45382</v>
      </c>
      <c r="S978" s="22" t="str">
        <f>TEXT(Table1[[#This Row],[End Date]],"MMMM")</f>
        <v>March</v>
      </c>
      <c r="T978" s="23" t="str">
        <f>TEXT(Table1[[#This Row],[End Date]],"YYYY")</f>
        <v>2024</v>
      </c>
      <c r="U978" s="24">
        <f t="shared" ca="1" si="38"/>
        <v>-249</v>
      </c>
      <c r="V978" s="14" t="str" cm="1">
        <f t="array" aca="1" ref="V978" ca="1">_xlfn.IFS(Table1[[#This Row],[Agreement Days]]&gt;=0,"Expired",Table1[[#This Row],[Agreement Days]]&gt;=-30,"Expires &lt; 30 Days",Table1[[#This Row],[Agreement Days]]&gt;=-60,"Expires &lt; 60 Days",Table1[[#This Row],[Agreement Days]]&lt;-60,"Valid Contract")</f>
        <v>Valid Contract</v>
      </c>
      <c r="W978" s="14" t="s">
        <v>16</v>
      </c>
      <c r="X978" s="20" t="s">
        <v>701</v>
      </c>
      <c r="Y978" s="16" t="s">
        <v>702</v>
      </c>
      <c r="Z978" s="27" t="s">
        <v>703</v>
      </c>
      <c r="AA978" s="17"/>
      <c r="AB978" s="116"/>
      <c r="AC978" s="116"/>
    </row>
    <row r="979" spans="1:29" hidden="1" x14ac:dyDescent="0.3">
      <c r="A979" s="18" t="s">
        <v>698</v>
      </c>
      <c r="B979" s="18" t="s">
        <v>122</v>
      </c>
      <c r="C979" s="18" t="s">
        <v>2112</v>
      </c>
      <c r="D979" s="14" t="s">
        <v>735</v>
      </c>
      <c r="E979" s="18" t="s">
        <v>9</v>
      </c>
      <c r="F979" s="14" t="s">
        <v>517</v>
      </c>
      <c r="G979" s="14" t="s">
        <v>546</v>
      </c>
      <c r="H979" s="18" t="s">
        <v>5</v>
      </c>
      <c r="I979" s="14" t="s">
        <v>117</v>
      </c>
      <c r="J979" s="14">
        <v>3</v>
      </c>
      <c r="K979" s="19" t="s">
        <v>646</v>
      </c>
      <c r="L979" s="14"/>
      <c r="M979" s="20">
        <v>1</v>
      </c>
      <c r="N979" s="15">
        <v>180000</v>
      </c>
      <c r="O979" s="15">
        <f t="shared" si="37"/>
        <v>180000</v>
      </c>
      <c r="P979" s="15"/>
      <c r="Q979" s="14" t="s">
        <v>520</v>
      </c>
      <c r="R979" s="25">
        <v>45382</v>
      </c>
      <c r="S979" s="22" t="str">
        <f>TEXT(Table1[[#This Row],[End Date]],"MMMM")</f>
        <v>March</v>
      </c>
      <c r="T979" s="23" t="str">
        <f>TEXT(Table1[[#This Row],[End Date]],"YYYY")</f>
        <v>2024</v>
      </c>
      <c r="U979" s="24">
        <f t="shared" ca="1" si="38"/>
        <v>-249</v>
      </c>
      <c r="V979" s="14" t="str" cm="1">
        <f t="array" aca="1" ref="V979" ca="1">_xlfn.IFS(Table1[[#This Row],[Agreement Days]]&gt;=0,"Expired",Table1[[#This Row],[Agreement Days]]&gt;=-30,"Expires &lt; 30 Days",Table1[[#This Row],[Agreement Days]]&gt;=-60,"Expires &lt; 60 Days",Table1[[#This Row],[Agreement Days]]&lt;-60,"Valid Contract")</f>
        <v>Valid Contract</v>
      </c>
      <c r="W979" s="14" t="s">
        <v>16</v>
      </c>
      <c r="X979" s="20" t="s">
        <v>701</v>
      </c>
      <c r="Y979" s="16" t="s">
        <v>702</v>
      </c>
      <c r="Z979" s="27" t="s">
        <v>703</v>
      </c>
      <c r="AA979" s="17"/>
      <c r="AB979" s="116"/>
      <c r="AC979" s="116"/>
    </row>
    <row r="980" spans="1:29" hidden="1" x14ac:dyDescent="0.3">
      <c r="A980" s="18" t="s">
        <v>698</v>
      </c>
      <c r="B980" s="18" t="s">
        <v>122</v>
      </c>
      <c r="C980" s="18" t="s">
        <v>2113</v>
      </c>
      <c r="D980" s="14" t="s">
        <v>619</v>
      </c>
      <c r="E980" s="18" t="s">
        <v>9</v>
      </c>
      <c r="F980" s="14" t="s">
        <v>517</v>
      </c>
      <c r="G980" s="14" t="s">
        <v>546</v>
      </c>
      <c r="H980" s="18" t="s">
        <v>5</v>
      </c>
      <c r="I980" s="14" t="s">
        <v>117</v>
      </c>
      <c r="J980" s="14">
        <v>3</v>
      </c>
      <c r="K980" s="19" t="s">
        <v>646</v>
      </c>
      <c r="L980" s="14"/>
      <c r="M980" s="20">
        <v>1</v>
      </c>
      <c r="N980" s="15">
        <v>180000</v>
      </c>
      <c r="O980" s="15">
        <f t="shared" si="37"/>
        <v>180000</v>
      </c>
      <c r="P980" s="15"/>
      <c r="Q980" s="14" t="s">
        <v>520</v>
      </c>
      <c r="R980" s="25">
        <v>45382</v>
      </c>
      <c r="S980" s="22" t="str">
        <f>TEXT(Table1[[#This Row],[End Date]],"MMMM")</f>
        <v>March</v>
      </c>
      <c r="T980" s="23" t="str">
        <f>TEXT(Table1[[#This Row],[End Date]],"YYYY")</f>
        <v>2024</v>
      </c>
      <c r="U980" s="24">
        <f t="shared" ca="1" si="38"/>
        <v>-249</v>
      </c>
      <c r="V980" s="14" t="str" cm="1">
        <f t="array" aca="1" ref="V980" ca="1">_xlfn.IFS(Table1[[#This Row],[Agreement Days]]&gt;=0,"Expired",Table1[[#This Row],[Agreement Days]]&gt;=-30,"Expires &lt; 30 Days",Table1[[#This Row],[Agreement Days]]&gt;=-60,"Expires &lt; 60 Days",Table1[[#This Row],[Agreement Days]]&lt;-60,"Valid Contract")</f>
        <v>Valid Contract</v>
      </c>
      <c r="W980" s="14" t="s">
        <v>16</v>
      </c>
      <c r="X980" s="20" t="s">
        <v>701</v>
      </c>
      <c r="Y980" s="16" t="s">
        <v>702</v>
      </c>
      <c r="Z980" s="27" t="s">
        <v>703</v>
      </c>
      <c r="AA980" s="17"/>
      <c r="AB980" s="116"/>
      <c r="AC980" s="116"/>
    </row>
    <row r="981" spans="1:29" hidden="1" x14ac:dyDescent="0.3">
      <c r="A981" s="18" t="s">
        <v>698</v>
      </c>
      <c r="B981" s="18" t="s">
        <v>122</v>
      </c>
      <c r="C981" s="18" t="s">
        <v>2114</v>
      </c>
      <c r="D981" s="14" t="s">
        <v>810</v>
      </c>
      <c r="E981" s="18" t="s">
        <v>9</v>
      </c>
      <c r="F981" s="14" t="s">
        <v>517</v>
      </c>
      <c r="G981" s="14" t="s">
        <v>546</v>
      </c>
      <c r="H981" s="18" t="s">
        <v>5</v>
      </c>
      <c r="I981" s="14" t="s">
        <v>117</v>
      </c>
      <c r="J981" s="14">
        <v>3</v>
      </c>
      <c r="K981" s="19" t="s">
        <v>646</v>
      </c>
      <c r="L981" s="14"/>
      <c r="M981" s="20">
        <v>1</v>
      </c>
      <c r="N981" s="15">
        <v>180000</v>
      </c>
      <c r="O981" s="15">
        <f t="shared" si="37"/>
        <v>180000</v>
      </c>
      <c r="P981" s="15"/>
      <c r="Q981" s="14" t="s">
        <v>520</v>
      </c>
      <c r="R981" s="25">
        <v>45382</v>
      </c>
      <c r="S981" s="22" t="str">
        <f>TEXT(Table1[[#This Row],[End Date]],"MMMM")</f>
        <v>March</v>
      </c>
      <c r="T981" s="23" t="str">
        <f>TEXT(Table1[[#This Row],[End Date]],"YYYY")</f>
        <v>2024</v>
      </c>
      <c r="U981" s="24">
        <f t="shared" ca="1" si="38"/>
        <v>-249</v>
      </c>
      <c r="V981" s="14" t="str" cm="1">
        <f t="array" aca="1" ref="V981" ca="1">_xlfn.IFS(Table1[[#This Row],[Agreement Days]]&gt;=0,"Expired",Table1[[#This Row],[Agreement Days]]&gt;=-30,"Expires &lt; 30 Days",Table1[[#This Row],[Agreement Days]]&gt;=-60,"Expires &lt; 60 Days",Table1[[#This Row],[Agreement Days]]&lt;-60,"Valid Contract")</f>
        <v>Valid Contract</v>
      </c>
      <c r="W981" s="14" t="s">
        <v>16</v>
      </c>
      <c r="X981" s="20" t="s">
        <v>701</v>
      </c>
      <c r="Y981" s="16" t="s">
        <v>702</v>
      </c>
      <c r="Z981" s="27" t="s">
        <v>703</v>
      </c>
      <c r="AA981" s="17"/>
      <c r="AB981" s="116"/>
      <c r="AC981" s="116"/>
    </row>
    <row r="982" spans="1:29" hidden="1" x14ac:dyDescent="0.3">
      <c r="A982" s="18" t="s">
        <v>698</v>
      </c>
      <c r="B982" s="18" t="s">
        <v>122</v>
      </c>
      <c r="C982" s="18" t="s">
        <v>2115</v>
      </c>
      <c r="D982" s="14" t="s">
        <v>873</v>
      </c>
      <c r="E982" s="18" t="s">
        <v>9</v>
      </c>
      <c r="F982" s="14" t="s">
        <v>517</v>
      </c>
      <c r="G982" s="14" t="s">
        <v>546</v>
      </c>
      <c r="H982" s="18" t="s">
        <v>5</v>
      </c>
      <c r="I982" s="14" t="s">
        <v>117</v>
      </c>
      <c r="J982" s="14">
        <v>3</v>
      </c>
      <c r="K982" s="19" t="s">
        <v>646</v>
      </c>
      <c r="L982" s="14"/>
      <c r="M982" s="20">
        <v>1</v>
      </c>
      <c r="N982" s="15">
        <v>180000</v>
      </c>
      <c r="O982" s="15">
        <f t="shared" si="37"/>
        <v>180000</v>
      </c>
      <c r="P982" s="15"/>
      <c r="Q982" s="14" t="s">
        <v>520</v>
      </c>
      <c r="R982" s="25">
        <v>45382</v>
      </c>
      <c r="S982" s="22" t="str">
        <f>TEXT(Table1[[#This Row],[End Date]],"MMMM")</f>
        <v>March</v>
      </c>
      <c r="T982" s="23" t="str">
        <f>TEXT(Table1[[#This Row],[End Date]],"YYYY")</f>
        <v>2024</v>
      </c>
      <c r="U982" s="24">
        <f t="shared" ca="1" si="38"/>
        <v>-249</v>
      </c>
      <c r="V982" s="14" t="str" cm="1">
        <f t="array" aca="1" ref="V982" ca="1">_xlfn.IFS(Table1[[#This Row],[Agreement Days]]&gt;=0,"Expired",Table1[[#This Row],[Agreement Days]]&gt;=-30,"Expires &lt; 30 Days",Table1[[#This Row],[Agreement Days]]&gt;=-60,"Expires &lt; 60 Days",Table1[[#This Row],[Agreement Days]]&lt;-60,"Valid Contract")</f>
        <v>Valid Contract</v>
      </c>
      <c r="W982" s="14" t="s">
        <v>16</v>
      </c>
      <c r="X982" s="20" t="s">
        <v>701</v>
      </c>
      <c r="Y982" s="16" t="s">
        <v>702</v>
      </c>
      <c r="Z982" s="27" t="s">
        <v>703</v>
      </c>
      <c r="AA982" s="17"/>
      <c r="AB982" s="116"/>
      <c r="AC982" s="116"/>
    </row>
    <row r="983" spans="1:29" hidden="1" x14ac:dyDescent="0.3">
      <c r="A983" s="18" t="s">
        <v>698</v>
      </c>
      <c r="B983" s="18" t="s">
        <v>122</v>
      </c>
      <c r="C983" s="18" t="s">
        <v>2116</v>
      </c>
      <c r="D983" s="14" t="s">
        <v>875</v>
      </c>
      <c r="E983" s="18" t="s">
        <v>9</v>
      </c>
      <c r="F983" s="14" t="s">
        <v>517</v>
      </c>
      <c r="G983" s="14" t="s">
        <v>546</v>
      </c>
      <c r="H983" s="18" t="s">
        <v>5</v>
      </c>
      <c r="I983" s="14" t="s">
        <v>117</v>
      </c>
      <c r="J983" s="14">
        <v>3</v>
      </c>
      <c r="K983" s="19" t="s">
        <v>646</v>
      </c>
      <c r="L983" s="14"/>
      <c r="M983" s="20">
        <v>1</v>
      </c>
      <c r="N983" s="15">
        <v>180000</v>
      </c>
      <c r="O983" s="15">
        <f t="shared" si="37"/>
        <v>180000</v>
      </c>
      <c r="P983" s="15"/>
      <c r="Q983" s="14" t="s">
        <v>520</v>
      </c>
      <c r="R983" s="25">
        <v>45382</v>
      </c>
      <c r="S983" s="22" t="str">
        <f>TEXT(Table1[[#This Row],[End Date]],"MMMM")</f>
        <v>March</v>
      </c>
      <c r="T983" s="23" t="str">
        <f>TEXT(Table1[[#This Row],[End Date]],"YYYY")</f>
        <v>2024</v>
      </c>
      <c r="U983" s="24">
        <f t="shared" ca="1" si="38"/>
        <v>-249</v>
      </c>
      <c r="V983" s="14" t="str" cm="1">
        <f t="array" aca="1" ref="V983" ca="1">_xlfn.IFS(Table1[[#This Row],[Agreement Days]]&gt;=0,"Expired",Table1[[#This Row],[Agreement Days]]&gt;=-30,"Expires &lt; 30 Days",Table1[[#This Row],[Agreement Days]]&gt;=-60,"Expires &lt; 60 Days",Table1[[#This Row],[Agreement Days]]&lt;-60,"Valid Contract")</f>
        <v>Valid Contract</v>
      </c>
      <c r="W983" s="14" t="s">
        <v>16</v>
      </c>
      <c r="X983" s="20" t="s">
        <v>701</v>
      </c>
      <c r="Y983" s="16" t="s">
        <v>702</v>
      </c>
      <c r="Z983" s="27" t="s">
        <v>703</v>
      </c>
      <c r="AA983" s="17"/>
      <c r="AB983" s="116"/>
      <c r="AC983" s="116"/>
    </row>
    <row r="984" spans="1:29" hidden="1" x14ac:dyDescent="0.3">
      <c r="A984" s="18" t="s">
        <v>698</v>
      </c>
      <c r="B984" s="18" t="s">
        <v>122</v>
      </c>
      <c r="C984" s="18" t="s">
        <v>2117</v>
      </c>
      <c r="D984" s="14" t="s">
        <v>946</v>
      </c>
      <c r="E984" s="18" t="s">
        <v>9</v>
      </c>
      <c r="F984" s="14" t="s">
        <v>517</v>
      </c>
      <c r="G984" s="14" t="s">
        <v>546</v>
      </c>
      <c r="H984" s="18" t="s">
        <v>5</v>
      </c>
      <c r="I984" s="14" t="s">
        <v>117</v>
      </c>
      <c r="J984" s="14">
        <v>3</v>
      </c>
      <c r="K984" s="19" t="s">
        <v>646</v>
      </c>
      <c r="L984" s="14"/>
      <c r="M984" s="20">
        <v>1</v>
      </c>
      <c r="N984" s="15">
        <v>180000</v>
      </c>
      <c r="O984" s="15">
        <f t="shared" si="37"/>
        <v>180000</v>
      </c>
      <c r="P984" s="15"/>
      <c r="Q984" s="14" t="s">
        <v>520</v>
      </c>
      <c r="R984" s="25">
        <v>45382</v>
      </c>
      <c r="S984" s="22" t="str">
        <f>TEXT(Table1[[#This Row],[End Date]],"MMMM")</f>
        <v>March</v>
      </c>
      <c r="T984" s="23" t="str">
        <f>TEXT(Table1[[#This Row],[End Date]],"YYYY")</f>
        <v>2024</v>
      </c>
      <c r="U984" s="24">
        <f t="shared" ca="1" si="38"/>
        <v>-249</v>
      </c>
      <c r="V984" s="14" t="str" cm="1">
        <f t="array" aca="1" ref="V984" ca="1">_xlfn.IFS(Table1[[#This Row],[Agreement Days]]&gt;=0,"Expired",Table1[[#This Row],[Agreement Days]]&gt;=-30,"Expires &lt; 30 Days",Table1[[#This Row],[Agreement Days]]&gt;=-60,"Expires &lt; 60 Days",Table1[[#This Row],[Agreement Days]]&lt;-60,"Valid Contract")</f>
        <v>Valid Contract</v>
      </c>
      <c r="W984" s="14" t="s">
        <v>16</v>
      </c>
      <c r="X984" s="20" t="s">
        <v>701</v>
      </c>
      <c r="Y984" s="16" t="s">
        <v>702</v>
      </c>
      <c r="Z984" s="27" t="s">
        <v>703</v>
      </c>
      <c r="AA984" s="17"/>
      <c r="AB984" s="116"/>
      <c r="AC984" s="116"/>
    </row>
    <row r="985" spans="1:29" hidden="1" x14ac:dyDescent="0.3">
      <c r="A985" s="18" t="s">
        <v>698</v>
      </c>
      <c r="B985" s="18" t="s">
        <v>122</v>
      </c>
      <c r="C985" s="18" t="s">
        <v>2118</v>
      </c>
      <c r="D985" s="14" t="s">
        <v>946</v>
      </c>
      <c r="E985" s="18" t="s">
        <v>9</v>
      </c>
      <c r="F985" s="14" t="s">
        <v>517</v>
      </c>
      <c r="G985" s="14" t="s">
        <v>546</v>
      </c>
      <c r="H985" s="18" t="s">
        <v>5</v>
      </c>
      <c r="I985" s="14" t="s">
        <v>117</v>
      </c>
      <c r="J985" s="14">
        <v>3</v>
      </c>
      <c r="K985" s="19" t="s">
        <v>646</v>
      </c>
      <c r="L985" s="14"/>
      <c r="M985" s="14">
        <v>1</v>
      </c>
      <c r="N985" s="15">
        <v>180000</v>
      </c>
      <c r="O985" s="2">
        <f t="shared" si="37"/>
        <v>180000</v>
      </c>
      <c r="P985" s="2"/>
      <c r="Q985" s="14" t="s">
        <v>520</v>
      </c>
      <c r="R985" s="25">
        <v>45382</v>
      </c>
      <c r="S985" s="57" t="str">
        <f>TEXT(Table1[[#This Row],[End Date]],"MMMM")</f>
        <v>March</v>
      </c>
      <c r="T985" s="57" t="str">
        <f>TEXT(Table1[[#This Row],[End Date]],"YYYY")</f>
        <v>2024</v>
      </c>
      <c r="U985" s="58">
        <f t="shared" ca="1" si="38"/>
        <v>-249</v>
      </c>
      <c r="V985" s="14" t="str" cm="1">
        <f t="array" aca="1" ref="V985" ca="1">_xlfn.IFS(Table1[[#This Row],[Agreement Days]]&gt;=0,"Expired",Table1[[#This Row],[Agreement Days]]&gt;=-30,"Expires &lt; 30 Days",Table1[[#This Row],[Agreement Days]]&gt;=-60,"Expires &lt; 60 Days",Table1[[#This Row],[Agreement Days]]&lt;-60,"Valid Contract")</f>
        <v>Valid Contract</v>
      </c>
      <c r="W985" s="14" t="s">
        <v>16</v>
      </c>
      <c r="X985" s="14" t="s">
        <v>701</v>
      </c>
      <c r="Y985" s="16" t="s">
        <v>702</v>
      </c>
      <c r="Z985" s="27" t="s">
        <v>703</v>
      </c>
      <c r="AA985" s="17"/>
      <c r="AB985" s="116"/>
      <c r="AC985" s="116"/>
    </row>
    <row r="986" spans="1:29" hidden="1" x14ac:dyDescent="0.3">
      <c r="A986" s="18" t="s">
        <v>698</v>
      </c>
      <c r="B986" s="18" t="s">
        <v>122</v>
      </c>
      <c r="C986" s="18" t="s">
        <v>2119</v>
      </c>
      <c r="D986" s="14" t="s">
        <v>662</v>
      </c>
      <c r="E986" s="18" t="s">
        <v>9</v>
      </c>
      <c r="F986" s="14" t="s">
        <v>517</v>
      </c>
      <c r="G986" s="14" t="s">
        <v>546</v>
      </c>
      <c r="H986" s="18" t="s">
        <v>5</v>
      </c>
      <c r="I986" s="14" t="s">
        <v>117</v>
      </c>
      <c r="J986" s="14">
        <v>3</v>
      </c>
      <c r="K986" s="19" t="s">
        <v>646</v>
      </c>
      <c r="L986" s="14"/>
      <c r="M986" s="20">
        <v>1</v>
      </c>
      <c r="N986" s="15">
        <v>180000</v>
      </c>
      <c r="O986" s="15">
        <f t="shared" si="37"/>
        <v>180000</v>
      </c>
      <c r="P986" s="15"/>
      <c r="Q986" s="14" t="s">
        <v>520</v>
      </c>
      <c r="R986" s="25">
        <v>45382</v>
      </c>
      <c r="S986" s="22" t="str">
        <f>TEXT(Table1[[#This Row],[End Date]],"MMMM")</f>
        <v>March</v>
      </c>
      <c r="T986" s="23" t="str">
        <f>TEXT(Table1[[#This Row],[End Date]],"YYYY")</f>
        <v>2024</v>
      </c>
      <c r="U986" s="24">
        <f t="shared" ca="1" si="38"/>
        <v>-249</v>
      </c>
      <c r="V986" s="14" t="str" cm="1">
        <f t="array" aca="1" ref="V986" ca="1">_xlfn.IFS(Table1[[#This Row],[Agreement Days]]&gt;=0,"Expired",Table1[[#This Row],[Agreement Days]]&gt;=-30,"Expires &lt; 30 Days",Table1[[#This Row],[Agreement Days]]&gt;=-60,"Expires &lt; 60 Days",Table1[[#This Row],[Agreement Days]]&lt;-60,"Valid Contract")</f>
        <v>Valid Contract</v>
      </c>
      <c r="W986" s="14" t="s">
        <v>16</v>
      </c>
      <c r="X986" s="20" t="s">
        <v>701</v>
      </c>
      <c r="Y986" s="16" t="s">
        <v>702</v>
      </c>
      <c r="Z986" s="27" t="s">
        <v>703</v>
      </c>
      <c r="AA986" s="17"/>
      <c r="AB986" s="116"/>
      <c r="AC986" s="116"/>
    </row>
    <row r="987" spans="1:29" hidden="1" x14ac:dyDescent="0.3">
      <c r="A987" s="18" t="s">
        <v>698</v>
      </c>
      <c r="B987" s="18" t="s">
        <v>122</v>
      </c>
      <c r="C987" s="18" t="s">
        <v>2120</v>
      </c>
      <c r="D987" s="14" t="s">
        <v>653</v>
      </c>
      <c r="E987" s="18" t="s">
        <v>9</v>
      </c>
      <c r="F987" s="14" t="s">
        <v>517</v>
      </c>
      <c r="G987" s="14" t="s">
        <v>546</v>
      </c>
      <c r="H987" s="18" t="s">
        <v>5</v>
      </c>
      <c r="I987" s="14" t="s">
        <v>117</v>
      </c>
      <c r="J987" s="14">
        <v>3</v>
      </c>
      <c r="K987" s="19" t="s">
        <v>646</v>
      </c>
      <c r="L987" s="14"/>
      <c r="M987" s="20">
        <v>1</v>
      </c>
      <c r="N987" s="15">
        <v>180000</v>
      </c>
      <c r="O987" s="15">
        <f t="shared" si="37"/>
        <v>180000</v>
      </c>
      <c r="P987" s="15"/>
      <c r="Q987" s="14" t="s">
        <v>520</v>
      </c>
      <c r="R987" s="25">
        <v>45382</v>
      </c>
      <c r="S987" s="22" t="str">
        <f>TEXT(Table1[[#This Row],[End Date]],"MMMM")</f>
        <v>March</v>
      </c>
      <c r="T987" s="23" t="str">
        <f>TEXT(Table1[[#This Row],[End Date]],"YYYY")</f>
        <v>2024</v>
      </c>
      <c r="U987" s="24">
        <f t="shared" ca="1" si="38"/>
        <v>-249</v>
      </c>
      <c r="V987" s="14" t="str" cm="1">
        <f t="array" aca="1" ref="V987" ca="1">_xlfn.IFS(Table1[[#This Row],[Agreement Days]]&gt;=0,"Expired",Table1[[#This Row],[Agreement Days]]&gt;=-30,"Expires &lt; 30 Days",Table1[[#This Row],[Agreement Days]]&gt;=-60,"Expires &lt; 60 Days",Table1[[#This Row],[Agreement Days]]&lt;-60,"Valid Contract")</f>
        <v>Valid Contract</v>
      </c>
      <c r="W987" s="14" t="s">
        <v>16</v>
      </c>
      <c r="X987" s="20" t="s">
        <v>701</v>
      </c>
      <c r="Y987" s="16" t="s">
        <v>702</v>
      </c>
      <c r="Z987" s="27" t="s">
        <v>703</v>
      </c>
      <c r="AA987" s="17"/>
      <c r="AB987" s="116"/>
      <c r="AC987" s="116"/>
    </row>
    <row r="988" spans="1:29" hidden="1" x14ac:dyDescent="0.3">
      <c r="A988" s="18" t="s">
        <v>698</v>
      </c>
      <c r="B988" s="18" t="s">
        <v>122</v>
      </c>
      <c r="C988" s="18" t="s">
        <v>2121</v>
      </c>
      <c r="D988" s="14" t="s">
        <v>653</v>
      </c>
      <c r="E988" s="18" t="s">
        <v>9</v>
      </c>
      <c r="F988" s="14" t="s">
        <v>517</v>
      </c>
      <c r="G988" s="14" t="s">
        <v>546</v>
      </c>
      <c r="H988" s="18" t="s">
        <v>5</v>
      </c>
      <c r="I988" s="14" t="s">
        <v>117</v>
      </c>
      <c r="J988" s="14">
        <v>3</v>
      </c>
      <c r="K988" s="19" t="s">
        <v>646</v>
      </c>
      <c r="L988" s="14"/>
      <c r="M988" s="20">
        <v>1</v>
      </c>
      <c r="N988" s="15">
        <v>180000</v>
      </c>
      <c r="O988" s="15">
        <f t="shared" si="37"/>
        <v>180000</v>
      </c>
      <c r="P988" s="15"/>
      <c r="Q988" s="14" t="s">
        <v>520</v>
      </c>
      <c r="R988" s="25">
        <v>45382</v>
      </c>
      <c r="S988" s="22" t="str">
        <f>TEXT(Table1[[#This Row],[End Date]],"MMMM")</f>
        <v>March</v>
      </c>
      <c r="T988" s="23" t="str">
        <f>TEXT(Table1[[#This Row],[End Date]],"YYYY")</f>
        <v>2024</v>
      </c>
      <c r="U988" s="24">
        <f t="shared" ca="1" si="38"/>
        <v>-249</v>
      </c>
      <c r="V988" s="14" t="str" cm="1">
        <f t="array" aca="1" ref="V988" ca="1">_xlfn.IFS(Table1[[#This Row],[Agreement Days]]&gt;=0,"Expired",Table1[[#This Row],[Agreement Days]]&gt;=-30,"Expires &lt; 30 Days",Table1[[#This Row],[Agreement Days]]&gt;=-60,"Expires &lt; 60 Days",Table1[[#This Row],[Agreement Days]]&lt;-60,"Valid Contract")</f>
        <v>Valid Contract</v>
      </c>
      <c r="W988" s="14" t="s">
        <v>16</v>
      </c>
      <c r="X988" s="20" t="s">
        <v>701</v>
      </c>
      <c r="Y988" s="16" t="s">
        <v>702</v>
      </c>
      <c r="Z988" s="27" t="s">
        <v>703</v>
      </c>
      <c r="AA988" s="17"/>
      <c r="AB988" s="116"/>
      <c r="AC988" s="116"/>
    </row>
    <row r="989" spans="1:29" hidden="1" x14ac:dyDescent="0.3">
      <c r="A989" s="18" t="s">
        <v>698</v>
      </c>
      <c r="B989" s="18" t="s">
        <v>122</v>
      </c>
      <c r="C989" s="18" t="s">
        <v>2122</v>
      </c>
      <c r="D989" s="14" t="s">
        <v>653</v>
      </c>
      <c r="E989" s="18" t="s">
        <v>9</v>
      </c>
      <c r="F989" s="14" t="s">
        <v>517</v>
      </c>
      <c r="G989" s="14" t="s">
        <v>546</v>
      </c>
      <c r="H989" s="18" t="s">
        <v>5</v>
      </c>
      <c r="I989" s="14" t="s">
        <v>117</v>
      </c>
      <c r="J989" s="14">
        <v>3</v>
      </c>
      <c r="K989" s="19" t="s">
        <v>646</v>
      </c>
      <c r="L989" s="14"/>
      <c r="M989" s="20">
        <v>1</v>
      </c>
      <c r="N989" s="15">
        <v>180000</v>
      </c>
      <c r="O989" s="15">
        <f t="shared" si="37"/>
        <v>180000</v>
      </c>
      <c r="P989" s="15"/>
      <c r="Q989" s="14" t="s">
        <v>520</v>
      </c>
      <c r="R989" s="25">
        <v>45382</v>
      </c>
      <c r="S989" s="22" t="str">
        <f>TEXT(Table1[[#This Row],[End Date]],"MMMM")</f>
        <v>March</v>
      </c>
      <c r="T989" s="23" t="str">
        <f>TEXT(Table1[[#This Row],[End Date]],"YYYY")</f>
        <v>2024</v>
      </c>
      <c r="U989" s="24">
        <f t="shared" ca="1" si="38"/>
        <v>-249</v>
      </c>
      <c r="V989" s="14" t="str" cm="1">
        <f t="array" aca="1" ref="V989" ca="1">_xlfn.IFS(Table1[[#This Row],[Agreement Days]]&gt;=0,"Expired",Table1[[#This Row],[Agreement Days]]&gt;=-30,"Expires &lt; 30 Days",Table1[[#This Row],[Agreement Days]]&gt;=-60,"Expires &lt; 60 Days",Table1[[#This Row],[Agreement Days]]&lt;-60,"Valid Contract")</f>
        <v>Valid Contract</v>
      </c>
      <c r="W989" s="14" t="s">
        <v>16</v>
      </c>
      <c r="X989" s="20" t="s">
        <v>701</v>
      </c>
      <c r="Y989" s="16" t="s">
        <v>702</v>
      </c>
      <c r="Z989" s="27" t="s">
        <v>703</v>
      </c>
      <c r="AA989" s="17"/>
      <c r="AB989" s="116"/>
      <c r="AC989" s="116"/>
    </row>
    <row r="990" spans="1:29" hidden="1" x14ac:dyDescent="0.3">
      <c r="A990" s="18" t="s">
        <v>698</v>
      </c>
      <c r="B990" s="18" t="s">
        <v>122</v>
      </c>
      <c r="C990" s="18" t="s">
        <v>2123</v>
      </c>
      <c r="D990" s="14" t="s">
        <v>769</v>
      </c>
      <c r="E990" s="18" t="s">
        <v>9</v>
      </c>
      <c r="F990" s="14" t="s">
        <v>517</v>
      </c>
      <c r="G990" s="14" t="s">
        <v>546</v>
      </c>
      <c r="H990" s="18" t="s">
        <v>5</v>
      </c>
      <c r="I990" s="14" t="s">
        <v>117</v>
      </c>
      <c r="J990" s="14">
        <v>3</v>
      </c>
      <c r="K990" s="19" t="s">
        <v>646</v>
      </c>
      <c r="L990" s="14"/>
      <c r="M990" s="20">
        <v>1</v>
      </c>
      <c r="N990" s="15">
        <v>180000</v>
      </c>
      <c r="O990" s="15">
        <f t="shared" si="37"/>
        <v>180000</v>
      </c>
      <c r="P990" s="15"/>
      <c r="Q990" s="14" t="s">
        <v>520</v>
      </c>
      <c r="R990" s="25">
        <v>45382</v>
      </c>
      <c r="S990" s="22" t="str">
        <f>TEXT(Table1[[#This Row],[End Date]],"MMMM")</f>
        <v>March</v>
      </c>
      <c r="T990" s="23" t="str">
        <f>TEXT(Table1[[#This Row],[End Date]],"YYYY")</f>
        <v>2024</v>
      </c>
      <c r="U990" s="24">
        <f t="shared" ca="1" si="38"/>
        <v>-249</v>
      </c>
      <c r="V990" s="14" t="str" cm="1">
        <f t="array" aca="1" ref="V990" ca="1">_xlfn.IFS(Table1[[#This Row],[Agreement Days]]&gt;=0,"Expired",Table1[[#This Row],[Agreement Days]]&gt;=-30,"Expires &lt; 30 Days",Table1[[#This Row],[Agreement Days]]&gt;=-60,"Expires &lt; 60 Days",Table1[[#This Row],[Agreement Days]]&lt;-60,"Valid Contract")</f>
        <v>Valid Contract</v>
      </c>
      <c r="W990" s="14" t="s">
        <v>16</v>
      </c>
      <c r="X990" s="20" t="s">
        <v>701</v>
      </c>
      <c r="Y990" s="16" t="s">
        <v>702</v>
      </c>
      <c r="Z990" s="27" t="s">
        <v>703</v>
      </c>
      <c r="AA990" s="17"/>
      <c r="AB990" s="116"/>
      <c r="AC990" s="116"/>
    </row>
    <row r="991" spans="1:29" hidden="1" x14ac:dyDescent="0.3">
      <c r="A991" s="18" t="s">
        <v>698</v>
      </c>
      <c r="B991" s="18" t="s">
        <v>122</v>
      </c>
      <c r="C991" s="18" t="s">
        <v>2124</v>
      </c>
      <c r="D991" s="14" t="s">
        <v>771</v>
      </c>
      <c r="E991" s="18" t="s">
        <v>9</v>
      </c>
      <c r="F991" s="14" t="s">
        <v>517</v>
      </c>
      <c r="G991" s="14" t="s">
        <v>546</v>
      </c>
      <c r="H991" s="18" t="s">
        <v>5</v>
      </c>
      <c r="I991" s="14" t="s">
        <v>117</v>
      </c>
      <c r="J991" s="14">
        <v>3</v>
      </c>
      <c r="K991" s="19" t="s">
        <v>646</v>
      </c>
      <c r="L991" s="14"/>
      <c r="M991" s="20">
        <v>1</v>
      </c>
      <c r="N991" s="15">
        <v>180000</v>
      </c>
      <c r="O991" s="15">
        <f t="shared" si="37"/>
        <v>180000</v>
      </c>
      <c r="P991" s="15"/>
      <c r="Q991" s="14" t="s">
        <v>520</v>
      </c>
      <c r="R991" s="25">
        <v>45382</v>
      </c>
      <c r="S991" s="22" t="str">
        <f>TEXT(Table1[[#This Row],[End Date]],"MMMM")</f>
        <v>March</v>
      </c>
      <c r="T991" s="23" t="str">
        <f>TEXT(Table1[[#This Row],[End Date]],"YYYY")</f>
        <v>2024</v>
      </c>
      <c r="U991" s="24">
        <f t="shared" ca="1" si="38"/>
        <v>-249</v>
      </c>
      <c r="V991" s="14" t="str" cm="1">
        <f t="array" aca="1" ref="V991" ca="1">_xlfn.IFS(Table1[[#This Row],[Agreement Days]]&gt;=0,"Expired",Table1[[#This Row],[Agreement Days]]&gt;=-30,"Expires &lt; 30 Days",Table1[[#This Row],[Agreement Days]]&gt;=-60,"Expires &lt; 60 Days",Table1[[#This Row],[Agreement Days]]&lt;-60,"Valid Contract")</f>
        <v>Valid Contract</v>
      </c>
      <c r="W991" s="14" t="s">
        <v>16</v>
      </c>
      <c r="X991" s="20" t="s">
        <v>701</v>
      </c>
      <c r="Y991" s="16" t="s">
        <v>702</v>
      </c>
      <c r="Z991" s="27" t="s">
        <v>703</v>
      </c>
      <c r="AA991" s="17"/>
      <c r="AB991" s="116"/>
      <c r="AC991" s="116"/>
    </row>
    <row r="992" spans="1:29" hidden="1" x14ac:dyDescent="0.3">
      <c r="A992" s="18" t="s">
        <v>698</v>
      </c>
      <c r="B992" s="18" t="s">
        <v>122</v>
      </c>
      <c r="C992" s="18" t="s">
        <v>2125</v>
      </c>
      <c r="D992" s="14" t="s">
        <v>542</v>
      </c>
      <c r="E992" s="18" t="s">
        <v>9</v>
      </c>
      <c r="F992" s="14" t="s">
        <v>517</v>
      </c>
      <c r="G992" s="14" t="s">
        <v>546</v>
      </c>
      <c r="H992" s="18" t="s">
        <v>5</v>
      </c>
      <c r="I992" s="14" t="s">
        <v>117</v>
      </c>
      <c r="J992" s="14">
        <v>3</v>
      </c>
      <c r="K992" s="19" t="s">
        <v>646</v>
      </c>
      <c r="L992" s="14"/>
      <c r="M992" s="20">
        <v>1</v>
      </c>
      <c r="N992" s="15">
        <v>180000</v>
      </c>
      <c r="O992" s="15">
        <f t="shared" si="37"/>
        <v>180000</v>
      </c>
      <c r="P992" s="15"/>
      <c r="Q992" s="14" t="s">
        <v>520</v>
      </c>
      <c r="R992" s="25">
        <v>45382</v>
      </c>
      <c r="S992" s="22" t="str">
        <f>TEXT(Table1[[#This Row],[End Date]],"MMMM")</f>
        <v>March</v>
      </c>
      <c r="T992" s="23" t="str">
        <f>TEXT(Table1[[#This Row],[End Date]],"YYYY")</f>
        <v>2024</v>
      </c>
      <c r="U992" s="24">
        <f t="shared" ca="1" si="38"/>
        <v>-249</v>
      </c>
      <c r="V992" s="14" t="str" cm="1">
        <f t="array" aca="1" ref="V992" ca="1">_xlfn.IFS(Table1[[#This Row],[Agreement Days]]&gt;=0,"Expired",Table1[[#This Row],[Agreement Days]]&gt;=-30,"Expires &lt; 30 Days",Table1[[#This Row],[Agreement Days]]&gt;=-60,"Expires &lt; 60 Days",Table1[[#This Row],[Agreement Days]]&lt;-60,"Valid Contract")</f>
        <v>Valid Contract</v>
      </c>
      <c r="W992" s="14" t="s">
        <v>16</v>
      </c>
      <c r="X992" s="20" t="s">
        <v>701</v>
      </c>
      <c r="Y992" s="16" t="s">
        <v>702</v>
      </c>
      <c r="Z992" s="27" t="s">
        <v>703</v>
      </c>
      <c r="AA992" s="17"/>
      <c r="AB992" s="116"/>
      <c r="AC992" s="116"/>
    </row>
    <row r="993" spans="1:29" hidden="1" x14ac:dyDescent="0.3">
      <c r="A993" s="18" t="s">
        <v>698</v>
      </c>
      <c r="B993" s="18" t="s">
        <v>122</v>
      </c>
      <c r="C993" s="18" t="s">
        <v>2126</v>
      </c>
      <c r="D993" s="14" t="s">
        <v>579</v>
      </c>
      <c r="E993" s="18" t="s">
        <v>9</v>
      </c>
      <c r="F993" s="14" t="s">
        <v>517</v>
      </c>
      <c r="G993" s="14" t="s">
        <v>546</v>
      </c>
      <c r="H993" s="18" t="s">
        <v>5</v>
      </c>
      <c r="I993" s="14" t="s">
        <v>117</v>
      </c>
      <c r="J993" s="14">
        <v>3</v>
      </c>
      <c r="K993" s="19" t="s">
        <v>646</v>
      </c>
      <c r="L993" s="14"/>
      <c r="M993" s="20">
        <v>1</v>
      </c>
      <c r="N993" s="15">
        <v>180000</v>
      </c>
      <c r="O993" s="15">
        <f t="shared" si="37"/>
        <v>180000</v>
      </c>
      <c r="P993" s="15"/>
      <c r="Q993" s="14" t="s">
        <v>520</v>
      </c>
      <c r="R993" s="25">
        <v>45382</v>
      </c>
      <c r="S993" s="22" t="str">
        <f>TEXT(Table1[[#This Row],[End Date]],"MMMM")</f>
        <v>March</v>
      </c>
      <c r="T993" s="23" t="str">
        <f>TEXT(Table1[[#This Row],[End Date]],"YYYY")</f>
        <v>2024</v>
      </c>
      <c r="U993" s="24">
        <f t="shared" ca="1" si="38"/>
        <v>-249</v>
      </c>
      <c r="V993" s="14" t="str" cm="1">
        <f t="array" aca="1" ref="V993" ca="1">_xlfn.IFS(Table1[[#This Row],[Agreement Days]]&gt;=0,"Expired",Table1[[#This Row],[Agreement Days]]&gt;=-30,"Expires &lt; 30 Days",Table1[[#This Row],[Agreement Days]]&gt;=-60,"Expires &lt; 60 Days",Table1[[#This Row],[Agreement Days]]&lt;-60,"Valid Contract")</f>
        <v>Valid Contract</v>
      </c>
      <c r="W993" s="14" t="s">
        <v>16</v>
      </c>
      <c r="X993" s="20" t="s">
        <v>701</v>
      </c>
      <c r="Y993" s="16" t="s">
        <v>702</v>
      </c>
      <c r="Z993" s="27" t="s">
        <v>703</v>
      </c>
      <c r="AA993" s="17"/>
      <c r="AB993" s="116"/>
      <c r="AC993" s="116"/>
    </row>
    <row r="994" spans="1:29" hidden="1" x14ac:dyDescent="0.3">
      <c r="A994" s="18" t="s">
        <v>698</v>
      </c>
      <c r="B994" s="18" t="s">
        <v>122</v>
      </c>
      <c r="C994" s="18" t="s">
        <v>2127</v>
      </c>
      <c r="D994" s="14" t="s">
        <v>645</v>
      </c>
      <c r="E994" s="18" t="s">
        <v>9</v>
      </c>
      <c r="F994" s="14" t="s">
        <v>517</v>
      </c>
      <c r="G994" s="14" t="s">
        <v>546</v>
      </c>
      <c r="H994" s="18" t="s">
        <v>5</v>
      </c>
      <c r="I994" s="14" t="s">
        <v>117</v>
      </c>
      <c r="J994" s="14">
        <v>3</v>
      </c>
      <c r="K994" s="19" t="s">
        <v>646</v>
      </c>
      <c r="L994" s="14"/>
      <c r="M994" s="20">
        <v>1</v>
      </c>
      <c r="N994" s="15">
        <v>180000</v>
      </c>
      <c r="O994" s="15">
        <f t="shared" si="37"/>
        <v>180000</v>
      </c>
      <c r="P994" s="15"/>
      <c r="Q994" s="14" t="s">
        <v>520</v>
      </c>
      <c r="R994" s="25">
        <v>45382</v>
      </c>
      <c r="S994" s="22" t="str">
        <f>TEXT(Table1[[#This Row],[End Date]],"MMMM")</f>
        <v>March</v>
      </c>
      <c r="T994" s="23" t="str">
        <f>TEXT(Table1[[#This Row],[End Date]],"YYYY")</f>
        <v>2024</v>
      </c>
      <c r="U994" s="24">
        <f t="shared" ca="1" si="38"/>
        <v>-249</v>
      </c>
      <c r="V994" s="14" t="str" cm="1">
        <f t="array" aca="1" ref="V994" ca="1">_xlfn.IFS(Table1[[#This Row],[Agreement Days]]&gt;=0,"Expired",Table1[[#This Row],[Agreement Days]]&gt;=-30,"Expires &lt; 30 Days",Table1[[#This Row],[Agreement Days]]&gt;=-60,"Expires &lt; 60 Days",Table1[[#This Row],[Agreement Days]]&lt;-60,"Valid Contract")</f>
        <v>Valid Contract</v>
      </c>
      <c r="W994" s="14" t="s">
        <v>16</v>
      </c>
      <c r="X994" s="20" t="s">
        <v>701</v>
      </c>
      <c r="Y994" s="16" t="s">
        <v>702</v>
      </c>
      <c r="Z994" s="27" t="s">
        <v>703</v>
      </c>
      <c r="AA994" s="17"/>
      <c r="AB994" s="116"/>
      <c r="AC994" s="116"/>
    </row>
    <row r="995" spans="1:29" hidden="1" x14ac:dyDescent="0.3">
      <c r="A995" s="18" t="s">
        <v>698</v>
      </c>
      <c r="B995" s="18" t="s">
        <v>122</v>
      </c>
      <c r="C995" s="18" t="s">
        <v>2128</v>
      </c>
      <c r="D995" s="14" t="s">
        <v>516</v>
      </c>
      <c r="E995" s="18" t="s">
        <v>9</v>
      </c>
      <c r="F995" s="14" t="s">
        <v>517</v>
      </c>
      <c r="G995" s="14" t="s">
        <v>546</v>
      </c>
      <c r="H995" s="18" t="s">
        <v>5</v>
      </c>
      <c r="I995" s="14" t="s">
        <v>117</v>
      </c>
      <c r="J995" s="14">
        <v>3</v>
      </c>
      <c r="K995" s="19" t="s">
        <v>646</v>
      </c>
      <c r="L995" s="14"/>
      <c r="M995" s="20">
        <v>1</v>
      </c>
      <c r="N995" s="15">
        <v>180000</v>
      </c>
      <c r="O995" s="15">
        <f t="shared" si="37"/>
        <v>180000</v>
      </c>
      <c r="P995" s="15"/>
      <c r="Q995" s="14" t="s">
        <v>520</v>
      </c>
      <c r="R995" s="25">
        <v>45382</v>
      </c>
      <c r="S995" s="22" t="str">
        <f>TEXT(Table1[[#This Row],[End Date]],"MMMM")</f>
        <v>March</v>
      </c>
      <c r="T995" s="23" t="str">
        <f>TEXT(Table1[[#This Row],[End Date]],"YYYY")</f>
        <v>2024</v>
      </c>
      <c r="U995" s="24">
        <f t="shared" ca="1" si="38"/>
        <v>-249</v>
      </c>
      <c r="V995" s="14" t="str" cm="1">
        <f t="array" aca="1" ref="V995" ca="1">_xlfn.IFS(Table1[[#This Row],[Agreement Days]]&gt;=0,"Expired",Table1[[#This Row],[Agreement Days]]&gt;=-30,"Expires &lt; 30 Days",Table1[[#This Row],[Agreement Days]]&gt;=-60,"Expires &lt; 60 Days",Table1[[#This Row],[Agreement Days]]&lt;-60,"Valid Contract")</f>
        <v>Valid Contract</v>
      </c>
      <c r="W995" s="14" t="s">
        <v>16</v>
      </c>
      <c r="X995" s="20" t="s">
        <v>701</v>
      </c>
      <c r="Y995" s="16" t="s">
        <v>702</v>
      </c>
      <c r="Z995" s="27" t="s">
        <v>703</v>
      </c>
      <c r="AA995" s="17"/>
      <c r="AB995" s="116"/>
      <c r="AC995" s="116"/>
    </row>
    <row r="996" spans="1:29" hidden="1" x14ac:dyDescent="0.3">
      <c r="A996" s="18" t="s">
        <v>698</v>
      </c>
      <c r="B996" s="18" t="s">
        <v>122</v>
      </c>
      <c r="C996" s="18" t="s">
        <v>2129</v>
      </c>
      <c r="D996" s="14" t="s">
        <v>653</v>
      </c>
      <c r="E996" s="18" t="s">
        <v>9</v>
      </c>
      <c r="F996" s="14" t="s">
        <v>517</v>
      </c>
      <c r="G996" s="14" t="s">
        <v>546</v>
      </c>
      <c r="H996" s="18" t="s">
        <v>5</v>
      </c>
      <c r="I996" s="14" t="s">
        <v>117</v>
      </c>
      <c r="J996" s="14">
        <v>150</v>
      </c>
      <c r="K996" s="19" t="s">
        <v>2130</v>
      </c>
      <c r="L996" s="14"/>
      <c r="M996" s="20">
        <v>1</v>
      </c>
      <c r="N996" s="15">
        <v>4500000</v>
      </c>
      <c r="O996" s="15">
        <f t="shared" si="37"/>
        <v>4500000</v>
      </c>
      <c r="P996" s="15"/>
      <c r="Q996" s="14" t="s">
        <v>520</v>
      </c>
      <c r="R996" s="25">
        <v>45382</v>
      </c>
      <c r="S996" s="22" t="str">
        <f>TEXT(Table1[[#This Row],[End Date]],"MMMM")</f>
        <v>March</v>
      </c>
      <c r="T996" s="23" t="str">
        <f>TEXT(Table1[[#This Row],[End Date]],"YYYY")</f>
        <v>2024</v>
      </c>
      <c r="U996" s="24">
        <f t="shared" ca="1" si="38"/>
        <v>-249</v>
      </c>
      <c r="V996" s="14" t="str" cm="1">
        <f t="array" aca="1" ref="V996" ca="1">_xlfn.IFS(Table1[[#This Row],[Agreement Days]]&gt;=0,"Expired",Table1[[#This Row],[Agreement Days]]&gt;=-30,"Expires &lt; 30 Days",Table1[[#This Row],[Agreement Days]]&gt;=-60,"Expires &lt; 60 Days",Table1[[#This Row],[Agreement Days]]&lt;-60,"Valid Contract")</f>
        <v>Valid Contract</v>
      </c>
      <c r="W996" s="14" t="s">
        <v>16</v>
      </c>
      <c r="X996" s="20" t="s">
        <v>701</v>
      </c>
      <c r="Y996" s="16" t="s">
        <v>702</v>
      </c>
      <c r="Z996" s="27" t="s">
        <v>703</v>
      </c>
      <c r="AA996" s="17"/>
      <c r="AB996" s="116"/>
      <c r="AC996" s="116"/>
    </row>
    <row r="997" spans="1:29" hidden="1" x14ac:dyDescent="0.3">
      <c r="A997" s="18" t="s">
        <v>698</v>
      </c>
      <c r="B997" s="18" t="s">
        <v>122</v>
      </c>
      <c r="C997" s="18" t="s">
        <v>2131</v>
      </c>
      <c r="D997" s="14" t="s">
        <v>653</v>
      </c>
      <c r="E997" s="18" t="s">
        <v>9</v>
      </c>
      <c r="F997" s="14" t="s">
        <v>517</v>
      </c>
      <c r="G997" s="14" t="s">
        <v>546</v>
      </c>
      <c r="H997" s="18" t="s">
        <v>5</v>
      </c>
      <c r="I997" s="14" t="s">
        <v>117</v>
      </c>
      <c r="J997" s="14"/>
      <c r="K997" s="19" t="s">
        <v>519</v>
      </c>
      <c r="L997" s="14"/>
      <c r="M997" s="20">
        <v>1</v>
      </c>
      <c r="N997" s="15">
        <v>270000</v>
      </c>
      <c r="O997" s="15">
        <f t="shared" si="37"/>
        <v>270000</v>
      </c>
      <c r="P997" s="15"/>
      <c r="Q997" s="14" t="s">
        <v>520</v>
      </c>
      <c r="R997" s="25">
        <v>45382</v>
      </c>
      <c r="S997" s="22" t="str">
        <f>TEXT(Table1[[#This Row],[End Date]],"MMMM")</f>
        <v>March</v>
      </c>
      <c r="T997" s="23" t="str">
        <f>TEXT(Table1[[#This Row],[End Date]],"YYYY")</f>
        <v>2024</v>
      </c>
      <c r="U997" s="24">
        <f t="shared" ca="1" si="38"/>
        <v>-249</v>
      </c>
      <c r="V997" s="14" t="str" cm="1">
        <f t="array" aca="1" ref="V997" ca="1">_xlfn.IFS(Table1[[#This Row],[Agreement Days]]&gt;=0,"Expired",Table1[[#This Row],[Agreement Days]]&gt;=-30,"Expires &lt; 30 Days",Table1[[#This Row],[Agreement Days]]&gt;=-60,"Expires &lt; 60 Days",Table1[[#This Row],[Agreement Days]]&lt;-60,"Valid Contract")</f>
        <v>Valid Contract</v>
      </c>
      <c r="W997" s="14" t="s">
        <v>16</v>
      </c>
      <c r="X997" s="20" t="s">
        <v>701</v>
      </c>
      <c r="Y997" s="16" t="s">
        <v>702</v>
      </c>
      <c r="Z997" s="27" t="s">
        <v>703</v>
      </c>
      <c r="AA997" s="17"/>
      <c r="AB997" s="116"/>
      <c r="AC997" s="116"/>
    </row>
    <row r="998" spans="1:29" hidden="1" x14ac:dyDescent="0.3">
      <c r="A998" s="18" t="s">
        <v>698</v>
      </c>
      <c r="B998" s="18" t="s">
        <v>122</v>
      </c>
      <c r="C998" s="18" t="s">
        <v>699</v>
      </c>
      <c r="D998" s="14" t="s">
        <v>545</v>
      </c>
      <c r="E998" s="18" t="s">
        <v>9</v>
      </c>
      <c r="F998" s="14" t="s">
        <v>517</v>
      </c>
      <c r="G998" s="14" t="s">
        <v>546</v>
      </c>
      <c r="H998" s="18" t="s">
        <v>4</v>
      </c>
      <c r="I998" s="14" t="s">
        <v>118</v>
      </c>
      <c r="J998" s="14"/>
      <c r="K998" s="50" t="s">
        <v>1137</v>
      </c>
      <c r="L998" s="14"/>
      <c r="M998" s="20">
        <v>1</v>
      </c>
      <c r="N998" s="15">
        <v>1478575</v>
      </c>
      <c r="O998" s="15">
        <f t="shared" si="37"/>
        <v>1478575</v>
      </c>
      <c r="P998" s="15"/>
      <c r="Q998" s="14" t="s">
        <v>520</v>
      </c>
      <c r="R998" s="25">
        <v>45382</v>
      </c>
      <c r="S998" s="22" t="str">
        <f>TEXT(Table1[[#This Row],[End Date]],"MMMM")</f>
        <v>March</v>
      </c>
      <c r="T998" s="23" t="str">
        <f>TEXT(Table1[[#This Row],[End Date]],"YYYY")</f>
        <v>2024</v>
      </c>
      <c r="U998" s="24">
        <f t="shared" ca="1" si="38"/>
        <v>-249</v>
      </c>
      <c r="V998" s="14" t="str" cm="1">
        <f t="array" aca="1" ref="V998" ca="1">_xlfn.IFS(Table1[[#This Row],[Agreement Days]]&gt;=0,"Expired",Table1[[#This Row],[Agreement Days]]&gt;=-30,"Expires &lt; 30 Days",Table1[[#This Row],[Agreement Days]]&gt;=-60,"Expires &lt; 60 Days",Table1[[#This Row],[Agreement Days]]&lt;-60,"Valid Contract")</f>
        <v>Valid Contract</v>
      </c>
      <c r="W998" s="14" t="s">
        <v>16</v>
      </c>
      <c r="X998" s="20" t="s">
        <v>701</v>
      </c>
      <c r="Y998" s="16" t="s">
        <v>702</v>
      </c>
      <c r="Z998" s="27" t="s">
        <v>703</v>
      </c>
      <c r="AA998" s="17"/>
      <c r="AB998" s="116"/>
      <c r="AC998" s="116"/>
    </row>
    <row r="999" spans="1:29" hidden="1" x14ac:dyDescent="0.3">
      <c r="A999" s="18" t="s">
        <v>698</v>
      </c>
      <c r="B999" s="18" t="s">
        <v>122</v>
      </c>
      <c r="C999" s="18" t="s">
        <v>122</v>
      </c>
      <c r="D999" s="14" t="s">
        <v>545</v>
      </c>
      <c r="E999" s="18" t="s">
        <v>9</v>
      </c>
      <c r="F999" s="14" t="s">
        <v>517</v>
      </c>
      <c r="G999" s="14" t="s">
        <v>546</v>
      </c>
      <c r="H999" s="18" t="s">
        <v>5</v>
      </c>
      <c r="I999" s="14" t="s">
        <v>115</v>
      </c>
      <c r="J999" s="14"/>
      <c r="K999" s="26" t="s">
        <v>643</v>
      </c>
      <c r="L999" s="14"/>
      <c r="M999" s="14">
        <v>2</v>
      </c>
      <c r="N999" s="15">
        <v>28305.08</v>
      </c>
      <c r="O999" s="2">
        <f t="shared" si="37"/>
        <v>56610.16</v>
      </c>
      <c r="P999" s="2"/>
      <c r="Q999" s="14" t="s">
        <v>520</v>
      </c>
      <c r="R999" s="25">
        <v>45382</v>
      </c>
      <c r="S999" s="57" t="str">
        <f>TEXT(Table1[[#This Row],[End Date]],"MMMM")</f>
        <v>March</v>
      </c>
      <c r="T999" s="57" t="str">
        <f>TEXT(Table1[[#This Row],[End Date]],"YYYY")</f>
        <v>2024</v>
      </c>
      <c r="U999" s="58">
        <f t="shared" ca="1" si="38"/>
        <v>-249</v>
      </c>
      <c r="V999" s="14" t="str" cm="1">
        <f t="array" aca="1" ref="V999" ca="1">_xlfn.IFS(Table1[[#This Row],[Agreement Days]]&gt;=0,"Expired",Table1[[#This Row],[Agreement Days]]&gt;=-30,"Expires &lt; 30 Days",Table1[[#This Row],[Agreement Days]]&gt;=-60,"Expires &lt; 60 Days",Table1[[#This Row],[Agreement Days]]&lt;-60,"Valid Contract")</f>
        <v>Valid Contract</v>
      </c>
      <c r="W999" s="14" t="s">
        <v>16</v>
      </c>
      <c r="X999" s="14" t="s">
        <v>701</v>
      </c>
      <c r="Y999" s="16" t="s">
        <v>702</v>
      </c>
      <c r="Z999" s="27" t="s">
        <v>703</v>
      </c>
      <c r="AA999" s="17"/>
      <c r="AB999" s="116"/>
      <c r="AC999" s="116"/>
    </row>
    <row r="1000" spans="1:29" hidden="1" x14ac:dyDescent="0.3">
      <c r="A1000" s="18" t="s">
        <v>698</v>
      </c>
      <c r="B1000" s="18" t="s">
        <v>122</v>
      </c>
      <c r="C1000" s="18" t="s">
        <v>122</v>
      </c>
      <c r="D1000" s="14" t="s">
        <v>545</v>
      </c>
      <c r="E1000" s="18" t="s">
        <v>9</v>
      </c>
      <c r="F1000" s="14" t="s">
        <v>517</v>
      </c>
      <c r="G1000" s="14" t="s">
        <v>546</v>
      </c>
      <c r="H1000" s="18" t="s">
        <v>5</v>
      </c>
      <c r="I1000" s="14" t="s">
        <v>115</v>
      </c>
      <c r="J1000" s="14"/>
      <c r="K1000" s="26" t="s">
        <v>643</v>
      </c>
      <c r="L1000" s="14"/>
      <c r="M1000" s="20">
        <v>30</v>
      </c>
      <c r="N1000" s="15">
        <v>28305.08</v>
      </c>
      <c r="O1000" s="15">
        <f t="shared" si="37"/>
        <v>849152.4</v>
      </c>
      <c r="P1000" s="15"/>
      <c r="Q1000" s="14" t="s">
        <v>520</v>
      </c>
      <c r="R1000" s="25">
        <v>45382</v>
      </c>
      <c r="S1000" s="22" t="str">
        <f>TEXT(Table1[[#This Row],[End Date]],"MMMM")</f>
        <v>March</v>
      </c>
      <c r="T1000" s="23" t="str">
        <f>TEXT(Table1[[#This Row],[End Date]],"YYYY")</f>
        <v>2024</v>
      </c>
      <c r="U1000" s="24">
        <f t="shared" ca="1" si="38"/>
        <v>-249</v>
      </c>
      <c r="V1000" s="14" t="str" cm="1">
        <f t="array" aca="1" ref="V1000" ca="1">_xlfn.IFS(Table1[[#This Row],[Agreement Days]]&gt;=0,"Expired",Table1[[#This Row],[Agreement Days]]&gt;=-30,"Expires &lt; 30 Days",Table1[[#This Row],[Agreement Days]]&gt;=-60,"Expires &lt; 60 Days",Table1[[#This Row],[Agreement Days]]&lt;-60,"Valid Contract")</f>
        <v>Valid Contract</v>
      </c>
      <c r="W1000" s="14" t="s">
        <v>16</v>
      </c>
      <c r="X1000" s="20" t="s">
        <v>701</v>
      </c>
      <c r="Y1000" s="16" t="s">
        <v>702</v>
      </c>
      <c r="Z1000" s="27" t="s">
        <v>703</v>
      </c>
      <c r="AA1000" s="17"/>
      <c r="AB1000" s="116"/>
      <c r="AC1000" s="116"/>
    </row>
    <row r="1001" spans="1:29" hidden="1" x14ac:dyDescent="0.3">
      <c r="A1001" s="18" t="s">
        <v>698</v>
      </c>
      <c r="B1001" s="18" t="s">
        <v>122</v>
      </c>
      <c r="C1001" s="18" t="s">
        <v>122</v>
      </c>
      <c r="D1001" s="14" t="s">
        <v>545</v>
      </c>
      <c r="E1001" s="18" t="s">
        <v>9</v>
      </c>
      <c r="F1001" s="14" t="s">
        <v>517</v>
      </c>
      <c r="G1001" s="14" t="s">
        <v>546</v>
      </c>
      <c r="H1001" s="18" t="s">
        <v>5</v>
      </c>
      <c r="I1001" s="14" t="s">
        <v>115</v>
      </c>
      <c r="J1001" s="14"/>
      <c r="K1001" s="26" t="s">
        <v>643</v>
      </c>
      <c r="L1001" s="14"/>
      <c r="M1001" s="20">
        <v>558</v>
      </c>
      <c r="N1001" s="15">
        <v>28305.08</v>
      </c>
      <c r="O1001" s="15">
        <f t="shared" si="37"/>
        <v>15794234.640000001</v>
      </c>
      <c r="P1001" s="15"/>
      <c r="Q1001" s="14" t="s">
        <v>520</v>
      </c>
      <c r="R1001" s="25">
        <v>45382</v>
      </c>
      <c r="S1001" s="22" t="str">
        <f>TEXT(Table1[[#This Row],[End Date]],"MMMM")</f>
        <v>March</v>
      </c>
      <c r="T1001" s="23" t="str">
        <f>TEXT(Table1[[#This Row],[End Date]],"YYYY")</f>
        <v>2024</v>
      </c>
      <c r="U1001" s="24">
        <f t="shared" ca="1" si="38"/>
        <v>-249</v>
      </c>
      <c r="V1001" s="14" t="str" cm="1">
        <f t="array" aca="1" ref="V1001" ca="1">_xlfn.IFS(Table1[[#This Row],[Agreement Days]]&gt;=0,"Expired",Table1[[#This Row],[Agreement Days]]&gt;=-30,"Expires &lt; 30 Days",Table1[[#This Row],[Agreement Days]]&gt;=-60,"Expires &lt; 60 Days",Table1[[#This Row],[Agreement Days]]&lt;-60,"Valid Contract")</f>
        <v>Valid Contract</v>
      </c>
      <c r="W1001" s="14" t="s">
        <v>16</v>
      </c>
      <c r="X1001" s="20" t="s">
        <v>701</v>
      </c>
      <c r="Y1001" s="16" t="s">
        <v>702</v>
      </c>
      <c r="Z1001" s="27" t="s">
        <v>703</v>
      </c>
      <c r="AA1001" s="17"/>
      <c r="AB1001" s="116"/>
      <c r="AC1001" s="116"/>
    </row>
    <row r="1002" spans="1:29" hidden="1" x14ac:dyDescent="0.3">
      <c r="A1002" s="18" t="s">
        <v>2132</v>
      </c>
      <c r="B1002" s="18" t="s">
        <v>171</v>
      </c>
      <c r="C1002" s="18" t="s">
        <v>515</v>
      </c>
      <c r="D1002" s="14" t="s">
        <v>769</v>
      </c>
      <c r="E1002" s="18" t="s">
        <v>9</v>
      </c>
      <c r="F1002" s="14" t="s">
        <v>517</v>
      </c>
      <c r="G1002" s="14" t="s">
        <v>518</v>
      </c>
      <c r="H1002" s="18" t="s">
        <v>5</v>
      </c>
      <c r="I1002" s="14" t="s">
        <v>117</v>
      </c>
      <c r="J1002" s="14">
        <v>3</v>
      </c>
      <c r="K1002" s="18" t="s">
        <v>646</v>
      </c>
      <c r="L1002" s="18"/>
      <c r="M1002" s="14">
        <v>1</v>
      </c>
      <c r="N1002" s="15">
        <v>180000</v>
      </c>
      <c r="O1002" s="15">
        <f t="shared" si="37"/>
        <v>180000</v>
      </c>
      <c r="P1002" s="15"/>
      <c r="Q1002" s="14" t="s">
        <v>520</v>
      </c>
      <c r="R1002" s="25">
        <v>45382</v>
      </c>
      <c r="S1002" s="34" t="str">
        <f>TEXT(Table1[[#This Row],[End Date]],"MMMM")</f>
        <v>March</v>
      </c>
      <c r="T1002" s="34" t="str">
        <f>TEXT(Table1[[#This Row],[End Date]],"YYYY")</f>
        <v>2024</v>
      </c>
      <c r="U1002" s="24">
        <f t="shared" ca="1" si="38"/>
        <v>-249</v>
      </c>
      <c r="V1002" s="14" t="str" cm="1">
        <f t="array" aca="1" ref="V1002" ca="1">_xlfn.IFS(Table1[[#This Row],[Agreement Days]]&gt;=0,"Expired",Table1[[#This Row],[Agreement Days]]&gt;=-30,"Expires &lt; 30 Days",Table1[[#This Row],[Agreement Days]]&gt;=-60,"Expires &lt; 60 Days",Table1[[#This Row],[Agreement Days]]&lt;-60,"Valid Contract")</f>
        <v>Valid Contract</v>
      </c>
      <c r="W1002" s="18" t="s">
        <v>18</v>
      </c>
      <c r="X1002" s="18" t="s">
        <v>2133</v>
      </c>
      <c r="Y1002" s="35" t="s">
        <v>2134</v>
      </c>
      <c r="Z1002" s="27" t="s">
        <v>2135</v>
      </c>
      <c r="AA1002" s="36"/>
      <c r="AB1002" s="116"/>
      <c r="AC1002" s="116"/>
    </row>
    <row r="1003" spans="1:29" hidden="1" x14ac:dyDescent="0.3">
      <c r="A1003" s="18" t="s">
        <v>2132</v>
      </c>
      <c r="B1003" s="18" t="s">
        <v>171</v>
      </c>
      <c r="C1003" s="18" t="s">
        <v>544</v>
      </c>
      <c r="D1003" s="14" t="s">
        <v>769</v>
      </c>
      <c r="E1003" s="18" t="s">
        <v>9</v>
      </c>
      <c r="F1003" s="14" t="s">
        <v>517</v>
      </c>
      <c r="G1003" s="14" t="s">
        <v>518</v>
      </c>
      <c r="H1003" s="18" t="s">
        <v>5</v>
      </c>
      <c r="I1003" s="14" t="s">
        <v>117</v>
      </c>
      <c r="J1003" s="14">
        <v>10</v>
      </c>
      <c r="K1003" s="18" t="s">
        <v>547</v>
      </c>
      <c r="L1003" s="18"/>
      <c r="M1003" s="14">
        <v>1</v>
      </c>
      <c r="N1003" s="15">
        <v>510000</v>
      </c>
      <c r="O1003" s="15">
        <f t="shared" si="37"/>
        <v>510000</v>
      </c>
      <c r="P1003" s="15"/>
      <c r="Q1003" s="14" t="s">
        <v>520</v>
      </c>
      <c r="R1003" s="25">
        <v>45382</v>
      </c>
      <c r="S1003" s="34" t="str">
        <f>TEXT(Table1[[#This Row],[End Date]],"MMMM")</f>
        <v>March</v>
      </c>
      <c r="T1003" s="34" t="str">
        <f>TEXT(Table1[[#This Row],[End Date]],"YYYY")</f>
        <v>2024</v>
      </c>
      <c r="U1003" s="24">
        <f t="shared" ca="1" si="38"/>
        <v>-249</v>
      </c>
      <c r="V1003" s="14" t="str" cm="1">
        <f t="array" aca="1" ref="V1003" ca="1">_xlfn.IFS(Table1[[#This Row],[Agreement Days]]&gt;=0,"Expired",Table1[[#This Row],[Agreement Days]]&gt;=-30,"Expires &lt; 30 Days",Table1[[#This Row],[Agreement Days]]&gt;=-60,"Expires &lt; 60 Days",Table1[[#This Row],[Agreement Days]]&lt;-60,"Valid Contract")</f>
        <v>Valid Contract</v>
      </c>
      <c r="W1003" s="18" t="s">
        <v>18</v>
      </c>
      <c r="X1003" s="18" t="s">
        <v>2133</v>
      </c>
      <c r="Y1003" s="35" t="s">
        <v>2134</v>
      </c>
      <c r="Z1003" s="27" t="s">
        <v>2135</v>
      </c>
      <c r="AA1003" s="36"/>
      <c r="AB1003" s="116"/>
      <c r="AC1003" s="116"/>
    </row>
    <row r="1004" spans="1:29" hidden="1" x14ac:dyDescent="0.3">
      <c r="A1004" s="18" t="s">
        <v>2132</v>
      </c>
      <c r="B1004" s="18" t="s">
        <v>171</v>
      </c>
      <c r="C1004" s="18" t="s">
        <v>544</v>
      </c>
      <c r="D1004" s="14" t="s">
        <v>769</v>
      </c>
      <c r="E1004" s="18" t="s">
        <v>9</v>
      </c>
      <c r="F1004" s="14" t="s">
        <v>517</v>
      </c>
      <c r="G1004" s="14" t="s">
        <v>518</v>
      </c>
      <c r="H1004" s="18" t="s">
        <v>2</v>
      </c>
      <c r="I1004" s="14" t="s">
        <v>120</v>
      </c>
      <c r="J1004" s="18"/>
      <c r="K1004" s="18" t="s">
        <v>649</v>
      </c>
      <c r="L1004" s="18"/>
      <c r="M1004" s="14">
        <v>1</v>
      </c>
      <c r="N1004" s="15">
        <v>258044.92</v>
      </c>
      <c r="O1004" s="15">
        <f t="shared" si="37"/>
        <v>258044.92</v>
      </c>
      <c r="P1004" s="15"/>
      <c r="Q1004" s="14" t="s">
        <v>520</v>
      </c>
      <c r="R1004" s="25">
        <v>45382</v>
      </c>
      <c r="S1004" s="34" t="str">
        <f>TEXT(Table1[[#This Row],[End Date]],"MMMM")</f>
        <v>March</v>
      </c>
      <c r="T1004" s="34" t="str">
        <f>TEXT(Table1[[#This Row],[End Date]],"YYYY")</f>
        <v>2024</v>
      </c>
      <c r="U1004" s="24">
        <f t="shared" ca="1" si="38"/>
        <v>-249</v>
      </c>
      <c r="V1004" s="14" t="str" cm="1">
        <f t="array" aca="1" ref="V1004" ca="1">_xlfn.IFS(Table1[[#This Row],[Agreement Days]]&gt;=0,"Expired",Table1[[#This Row],[Agreement Days]]&gt;=-30,"Expires &lt; 30 Days",Table1[[#This Row],[Agreement Days]]&gt;=-60,"Expires &lt; 60 Days",Table1[[#This Row],[Agreement Days]]&lt;-60,"Valid Contract")</f>
        <v>Valid Contract</v>
      </c>
      <c r="W1004" s="18" t="s">
        <v>18</v>
      </c>
      <c r="X1004" s="18" t="s">
        <v>2133</v>
      </c>
      <c r="Y1004" s="35" t="s">
        <v>2134</v>
      </c>
      <c r="Z1004" s="27" t="s">
        <v>2135</v>
      </c>
      <c r="AA1004" s="27"/>
      <c r="AB1004" s="116"/>
      <c r="AC1004" s="116"/>
    </row>
    <row r="1005" spans="1:29" hidden="1" x14ac:dyDescent="0.3">
      <c r="A1005" s="18" t="s">
        <v>2132</v>
      </c>
      <c r="B1005" s="18" t="s">
        <v>171</v>
      </c>
      <c r="C1005" s="18" t="s">
        <v>544</v>
      </c>
      <c r="D1005" s="14" t="s">
        <v>769</v>
      </c>
      <c r="E1005" s="18" t="s">
        <v>9</v>
      </c>
      <c r="F1005" s="14" t="s">
        <v>517</v>
      </c>
      <c r="G1005" s="14" t="s">
        <v>518</v>
      </c>
      <c r="H1005" s="18" t="s">
        <v>4</v>
      </c>
      <c r="I1005" s="14" t="s">
        <v>118</v>
      </c>
      <c r="J1005" s="18"/>
      <c r="K1005" s="18" t="s">
        <v>650</v>
      </c>
      <c r="L1005" s="18"/>
      <c r="M1005" s="14">
        <v>1</v>
      </c>
      <c r="N1005" s="15">
        <v>369325.42</v>
      </c>
      <c r="O1005" s="15">
        <f t="shared" si="37"/>
        <v>369325.42</v>
      </c>
      <c r="P1005" s="15"/>
      <c r="Q1005" s="14" t="s">
        <v>520</v>
      </c>
      <c r="R1005" s="25">
        <v>45382</v>
      </c>
      <c r="S1005" s="34" t="str">
        <f>TEXT(Table1[[#This Row],[End Date]],"MMMM")</f>
        <v>March</v>
      </c>
      <c r="T1005" s="34" t="str">
        <f>TEXT(Table1[[#This Row],[End Date]],"YYYY")</f>
        <v>2024</v>
      </c>
      <c r="U1005" s="24">
        <f t="shared" ca="1" si="38"/>
        <v>-249</v>
      </c>
      <c r="V1005" s="14" t="str" cm="1">
        <f t="array" aca="1" ref="V1005" ca="1">_xlfn.IFS(Table1[[#This Row],[Agreement Days]]&gt;=0,"Expired",Table1[[#This Row],[Agreement Days]]&gt;=-30,"Expires &lt; 30 Days",Table1[[#This Row],[Agreement Days]]&gt;=-60,"Expires &lt; 60 Days",Table1[[#This Row],[Agreement Days]]&lt;-60,"Valid Contract")</f>
        <v>Valid Contract</v>
      </c>
      <c r="W1005" s="18" t="s">
        <v>18</v>
      </c>
      <c r="X1005" s="18" t="s">
        <v>2133</v>
      </c>
      <c r="Y1005" s="35" t="s">
        <v>2134</v>
      </c>
      <c r="Z1005" s="27" t="s">
        <v>2135</v>
      </c>
      <c r="AA1005" s="27"/>
      <c r="AB1005" s="116"/>
      <c r="AC1005" s="116"/>
    </row>
    <row r="1006" spans="1:29" hidden="1" x14ac:dyDescent="0.3">
      <c r="A1006" s="18" t="s">
        <v>2136</v>
      </c>
      <c r="B1006" s="18" t="s">
        <v>172</v>
      </c>
      <c r="C1006" s="18" t="s">
        <v>2137</v>
      </c>
      <c r="D1006" s="14" t="s">
        <v>579</v>
      </c>
      <c r="E1006" s="18" t="s">
        <v>9</v>
      </c>
      <c r="F1006" s="14" t="s">
        <v>517</v>
      </c>
      <c r="G1006" s="14" t="s">
        <v>518</v>
      </c>
      <c r="H1006" s="18" t="s">
        <v>5</v>
      </c>
      <c r="I1006" s="14" t="s">
        <v>117</v>
      </c>
      <c r="J1006" s="14">
        <v>2</v>
      </c>
      <c r="K1006" s="14" t="s">
        <v>957</v>
      </c>
      <c r="L1006" s="14"/>
      <c r="M1006" s="14">
        <v>1</v>
      </c>
      <c r="N1006" s="15">
        <v>150000</v>
      </c>
      <c r="O1006" s="15">
        <f t="shared" si="37"/>
        <v>150000</v>
      </c>
      <c r="P1006" s="15"/>
      <c r="Q1006" s="14" t="s">
        <v>520</v>
      </c>
      <c r="R1006" s="25">
        <v>45382</v>
      </c>
      <c r="S1006" s="22" t="str">
        <f>TEXT(Table1[[#This Row],[End Date]],"MMMM")</f>
        <v>March</v>
      </c>
      <c r="T1006" s="23" t="str">
        <f>TEXT(Table1[[#This Row],[End Date]],"YYYY")</f>
        <v>2024</v>
      </c>
      <c r="U1006" s="24">
        <f t="shared" ca="1" si="38"/>
        <v>-249</v>
      </c>
      <c r="V1006" s="14" t="str" cm="1">
        <f t="array" aca="1" ref="V1006" ca="1">_xlfn.IFS(Table1[[#This Row],[Agreement Days]]&gt;=0,"Expired",Table1[[#This Row],[Agreement Days]]&gt;=-30,"Expires &lt; 30 Days",Table1[[#This Row],[Agreement Days]]&gt;=-60,"Expires &lt; 60 Days",Table1[[#This Row],[Agreement Days]]&lt;-60,"Valid Contract")</f>
        <v>Valid Contract</v>
      </c>
      <c r="W1006" s="14" t="s">
        <v>20</v>
      </c>
      <c r="X1006" s="26" t="s">
        <v>2138</v>
      </c>
      <c r="Y1006" s="16" t="s">
        <v>2139</v>
      </c>
      <c r="Z1006" s="27" t="s">
        <v>2140</v>
      </c>
      <c r="AA1006" s="19"/>
      <c r="AB1006" s="116"/>
      <c r="AC1006" s="116"/>
    </row>
    <row r="1007" spans="1:29" hidden="1" x14ac:dyDescent="0.3">
      <c r="A1007" s="18" t="s">
        <v>2136</v>
      </c>
      <c r="B1007" s="18" t="s">
        <v>172</v>
      </c>
      <c r="C1007" s="18" t="s">
        <v>2141</v>
      </c>
      <c r="D1007" s="14" t="s">
        <v>579</v>
      </c>
      <c r="E1007" s="18" t="s">
        <v>9</v>
      </c>
      <c r="F1007" s="14" t="s">
        <v>517</v>
      </c>
      <c r="G1007" s="14" t="s">
        <v>518</v>
      </c>
      <c r="H1007" s="18" t="s">
        <v>5</v>
      </c>
      <c r="I1007" s="14" t="s">
        <v>117</v>
      </c>
      <c r="J1007" s="14">
        <v>2</v>
      </c>
      <c r="K1007" s="14" t="s">
        <v>957</v>
      </c>
      <c r="L1007" s="14"/>
      <c r="M1007" s="14">
        <v>1</v>
      </c>
      <c r="N1007" s="15">
        <v>150000</v>
      </c>
      <c r="O1007" s="15">
        <f t="shared" si="37"/>
        <v>150000</v>
      </c>
      <c r="P1007" s="15"/>
      <c r="Q1007" s="14" t="s">
        <v>520</v>
      </c>
      <c r="R1007" s="25">
        <v>45382</v>
      </c>
      <c r="S1007" s="22" t="str">
        <f>TEXT(Table1[[#This Row],[End Date]],"MMMM")</f>
        <v>March</v>
      </c>
      <c r="T1007" s="23" t="str">
        <f>TEXT(Table1[[#This Row],[End Date]],"YYYY")</f>
        <v>2024</v>
      </c>
      <c r="U1007" s="24">
        <f t="shared" ca="1" si="38"/>
        <v>-249</v>
      </c>
      <c r="V1007" s="14" t="str" cm="1">
        <f t="array" aca="1" ref="V1007" ca="1">_xlfn.IFS(Table1[[#This Row],[Agreement Days]]&gt;=0,"Expired",Table1[[#This Row],[Agreement Days]]&gt;=-30,"Expires &lt; 30 Days",Table1[[#This Row],[Agreement Days]]&gt;=-60,"Expires &lt; 60 Days",Table1[[#This Row],[Agreement Days]]&lt;-60,"Valid Contract")</f>
        <v>Valid Contract</v>
      </c>
      <c r="W1007" s="14" t="s">
        <v>20</v>
      </c>
      <c r="X1007" s="26" t="s">
        <v>2138</v>
      </c>
      <c r="Y1007" s="16" t="s">
        <v>2139</v>
      </c>
      <c r="Z1007" s="27" t="s">
        <v>2140</v>
      </c>
      <c r="AA1007" s="19"/>
      <c r="AB1007" s="116"/>
      <c r="AC1007" s="116"/>
    </row>
    <row r="1008" spans="1:29" hidden="1" x14ac:dyDescent="0.3">
      <c r="A1008" s="18" t="s">
        <v>2136</v>
      </c>
      <c r="B1008" s="18" t="s">
        <v>172</v>
      </c>
      <c r="C1008" s="18" t="s">
        <v>2142</v>
      </c>
      <c r="D1008" s="14" t="s">
        <v>579</v>
      </c>
      <c r="E1008" s="18" t="s">
        <v>9</v>
      </c>
      <c r="F1008" s="14" t="s">
        <v>517</v>
      </c>
      <c r="G1008" s="14" t="s">
        <v>518</v>
      </c>
      <c r="H1008" s="18" t="s">
        <v>5</v>
      </c>
      <c r="I1008" s="14" t="s">
        <v>117</v>
      </c>
      <c r="J1008" s="14">
        <v>2</v>
      </c>
      <c r="K1008" s="14" t="s">
        <v>957</v>
      </c>
      <c r="L1008" s="14"/>
      <c r="M1008" s="14">
        <v>1</v>
      </c>
      <c r="N1008" s="15">
        <v>150000</v>
      </c>
      <c r="O1008" s="15">
        <f t="shared" si="37"/>
        <v>150000</v>
      </c>
      <c r="P1008" s="15"/>
      <c r="Q1008" s="14" t="s">
        <v>520</v>
      </c>
      <c r="R1008" s="25">
        <v>45382</v>
      </c>
      <c r="S1008" s="22" t="str">
        <f>TEXT(Table1[[#This Row],[End Date]],"MMMM")</f>
        <v>March</v>
      </c>
      <c r="T1008" s="23" t="str">
        <f>TEXT(Table1[[#This Row],[End Date]],"YYYY")</f>
        <v>2024</v>
      </c>
      <c r="U1008" s="24">
        <f t="shared" ca="1" si="38"/>
        <v>-249</v>
      </c>
      <c r="V1008" s="14" t="str" cm="1">
        <f t="array" aca="1" ref="V1008" ca="1">_xlfn.IFS(Table1[[#This Row],[Agreement Days]]&gt;=0,"Expired",Table1[[#This Row],[Agreement Days]]&gt;=-30,"Expires &lt; 30 Days",Table1[[#This Row],[Agreement Days]]&gt;=-60,"Expires &lt; 60 Days",Table1[[#This Row],[Agreement Days]]&lt;-60,"Valid Contract")</f>
        <v>Valid Contract</v>
      </c>
      <c r="W1008" s="14" t="s">
        <v>20</v>
      </c>
      <c r="X1008" s="26" t="s">
        <v>2138</v>
      </c>
      <c r="Y1008" s="16" t="s">
        <v>2139</v>
      </c>
      <c r="Z1008" s="27" t="s">
        <v>2140</v>
      </c>
      <c r="AA1008" s="19"/>
      <c r="AB1008" s="116"/>
      <c r="AC1008" s="116"/>
    </row>
    <row r="1009" spans="1:29" hidden="1" x14ac:dyDescent="0.3">
      <c r="A1009" s="18" t="s">
        <v>2136</v>
      </c>
      <c r="B1009" s="18" t="s">
        <v>172</v>
      </c>
      <c r="C1009" s="18" t="s">
        <v>2143</v>
      </c>
      <c r="D1009" s="14" t="s">
        <v>579</v>
      </c>
      <c r="E1009" s="18" t="s">
        <v>9</v>
      </c>
      <c r="F1009" s="14" t="s">
        <v>517</v>
      </c>
      <c r="G1009" s="14" t="s">
        <v>518</v>
      </c>
      <c r="H1009" s="18" t="s">
        <v>5</v>
      </c>
      <c r="I1009" s="14" t="s">
        <v>117</v>
      </c>
      <c r="J1009" s="14">
        <v>2</v>
      </c>
      <c r="K1009" s="14" t="s">
        <v>957</v>
      </c>
      <c r="L1009" s="14"/>
      <c r="M1009" s="14">
        <v>1</v>
      </c>
      <c r="N1009" s="15">
        <v>150000</v>
      </c>
      <c r="O1009" s="15">
        <f t="shared" si="37"/>
        <v>150000</v>
      </c>
      <c r="P1009" s="15"/>
      <c r="Q1009" s="14" t="s">
        <v>520</v>
      </c>
      <c r="R1009" s="25">
        <v>45382</v>
      </c>
      <c r="S1009" s="22" t="str">
        <f>TEXT(Table1[[#This Row],[End Date]],"MMMM")</f>
        <v>March</v>
      </c>
      <c r="T1009" s="23" t="str">
        <f>TEXT(Table1[[#This Row],[End Date]],"YYYY")</f>
        <v>2024</v>
      </c>
      <c r="U1009" s="24">
        <f t="shared" ca="1" si="38"/>
        <v>-249</v>
      </c>
      <c r="V1009" s="14" t="str" cm="1">
        <f t="array" aca="1" ref="V1009" ca="1">_xlfn.IFS(Table1[[#This Row],[Agreement Days]]&gt;=0,"Expired",Table1[[#This Row],[Agreement Days]]&gt;=-30,"Expires &lt; 30 Days",Table1[[#This Row],[Agreement Days]]&gt;=-60,"Expires &lt; 60 Days",Table1[[#This Row],[Agreement Days]]&lt;-60,"Valid Contract")</f>
        <v>Valid Contract</v>
      </c>
      <c r="W1009" s="14" t="s">
        <v>20</v>
      </c>
      <c r="X1009" s="26" t="s">
        <v>2138</v>
      </c>
      <c r="Y1009" s="16" t="s">
        <v>2139</v>
      </c>
      <c r="Z1009" s="27" t="s">
        <v>2140</v>
      </c>
      <c r="AA1009" s="19"/>
      <c r="AB1009" s="116"/>
      <c r="AC1009" s="116"/>
    </row>
    <row r="1010" spans="1:29" hidden="1" x14ac:dyDescent="0.3">
      <c r="A1010" s="18" t="s">
        <v>2136</v>
      </c>
      <c r="B1010" s="18" t="s">
        <v>172</v>
      </c>
      <c r="C1010" s="18" t="s">
        <v>2144</v>
      </c>
      <c r="D1010" s="14" t="s">
        <v>579</v>
      </c>
      <c r="E1010" s="18" t="s">
        <v>9</v>
      </c>
      <c r="F1010" s="14" t="s">
        <v>517</v>
      </c>
      <c r="G1010" s="14" t="s">
        <v>518</v>
      </c>
      <c r="H1010" s="18" t="s">
        <v>5</v>
      </c>
      <c r="I1010" s="14" t="s">
        <v>117</v>
      </c>
      <c r="J1010" s="14">
        <v>2</v>
      </c>
      <c r="K1010" s="14" t="s">
        <v>957</v>
      </c>
      <c r="L1010" s="14"/>
      <c r="M1010" s="14">
        <v>1</v>
      </c>
      <c r="N1010" s="15">
        <v>150000</v>
      </c>
      <c r="O1010" s="15">
        <f t="shared" si="37"/>
        <v>150000</v>
      </c>
      <c r="P1010" s="15"/>
      <c r="Q1010" s="14" t="s">
        <v>520</v>
      </c>
      <c r="R1010" s="25">
        <v>45382</v>
      </c>
      <c r="S1010" s="22" t="str">
        <f>TEXT(Table1[[#This Row],[End Date]],"MMMM")</f>
        <v>March</v>
      </c>
      <c r="T1010" s="23" t="str">
        <f>TEXT(Table1[[#This Row],[End Date]],"YYYY")</f>
        <v>2024</v>
      </c>
      <c r="U1010" s="24">
        <f t="shared" ca="1" si="38"/>
        <v>-249</v>
      </c>
      <c r="V1010" s="14" t="str" cm="1">
        <f t="array" aca="1" ref="V1010" ca="1">_xlfn.IFS(Table1[[#This Row],[Agreement Days]]&gt;=0,"Expired",Table1[[#This Row],[Agreement Days]]&gt;=-30,"Expires &lt; 30 Days",Table1[[#This Row],[Agreement Days]]&gt;=-60,"Expires &lt; 60 Days",Table1[[#This Row],[Agreement Days]]&lt;-60,"Valid Contract")</f>
        <v>Valid Contract</v>
      </c>
      <c r="W1010" s="14" t="s">
        <v>20</v>
      </c>
      <c r="X1010" s="26" t="s">
        <v>2138</v>
      </c>
      <c r="Y1010" s="16" t="s">
        <v>2139</v>
      </c>
      <c r="Z1010" s="27" t="s">
        <v>2140</v>
      </c>
      <c r="AA1010" s="19"/>
      <c r="AB1010" s="116"/>
      <c r="AC1010" s="116"/>
    </row>
    <row r="1011" spans="1:29" hidden="1" x14ac:dyDescent="0.3">
      <c r="A1011" s="18" t="s">
        <v>2136</v>
      </c>
      <c r="B1011" s="18" t="s">
        <v>172</v>
      </c>
      <c r="C1011" s="18" t="s">
        <v>2145</v>
      </c>
      <c r="D1011" s="14" t="s">
        <v>579</v>
      </c>
      <c r="E1011" s="18" t="s">
        <v>9</v>
      </c>
      <c r="F1011" s="14" t="s">
        <v>517</v>
      </c>
      <c r="G1011" s="14" t="s">
        <v>518</v>
      </c>
      <c r="H1011" s="18" t="s">
        <v>5</v>
      </c>
      <c r="I1011" s="14" t="s">
        <v>117</v>
      </c>
      <c r="J1011" s="14">
        <v>2</v>
      </c>
      <c r="K1011" s="14" t="s">
        <v>957</v>
      </c>
      <c r="L1011" s="14"/>
      <c r="M1011" s="14">
        <v>1</v>
      </c>
      <c r="N1011" s="15">
        <v>150000</v>
      </c>
      <c r="O1011" s="15">
        <f t="shared" si="37"/>
        <v>150000</v>
      </c>
      <c r="P1011" s="15"/>
      <c r="Q1011" s="14" t="s">
        <v>520</v>
      </c>
      <c r="R1011" s="25">
        <v>45382</v>
      </c>
      <c r="S1011" s="22" t="str">
        <f>TEXT(Table1[[#This Row],[End Date]],"MMMM")</f>
        <v>March</v>
      </c>
      <c r="T1011" s="23" t="str">
        <f>TEXT(Table1[[#This Row],[End Date]],"YYYY")</f>
        <v>2024</v>
      </c>
      <c r="U1011" s="24">
        <f t="shared" ca="1" si="38"/>
        <v>-249</v>
      </c>
      <c r="V1011" s="14" t="str" cm="1">
        <f t="array" aca="1" ref="V1011" ca="1">_xlfn.IFS(Table1[[#This Row],[Agreement Days]]&gt;=0,"Expired",Table1[[#This Row],[Agreement Days]]&gt;=-30,"Expires &lt; 30 Days",Table1[[#This Row],[Agreement Days]]&gt;=-60,"Expires &lt; 60 Days",Table1[[#This Row],[Agreement Days]]&lt;-60,"Valid Contract")</f>
        <v>Valid Contract</v>
      </c>
      <c r="W1011" s="14" t="s">
        <v>20</v>
      </c>
      <c r="X1011" s="26" t="s">
        <v>2138</v>
      </c>
      <c r="Y1011" s="16" t="s">
        <v>2139</v>
      </c>
      <c r="Z1011" s="27" t="s">
        <v>2140</v>
      </c>
      <c r="AA1011" s="19"/>
      <c r="AB1011" s="116"/>
      <c r="AC1011" s="116"/>
    </row>
    <row r="1012" spans="1:29" hidden="1" x14ac:dyDescent="0.3">
      <c r="A1012" s="18" t="s">
        <v>2136</v>
      </c>
      <c r="B1012" s="18" t="s">
        <v>172</v>
      </c>
      <c r="C1012" s="18" t="s">
        <v>2146</v>
      </c>
      <c r="D1012" s="14" t="s">
        <v>579</v>
      </c>
      <c r="E1012" s="18" t="s">
        <v>9</v>
      </c>
      <c r="F1012" s="14" t="s">
        <v>517</v>
      </c>
      <c r="G1012" s="14" t="s">
        <v>518</v>
      </c>
      <c r="H1012" s="18" t="s">
        <v>5</v>
      </c>
      <c r="I1012" s="14" t="s">
        <v>117</v>
      </c>
      <c r="J1012" s="14">
        <v>2</v>
      </c>
      <c r="K1012" s="14" t="s">
        <v>957</v>
      </c>
      <c r="L1012" s="14"/>
      <c r="M1012" s="14">
        <v>1</v>
      </c>
      <c r="N1012" s="15">
        <v>150000</v>
      </c>
      <c r="O1012" s="15">
        <f t="shared" si="37"/>
        <v>150000</v>
      </c>
      <c r="P1012" s="15"/>
      <c r="Q1012" s="14" t="s">
        <v>520</v>
      </c>
      <c r="R1012" s="25">
        <v>45382</v>
      </c>
      <c r="S1012" s="22" t="str">
        <f>TEXT(Table1[[#This Row],[End Date]],"MMMM")</f>
        <v>March</v>
      </c>
      <c r="T1012" s="23" t="str">
        <f>TEXT(Table1[[#This Row],[End Date]],"YYYY")</f>
        <v>2024</v>
      </c>
      <c r="U1012" s="24">
        <f t="shared" ca="1" si="38"/>
        <v>-249</v>
      </c>
      <c r="V1012" s="14" t="str" cm="1">
        <f t="array" aca="1" ref="V1012" ca="1">_xlfn.IFS(Table1[[#This Row],[Agreement Days]]&gt;=0,"Expired",Table1[[#This Row],[Agreement Days]]&gt;=-30,"Expires &lt; 30 Days",Table1[[#This Row],[Agreement Days]]&gt;=-60,"Expires &lt; 60 Days",Table1[[#This Row],[Agreement Days]]&lt;-60,"Valid Contract")</f>
        <v>Valid Contract</v>
      </c>
      <c r="W1012" s="14" t="s">
        <v>20</v>
      </c>
      <c r="X1012" s="26" t="s">
        <v>2138</v>
      </c>
      <c r="Y1012" s="16" t="s">
        <v>2139</v>
      </c>
      <c r="Z1012" s="27" t="s">
        <v>2140</v>
      </c>
      <c r="AA1012" s="19"/>
      <c r="AB1012" s="116"/>
      <c r="AC1012" s="116"/>
    </row>
    <row r="1013" spans="1:29" hidden="1" x14ac:dyDescent="0.3">
      <c r="A1013" s="18" t="s">
        <v>2136</v>
      </c>
      <c r="B1013" s="18" t="s">
        <v>172</v>
      </c>
      <c r="C1013" s="18" t="s">
        <v>2147</v>
      </c>
      <c r="D1013" s="14" t="s">
        <v>579</v>
      </c>
      <c r="E1013" s="18" t="s">
        <v>9</v>
      </c>
      <c r="F1013" s="14" t="s">
        <v>517</v>
      </c>
      <c r="G1013" s="14" t="s">
        <v>518</v>
      </c>
      <c r="H1013" s="18" t="s">
        <v>5</v>
      </c>
      <c r="I1013" s="14" t="s">
        <v>117</v>
      </c>
      <c r="J1013" s="14">
        <v>3</v>
      </c>
      <c r="K1013" s="14" t="s">
        <v>646</v>
      </c>
      <c r="L1013" s="14"/>
      <c r="M1013" s="14">
        <v>1</v>
      </c>
      <c r="N1013" s="15">
        <v>180000</v>
      </c>
      <c r="O1013" s="15">
        <f t="shared" si="37"/>
        <v>180000</v>
      </c>
      <c r="P1013" s="15"/>
      <c r="Q1013" s="14" t="s">
        <v>520</v>
      </c>
      <c r="R1013" s="25">
        <v>45382</v>
      </c>
      <c r="S1013" s="22" t="str">
        <f>TEXT(Table1[[#This Row],[End Date]],"MMMM")</f>
        <v>March</v>
      </c>
      <c r="T1013" s="23" t="str">
        <f>TEXT(Table1[[#This Row],[End Date]],"YYYY")</f>
        <v>2024</v>
      </c>
      <c r="U1013" s="24">
        <f t="shared" ca="1" si="38"/>
        <v>-249</v>
      </c>
      <c r="V1013" s="14" t="str" cm="1">
        <f t="array" aca="1" ref="V1013" ca="1">_xlfn.IFS(Table1[[#This Row],[Agreement Days]]&gt;=0,"Expired",Table1[[#This Row],[Agreement Days]]&gt;=-30,"Expires &lt; 30 Days",Table1[[#This Row],[Agreement Days]]&gt;=-60,"Expires &lt; 60 Days",Table1[[#This Row],[Agreement Days]]&lt;-60,"Valid Contract")</f>
        <v>Valid Contract</v>
      </c>
      <c r="W1013" s="14" t="s">
        <v>20</v>
      </c>
      <c r="X1013" s="26" t="s">
        <v>2138</v>
      </c>
      <c r="Y1013" s="16" t="s">
        <v>2139</v>
      </c>
      <c r="Z1013" s="27" t="s">
        <v>2140</v>
      </c>
      <c r="AA1013" s="19"/>
      <c r="AB1013" s="116"/>
      <c r="AC1013" s="116"/>
    </row>
    <row r="1014" spans="1:29" hidden="1" x14ac:dyDescent="0.3">
      <c r="A1014" s="18" t="s">
        <v>2136</v>
      </c>
      <c r="B1014" s="18" t="s">
        <v>172</v>
      </c>
      <c r="C1014" s="18" t="s">
        <v>2148</v>
      </c>
      <c r="D1014" s="14" t="s">
        <v>579</v>
      </c>
      <c r="E1014" s="18" t="s">
        <v>9</v>
      </c>
      <c r="F1014" s="14" t="s">
        <v>517</v>
      </c>
      <c r="G1014" s="14" t="s">
        <v>518</v>
      </c>
      <c r="H1014" s="18" t="s">
        <v>5</v>
      </c>
      <c r="I1014" s="14" t="s">
        <v>117</v>
      </c>
      <c r="J1014" s="14">
        <v>10</v>
      </c>
      <c r="K1014" s="14" t="s">
        <v>547</v>
      </c>
      <c r="L1014" s="14"/>
      <c r="M1014" s="14">
        <v>1</v>
      </c>
      <c r="N1014" s="15">
        <v>510000</v>
      </c>
      <c r="O1014" s="15">
        <f t="shared" si="37"/>
        <v>510000</v>
      </c>
      <c r="P1014" s="15"/>
      <c r="Q1014" s="14" t="s">
        <v>520</v>
      </c>
      <c r="R1014" s="25">
        <v>45382</v>
      </c>
      <c r="S1014" s="22" t="str">
        <f>TEXT(Table1[[#This Row],[End Date]],"MMMM")</f>
        <v>March</v>
      </c>
      <c r="T1014" s="23" t="str">
        <f>TEXT(Table1[[#This Row],[End Date]],"YYYY")</f>
        <v>2024</v>
      </c>
      <c r="U1014" s="24">
        <f t="shared" ca="1" si="38"/>
        <v>-249</v>
      </c>
      <c r="V1014" s="14" t="str" cm="1">
        <f t="array" aca="1" ref="V1014" ca="1">_xlfn.IFS(Table1[[#This Row],[Agreement Days]]&gt;=0,"Expired",Table1[[#This Row],[Agreement Days]]&gt;=-30,"Expires &lt; 30 Days",Table1[[#This Row],[Agreement Days]]&gt;=-60,"Expires &lt; 60 Days",Table1[[#This Row],[Agreement Days]]&lt;-60,"Valid Contract")</f>
        <v>Valid Contract</v>
      </c>
      <c r="W1014" s="14" t="s">
        <v>20</v>
      </c>
      <c r="X1014" s="26" t="s">
        <v>2138</v>
      </c>
      <c r="Y1014" s="16" t="s">
        <v>2139</v>
      </c>
      <c r="Z1014" s="27" t="s">
        <v>2140</v>
      </c>
      <c r="AA1014" s="19"/>
      <c r="AB1014" s="116"/>
      <c r="AC1014" s="116"/>
    </row>
    <row r="1015" spans="1:29" hidden="1" x14ac:dyDescent="0.3">
      <c r="A1015" s="18" t="s">
        <v>2136</v>
      </c>
      <c r="B1015" s="18" t="s">
        <v>172</v>
      </c>
      <c r="C1015" s="18" t="s">
        <v>2148</v>
      </c>
      <c r="D1015" s="14" t="s">
        <v>579</v>
      </c>
      <c r="E1015" s="18" t="s">
        <v>9</v>
      </c>
      <c r="F1015" s="14" t="s">
        <v>517</v>
      </c>
      <c r="G1015" s="14" t="s">
        <v>518</v>
      </c>
      <c r="H1015" s="18" t="s">
        <v>2</v>
      </c>
      <c r="I1015" s="14" t="s">
        <v>120</v>
      </c>
      <c r="J1015" s="14"/>
      <c r="K1015" s="14" t="s">
        <v>649</v>
      </c>
      <c r="L1015" s="14"/>
      <c r="M1015" s="14">
        <v>1</v>
      </c>
      <c r="N1015" s="15">
        <v>258044.92</v>
      </c>
      <c r="O1015" s="15">
        <f t="shared" si="37"/>
        <v>258044.92</v>
      </c>
      <c r="P1015" s="15"/>
      <c r="Q1015" s="14" t="s">
        <v>520</v>
      </c>
      <c r="R1015" s="25">
        <v>45382</v>
      </c>
      <c r="S1015" s="22" t="str">
        <f>TEXT(Table1[[#This Row],[End Date]],"MMMM")</f>
        <v>March</v>
      </c>
      <c r="T1015" s="23" t="str">
        <f>TEXT(Table1[[#This Row],[End Date]],"YYYY")</f>
        <v>2024</v>
      </c>
      <c r="U1015" s="24">
        <f t="shared" ca="1" si="38"/>
        <v>-249</v>
      </c>
      <c r="V1015" s="14" t="str" cm="1">
        <f t="array" aca="1" ref="V1015" ca="1">_xlfn.IFS(Table1[[#This Row],[Agreement Days]]&gt;=0,"Expired",Table1[[#This Row],[Agreement Days]]&gt;=-30,"Expires &lt; 30 Days",Table1[[#This Row],[Agreement Days]]&gt;=-60,"Expires &lt; 60 Days",Table1[[#This Row],[Agreement Days]]&lt;-60,"Valid Contract")</f>
        <v>Valid Contract</v>
      </c>
      <c r="W1015" s="14" t="s">
        <v>20</v>
      </c>
      <c r="X1015" s="26" t="s">
        <v>2138</v>
      </c>
      <c r="Y1015" s="16" t="s">
        <v>2139</v>
      </c>
      <c r="Z1015" s="27" t="s">
        <v>2140</v>
      </c>
      <c r="AA1015" s="19"/>
      <c r="AB1015" s="116"/>
      <c r="AC1015" s="116"/>
    </row>
    <row r="1016" spans="1:29" hidden="1" x14ac:dyDescent="0.3">
      <c r="A1016" s="18" t="s">
        <v>2136</v>
      </c>
      <c r="B1016" s="18" t="s">
        <v>172</v>
      </c>
      <c r="C1016" s="18" t="s">
        <v>2148</v>
      </c>
      <c r="D1016" s="14" t="s">
        <v>579</v>
      </c>
      <c r="E1016" s="18" t="s">
        <v>9</v>
      </c>
      <c r="F1016" s="14" t="s">
        <v>517</v>
      </c>
      <c r="G1016" s="14" t="s">
        <v>518</v>
      </c>
      <c r="H1016" s="18" t="s">
        <v>4</v>
      </c>
      <c r="I1016" s="14" t="s">
        <v>118</v>
      </c>
      <c r="J1016" s="14"/>
      <c r="K1016" s="14" t="s">
        <v>650</v>
      </c>
      <c r="L1016" s="14"/>
      <c r="M1016" s="14">
        <v>1</v>
      </c>
      <c r="N1016" s="15">
        <v>369325.42</v>
      </c>
      <c r="O1016" s="15">
        <f t="shared" si="37"/>
        <v>369325.42</v>
      </c>
      <c r="P1016" s="15"/>
      <c r="Q1016" s="14" t="s">
        <v>520</v>
      </c>
      <c r="R1016" s="25">
        <v>45382</v>
      </c>
      <c r="S1016" s="22" t="str">
        <f>TEXT(Table1[[#This Row],[End Date]],"MMMM")</f>
        <v>March</v>
      </c>
      <c r="T1016" s="23" t="str">
        <f>TEXT(Table1[[#This Row],[End Date]],"YYYY")</f>
        <v>2024</v>
      </c>
      <c r="U1016" s="24">
        <f t="shared" ca="1" si="38"/>
        <v>-249</v>
      </c>
      <c r="V1016" s="14" t="str" cm="1">
        <f t="array" aca="1" ref="V1016" ca="1">_xlfn.IFS(Table1[[#This Row],[Agreement Days]]&gt;=0,"Expired",Table1[[#This Row],[Agreement Days]]&gt;=-30,"Expires &lt; 30 Days",Table1[[#This Row],[Agreement Days]]&gt;=-60,"Expires &lt; 60 Days",Table1[[#This Row],[Agreement Days]]&lt;-60,"Valid Contract")</f>
        <v>Valid Contract</v>
      </c>
      <c r="W1016" s="14" t="s">
        <v>20</v>
      </c>
      <c r="X1016" s="26" t="s">
        <v>2138</v>
      </c>
      <c r="Y1016" s="16" t="s">
        <v>2139</v>
      </c>
      <c r="Z1016" s="27" t="s">
        <v>2140</v>
      </c>
      <c r="AA1016" s="19"/>
      <c r="AB1016" s="116"/>
      <c r="AC1016" s="116"/>
    </row>
    <row r="1017" spans="1:29" hidden="1" x14ac:dyDescent="0.3">
      <c r="A1017" s="18" t="s">
        <v>2136</v>
      </c>
      <c r="B1017" s="18" t="s">
        <v>172</v>
      </c>
      <c r="C1017" s="18" t="s">
        <v>2148</v>
      </c>
      <c r="D1017" s="14" t="s">
        <v>579</v>
      </c>
      <c r="E1017" s="18" t="s">
        <v>9</v>
      </c>
      <c r="F1017" s="14" t="s">
        <v>517</v>
      </c>
      <c r="G1017" s="14" t="s">
        <v>518</v>
      </c>
      <c r="H1017" s="18" t="s">
        <v>5</v>
      </c>
      <c r="I1017" s="14" t="s">
        <v>115</v>
      </c>
      <c r="J1017" s="14"/>
      <c r="K1017" s="18" t="s">
        <v>651</v>
      </c>
      <c r="L1017" s="14"/>
      <c r="M1017" s="14">
        <v>2</v>
      </c>
      <c r="N1017" s="15">
        <f>96000/1.18</f>
        <v>81355.932203389835</v>
      </c>
      <c r="O1017" s="15">
        <f t="shared" si="37"/>
        <v>162711.86440677967</v>
      </c>
      <c r="P1017" s="15"/>
      <c r="Q1017" s="14" t="s">
        <v>520</v>
      </c>
      <c r="R1017" s="25">
        <v>45382</v>
      </c>
      <c r="S1017" s="22" t="str">
        <f>TEXT(Table1[[#This Row],[End Date]],"MMMM")</f>
        <v>March</v>
      </c>
      <c r="T1017" s="23" t="str">
        <f>TEXT(Table1[[#This Row],[End Date]],"YYYY")</f>
        <v>2024</v>
      </c>
      <c r="U1017" s="24">
        <f t="shared" ca="1" si="38"/>
        <v>-249</v>
      </c>
      <c r="V1017" s="14" t="str" cm="1">
        <f t="array" aca="1" ref="V1017" ca="1">_xlfn.IFS(Table1[[#This Row],[Agreement Days]]&gt;=0,"Expired",Table1[[#This Row],[Agreement Days]]&gt;=-30,"Expires &lt; 30 Days",Table1[[#This Row],[Agreement Days]]&gt;=-60,"Expires &lt; 60 Days",Table1[[#This Row],[Agreement Days]]&lt;-60,"Valid Contract")</f>
        <v>Valid Contract</v>
      </c>
      <c r="W1017" s="14" t="s">
        <v>20</v>
      </c>
      <c r="X1017" s="26" t="s">
        <v>2138</v>
      </c>
      <c r="Y1017" s="16" t="s">
        <v>2139</v>
      </c>
      <c r="Z1017" s="27" t="s">
        <v>2140</v>
      </c>
      <c r="AA1017" s="19"/>
      <c r="AB1017" s="116"/>
      <c r="AC1017" s="116"/>
    </row>
    <row r="1018" spans="1:29" hidden="1" x14ac:dyDescent="0.3">
      <c r="A1018" s="18" t="s">
        <v>2136</v>
      </c>
      <c r="B1018" s="18" t="s">
        <v>172</v>
      </c>
      <c r="C1018" s="18" t="s">
        <v>2148</v>
      </c>
      <c r="D1018" s="14" t="s">
        <v>579</v>
      </c>
      <c r="E1018" s="18" t="s">
        <v>9</v>
      </c>
      <c r="F1018" s="14" t="s">
        <v>517</v>
      </c>
      <c r="G1018" s="14" t="s">
        <v>518</v>
      </c>
      <c r="H1018" s="18" t="s">
        <v>5</v>
      </c>
      <c r="I1018" s="14" t="s">
        <v>115</v>
      </c>
      <c r="J1018" s="14"/>
      <c r="K1018" s="18" t="s">
        <v>642</v>
      </c>
      <c r="L1018" s="14"/>
      <c r="M1018" s="14">
        <v>4</v>
      </c>
      <c r="N1018" s="15">
        <v>101694.92</v>
      </c>
      <c r="O1018" s="15">
        <f t="shared" si="37"/>
        <v>406779.68</v>
      </c>
      <c r="P1018" s="15"/>
      <c r="Q1018" s="14" t="s">
        <v>520</v>
      </c>
      <c r="R1018" s="25">
        <v>45382</v>
      </c>
      <c r="S1018" s="22" t="str">
        <f>TEXT(Table1[[#This Row],[End Date]],"MMMM")</f>
        <v>March</v>
      </c>
      <c r="T1018" s="23" t="str">
        <f>TEXT(Table1[[#This Row],[End Date]],"YYYY")</f>
        <v>2024</v>
      </c>
      <c r="U1018" s="24">
        <f t="shared" ca="1" si="38"/>
        <v>-249</v>
      </c>
      <c r="V1018" s="14" t="str" cm="1">
        <f t="array" aca="1" ref="V1018" ca="1">_xlfn.IFS(Table1[[#This Row],[Agreement Days]]&gt;=0,"Expired",Table1[[#This Row],[Agreement Days]]&gt;=-30,"Expires &lt; 30 Days",Table1[[#This Row],[Agreement Days]]&gt;=-60,"Expires &lt; 60 Days",Table1[[#This Row],[Agreement Days]]&lt;-60,"Valid Contract")</f>
        <v>Valid Contract</v>
      </c>
      <c r="W1018" s="14" t="s">
        <v>20</v>
      </c>
      <c r="X1018" s="26" t="s">
        <v>2138</v>
      </c>
      <c r="Y1018" s="16" t="s">
        <v>2139</v>
      </c>
      <c r="Z1018" s="27" t="s">
        <v>2140</v>
      </c>
      <c r="AA1018" s="19"/>
      <c r="AB1018" s="116"/>
      <c r="AC1018" s="116"/>
    </row>
    <row r="1019" spans="1:29" hidden="1" x14ac:dyDescent="0.3">
      <c r="A1019" s="18" t="s">
        <v>2136</v>
      </c>
      <c r="B1019" s="18" t="s">
        <v>172</v>
      </c>
      <c r="C1019" s="18" t="s">
        <v>2148</v>
      </c>
      <c r="D1019" s="14" t="s">
        <v>579</v>
      </c>
      <c r="E1019" s="18" t="s">
        <v>9</v>
      </c>
      <c r="F1019" s="14" t="s">
        <v>517</v>
      </c>
      <c r="G1019" s="14" t="s">
        <v>518</v>
      </c>
      <c r="H1019" s="18" t="s">
        <v>5</v>
      </c>
      <c r="I1019" s="14" t="s">
        <v>115</v>
      </c>
      <c r="J1019" s="14"/>
      <c r="K1019" s="18" t="s">
        <v>657</v>
      </c>
      <c r="L1019" s="14"/>
      <c r="M1019" s="14">
        <v>6</v>
      </c>
      <c r="N1019" s="15">
        <v>45338.98</v>
      </c>
      <c r="O1019" s="15">
        <f t="shared" si="37"/>
        <v>272033.88</v>
      </c>
      <c r="P1019" s="15"/>
      <c r="Q1019" s="14" t="s">
        <v>520</v>
      </c>
      <c r="R1019" s="25">
        <v>45382</v>
      </c>
      <c r="S1019" s="22" t="str">
        <f>TEXT(Table1[[#This Row],[End Date]],"MMMM")</f>
        <v>March</v>
      </c>
      <c r="T1019" s="23" t="str">
        <f>TEXT(Table1[[#This Row],[End Date]],"YYYY")</f>
        <v>2024</v>
      </c>
      <c r="U1019" s="24">
        <f t="shared" ca="1" si="38"/>
        <v>-249</v>
      </c>
      <c r="V1019" s="14" t="str" cm="1">
        <f t="array" aca="1" ref="V1019" ca="1">_xlfn.IFS(Table1[[#This Row],[Agreement Days]]&gt;=0,"Expired",Table1[[#This Row],[Agreement Days]]&gt;=-30,"Expires &lt; 30 Days",Table1[[#This Row],[Agreement Days]]&gt;=-60,"Expires &lt; 60 Days",Table1[[#This Row],[Agreement Days]]&lt;-60,"Valid Contract")</f>
        <v>Valid Contract</v>
      </c>
      <c r="W1019" s="14" t="s">
        <v>20</v>
      </c>
      <c r="X1019" s="26" t="s">
        <v>2138</v>
      </c>
      <c r="Y1019" s="16" t="s">
        <v>2139</v>
      </c>
      <c r="Z1019" s="27" t="s">
        <v>2140</v>
      </c>
      <c r="AA1019" s="19"/>
      <c r="AB1019" s="116"/>
      <c r="AC1019" s="116"/>
    </row>
    <row r="1020" spans="1:29" hidden="1" x14ac:dyDescent="0.3">
      <c r="A1020" s="18" t="s">
        <v>2136</v>
      </c>
      <c r="B1020" s="18" t="s">
        <v>172</v>
      </c>
      <c r="C1020" s="18" t="s">
        <v>172</v>
      </c>
      <c r="D1020" s="14" t="s">
        <v>579</v>
      </c>
      <c r="E1020" s="18" t="s">
        <v>9</v>
      </c>
      <c r="F1020" s="14" t="s">
        <v>517</v>
      </c>
      <c r="G1020" s="14" t="s">
        <v>518</v>
      </c>
      <c r="H1020" s="18" t="s">
        <v>5</v>
      </c>
      <c r="I1020" s="14" t="s">
        <v>115</v>
      </c>
      <c r="J1020" s="14"/>
      <c r="K1020" s="18" t="s">
        <v>643</v>
      </c>
      <c r="L1020" s="14"/>
      <c r="M1020" s="14">
        <v>71</v>
      </c>
      <c r="N1020" s="15">
        <v>28305.08</v>
      </c>
      <c r="O1020" s="15">
        <f t="shared" si="37"/>
        <v>2009660.6800000002</v>
      </c>
      <c r="P1020" s="15"/>
      <c r="Q1020" s="14" t="s">
        <v>520</v>
      </c>
      <c r="R1020" s="25">
        <v>45382</v>
      </c>
      <c r="S1020" s="22" t="str">
        <f>TEXT(Table1[[#This Row],[End Date]],"MMMM")</f>
        <v>March</v>
      </c>
      <c r="T1020" s="23" t="str">
        <f>TEXT(Table1[[#This Row],[End Date]],"YYYY")</f>
        <v>2024</v>
      </c>
      <c r="U1020" s="24">
        <f t="shared" ca="1" si="38"/>
        <v>-249</v>
      </c>
      <c r="V1020" s="14" t="str" cm="1">
        <f t="array" aca="1" ref="V1020" ca="1">_xlfn.IFS(Table1[[#This Row],[Agreement Days]]&gt;=0,"Expired",Table1[[#This Row],[Agreement Days]]&gt;=-30,"Expires &lt; 30 Days",Table1[[#This Row],[Agreement Days]]&gt;=-60,"Expires &lt; 60 Days",Table1[[#This Row],[Agreement Days]]&lt;-60,"Valid Contract")</f>
        <v>Valid Contract</v>
      </c>
      <c r="W1020" s="14" t="s">
        <v>20</v>
      </c>
      <c r="X1020" s="26" t="s">
        <v>2138</v>
      </c>
      <c r="Y1020" s="16" t="s">
        <v>2139</v>
      </c>
      <c r="Z1020" s="27" t="s">
        <v>2140</v>
      </c>
      <c r="AA1020" s="19"/>
      <c r="AB1020" s="116"/>
      <c r="AC1020" s="116"/>
    </row>
    <row r="1021" spans="1:29" hidden="1" x14ac:dyDescent="0.3">
      <c r="A1021" s="18" t="s">
        <v>2149</v>
      </c>
      <c r="B1021" s="18" t="s">
        <v>467</v>
      </c>
      <c r="C1021" s="18" t="s">
        <v>2150</v>
      </c>
      <c r="D1021" s="14" t="s">
        <v>735</v>
      </c>
      <c r="E1021" s="18" t="s">
        <v>9</v>
      </c>
      <c r="F1021" s="14" t="s">
        <v>601</v>
      </c>
      <c r="G1021" s="14" t="s">
        <v>518</v>
      </c>
      <c r="H1021" s="18" t="s">
        <v>2</v>
      </c>
      <c r="I1021" s="14" t="s">
        <v>131</v>
      </c>
      <c r="J1021" s="14"/>
      <c r="K1021" s="26" t="s">
        <v>720</v>
      </c>
      <c r="L1021" s="14"/>
      <c r="M1021" s="14">
        <v>1</v>
      </c>
      <c r="N1021" s="15">
        <v>60000</v>
      </c>
      <c r="O1021" s="15">
        <f t="shared" si="37"/>
        <v>60000</v>
      </c>
      <c r="P1021" s="15"/>
      <c r="Q1021" s="14" t="s">
        <v>520</v>
      </c>
      <c r="R1021" s="21">
        <v>45382</v>
      </c>
      <c r="S1021" s="22" t="str">
        <f>TEXT(Table1[[#This Row],[End Date]],"MMMM")</f>
        <v>March</v>
      </c>
      <c r="T1021" s="23" t="str">
        <f>TEXT(Table1[[#This Row],[End Date]],"YYYY")</f>
        <v>2024</v>
      </c>
      <c r="U1021" s="24">
        <f t="shared" ca="1" si="38"/>
        <v>-249</v>
      </c>
      <c r="V1021" s="14" t="str" cm="1">
        <f t="array" aca="1" ref="V1021" ca="1">_xlfn.IFS(Table1[[#This Row],[Agreement Days]]&gt;=0,"Expired",Table1[[#This Row],[Agreement Days]]&gt;=-30,"Expires &lt; 30 Days",Table1[[#This Row],[Agreement Days]]&gt;=-60,"Expires &lt; 60 Days",Table1[[#This Row],[Agreement Days]]&lt;-60,"Valid Contract")</f>
        <v>Valid Contract</v>
      </c>
      <c r="W1021" s="14" t="s">
        <v>13</v>
      </c>
      <c r="X1021" s="14" t="s">
        <v>2151</v>
      </c>
      <c r="Y1021" s="16" t="s">
        <v>2152</v>
      </c>
      <c r="Z1021" s="17">
        <v>781197647</v>
      </c>
      <c r="AA1021" s="17"/>
      <c r="AB1021" s="116"/>
      <c r="AC1021" s="116"/>
    </row>
    <row r="1022" spans="1:29" x14ac:dyDescent="0.3">
      <c r="A1022" s="18" t="s">
        <v>1689</v>
      </c>
      <c r="B1022" s="18" t="s">
        <v>130</v>
      </c>
      <c r="C1022" s="18" t="s">
        <v>2153</v>
      </c>
      <c r="D1022" s="14" t="s">
        <v>545</v>
      </c>
      <c r="E1022" s="18" t="s">
        <v>9</v>
      </c>
      <c r="F1022" s="14" t="s">
        <v>969</v>
      </c>
      <c r="G1022" s="14" t="s">
        <v>518</v>
      </c>
      <c r="H1022" s="18" t="s">
        <v>5</v>
      </c>
      <c r="I1022" s="14" t="s">
        <v>117</v>
      </c>
      <c r="J1022" s="14">
        <v>3</v>
      </c>
      <c r="K1022" s="14" t="s">
        <v>580</v>
      </c>
      <c r="L1022" s="14"/>
      <c r="M1022" s="14">
        <v>1</v>
      </c>
      <c r="N1022" s="15">
        <f>N1020</f>
        <v>28305.08</v>
      </c>
      <c r="O1022" s="15">
        <f t="shared" si="37"/>
        <v>28305.08</v>
      </c>
      <c r="P1022" s="15"/>
      <c r="Q1022" s="14" t="s">
        <v>520</v>
      </c>
      <c r="R1022" s="25">
        <v>45382</v>
      </c>
      <c r="S1022" s="22" t="str">
        <f>TEXT(Table1[[#This Row],[End Date]],"MMMM")</f>
        <v>March</v>
      </c>
      <c r="T1022" s="22" t="str">
        <f>TEXT(Table1[[#This Row],[End Date]],"YYYY")</f>
        <v>2024</v>
      </c>
      <c r="U1022" s="24">
        <f t="shared" ca="1" si="38"/>
        <v>-249</v>
      </c>
      <c r="V1022" s="14" t="str" cm="1">
        <f t="array" aca="1" ref="V1022" ca="1">_xlfn.IFS(Table1[[#This Row],[Agreement Days]]&gt;=0,"Expired",Table1[[#This Row],[Agreement Days]]&gt;=-30,"Expires &lt; 30 Days",Table1[[#This Row],[Agreement Days]]&gt;=-60,"Expires &lt; 60 Days",Table1[[#This Row],[Agreement Days]]&lt;-60,"Valid Contract")</f>
        <v>Valid Contract</v>
      </c>
      <c r="W1022" s="14" t="s">
        <v>12</v>
      </c>
      <c r="X1022" s="20" t="s">
        <v>1690</v>
      </c>
      <c r="Y1022" s="43" t="s">
        <v>1691</v>
      </c>
      <c r="Z1022" s="27" t="s">
        <v>1692</v>
      </c>
      <c r="AA1022" s="66"/>
      <c r="AB1022" s="116"/>
      <c r="AC1022" s="116"/>
    </row>
    <row r="1023" spans="1:29" x14ac:dyDescent="0.3">
      <c r="A1023" s="18" t="s">
        <v>1689</v>
      </c>
      <c r="B1023" s="18" t="s">
        <v>130</v>
      </c>
      <c r="C1023" s="18" t="s">
        <v>2154</v>
      </c>
      <c r="D1023" s="14" t="s">
        <v>545</v>
      </c>
      <c r="E1023" s="18" t="s">
        <v>9</v>
      </c>
      <c r="F1023" s="14" t="s">
        <v>969</v>
      </c>
      <c r="G1023" s="14" t="s">
        <v>518</v>
      </c>
      <c r="H1023" s="18" t="s">
        <v>5</v>
      </c>
      <c r="I1023" s="14" t="s">
        <v>117</v>
      </c>
      <c r="J1023" s="14">
        <v>3</v>
      </c>
      <c r="K1023" s="14" t="s">
        <v>580</v>
      </c>
      <c r="L1023" s="14"/>
      <c r="M1023" s="14">
        <v>1</v>
      </c>
      <c r="N1023" s="15">
        <f>201780/1.18</f>
        <v>171000</v>
      </c>
      <c r="O1023" s="15">
        <f t="shared" si="37"/>
        <v>171000</v>
      </c>
      <c r="P1023" s="15"/>
      <c r="Q1023" s="14" t="s">
        <v>520</v>
      </c>
      <c r="R1023" s="25">
        <v>45382</v>
      </c>
      <c r="S1023" s="22" t="str">
        <f>TEXT(Table1[[#This Row],[End Date]],"MMMM")</f>
        <v>March</v>
      </c>
      <c r="T1023" s="22" t="str">
        <f>TEXT(Table1[[#This Row],[End Date]],"YYYY")</f>
        <v>2024</v>
      </c>
      <c r="U1023" s="24">
        <f t="shared" ca="1" si="38"/>
        <v>-249</v>
      </c>
      <c r="V1023" s="14" t="str" cm="1">
        <f t="array" aca="1" ref="V1023" ca="1">_xlfn.IFS(Table1[[#This Row],[Agreement Days]]&gt;=0,"Expired",Table1[[#This Row],[Agreement Days]]&gt;=-30,"Expires &lt; 30 Days",Table1[[#This Row],[Agreement Days]]&gt;=-60,"Expires &lt; 60 Days",Table1[[#This Row],[Agreement Days]]&lt;-60,"Valid Contract")</f>
        <v>Valid Contract</v>
      </c>
      <c r="W1023" s="14" t="s">
        <v>12</v>
      </c>
      <c r="X1023" s="20" t="s">
        <v>1690</v>
      </c>
      <c r="Y1023" s="43" t="s">
        <v>1691</v>
      </c>
      <c r="Z1023" s="27" t="s">
        <v>1692</v>
      </c>
      <c r="AA1023" s="66"/>
      <c r="AB1023" s="116"/>
      <c r="AC1023" s="116"/>
    </row>
    <row r="1024" spans="1:29" x14ac:dyDescent="0.3">
      <c r="A1024" s="18" t="s">
        <v>1689</v>
      </c>
      <c r="B1024" s="18" t="s">
        <v>130</v>
      </c>
      <c r="C1024" s="18" t="s">
        <v>2155</v>
      </c>
      <c r="D1024" s="14" t="s">
        <v>739</v>
      </c>
      <c r="E1024" s="18" t="s">
        <v>9</v>
      </c>
      <c r="F1024" s="14" t="s">
        <v>969</v>
      </c>
      <c r="G1024" s="14" t="s">
        <v>518</v>
      </c>
      <c r="H1024" s="18" t="s">
        <v>5</v>
      </c>
      <c r="I1024" s="14" t="s">
        <v>117</v>
      </c>
      <c r="J1024" s="14">
        <v>4</v>
      </c>
      <c r="K1024" s="14" t="s">
        <v>1835</v>
      </c>
      <c r="L1024" s="14"/>
      <c r="M1024" s="14">
        <v>1</v>
      </c>
      <c r="N1024" s="15">
        <f>318600/1.18</f>
        <v>270000</v>
      </c>
      <c r="O1024" s="15">
        <f t="shared" si="37"/>
        <v>270000</v>
      </c>
      <c r="P1024" s="15"/>
      <c r="Q1024" s="14" t="s">
        <v>520</v>
      </c>
      <c r="R1024" s="25">
        <v>45382</v>
      </c>
      <c r="S1024" s="22" t="str">
        <f>TEXT(Table1[[#This Row],[End Date]],"MMMM")</f>
        <v>March</v>
      </c>
      <c r="T1024" s="22" t="str">
        <f>TEXT(Table1[[#This Row],[End Date]],"YYYY")</f>
        <v>2024</v>
      </c>
      <c r="U1024" s="24">
        <f t="shared" ca="1" si="38"/>
        <v>-249</v>
      </c>
      <c r="V1024" s="14" t="str" cm="1">
        <f t="array" aca="1" ref="V1024" ca="1">_xlfn.IFS(Table1[[#This Row],[Agreement Days]]&gt;=0,"Expired",Table1[[#This Row],[Agreement Days]]&gt;=-30,"Expires &lt; 30 Days",Table1[[#This Row],[Agreement Days]]&gt;=-60,"Expires &lt; 60 Days",Table1[[#This Row],[Agreement Days]]&lt;-60,"Valid Contract")</f>
        <v>Valid Contract</v>
      </c>
      <c r="W1024" s="14" t="s">
        <v>12</v>
      </c>
      <c r="X1024" s="20" t="s">
        <v>1690</v>
      </c>
      <c r="Y1024" s="43" t="s">
        <v>1691</v>
      </c>
      <c r="Z1024" s="27" t="s">
        <v>1692</v>
      </c>
      <c r="AA1024" s="66"/>
      <c r="AB1024" s="116"/>
      <c r="AC1024" s="116"/>
    </row>
    <row r="1025" spans="1:29" x14ac:dyDescent="0.3">
      <c r="A1025" s="18" t="s">
        <v>1689</v>
      </c>
      <c r="B1025" s="18" t="s">
        <v>130</v>
      </c>
      <c r="C1025" s="18" t="s">
        <v>2156</v>
      </c>
      <c r="D1025" s="14" t="s">
        <v>526</v>
      </c>
      <c r="E1025" s="18" t="s">
        <v>9</v>
      </c>
      <c r="F1025" s="14" t="s">
        <v>969</v>
      </c>
      <c r="G1025" s="14" t="s">
        <v>518</v>
      </c>
      <c r="H1025" s="18" t="s">
        <v>5</v>
      </c>
      <c r="I1025" s="14" t="s">
        <v>117</v>
      </c>
      <c r="J1025" s="14">
        <v>4</v>
      </c>
      <c r="K1025" s="14" t="s">
        <v>1835</v>
      </c>
      <c r="L1025" s="14"/>
      <c r="M1025" s="14">
        <v>1</v>
      </c>
      <c r="N1025" s="15">
        <f>302670/1.18</f>
        <v>256500</v>
      </c>
      <c r="O1025" s="15">
        <f t="shared" si="37"/>
        <v>256500</v>
      </c>
      <c r="P1025" s="15"/>
      <c r="Q1025" s="14" t="s">
        <v>520</v>
      </c>
      <c r="R1025" s="25">
        <v>45382</v>
      </c>
      <c r="S1025" s="22" t="str">
        <f>TEXT(Table1[[#This Row],[End Date]],"MMMM")</f>
        <v>March</v>
      </c>
      <c r="T1025" s="22" t="str">
        <f>TEXT(Table1[[#This Row],[End Date]],"YYYY")</f>
        <v>2024</v>
      </c>
      <c r="U1025" s="24">
        <f t="shared" ca="1" si="38"/>
        <v>-249</v>
      </c>
      <c r="V1025" s="14" t="str" cm="1">
        <f t="array" aca="1" ref="V1025" ca="1">_xlfn.IFS(Table1[[#This Row],[Agreement Days]]&gt;=0,"Expired",Table1[[#This Row],[Agreement Days]]&gt;=-30,"Expires &lt; 30 Days",Table1[[#This Row],[Agreement Days]]&gt;=-60,"Expires &lt; 60 Days",Table1[[#This Row],[Agreement Days]]&lt;-60,"Valid Contract")</f>
        <v>Valid Contract</v>
      </c>
      <c r="W1025" s="14" t="s">
        <v>12</v>
      </c>
      <c r="X1025" s="20" t="s">
        <v>1690</v>
      </c>
      <c r="Y1025" s="43" t="s">
        <v>1691</v>
      </c>
      <c r="Z1025" s="27" t="s">
        <v>1692</v>
      </c>
      <c r="AA1025" s="66"/>
      <c r="AB1025" s="116"/>
      <c r="AC1025" s="116"/>
    </row>
    <row r="1026" spans="1:29" x14ac:dyDescent="0.3">
      <c r="A1026" s="18" t="s">
        <v>1689</v>
      </c>
      <c r="B1026" s="18" t="s">
        <v>130</v>
      </c>
      <c r="C1026" s="18" t="s">
        <v>2157</v>
      </c>
      <c r="D1026" s="14" t="s">
        <v>1140</v>
      </c>
      <c r="E1026" s="18" t="s">
        <v>9</v>
      </c>
      <c r="F1026" s="14" t="s">
        <v>969</v>
      </c>
      <c r="G1026" s="14" t="s">
        <v>518</v>
      </c>
      <c r="H1026" s="18" t="s">
        <v>5</v>
      </c>
      <c r="I1026" s="14" t="s">
        <v>117</v>
      </c>
      <c r="J1026" s="14">
        <v>4</v>
      </c>
      <c r="K1026" s="14" t="s">
        <v>1835</v>
      </c>
      <c r="L1026" s="14"/>
      <c r="M1026" s="14">
        <v>1</v>
      </c>
      <c r="N1026" s="15">
        <f>302670/1.18</f>
        <v>256500</v>
      </c>
      <c r="O1026" s="15">
        <f t="shared" si="37"/>
        <v>256500</v>
      </c>
      <c r="P1026" s="15"/>
      <c r="Q1026" s="14" t="s">
        <v>520</v>
      </c>
      <c r="R1026" s="25">
        <v>45382</v>
      </c>
      <c r="S1026" s="22" t="str">
        <f>TEXT(Table1[[#This Row],[End Date]],"MMMM")</f>
        <v>March</v>
      </c>
      <c r="T1026" s="22" t="str">
        <f>TEXT(Table1[[#This Row],[End Date]],"YYYY")</f>
        <v>2024</v>
      </c>
      <c r="U1026" s="24">
        <f t="shared" ca="1" si="38"/>
        <v>-249</v>
      </c>
      <c r="V1026" s="14" t="str" cm="1">
        <f t="array" aca="1" ref="V1026" ca="1">_xlfn.IFS(Table1[[#This Row],[Agreement Days]]&gt;=0,"Expired",Table1[[#This Row],[Agreement Days]]&gt;=-30,"Expires &lt; 30 Days",Table1[[#This Row],[Agreement Days]]&gt;=-60,"Expires &lt; 60 Days",Table1[[#This Row],[Agreement Days]]&lt;-60,"Valid Contract")</f>
        <v>Valid Contract</v>
      </c>
      <c r="W1026" s="14" t="s">
        <v>12</v>
      </c>
      <c r="X1026" s="20" t="s">
        <v>1690</v>
      </c>
      <c r="Y1026" s="43" t="s">
        <v>1691</v>
      </c>
      <c r="Z1026" s="27" t="s">
        <v>1692</v>
      </c>
      <c r="AA1026" s="66"/>
      <c r="AB1026" s="116"/>
      <c r="AC1026" s="116"/>
    </row>
    <row r="1027" spans="1:29" x14ac:dyDescent="0.3">
      <c r="A1027" s="18" t="s">
        <v>1689</v>
      </c>
      <c r="B1027" s="18" t="s">
        <v>130</v>
      </c>
      <c r="C1027" s="18" t="s">
        <v>2158</v>
      </c>
      <c r="D1027" s="14" t="s">
        <v>545</v>
      </c>
      <c r="E1027" s="18" t="s">
        <v>9</v>
      </c>
      <c r="F1027" s="14" t="s">
        <v>969</v>
      </c>
      <c r="G1027" s="14" t="s">
        <v>518</v>
      </c>
      <c r="H1027" s="18" t="s">
        <v>5</v>
      </c>
      <c r="I1027" s="14" t="s">
        <v>117</v>
      </c>
      <c r="J1027" s="14">
        <v>4</v>
      </c>
      <c r="K1027" s="14" t="s">
        <v>1835</v>
      </c>
      <c r="L1027" s="14"/>
      <c r="M1027" s="14">
        <v>1</v>
      </c>
      <c r="N1027" s="15">
        <f>302670/1.18</f>
        <v>256500</v>
      </c>
      <c r="O1027" s="15">
        <f t="shared" si="37"/>
        <v>256500</v>
      </c>
      <c r="P1027" s="15"/>
      <c r="Q1027" s="14" t="s">
        <v>520</v>
      </c>
      <c r="R1027" s="25">
        <v>45382</v>
      </c>
      <c r="S1027" s="22" t="str">
        <f>TEXT(Table1[[#This Row],[End Date]],"MMMM")</f>
        <v>March</v>
      </c>
      <c r="T1027" s="22" t="str">
        <f>TEXT(Table1[[#This Row],[End Date]],"YYYY")</f>
        <v>2024</v>
      </c>
      <c r="U1027" s="24">
        <f t="shared" ca="1" si="38"/>
        <v>-249</v>
      </c>
      <c r="V1027" s="14" t="str" cm="1">
        <f t="array" aca="1" ref="V1027" ca="1">_xlfn.IFS(Table1[[#This Row],[Agreement Days]]&gt;=0,"Expired",Table1[[#This Row],[Agreement Days]]&gt;=-30,"Expires &lt; 30 Days",Table1[[#This Row],[Agreement Days]]&gt;=-60,"Expires &lt; 60 Days",Table1[[#This Row],[Agreement Days]]&lt;-60,"Valid Contract")</f>
        <v>Valid Contract</v>
      </c>
      <c r="W1027" s="14" t="s">
        <v>12</v>
      </c>
      <c r="X1027" s="20" t="s">
        <v>1690</v>
      </c>
      <c r="Y1027" s="43" t="s">
        <v>1691</v>
      </c>
      <c r="Z1027" s="27" t="s">
        <v>1692</v>
      </c>
      <c r="AA1027" s="66"/>
      <c r="AB1027" s="116"/>
      <c r="AC1027" s="116"/>
    </row>
    <row r="1028" spans="1:29" x14ac:dyDescent="0.3">
      <c r="A1028" s="18" t="s">
        <v>1689</v>
      </c>
      <c r="B1028" s="18" t="s">
        <v>130</v>
      </c>
      <c r="C1028" s="18" t="s">
        <v>2159</v>
      </c>
      <c r="D1028" s="14" t="s">
        <v>545</v>
      </c>
      <c r="E1028" s="18" t="s">
        <v>9</v>
      </c>
      <c r="F1028" s="14" t="s">
        <v>969</v>
      </c>
      <c r="G1028" s="14" t="s">
        <v>518</v>
      </c>
      <c r="H1028" s="18" t="s">
        <v>5</v>
      </c>
      <c r="I1028" s="14" t="s">
        <v>117</v>
      </c>
      <c r="J1028" s="14">
        <v>5</v>
      </c>
      <c r="K1028" s="14" t="s">
        <v>730</v>
      </c>
      <c r="L1028" s="14"/>
      <c r="M1028" s="14">
        <v>1</v>
      </c>
      <c r="N1028" s="15">
        <f>261252/1.18</f>
        <v>221400</v>
      </c>
      <c r="O1028" s="15">
        <f t="shared" si="37"/>
        <v>221400</v>
      </c>
      <c r="P1028" s="15"/>
      <c r="Q1028" s="14" t="s">
        <v>520</v>
      </c>
      <c r="R1028" s="25">
        <v>45382</v>
      </c>
      <c r="S1028" s="22" t="str">
        <f>TEXT(Table1[[#This Row],[End Date]],"MMMM")</f>
        <v>March</v>
      </c>
      <c r="T1028" s="22" t="str">
        <f>TEXT(Table1[[#This Row],[End Date]],"YYYY")</f>
        <v>2024</v>
      </c>
      <c r="U1028" s="24">
        <f t="shared" ca="1" si="38"/>
        <v>-249</v>
      </c>
      <c r="V1028" s="14" t="str" cm="1">
        <f t="array" aca="1" ref="V1028" ca="1">_xlfn.IFS(Table1[[#This Row],[Agreement Days]]&gt;=0,"Expired",Table1[[#This Row],[Agreement Days]]&gt;=-30,"Expires &lt; 30 Days",Table1[[#This Row],[Agreement Days]]&gt;=-60,"Expires &lt; 60 Days",Table1[[#This Row],[Agreement Days]]&lt;-60,"Valid Contract")</f>
        <v>Valid Contract</v>
      </c>
      <c r="W1028" s="14" t="s">
        <v>12</v>
      </c>
      <c r="X1028" s="20" t="s">
        <v>1690</v>
      </c>
      <c r="Y1028" s="43" t="s">
        <v>1691</v>
      </c>
      <c r="Z1028" s="27" t="s">
        <v>1692</v>
      </c>
      <c r="AA1028" s="66"/>
      <c r="AB1028" s="116"/>
      <c r="AC1028" s="116"/>
    </row>
    <row r="1029" spans="1:29" x14ac:dyDescent="0.3">
      <c r="A1029" s="18" t="s">
        <v>1689</v>
      </c>
      <c r="B1029" s="18" t="s">
        <v>130</v>
      </c>
      <c r="C1029" s="18" t="s">
        <v>2160</v>
      </c>
      <c r="D1029" s="14" t="s">
        <v>545</v>
      </c>
      <c r="E1029" s="18" t="s">
        <v>9</v>
      </c>
      <c r="F1029" s="14" t="s">
        <v>969</v>
      </c>
      <c r="G1029" s="14" t="s">
        <v>518</v>
      </c>
      <c r="H1029" s="18" t="s">
        <v>5</v>
      </c>
      <c r="I1029" s="14" t="s">
        <v>117</v>
      </c>
      <c r="J1029" s="14">
        <v>5</v>
      </c>
      <c r="K1029" s="14" t="s">
        <v>730</v>
      </c>
      <c r="L1029" s="14"/>
      <c r="M1029" s="14">
        <v>1</v>
      </c>
      <c r="N1029" s="15">
        <f>261252/1.18</f>
        <v>221400</v>
      </c>
      <c r="O1029" s="15">
        <f t="shared" si="37"/>
        <v>221400</v>
      </c>
      <c r="P1029" s="15"/>
      <c r="Q1029" s="14" t="s">
        <v>520</v>
      </c>
      <c r="R1029" s="25">
        <v>45382</v>
      </c>
      <c r="S1029" s="22" t="str">
        <f>TEXT(Table1[[#This Row],[End Date]],"MMMM")</f>
        <v>March</v>
      </c>
      <c r="T1029" s="22" t="str">
        <f>TEXT(Table1[[#This Row],[End Date]],"YYYY")</f>
        <v>2024</v>
      </c>
      <c r="U1029" s="24">
        <f t="shared" ca="1" si="38"/>
        <v>-249</v>
      </c>
      <c r="V1029" s="14" t="str" cm="1">
        <f t="array" aca="1" ref="V1029" ca="1">_xlfn.IFS(Table1[[#This Row],[Agreement Days]]&gt;=0,"Expired",Table1[[#This Row],[Agreement Days]]&gt;=-30,"Expires &lt; 30 Days",Table1[[#This Row],[Agreement Days]]&gt;=-60,"Expires &lt; 60 Days",Table1[[#This Row],[Agreement Days]]&lt;-60,"Valid Contract")</f>
        <v>Valid Contract</v>
      </c>
      <c r="W1029" s="14" t="s">
        <v>12</v>
      </c>
      <c r="X1029" s="20" t="s">
        <v>1690</v>
      </c>
      <c r="Y1029" s="43" t="s">
        <v>1691</v>
      </c>
      <c r="Z1029" s="27" t="s">
        <v>1692</v>
      </c>
      <c r="AA1029" s="66"/>
      <c r="AB1029" s="116"/>
      <c r="AC1029" s="116"/>
    </row>
    <row r="1030" spans="1:29" hidden="1" x14ac:dyDescent="0.3">
      <c r="A1030" s="18" t="s">
        <v>2161</v>
      </c>
      <c r="B1030" s="18" t="s">
        <v>56</v>
      </c>
      <c r="C1030" s="18" t="s">
        <v>2162</v>
      </c>
      <c r="D1030" s="14" t="s">
        <v>545</v>
      </c>
      <c r="E1030" s="18" t="s">
        <v>10</v>
      </c>
      <c r="F1030" s="14" t="s">
        <v>631</v>
      </c>
      <c r="G1030" s="14" t="s">
        <v>518</v>
      </c>
      <c r="H1030" s="18" t="s">
        <v>2</v>
      </c>
      <c r="I1030" s="14" t="s">
        <v>134</v>
      </c>
      <c r="J1030" s="14">
        <v>10</v>
      </c>
      <c r="K1030" s="18" t="s">
        <v>547</v>
      </c>
      <c r="L1030" s="18"/>
      <c r="M1030" s="14">
        <v>1</v>
      </c>
      <c r="N1030" s="15">
        <v>510000</v>
      </c>
      <c r="O1030" s="15">
        <f t="shared" si="37"/>
        <v>510000</v>
      </c>
      <c r="P1030" s="15"/>
      <c r="Q1030" s="14" t="s">
        <v>504</v>
      </c>
      <c r="R1030" s="25">
        <v>45382</v>
      </c>
      <c r="S1030" s="34" t="str">
        <f>TEXT(Table1[[#This Row],[End Date]],"MMMM")</f>
        <v>March</v>
      </c>
      <c r="T1030" s="34" t="str">
        <f>TEXT(Table1[[#This Row],[End Date]],"YYYY")</f>
        <v>2024</v>
      </c>
      <c r="U1030" s="24">
        <f t="shared" ca="1" si="38"/>
        <v>-249</v>
      </c>
      <c r="V1030" s="14" t="str" cm="1">
        <f t="array" aca="1" ref="V1030" ca="1">_xlfn.IFS(Table1[[#This Row],[Agreement Days]]&gt;=0,"Expired",Table1[[#This Row],[Agreement Days]]&gt;=-30,"Expires &lt; 30 Days",Table1[[#This Row],[Agreement Days]]&gt;=-60,"Expires &lt; 60 Days",Table1[[#This Row],[Agreement Days]]&lt;-60,"Valid Contract")</f>
        <v>Valid Contract</v>
      </c>
      <c r="W1030" s="18" t="s">
        <v>21</v>
      </c>
      <c r="X1030" s="18" t="s">
        <v>2163</v>
      </c>
      <c r="Y1030" s="42" t="s">
        <v>2164</v>
      </c>
      <c r="Z1030" s="27">
        <v>788250761</v>
      </c>
      <c r="AA1030" s="27"/>
      <c r="AB1030" s="116"/>
      <c r="AC1030" s="116"/>
    </row>
    <row r="1031" spans="1:29" hidden="1" x14ac:dyDescent="0.3">
      <c r="A1031" s="18" t="s">
        <v>1596</v>
      </c>
      <c r="B1031" s="18" t="s">
        <v>119</v>
      </c>
      <c r="C1031" s="18" t="s">
        <v>2165</v>
      </c>
      <c r="D1031" s="14" t="s">
        <v>739</v>
      </c>
      <c r="E1031" s="18" t="s">
        <v>9</v>
      </c>
      <c r="F1031" s="14" t="s">
        <v>601</v>
      </c>
      <c r="G1031" s="14" t="s">
        <v>546</v>
      </c>
      <c r="H1031" s="18" t="s">
        <v>5</v>
      </c>
      <c r="I1031" s="14" t="s">
        <v>117</v>
      </c>
      <c r="J1031" s="14">
        <v>1</v>
      </c>
      <c r="K1031" s="14" t="s">
        <v>2166</v>
      </c>
      <c r="L1031" s="14"/>
      <c r="M1031" s="14">
        <v>1</v>
      </c>
      <c r="N1031" s="15">
        <v>90000</v>
      </c>
      <c r="O1031" s="15">
        <f t="shared" ref="O1031:O1094" si="39">N1031*M1031</f>
        <v>90000</v>
      </c>
      <c r="P1031" s="15"/>
      <c r="Q1031" s="14" t="s">
        <v>520</v>
      </c>
      <c r="R1031" s="21">
        <v>45383</v>
      </c>
      <c r="S1031" s="22" t="str">
        <f>TEXT(Table1[[#This Row],[End Date]],"MMMM")</f>
        <v>April</v>
      </c>
      <c r="T1031" s="23" t="str">
        <f>TEXT(Table1[[#This Row],[End Date]],"YYYY")</f>
        <v>2024</v>
      </c>
      <c r="U1031" s="24">
        <f t="shared" ref="U1031:U1094" ca="1" si="40">TODAY()-R1031</f>
        <v>-250</v>
      </c>
      <c r="V1031" s="14" t="str" cm="1">
        <f t="array" aca="1" ref="V1031" ca="1">_xlfn.IFS(Table1[[#This Row],[Agreement Days]]&gt;=0,"Expired",Table1[[#This Row],[Agreement Days]]&gt;=-30,"Expires &lt; 30 Days",Table1[[#This Row],[Agreement Days]]&gt;=-60,"Expires &lt; 60 Days",Table1[[#This Row],[Agreement Days]]&lt;-60,"Valid Contract")</f>
        <v>Valid Contract</v>
      </c>
      <c r="W1031" s="14" t="s">
        <v>13</v>
      </c>
      <c r="X1031" s="14" t="s">
        <v>1599</v>
      </c>
      <c r="Y1031" s="16" t="s">
        <v>1600</v>
      </c>
      <c r="Z1031" s="17">
        <v>788315241</v>
      </c>
      <c r="AA1031" s="17"/>
      <c r="AB1031" s="116"/>
      <c r="AC1031" s="116"/>
    </row>
    <row r="1032" spans="1:29" hidden="1" x14ac:dyDescent="0.3">
      <c r="A1032" s="18" t="s">
        <v>1596</v>
      </c>
      <c r="B1032" s="18" t="s">
        <v>119</v>
      </c>
      <c r="C1032" s="18" t="s">
        <v>2167</v>
      </c>
      <c r="D1032" s="14" t="s">
        <v>545</v>
      </c>
      <c r="E1032" s="18" t="s">
        <v>9</v>
      </c>
      <c r="F1032" s="14" t="s">
        <v>601</v>
      </c>
      <c r="G1032" s="14" t="s">
        <v>546</v>
      </c>
      <c r="H1032" s="18" t="s">
        <v>5</v>
      </c>
      <c r="I1032" s="14" t="s">
        <v>117</v>
      </c>
      <c r="J1032" s="14">
        <v>1</v>
      </c>
      <c r="K1032" s="14" t="s">
        <v>2168</v>
      </c>
      <c r="L1032" s="14"/>
      <c r="M1032" s="14">
        <v>1</v>
      </c>
      <c r="N1032" s="15">
        <v>90000</v>
      </c>
      <c r="O1032" s="15">
        <f t="shared" si="39"/>
        <v>90000</v>
      </c>
      <c r="P1032" s="15"/>
      <c r="Q1032" s="14" t="s">
        <v>520</v>
      </c>
      <c r="R1032" s="21">
        <v>45383</v>
      </c>
      <c r="S1032" s="22" t="str">
        <f>TEXT(Table1[[#This Row],[End Date]],"MMMM")</f>
        <v>April</v>
      </c>
      <c r="T1032" s="23" t="str">
        <f>TEXT(Table1[[#This Row],[End Date]],"YYYY")</f>
        <v>2024</v>
      </c>
      <c r="U1032" s="24">
        <f t="shared" ca="1" si="40"/>
        <v>-250</v>
      </c>
      <c r="V1032" s="14" t="str" cm="1">
        <f t="array" aca="1" ref="V1032" ca="1">_xlfn.IFS(Table1[[#This Row],[Agreement Days]]&gt;=0,"Expired",Table1[[#This Row],[Agreement Days]]&gt;=-30,"Expires &lt; 30 Days",Table1[[#This Row],[Agreement Days]]&gt;=-60,"Expires &lt; 60 Days",Table1[[#This Row],[Agreement Days]]&lt;-60,"Valid Contract")</f>
        <v>Valid Contract</v>
      </c>
      <c r="W1032" s="14" t="s">
        <v>13</v>
      </c>
      <c r="X1032" s="14" t="s">
        <v>1599</v>
      </c>
      <c r="Y1032" s="16" t="s">
        <v>1600</v>
      </c>
      <c r="Z1032" s="17">
        <v>788315241</v>
      </c>
      <c r="AA1032" s="17"/>
      <c r="AB1032" s="116"/>
      <c r="AC1032" s="116"/>
    </row>
    <row r="1033" spans="1:29" hidden="1" x14ac:dyDescent="0.3">
      <c r="A1033" s="18" t="s">
        <v>1596</v>
      </c>
      <c r="B1033" s="18" t="s">
        <v>119</v>
      </c>
      <c r="C1033" s="18" t="s">
        <v>2169</v>
      </c>
      <c r="D1033" s="14" t="s">
        <v>545</v>
      </c>
      <c r="E1033" s="18" t="s">
        <v>9</v>
      </c>
      <c r="F1033" s="14" t="s">
        <v>601</v>
      </c>
      <c r="G1033" s="14" t="s">
        <v>546</v>
      </c>
      <c r="H1033" s="18" t="s">
        <v>5</v>
      </c>
      <c r="I1033" s="14" t="s">
        <v>117</v>
      </c>
      <c r="J1033" s="14">
        <v>1</v>
      </c>
      <c r="K1033" s="14" t="s">
        <v>2166</v>
      </c>
      <c r="L1033" s="14"/>
      <c r="M1033" s="14">
        <v>1</v>
      </c>
      <c r="N1033" s="15">
        <v>90000</v>
      </c>
      <c r="O1033" s="15">
        <f t="shared" si="39"/>
        <v>90000</v>
      </c>
      <c r="P1033" s="15"/>
      <c r="Q1033" s="14" t="s">
        <v>520</v>
      </c>
      <c r="R1033" s="21">
        <v>45383</v>
      </c>
      <c r="S1033" s="22" t="str">
        <f>TEXT(Table1[[#This Row],[End Date]],"MMMM")</f>
        <v>April</v>
      </c>
      <c r="T1033" s="23" t="str">
        <f>TEXT(Table1[[#This Row],[End Date]],"YYYY")</f>
        <v>2024</v>
      </c>
      <c r="U1033" s="24">
        <f t="shared" ca="1" si="40"/>
        <v>-250</v>
      </c>
      <c r="V1033" s="14" t="str" cm="1">
        <f t="array" aca="1" ref="V1033" ca="1">_xlfn.IFS(Table1[[#This Row],[Agreement Days]]&gt;=0,"Expired",Table1[[#This Row],[Agreement Days]]&gt;=-30,"Expires &lt; 30 Days",Table1[[#This Row],[Agreement Days]]&gt;=-60,"Expires &lt; 60 Days",Table1[[#This Row],[Agreement Days]]&lt;-60,"Valid Contract")</f>
        <v>Valid Contract</v>
      </c>
      <c r="W1033" s="14" t="s">
        <v>13</v>
      </c>
      <c r="X1033" s="14" t="s">
        <v>1599</v>
      </c>
      <c r="Y1033" s="16" t="s">
        <v>1600</v>
      </c>
      <c r="Z1033" s="17">
        <v>788315241</v>
      </c>
      <c r="AA1033" s="17"/>
      <c r="AB1033" s="116"/>
      <c r="AC1033" s="116"/>
    </row>
    <row r="1034" spans="1:29" hidden="1" x14ac:dyDescent="0.3">
      <c r="A1034" s="18" t="s">
        <v>1596</v>
      </c>
      <c r="B1034" s="18" t="s">
        <v>119</v>
      </c>
      <c r="C1034" s="18" t="s">
        <v>2170</v>
      </c>
      <c r="D1034" s="14" t="s">
        <v>545</v>
      </c>
      <c r="E1034" s="18" t="s">
        <v>9</v>
      </c>
      <c r="F1034" s="14" t="s">
        <v>601</v>
      </c>
      <c r="G1034" s="14" t="s">
        <v>546</v>
      </c>
      <c r="H1034" s="18" t="s">
        <v>5</v>
      </c>
      <c r="I1034" s="14" t="s">
        <v>117</v>
      </c>
      <c r="J1034" s="14">
        <v>1</v>
      </c>
      <c r="K1034" s="14" t="s">
        <v>2166</v>
      </c>
      <c r="L1034" s="14"/>
      <c r="M1034" s="14">
        <v>1</v>
      </c>
      <c r="N1034" s="15">
        <v>90000</v>
      </c>
      <c r="O1034" s="15">
        <f t="shared" si="39"/>
        <v>90000</v>
      </c>
      <c r="P1034" s="15"/>
      <c r="Q1034" s="14" t="s">
        <v>520</v>
      </c>
      <c r="R1034" s="21">
        <v>45383</v>
      </c>
      <c r="S1034" s="22" t="str">
        <f>TEXT(Table1[[#This Row],[End Date]],"MMMM")</f>
        <v>April</v>
      </c>
      <c r="T1034" s="23" t="str">
        <f>TEXT(Table1[[#This Row],[End Date]],"YYYY")</f>
        <v>2024</v>
      </c>
      <c r="U1034" s="24">
        <f t="shared" ca="1" si="40"/>
        <v>-250</v>
      </c>
      <c r="V1034" s="14" t="str" cm="1">
        <f t="array" aca="1" ref="V1034" ca="1">_xlfn.IFS(Table1[[#This Row],[Agreement Days]]&gt;=0,"Expired",Table1[[#This Row],[Agreement Days]]&gt;=-30,"Expires &lt; 30 Days",Table1[[#This Row],[Agreement Days]]&gt;=-60,"Expires &lt; 60 Days",Table1[[#This Row],[Agreement Days]]&lt;-60,"Valid Contract")</f>
        <v>Valid Contract</v>
      </c>
      <c r="W1034" s="14" t="s">
        <v>13</v>
      </c>
      <c r="X1034" s="14" t="s">
        <v>1599</v>
      </c>
      <c r="Y1034" s="16" t="s">
        <v>1600</v>
      </c>
      <c r="Z1034" s="17">
        <v>788315241</v>
      </c>
      <c r="AA1034" s="17"/>
      <c r="AB1034" s="116"/>
      <c r="AC1034" s="116"/>
    </row>
    <row r="1035" spans="1:29" hidden="1" x14ac:dyDescent="0.3">
      <c r="A1035" s="18" t="s">
        <v>1596</v>
      </c>
      <c r="B1035" s="18" t="s">
        <v>119</v>
      </c>
      <c r="C1035" s="18" t="s">
        <v>2171</v>
      </c>
      <c r="D1035" s="14" t="s">
        <v>586</v>
      </c>
      <c r="E1035" s="18" t="s">
        <v>9</v>
      </c>
      <c r="F1035" s="14" t="s">
        <v>601</v>
      </c>
      <c r="G1035" s="14" t="s">
        <v>546</v>
      </c>
      <c r="H1035" s="18" t="s">
        <v>5</v>
      </c>
      <c r="I1035" s="14" t="s">
        <v>117</v>
      </c>
      <c r="J1035" s="14">
        <v>1</v>
      </c>
      <c r="K1035" s="14" t="s">
        <v>2166</v>
      </c>
      <c r="L1035" s="14"/>
      <c r="M1035" s="14">
        <v>1</v>
      </c>
      <c r="N1035" s="15">
        <v>90000</v>
      </c>
      <c r="O1035" s="15">
        <f t="shared" si="39"/>
        <v>90000</v>
      </c>
      <c r="P1035" s="15"/>
      <c r="Q1035" s="14" t="s">
        <v>520</v>
      </c>
      <c r="R1035" s="21">
        <v>45383</v>
      </c>
      <c r="S1035" s="22" t="str">
        <f>TEXT(Table1[[#This Row],[End Date]],"MMMM")</f>
        <v>April</v>
      </c>
      <c r="T1035" s="23" t="str">
        <f>TEXT(Table1[[#This Row],[End Date]],"YYYY")</f>
        <v>2024</v>
      </c>
      <c r="U1035" s="24">
        <f t="shared" ca="1" si="40"/>
        <v>-250</v>
      </c>
      <c r="V1035" s="14" t="str" cm="1">
        <f t="array" aca="1" ref="V1035" ca="1">_xlfn.IFS(Table1[[#This Row],[Agreement Days]]&gt;=0,"Expired",Table1[[#This Row],[Agreement Days]]&gt;=-30,"Expires &lt; 30 Days",Table1[[#This Row],[Agreement Days]]&gt;=-60,"Expires &lt; 60 Days",Table1[[#This Row],[Agreement Days]]&lt;-60,"Valid Contract")</f>
        <v>Valid Contract</v>
      </c>
      <c r="W1035" s="14" t="s">
        <v>13</v>
      </c>
      <c r="X1035" s="14" t="s">
        <v>1599</v>
      </c>
      <c r="Y1035" s="16" t="s">
        <v>1600</v>
      </c>
      <c r="Z1035" s="17">
        <v>788315241</v>
      </c>
      <c r="AA1035" s="17"/>
      <c r="AB1035" s="116"/>
      <c r="AC1035" s="116"/>
    </row>
    <row r="1036" spans="1:29" hidden="1" x14ac:dyDescent="0.3">
      <c r="A1036" s="18" t="s">
        <v>1596</v>
      </c>
      <c r="B1036" s="18" t="s">
        <v>119</v>
      </c>
      <c r="C1036" s="18" t="s">
        <v>2172</v>
      </c>
      <c r="D1036" s="14" t="s">
        <v>532</v>
      </c>
      <c r="E1036" s="18" t="s">
        <v>9</v>
      </c>
      <c r="F1036" s="14" t="s">
        <v>601</v>
      </c>
      <c r="G1036" s="14" t="s">
        <v>546</v>
      </c>
      <c r="H1036" s="18" t="s">
        <v>5</v>
      </c>
      <c r="I1036" s="14" t="s">
        <v>117</v>
      </c>
      <c r="J1036" s="14">
        <v>1</v>
      </c>
      <c r="K1036" s="14" t="s">
        <v>2166</v>
      </c>
      <c r="L1036" s="14"/>
      <c r="M1036" s="14">
        <v>1</v>
      </c>
      <c r="N1036" s="15">
        <v>90000</v>
      </c>
      <c r="O1036" s="15">
        <f t="shared" si="39"/>
        <v>90000</v>
      </c>
      <c r="P1036" s="15"/>
      <c r="Q1036" s="14" t="s">
        <v>520</v>
      </c>
      <c r="R1036" s="21">
        <v>45383</v>
      </c>
      <c r="S1036" s="22" t="str">
        <f>TEXT(Table1[[#This Row],[End Date]],"MMMM")</f>
        <v>April</v>
      </c>
      <c r="T1036" s="23" t="str">
        <f>TEXT(Table1[[#This Row],[End Date]],"YYYY")</f>
        <v>2024</v>
      </c>
      <c r="U1036" s="24">
        <f t="shared" ca="1" si="40"/>
        <v>-250</v>
      </c>
      <c r="V1036" s="14" t="str" cm="1">
        <f t="array" aca="1" ref="V1036" ca="1">_xlfn.IFS(Table1[[#This Row],[Agreement Days]]&gt;=0,"Expired",Table1[[#This Row],[Agreement Days]]&gt;=-30,"Expires &lt; 30 Days",Table1[[#This Row],[Agreement Days]]&gt;=-60,"Expires &lt; 60 Days",Table1[[#This Row],[Agreement Days]]&lt;-60,"Valid Contract")</f>
        <v>Valid Contract</v>
      </c>
      <c r="W1036" s="14" t="s">
        <v>13</v>
      </c>
      <c r="X1036" s="14" t="s">
        <v>1599</v>
      </c>
      <c r="Y1036" s="16" t="s">
        <v>1600</v>
      </c>
      <c r="Z1036" s="17">
        <v>788315241</v>
      </c>
      <c r="AA1036" s="17"/>
      <c r="AB1036" s="116"/>
      <c r="AC1036" s="116"/>
    </row>
    <row r="1037" spans="1:29" hidden="1" x14ac:dyDescent="0.3">
      <c r="A1037" s="18" t="s">
        <v>1596</v>
      </c>
      <c r="B1037" s="18" t="s">
        <v>119</v>
      </c>
      <c r="C1037" s="18" t="s">
        <v>2173</v>
      </c>
      <c r="D1037" s="14" t="s">
        <v>808</v>
      </c>
      <c r="E1037" s="18" t="s">
        <v>9</v>
      </c>
      <c r="F1037" s="14" t="s">
        <v>601</v>
      </c>
      <c r="G1037" s="14" t="s">
        <v>546</v>
      </c>
      <c r="H1037" s="18" t="s">
        <v>5</v>
      </c>
      <c r="I1037" s="14" t="s">
        <v>117</v>
      </c>
      <c r="J1037" s="14">
        <v>1</v>
      </c>
      <c r="K1037" s="14" t="s">
        <v>2166</v>
      </c>
      <c r="L1037" s="14"/>
      <c r="M1037" s="14">
        <v>1</v>
      </c>
      <c r="N1037" s="15">
        <v>90000</v>
      </c>
      <c r="O1037" s="15">
        <f t="shared" si="39"/>
        <v>90000</v>
      </c>
      <c r="P1037" s="15"/>
      <c r="Q1037" s="14" t="s">
        <v>520</v>
      </c>
      <c r="R1037" s="21">
        <v>45383</v>
      </c>
      <c r="S1037" s="22" t="str">
        <f>TEXT(Table1[[#This Row],[End Date]],"MMMM")</f>
        <v>April</v>
      </c>
      <c r="T1037" s="23" t="str">
        <f>TEXT(Table1[[#This Row],[End Date]],"YYYY")</f>
        <v>2024</v>
      </c>
      <c r="U1037" s="24">
        <f t="shared" ca="1" si="40"/>
        <v>-250</v>
      </c>
      <c r="V1037" s="14" t="str" cm="1">
        <f t="array" aca="1" ref="V1037" ca="1">_xlfn.IFS(Table1[[#This Row],[Agreement Days]]&gt;=0,"Expired",Table1[[#This Row],[Agreement Days]]&gt;=-30,"Expires &lt; 30 Days",Table1[[#This Row],[Agreement Days]]&gt;=-60,"Expires &lt; 60 Days",Table1[[#This Row],[Agreement Days]]&lt;-60,"Valid Contract")</f>
        <v>Valid Contract</v>
      </c>
      <c r="W1037" s="14" t="s">
        <v>13</v>
      </c>
      <c r="X1037" s="14" t="s">
        <v>1599</v>
      </c>
      <c r="Y1037" s="16" t="s">
        <v>1600</v>
      </c>
      <c r="Z1037" s="17">
        <v>788315241</v>
      </c>
      <c r="AA1037" s="17"/>
      <c r="AB1037" s="116"/>
      <c r="AC1037" s="116"/>
    </row>
    <row r="1038" spans="1:29" hidden="1" x14ac:dyDescent="0.3">
      <c r="A1038" s="18" t="s">
        <v>1596</v>
      </c>
      <c r="B1038" s="18" t="s">
        <v>119</v>
      </c>
      <c r="C1038" s="18" t="s">
        <v>2174</v>
      </c>
      <c r="D1038" s="14" t="s">
        <v>616</v>
      </c>
      <c r="E1038" s="18" t="s">
        <v>9</v>
      </c>
      <c r="F1038" s="14" t="s">
        <v>601</v>
      </c>
      <c r="G1038" s="14" t="s">
        <v>546</v>
      </c>
      <c r="H1038" s="18" t="s">
        <v>5</v>
      </c>
      <c r="I1038" s="14" t="s">
        <v>117</v>
      </c>
      <c r="J1038" s="14">
        <v>1</v>
      </c>
      <c r="K1038" s="14" t="s">
        <v>2166</v>
      </c>
      <c r="L1038" s="14"/>
      <c r="M1038" s="14">
        <v>1</v>
      </c>
      <c r="N1038" s="15">
        <v>90000</v>
      </c>
      <c r="O1038" s="15">
        <f t="shared" si="39"/>
        <v>90000</v>
      </c>
      <c r="P1038" s="15"/>
      <c r="Q1038" s="14" t="s">
        <v>520</v>
      </c>
      <c r="R1038" s="21">
        <v>45383</v>
      </c>
      <c r="S1038" s="22" t="str">
        <f>TEXT(Table1[[#This Row],[End Date]],"MMMM")</f>
        <v>April</v>
      </c>
      <c r="T1038" s="23" t="str">
        <f>TEXT(Table1[[#This Row],[End Date]],"YYYY")</f>
        <v>2024</v>
      </c>
      <c r="U1038" s="24">
        <f t="shared" ca="1" si="40"/>
        <v>-250</v>
      </c>
      <c r="V1038" s="14" t="str" cm="1">
        <f t="array" aca="1" ref="V1038" ca="1">_xlfn.IFS(Table1[[#This Row],[Agreement Days]]&gt;=0,"Expired",Table1[[#This Row],[Agreement Days]]&gt;=-30,"Expires &lt; 30 Days",Table1[[#This Row],[Agreement Days]]&gt;=-60,"Expires &lt; 60 Days",Table1[[#This Row],[Agreement Days]]&lt;-60,"Valid Contract")</f>
        <v>Valid Contract</v>
      </c>
      <c r="W1038" s="14" t="s">
        <v>13</v>
      </c>
      <c r="X1038" s="14" t="s">
        <v>1599</v>
      </c>
      <c r="Y1038" s="16" t="s">
        <v>1600</v>
      </c>
      <c r="Z1038" s="17">
        <v>788315241</v>
      </c>
      <c r="AA1038" s="17"/>
      <c r="AB1038" s="116"/>
      <c r="AC1038" s="116"/>
    </row>
    <row r="1039" spans="1:29" hidden="1" x14ac:dyDescent="0.3">
      <c r="A1039" s="18" t="s">
        <v>1596</v>
      </c>
      <c r="B1039" s="18" t="s">
        <v>119</v>
      </c>
      <c r="C1039" s="18" t="s">
        <v>2175</v>
      </c>
      <c r="D1039" s="14" t="s">
        <v>540</v>
      </c>
      <c r="E1039" s="18" t="s">
        <v>9</v>
      </c>
      <c r="F1039" s="14" t="s">
        <v>601</v>
      </c>
      <c r="G1039" s="14" t="s">
        <v>546</v>
      </c>
      <c r="H1039" s="18" t="s">
        <v>5</v>
      </c>
      <c r="I1039" s="14" t="s">
        <v>117</v>
      </c>
      <c r="J1039" s="14">
        <v>1</v>
      </c>
      <c r="K1039" s="14" t="s">
        <v>2166</v>
      </c>
      <c r="L1039" s="14"/>
      <c r="M1039" s="14">
        <v>1</v>
      </c>
      <c r="N1039" s="15">
        <v>90000</v>
      </c>
      <c r="O1039" s="15">
        <f t="shared" si="39"/>
        <v>90000</v>
      </c>
      <c r="P1039" s="15"/>
      <c r="Q1039" s="14" t="s">
        <v>520</v>
      </c>
      <c r="R1039" s="21">
        <v>45383</v>
      </c>
      <c r="S1039" s="22" t="str">
        <f>TEXT(Table1[[#This Row],[End Date]],"MMMM")</f>
        <v>April</v>
      </c>
      <c r="T1039" s="23" t="str">
        <f>TEXT(Table1[[#This Row],[End Date]],"YYYY")</f>
        <v>2024</v>
      </c>
      <c r="U1039" s="24">
        <f t="shared" ca="1" si="40"/>
        <v>-250</v>
      </c>
      <c r="V1039" s="14" t="str" cm="1">
        <f t="array" aca="1" ref="V1039" ca="1">_xlfn.IFS(Table1[[#This Row],[Agreement Days]]&gt;=0,"Expired",Table1[[#This Row],[Agreement Days]]&gt;=-30,"Expires &lt; 30 Days",Table1[[#This Row],[Agreement Days]]&gt;=-60,"Expires &lt; 60 Days",Table1[[#This Row],[Agreement Days]]&lt;-60,"Valid Contract")</f>
        <v>Valid Contract</v>
      </c>
      <c r="W1039" s="14" t="s">
        <v>13</v>
      </c>
      <c r="X1039" s="14" t="s">
        <v>1599</v>
      </c>
      <c r="Y1039" s="16" t="s">
        <v>1600</v>
      </c>
      <c r="Z1039" s="17">
        <v>788315241</v>
      </c>
      <c r="AA1039" s="17"/>
      <c r="AB1039" s="116"/>
      <c r="AC1039" s="116"/>
    </row>
    <row r="1040" spans="1:29" hidden="1" x14ac:dyDescent="0.3">
      <c r="A1040" s="18" t="s">
        <v>1596</v>
      </c>
      <c r="B1040" s="18" t="s">
        <v>119</v>
      </c>
      <c r="C1040" s="18" t="s">
        <v>2176</v>
      </c>
      <c r="D1040" s="14" t="s">
        <v>540</v>
      </c>
      <c r="E1040" s="18" t="s">
        <v>9</v>
      </c>
      <c r="F1040" s="14" t="s">
        <v>601</v>
      </c>
      <c r="G1040" s="14" t="s">
        <v>546</v>
      </c>
      <c r="H1040" s="18" t="s">
        <v>5</v>
      </c>
      <c r="I1040" s="14" t="s">
        <v>117</v>
      </c>
      <c r="J1040" s="14">
        <v>1</v>
      </c>
      <c r="K1040" s="14" t="s">
        <v>2166</v>
      </c>
      <c r="L1040" s="14"/>
      <c r="M1040" s="14">
        <v>1</v>
      </c>
      <c r="N1040" s="15">
        <v>90000</v>
      </c>
      <c r="O1040" s="15">
        <f t="shared" si="39"/>
        <v>90000</v>
      </c>
      <c r="P1040" s="15"/>
      <c r="Q1040" s="14" t="s">
        <v>520</v>
      </c>
      <c r="R1040" s="21">
        <v>45383</v>
      </c>
      <c r="S1040" s="22" t="str">
        <f>TEXT(Table1[[#This Row],[End Date]],"MMMM")</f>
        <v>April</v>
      </c>
      <c r="T1040" s="23" t="str">
        <f>TEXT(Table1[[#This Row],[End Date]],"YYYY")</f>
        <v>2024</v>
      </c>
      <c r="U1040" s="24">
        <f t="shared" ca="1" si="40"/>
        <v>-250</v>
      </c>
      <c r="V1040" s="14" t="str" cm="1">
        <f t="array" aca="1" ref="V1040" ca="1">_xlfn.IFS(Table1[[#This Row],[Agreement Days]]&gt;=0,"Expired",Table1[[#This Row],[Agreement Days]]&gt;=-30,"Expires &lt; 30 Days",Table1[[#This Row],[Agreement Days]]&gt;=-60,"Expires &lt; 60 Days",Table1[[#This Row],[Agreement Days]]&lt;-60,"Valid Contract")</f>
        <v>Valid Contract</v>
      </c>
      <c r="W1040" s="14" t="s">
        <v>13</v>
      </c>
      <c r="X1040" s="14" t="s">
        <v>1599</v>
      </c>
      <c r="Y1040" s="16" t="s">
        <v>1600</v>
      </c>
      <c r="Z1040" s="17">
        <v>788315241</v>
      </c>
      <c r="AA1040" s="17"/>
      <c r="AB1040" s="116"/>
      <c r="AC1040" s="116"/>
    </row>
    <row r="1041" spans="1:29" hidden="1" x14ac:dyDescent="0.3">
      <c r="A1041" s="18" t="s">
        <v>1596</v>
      </c>
      <c r="B1041" s="18" t="s">
        <v>119</v>
      </c>
      <c r="C1041" s="18" t="s">
        <v>2177</v>
      </c>
      <c r="D1041" s="14" t="s">
        <v>761</v>
      </c>
      <c r="E1041" s="18" t="s">
        <v>9</v>
      </c>
      <c r="F1041" s="14" t="s">
        <v>601</v>
      </c>
      <c r="G1041" s="14" t="s">
        <v>546</v>
      </c>
      <c r="H1041" s="18" t="s">
        <v>5</v>
      </c>
      <c r="I1041" s="14" t="s">
        <v>117</v>
      </c>
      <c r="J1041" s="14">
        <v>1</v>
      </c>
      <c r="K1041" s="14" t="s">
        <v>2166</v>
      </c>
      <c r="L1041" s="14"/>
      <c r="M1041" s="14">
        <v>1</v>
      </c>
      <c r="N1041" s="15">
        <v>90000</v>
      </c>
      <c r="O1041" s="15">
        <f t="shared" si="39"/>
        <v>90000</v>
      </c>
      <c r="P1041" s="15"/>
      <c r="Q1041" s="14" t="s">
        <v>520</v>
      </c>
      <c r="R1041" s="21">
        <v>45383</v>
      </c>
      <c r="S1041" s="22" t="str">
        <f>TEXT(Table1[[#This Row],[End Date]],"MMMM")</f>
        <v>April</v>
      </c>
      <c r="T1041" s="23" t="str">
        <f>TEXT(Table1[[#This Row],[End Date]],"YYYY")</f>
        <v>2024</v>
      </c>
      <c r="U1041" s="24">
        <f t="shared" ca="1" si="40"/>
        <v>-250</v>
      </c>
      <c r="V1041" s="14" t="str" cm="1">
        <f t="array" aca="1" ref="V1041" ca="1">_xlfn.IFS(Table1[[#This Row],[Agreement Days]]&gt;=0,"Expired",Table1[[#This Row],[Agreement Days]]&gt;=-30,"Expires &lt; 30 Days",Table1[[#This Row],[Agreement Days]]&gt;=-60,"Expires &lt; 60 Days",Table1[[#This Row],[Agreement Days]]&lt;-60,"Valid Contract")</f>
        <v>Valid Contract</v>
      </c>
      <c r="W1041" s="14" t="s">
        <v>13</v>
      </c>
      <c r="X1041" s="14" t="s">
        <v>1599</v>
      </c>
      <c r="Y1041" s="16" t="s">
        <v>1600</v>
      </c>
      <c r="Z1041" s="17">
        <v>788315241</v>
      </c>
      <c r="AA1041" s="17"/>
      <c r="AB1041" s="116"/>
      <c r="AC1041" s="116"/>
    </row>
    <row r="1042" spans="1:29" hidden="1" x14ac:dyDescent="0.3">
      <c r="A1042" s="18" t="s">
        <v>1596</v>
      </c>
      <c r="B1042" s="18" t="s">
        <v>119</v>
      </c>
      <c r="C1042" s="18" t="s">
        <v>2178</v>
      </c>
      <c r="D1042" s="14" t="s">
        <v>735</v>
      </c>
      <c r="E1042" s="18" t="s">
        <v>9</v>
      </c>
      <c r="F1042" s="14" t="s">
        <v>601</v>
      </c>
      <c r="G1042" s="14" t="s">
        <v>546</v>
      </c>
      <c r="H1042" s="18" t="s">
        <v>5</v>
      </c>
      <c r="I1042" s="14" t="s">
        <v>117</v>
      </c>
      <c r="J1042" s="14">
        <v>1</v>
      </c>
      <c r="K1042" s="14" t="s">
        <v>2166</v>
      </c>
      <c r="L1042" s="14"/>
      <c r="M1042" s="14">
        <v>1</v>
      </c>
      <c r="N1042" s="15">
        <v>90000</v>
      </c>
      <c r="O1042" s="15">
        <f t="shared" si="39"/>
        <v>90000</v>
      </c>
      <c r="P1042" s="15"/>
      <c r="Q1042" s="14" t="s">
        <v>520</v>
      </c>
      <c r="R1042" s="21">
        <v>45383</v>
      </c>
      <c r="S1042" s="22" t="str">
        <f>TEXT(Table1[[#This Row],[End Date]],"MMMM")</f>
        <v>April</v>
      </c>
      <c r="T1042" s="23" t="str">
        <f>TEXT(Table1[[#This Row],[End Date]],"YYYY")</f>
        <v>2024</v>
      </c>
      <c r="U1042" s="24">
        <f t="shared" ca="1" si="40"/>
        <v>-250</v>
      </c>
      <c r="V1042" s="14" t="str" cm="1">
        <f t="array" aca="1" ref="V1042" ca="1">_xlfn.IFS(Table1[[#This Row],[Agreement Days]]&gt;=0,"Expired",Table1[[#This Row],[Agreement Days]]&gt;=-30,"Expires &lt; 30 Days",Table1[[#This Row],[Agreement Days]]&gt;=-60,"Expires &lt; 60 Days",Table1[[#This Row],[Agreement Days]]&lt;-60,"Valid Contract")</f>
        <v>Valid Contract</v>
      </c>
      <c r="W1042" s="14" t="s">
        <v>13</v>
      </c>
      <c r="X1042" s="14" t="s">
        <v>1599</v>
      </c>
      <c r="Y1042" s="16" t="s">
        <v>1600</v>
      </c>
      <c r="Z1042" s="17">
        <v>788315241</v>
      </c>
      <c r="AA1042" s="17"/>
      <c r="AB1042" s="116"/>
      <c r="AC1042" s="116"/>
    </row>
    <row r="1043" spans="1:29" hidden="1" x14ac:dyDescent="0.3">
      <c r="A1043" s="18" t="s">
        <v>1596</v>
      </c>
      <c r="B1043" s="18" t="s">
        <v>119</v>
      </c>
      <c r="C1043" s="18" t="s">
        <v>2179</v>
      </c>
      <c r="D1043" s="14" t="s">
        <v>619</v>
      </c>
      <c r="E1043" s="18" t="s">
        <v>9</v>
      </c>
      <c r="F1043" s="14" t="s">
        <v>601</v>
      </c>
      <c r="G1043" s="14" t="s">
        <v>546</v>
      </c>
      <c r="H1043" s="18" t="s">
        <v>5</v>
      </c>
      <c r="I1043" s="14" t="s">
        <v>117</v>
      </c>
      <c r="J1043" s="14">
        <v>1</v>
      </c>
      <c r="K1043" s="14" t="s">
        <v>2166</v>
      </c>
      <c r="L1043" s="14"/>
      <c r="M1043" s="14">
        <v>1</v>
      </c>
      <c r="N1043" s="15">
        <v>90000</v>
      </c>
      <c r="O1043" s="15">
        <f t="shared" si="39"/>
        <v>90000</v>
      </c>
      <c r="P1043" s="15"/>
      <c r="Q1043" s="14" t="s">
        <v>520</v>
      </c>
      <c r="R1043" s="21">
        <v>45383</v>
      </c>
      <c r="S1043" s="22" t="str">
        <f>TEXT(Table1[[#This Row],[End Date]],"MMMM")</f>
        <v>April</v>
      </c>
      <c r="T1043" s="23" t="str">
        <f>TEXT(Table1[[#This Row],[End Date]],"YYYY")</f>
        <v>2024</v>
      </c>
      <c r="U1043" s="24">
        <f t="shared" ca="1" si="40"/>
        <v>-250</v>
      </c>
      <c r="V1043" s="14" t="str" cm="1">
        <f t="array" aca="1" ref="V1043" ca="1">_xlfn.IFS(Table1[[#This Row],[Agreement Days]]&gt;=0,"Expired",Table1[[#This Row],[Agreement Days]]&gt;=-30,"Expires &lt; 30 Days",Table1[[#This Row],[Agreement Days]]&gt;=-60,"Expires &lt; 60 Days",Table1[[#This Row],[Agreement Days]]&lt;-60,"Valid Contract")</f>
        <v>Valid Contract</v>
      </c>
      <c r="W1043" s="14" t="s">
        <v>13</v>
      </c>
      <c r="X1043" s="14" t="s">
        <v>1599</v>
      </c>
      <c r="Y1043" s="16" t="s">
        <v>1600</v>
      </c>
      <c r="Z1043" s="17">
        <v>788315241</v>
      </c>
      <c r="AA1043" s="17"/>
      <c r="AB1043" s="116"/>
      <c r="AC1043" s="116"/>
    </row>
    <row r="1044" spans="1:29" hidden="1" x14ac:dyDescent="0.3">
      <c r="A1044" s="18" t="s">
        <v>1596</v>
      </c>
      <c r="B1044" s="18" t="s">
        <v>119</v>
      </c>
      <c r="C1044" s="18" t="s">
        <v>2180</v>
      </c>
      <c r="D1044" s="14" t="s">
        <v>619</v>
      </c>
      <c r="E1044" s="18" t="s">
        <v>9</v>
      </c>
      <c r="F1044" s="14" t="s">
        <v>601</v>
      </c>
      <c r="G1044" s="14" t="s">
        <v>546</v>
      </c>
      <c r="H1044" s="18" t="s">
        <v>5</v>
      </c>
      <c r="I1044" s="14" t="s">
        <v>117</v>
      </c>
      <c r="J1044" s="14">
        <v>1</v>
      </c>
      <c r="K1044" s="14" t="s">
        <v>2166</v>
      </c>
      <c r="L1044" s="14"/>
      <c r="M1044" s="14">
        <v>1</v>
      </c>
      <c r="N1044" s="15">
        <v>90000</v>
      </c>
      <c r="O1044" s="15">
        <f t="shared" si="39"/>
        <v>90000</v>
      </c>
      <c r="P1044" s="15"/>
      <c r="Q1044" s="14" t="s">
        <v>520</v>
      </c>
      <c r="R1044" s="21">
        <v>45383</v>
      </c>
      <c r="S1044" s="22" t="str">
        <f>TEXT(Table1[[#This Row],[End Date]],"MMMM")</f>
        <v>April</v>
      </c>
      <c r="T1044" s="23" t="str">
        <f>TEXT(Table1[[#This Row],[End Date]],"YYYY")</f>
        <v>2024</v>
      </c>
      <c r="U1044" s="24">
        <f t="shared" ca="1" si="40"/>
        <v>-250</v>
      </c>
      <c r="V1044" s="14" t="str" cm="1">
        <f t="array" aca="1" ref="V1044" ca="1">_xlfn.IFS(Table1[[#This Row],[Agreement Days]]&gt;=0,"Expired",Table1[[#This Row],[Agreement Days]]&gt;=-30,"Expires &lt; 30 Days",Table1[[#This Row],[Agreement Days]]&gt;=-60,"Expires &lt; 60 Days",Table1[[#This Row],[Agreement Days]]&lt;-60,"Valid Contract")</f>
        <v>Valid Contract</v>
      </c>
      <c r="W1044" s="14" t="s">
        <v>13</v>
      </c>
      <c r="X1044" s="14" t="s">
        <v>1599</v>
      </c>
      <c r="Y1044" s="16" t="s">
        <v>1600</v>
      </c>
      <c r="Z1044" s="17">
        <v>788315241</v>
      </c>
      <c r="AA1044" s="17"/>
      <c r="AB1044" s="116"/>
      <c r="AC1044" s="116"/>
    </row>
    <row r="1045" spans="1:29" hidden="1" x14ac:dyDescent="0.3">
      <c r="A1045" s="18" t="s">
        <v>1596</v>
      </c>
      <c r="B1045" s="18" t="s">
        <v>119</v>
      </c>
      <c r="C1045" s="18" t="s">
        <v>2181</v>
      </c>
      <c r="D1045" s="14" t="s">
        <v>873</v>
      </c>
      <c r="E1045" s="18" t="s">
        <v>9</v>
      </c>
      <c r="F1045" s="14" t="s">
        <v>601</v>
      </c>
      <c r="G1045" s="14" t="s">
        <v>546</v>
      </c>
      <c r="H1045" s="18" t="s">
        <v>5</v>
      </c>
      <c r="I1045" s="14" t="s">
        <v>117</v>
      </c>
      <c r="J1045" s="14">
        <v>1</v>
      </c>
      <c r="K1045" s="14" t="s">
        <v>2168</v>
      </c>
      <c r="L1045" s="14"/>
      <c r="M1045" s="14">
        <v>1</v>
      </c>
      <c r="N1045" s="15">
        <v>90000</v>
      </c>
      <c r="O1045" s="15">
        <f t="shared" si="39"/>
        <v>90000</v>
      </c>
      <c r="P1045" s="15"/>
      <c r="Q1045" s="14" t="s">
        <v>520</v>
      </c>
      <c r="R1045" s="21">
        <v>45383</v>
      </c>
      <c r="S1045" s="22" t="str">
        <f>TEXT(Table1[[#This Row],[End Date]],"MMMM")</f>
        <v>April</v>
      </c>
      <c r="T1045" s="23" t="str">
        <f>TEXT(Table1[[#This Row],[End Date]],"YYYY")</f>
        <v>2024</v>
      </c>
      <c r="U1045" s="24">
        <f t="shared" ca="1" si="40"/>
        <v>-250</v>
      </c>
      <c r="V1045" s="14" t="str" cm="1">
        <f t="array" aca="1" ref="V1045" ca="1">_xlfn.IFS(Table1[[#This Row],[Agreement Days]]&gt;=0,"Expired",Table1[[#This Row],[Agreement Days]]&gt;=-30,"Expires &lt; 30 Days",Table1[[#This Row],[Agreement Days]]&gt;=-60,"Expires &lt; 60 Days",Table1[[#This Row],[Agreement Days]]&lt;-60,"Valid Contract")</f>
        <v>Valid Contract</v>
      </c>
      <c r="W1045" s="14" t="s">
        <v>13</v>
      </c>
      <c r="X1045" s="14" t="s">
        <v>1599</v>
      </c>
      <c r="Y1045" s="16" t="s">
        <v>1600</v>
      </c>
      <c r="Z1045" s="17">
        <v>788315241</v>
      </c>
      <c r="AA1045" s="17"/>
      <c r="AB1045" s="116"/>
      <c r="AC1045" s="116"/>
    </row>
    <row r="1046" spans="1:29" hidden="1" x14ac:dyDescent="0.3">
      <c r="A1046" s="18" t="s">
        <v>1596</v>
      </c>
      <c r="B1046" s="18" t="s">
        <v>119</v>
      </c>
      <c r="C1046" s="18" t="s">
        <v>2182</v>
      </c>
      <c r="D1046" s="14" t="s">
        <v>875</v>
      </c>
      <c r="E1046" s="18" t="s">
        <v>9</v>
      </c>
      <c r="F1046" s="14" t="s">
        <v>601</v>
      </c>
      <c r="G1046" s="14" t="s">
        <v>546</v>
      </c>
      <c r="H1046" s="18" t="s">
        <v>5</v>
      </c>
      <c r="I1046" s="14" t="s">
        <v>117</v>
      </c>
      <c r="J1046" s="14">
        <v>1</v>
      </c>
      <c r="K1046" s="14" t="s">
        <v>2166</v>
      </c>
      <c r="L1046" s="14"/>
      <c r="M1046" s="14">
        <v>1</v>
      </c>
      <c r="N1046" s="15">
        <v>90000</v>
      </c>
      <c r="O1046" s="15">
        <f t="shared" si="39"/>
        <v>90000</v>
      </c>
      <c r="P1046" s="15"/>
      <c r="Q1046" s="14" t="s">
        <v>520</v>
      </c>
      <c r="R1046" s="21">
        <v>45383</v>
      </c>
      <c r="S1046" s="22" t="str">
        <f>TEXT(Table1[[#This Row],[End Date]],"MMMM")</f>
        <v>April</v>
      </c>
      <c r="T1046" s="23" t="str">
        <f>TEXT(Table1[[#This Row],[End Date]],"YYYY")</f>
        <v>2024</v>
      </c>
      <c r="U1046" s="24">
        <f t="shared" ca="1" si="40"/>
        <v>-250</v>
      </c>
      <c r="V1046" s="14" t="str" cm="1">
        <f t="array" aca="1" ref="V1046" ca="1">_xlfn.IFS(Table1[[#This Row],[Agreement Days]]&gt;=0,"Expired",Table1[[#This Row],[Agreement Days]]&gt;=-30,"Expires &lt; 30 Days",Table1[[#This Row],[Agreement Days]]&gt;=-60,"Expires &lt; 60 Days",Table1[[#This Row],[Agreement Days]]&lt;-60,"Valid Contract")</f>
        <v>Valid Contract</v>
      </c>
      <c r="W1046" s="14" t="s">
        <v>13</v>
      </c>
      <c r="X1046" s="14" t="s">
        <v>1599</v>
      </c>
      <c r="Y1046" s="16" t="s">
        <v>1600</v>
      </c>
      <c r="Z1046" s="17">
        <v>788315241</v>
      </c>
      <c r="AA1046" s="17"/>
      <c r="AB1046" s="116"/>
      <c r="AC1046" s="116"/>
    </row>
    <row r="1047" spans="1:29" hidden="1" x14ac:dyDescent="0.3">
      <c r="A1047" s="18" t="s">
        <v>1596</v>
      </c>
      <c r="B1047" s="18" t="s">
        <v>119</v>
      </c>
      <c r="C1047" s="18" t="s">
        <v>2183</v>
      </c>
      <c r="D1047" s="14" t="s">
        <v>946</v>
      </c>
      <c r="E1047" s="18" t="s">
        <v>9</v>
      </c>
      <c r="F1047" s="14" t="s">
        <v>601</v>
      </c>
      <c r="G1047" s="14" t="s">
        <v>546</v>
      </c>
      <c r="H1047" s="18" t="s">
        <v>5</v>
      </c>
      <c r="I1047" s="14" t="s">
        <v>117</v>
      </c>
      <c r="J1047" s="14">
        <v>1</v>
      </c>
      <c r="K1047" s="14" t="s">
        <v>2166</v>
      </c>
      <c r="L1047" s="14"/>
      <c r="M1047" s="14">
        <v>1</v>
      </c>
      <c r="N1047" s="15">
        <v>90000</v>
      </c>
      <c r="O1047" s="15">
        <f t="shared" si="39"/>
        <v>90000</v>
      </c>
      <c r="P1047" s="15"/>
      <c r="Q1047" s="14" t="s">
        <v>520</v>
      </c>
      <c r="R1047" s="21">
        <v>45383</v>
      </c>
      <c r="S1047" s="22" t="str">
        <f>TEXT(Table1[[#This Row],[End Date]],"MMMM")</f>
        <v>April</v>
      </c>
      <c r="T1047" s="23" t="str">
        <f>TEXT(Table1[[#This Row],[End Date]],"YYYY")</f>
        <v>2024</v>
      </c>
      <c r="U1047" s="24">
        <f t="shared" ca="1" si="40"/>
        <v>-250</v>
      </c>
      <c r="V1047" s="14" t="str" cm="1">
        <f t="array" aca="1" ref="V1047" ca="1">_xlfn.IFS(Table1[[#This Row],[Agreement Days]]&gt;=0,"Expired",Table1[[#This Row],[Agreement Days]]&gt;=-30,"Expires &lt; 30 Days",Table1[[#This Row],[Agreement Days]]&gt;=-60,"Expires &lt; 60 Days",Table1[[#This Row],[Agreement Days]]&lt;-60,"Valid Contract")</f>
        <v>Valid Contract</v>
      </c>
      <c r="W1047" s="14" t="s">
        <v>13</v>
      </c>
      <c r="X1047" s="14" t="s">
        <v>1599</v>
      </c>
      <c r="Y1047" s="16" t="s">
        <v>1600</v>
      </c>
      <c r="Z1047" s="17">
        <v>788315241</v>
      </c>
      <c r="AA1047" s="17"/>
      <c r="AB1047" s="116"/>
      <c r="AC1047" s="116"/>
    </row>
    <row r="1048" spans="1:29" hidden="1" x14ac:dyDescent="0.3">
      <c r="A1048" s="18" t="s">
        <v>1596</v>
      </c>
      <c r="B1048" s="18" t="s">
        <v>119</v>
      </c>
      <c r="C1048" s="18" t="s">
        <v>2184</v>
      </c>
      <c r="D1048" s="14" t="s">
        <v>769</v>
      </c>
      <c r="E1048" s="18" t="s">
        <v>9</v>
      </c>
      <c r="F1048" s="14" t="s">
        <v>601</v>
      </c>
      <c r="G1048" s="14" t="s">
        <v>546</v>
      </c>
      <c r="H1048" s="18" t="s">
        <v>5</v>
      </c>
      <c r="I1048" s="14" t="s">
        <v>117</v>
      </c>
      <c r="J1048" s="14">
        <v>1</v>
      </c>
      <c r="K1048" s="14" t="s">
        <v>2166</v>
      </c>
      <c r="L1048" s="14"/>
      <c r="M1048" s="14">
        <v>1</v>
      </c>
      <c r="N1048" s="15">
        <v>90000</v>
      </c>
      <c r="O1048" s="15">
        <f t="shared" si="39"/>
        <v>90000</v>
      </c>
      <c r="P1048" s="15"/>
      <c r="Q1048" s="14" t="s">
        <v>520</v>
      </c>
      <c r="R1048" s="21">
        <v>45383</v>
      </c>
      <c r="S1048" s="22" t="str">
        <f>TEXT(Table1[[#This Row],[End Date]],"MMMM")</f>
        <v>April</v>
      </c>
      <c r="T1048" s="23" t="str">
        <f>TEXT(Table1[[#This Row],[End Date]],"YYYY")</f>
        <v>2024</v>
      </c>
      <c r="U1048" s="24">
        <f t="shared" ca="1" si="40"/>
        <v>-250</v>
      </c>
      <c r="V1048" s="14" t="str" cm="1">
        <f t="array" aca="1" ref="V1048" ca="1">_xlfn.IFS(Table1[[#This Row],[Agreement Days]]&gt;=0,"Expired",Table1[[#This Row],[Agreement Days]]&gt;=-30,"Expires &lt; 30 Days",Table1[[#This Row],[Agreement Days]]&gt;=-60,"Expires &lt; 60 Days",Table1[[#This Row],[Agreement Days]]&lt;-60,"Valid Contract")</f>
        <v>Valid Contract</v>
      </c>
      <c r="W1048" s="14" t="s">
        <v>13</v>
      </c>
      <c r="X1048" s="14" t="s">
        <v>1599</v>
      </c>
      <c r="Y1048" s="16" t="s">
        <v>1600</v>
      </c>
      <c r="Z1048" s="17">
        <v>788315241</v>
      </c>
      <c r="AA1048" s="17"/>
      <c r="AB1048" s="116"/>
      <c r="AC1048" s="116"/>
    </row>
    <row r="1049" spans="1:29" hidden="1" x14ac:dyDescent="0.3">
      <c r="A1049" s="18" t="s">
        <v>1596</v>
      </c>
      <c r="B1049" s="18" t="s">
        <v>119</v>
      </c>
      <c r="C1049" s="18" t="s">
        <v>2185</v>
      </c>
      <c r="D1049" s="14" t="s">
        <v>579</v>
      </c>
      <c r="E1049" s="18" t="s">
        <v>9</v>
      </c>
      <c r="F1049" s="14" t="s">
        <v>601</v>
      </c>
      <c r="G1049" s="14" t="s">
        <v>546</v>
      </c>
      <c r="H1049" s="18" t="s">
        <v>5</v>
      </c>
      <c r="I1049" s="14" t="s">
        <v>117</v>
      </c>
      <c r="J1049" s="14">
        <v>1</v>
      </c>
      <c r="K1049" s="14" t="s">
        <v>2166</v>
      </c>
      <c r="L1049" s="14"/>
      <c r="M1049" s="14">
        <v>1</v>
      </c>
      <c r="N1049" s="15">
        <v>90000</v>
      </c>
      <c r="O1049" s="15">
        <f t="shared" si="39"/>
        <v>90000</v>
      </c>
      <c r="P1049" s="15"/>
      <c r="Q1049" s="14" t="s">
        <v>520</v>
      </c>
      <c r="R1049" s="21">
        <v>45383</v>
      </c>
      <c r="S1049" s="22" t="str">
        <f>TEXT(Table1[[#This Row],[End Date]],"MMMM")</f>
        <v>April</v>
      </c>
      <c r="T1049" s="23" t="str">
        <f>TEXT(Table1[[#This Row],[End Date]],"YYYY")</f>
        <v>2024</v>
      </c>
      <c r="U1049" s="24">
        <f t="shared" ca="1" si="40"/>
        <v>-250</v>
      </c>
      <c r="V1049" s="14" t="str" cm="1">
        <f t="array" aca="1" ref="V1049" ca="1">_xlfn.IFS(Table1[[#This Row],[Agreement Days]]&gt;=0,"Expired",Table1[[#This Row],[Agreement Days]]&gt;=-30,"Expires &lt; 30 Days",Table1[[#This Row],[Agreement Days]]&gt;=-60,"Expires &lt; 60 Days",Table1[[#This Row],[Agreement Days]]&lt;-60,"Valid Contract")</f>
        <v>Valid Contract</v>
      </c>
      <c r="W1049" s="14" t="s">
        <v>13</v>
      </c>
      <c r="X1049" s="14" t="s">
        <v>1599</v>
      </c>
      <c r="Y1049" s="16" t="s">
        <v>1600</v>
      </c>
      <c r="Z1049" s="17">
        <v>788315241</v>
      </c>
      <c r="AA1049" s="17"/>
      <c r="AB1049" s="116"/>
      <c r="AC1049" s="116"/>
    </row>
    <row r="1050" spans="1:29" hidden="1" x14ac:dyDescent="0.3">
      <c r="A1050" s="18" t="s">
        <v>1596</v>
      </c>
      <c r="B1050" s="18" t="s">
        <v>119</v>
      </c>
      <c r="C1050" s="18" t="s">
        <v>2186</v>
      </c>
      <c r="D1050" s="14" t="s">
        <v>739</v>
      </c>
      <c r="E1050" s="18" t="s">
        <v>9</v>
      </c>
      <c r="F1050" s="14" t="s">
        <v>601</v>
      </c>
      <c r="G1050" s="14" t="s">
        <v>546</v>
      </c>
      <c r="H1050" s="18" t="s">
        <v>5</v>
      </c>
      <c r="I1050" s="14" t="s">
        <v>117</v>
      </c>
      <c r="J1050" s="14">
        <v>3</v>
      </c>
      <c r="K1050" s="14" t="s">
        <v>2187</v>
      </c>
      <c r="L1050" s="14"/>
      <c r="M1050" s="14">
        <v>1</v>
      </c>
      <c r="N1050" s="15">
        <v>180000</v>
      </c>
      <c r="O1050" s="15">
        <f t="shared" si="39"/>
        <v>180000</v>
      </c>
      <c r="P1050" s="15"/>
      <c r="Q1050" s="14" t="s">
        <v>520</v>
      </c>
      <c r="R1050" s="21">
        <v>45383</v>
      </c>
      <c r="S1050" s="22" t="str">
        <f>TEXT(Table1[[#This Row],[End Date]],"MMMM")</f>
        <v>April</v>
      </c>
      <c r="T1050" s="23" t="str">
        <f>TEXT(Table1[[#This Row],[End Date]],"YYYY")</f>
        <v>2024</v>
      </c>
      <c r="U1050" s="24">
        <f t="shared" ca="1" si="40"/>
        <v>-250</v>
      </c>
      <c r="V1050" s="14" t="str" cm="1">
        <f t="array" aca="1" ref="V1050" ca="1">_xlfn.IFS(Table1[[#This Row],[Agreement Days]]&gt;=0,"Expired",Table1[[#This Row],[Agreement Days]]&gt;=-30,"Expires &lt; 30 Days",Table1[[#This Row],[Agreement Days]]&gt;=-60,"Expires &lt; 60 Days",Table1[[#This Row],[Agreement Days]]&lt;-60,"Valid Contract")</f>
        <v>Valid Contract</v>
      </c>
      <c r="W1050" s="14" t="s">
        <v>13</v>
      </c>
      <c r="X1050" s="14" t="s">
        <v>1599</v>
      </c>
      <c r="Y1050" s="16" t="s">
        <v>1600</v>
      </c>
      <c r="Z1050" s="17">
        <v>788315241</v>
      </c>
      <c r="AA1050" s="17"/>
      <c r="AB1050" s="116"/>
      <c r="AC1050" s="116"/>
    </row>
    <row r="1051" spans="1:29" hidden="1" x14ac:dyDescent="0.3">
      <c r="A1051" s="18" t="s">
        <v>1596</v>
      </c>
      <c r="B1051" s="18" t="s">
        <v>119</v>
      </c>
      <c r="C1051" s="18" t="s">
        <v>2188</v>
      </c>
      <c r="D1051" s="14" t="s">
        <v>739</v>
      </c>
      <c r="E1051" s="18" t="s">
        <v>9</v>
      </c>
      <c r="F1051" s="14" t="s">
        <v>601</v>
      </c>
      <c r="G1051" s="14" t="s">
        <v>546</v>
      </c>
      <c r="H1051" s="18" t="s">
        <v>5</v>
      </c>
      <c r="I1051" s="14" t="s">
        <v>117</v>
      </c>
      <c r="J1051" s="14">
        <v>1</v>
      </c>
      <c r="K1051" s="14" t="s">
        <v>2166</v>
      </c>
      <c r="L1051" s="14"/>
      <c r="M1051" s="14">
        <v>1</v>
      </c>
      <c r="N1051" s="15">
        <v>90000</v>
      </c>
      <c r="O1051" s="15">
        <f t="shared" si="39"/>
        <v>90000</v>
      </c>
      <c r="P1051" s="15"/>
      <c r="Q1051" s="14" t="s">
        <v>520</v>
      </c>
      <c r="R1051" s="21">
        <v>45383</v>
      </c>
      <c r="S1051" s="22" t="str">
        <f>TEXT(Table1[[#This Row],[End Date]],"MMMM")</f>
        <v>April</v>
      </c>
      <c r="T1051" s="23" t="str">
        <f>TEXT(Table1[[#This Row],[End Date]],"YYYY")</f>
        <v>2024</v>
      </c>
      <c r="U1051" s="24">
        <f t="shared" ca="1" si="40"/>
        <v>-250</v>
      </c>
      <c r="V1051" s="14" t="str" cm="1">
        <f t="array" aca="1" ref="V1051" ca="1">_xlfn.IFS(Table1[[#This Row],[Agreement Days]]&gt;=0,"Expired",Table1[[#This Row],[Agreement Days]]&gt;=-30,"Expires &lt; 30 Days",Table1[[#This Row],[Agreement Days]]&gt;=-60,"Expires &lt; 60 Days",Table1[[#This Row],[Agreement Days]]&lt;-60,"Valid Contract")</f>
        <v>Valid Contract</v>
      </c>
      <c r="W1051" s="14" t="s">
        <v>13</v>
      </c>
      <c r="X1051" s="14" t="s">
        <v>1599</v>
      </c>
      <c r="Y1051" s="16" t="s">
        <v>1600</v>
      </c>
      <c r="Z1051" s="17">
        <v>788315241</v>
      </c>
      <c r="AA1051" s="17"/>
      <c r="AB1051" s="116"/>
      <c r="AC1051" s="116"/>
    </row>
    <row r="1052" spans="1:29" hidden="1" x14ac:dyDescent="0.3">
      <c r="A1052" s="18" t="s">
        <v>1596</v>
      </c>
      <c r="B1052" s="18" t="s">
        <v>119</v>
      </c>
      <c r="C1052" s="18" t="s">
        <v>2189</v>
      </c>
      <c r="D1052" s="14" t="s">
        <v>545</v>
      </c>
      <c r="E1052" s="18" t="s">
        <v>9</v>
      </c>
      <c r="F1052" s="14" t="s">
        <v>601</v>
      </c>
      <c r="G1052" s="14" t="s">
        <v>546</v>
      </c>
      <c r="H1052" s="18" t="s">
        <v>5</v>
      </c>
      <c r="I1052" s="14" t="s">
        <v>117</v>
      </c>
      <c r="J1052" s="14">
        <v>1</v>
      </c>
      <c r="K1052" s="14" t="s">
        <v>2166</v>
      </c>
      <c r="L1052" s="14"/>
      <c r="M1052" s="14">
        <v>1</v>
      </c>
      <c r="N1052" s="15">
        <v>90000</v>
      </c>
      <c r="O1052" s="15">
        <f t="shared" si="39"/>
        <v>90000</v>
      </c>
      <c r="P1052" s="15"/>
      <c r="Q1052" s="14" t="s">
        <v>520</v>
      </c>
      <c r="R1052" s="21">
        <v>45383</v>
      </c>
      <c r="S1052" s="22" t="str">
        <f>TEXT(Table1[[#This Row],[End Date]],"MMMM")</f>
        <v>April</v>
      </c>
      <c r="T1052" s="23" t="str">
        <f>TEXT(Table1[[#This Row],[End Date]],"YYYY")</f>
        <v>2024</v>
      </c>
      <c r="U1052" s="24">
        <f t="shared" ca="1" si="40"/>
        <v>-250</v>
      </c>
      <c r="V1052" s="14" t="str" cm="1">
        <f t="array" aca="1" ref="V1052" ca="1">_xlfn.IFS(Table1[[#This Row],[Agreement Days]]&gt;=0,"Expired",Table1[[#This Row],[Agreement Days]]&gt;=-30,"Expires &lt; 30 Days",Table1[[#This Row],[Agreement Days]]&gt;=-60,"Expires &lt; 60 Days",Table1[[#This Row],[Agreement Days]]&lt;-60,"Valid Contract")</f>
        <v>Valid Contract</v>
      </c>
      <c r="W1052" s="14" t="s">
        <v>13</v>
      </c>
      <c r="X1052" s="14" t="s">
        <v>1599</v>
      </c>
      <c r="Y1052" s="16" t="s">
        <v>1600</v>
      </c>
      <c r="Z1052" s="17">
        <v>788315241</v>
      </c>
      <c r="AA1052" s="17"/>
      <c r="AB1052" s="116"/>
      <c r="AC1052" s="116"/>
    </row>
    <row r="1053" spans="1:29" hidden="1" x14ac:dyDescent="0.3">
      <c r="A1053" s="18" t="s">
        <v>1596</v>
      </c>
      <c r="B1053" s="18" t="s">
        <v>119</v>
      </c>
      <c r="C1053" s="18" t="s">
        <v>2190</v>
      </c>
      <c r="D1053" s="14" t="s">
        <v>545</v>
      </c>
      <c r="E1053" s="18" t="s">
        <v>9</v>
      </c>
      <c r="F1053" s="14" t="s">
        <v>601</v>
      </c>
      <c r="G1053" s="14" t="s">
        <v>546</v>
      </c>
      <c r="H1053" s="18" t="s">
        <v>5</v>
      </c>
      <c r="I1053" s="14" t="s">
        <v>117</v>
      </c>
      <c r="J1053" s="14">
        <v>1</v>
      </c>
      <c r="K1053" s="14" t="s">
        <v>2166</v>
      </c>
      <c r="L1053" s="14"/>
      <c r="M1053" s="14">
        <v>1</v>
      </c>
      <c r="N1053" s="15">
        <v>90000</v>
      </c>
      <c r="O1053" s="15">
        <f t="shared" si="39"/>
        <v>90000</v>
      </c>
      <c r="P1053" s="15"/>
      <c r="Q1053" s="14" t="s">
        <v>520</v>
      </c>
      <c r="R1053" s="21">
        <v>45383</v>
      </c>
      <c r="S1053" s="22" t="str">
        <f>TEXT(Table1[[#This Row],[End Date]],"MMMM")</f>
        <v>April</v>
      </c>
      <c r="T1053" s="23" t="str">
        <f>TEXT(Table1[[#This Row],[End Date]],"YYYY")</f>
        <v>2024</v>
      </c>
      <c r="U1053" s="24">
        <f t="shared" ca="1" si="40"/>
        <v>-250</v>
      </c>
      <c r="V1053" s="14" t="str" cm="1">
        <f t="array" aca="1" ref="V1053" ca="1">_xlfn.IFS(Table1[[#This Row],[Agreement Days]]&gt;=0,"Expired",Table1[[#This Row],[Agreement Days]]&gt;=-30,"Expires &lt; 30 Days",Table1[[#This Row],[Agreement Days]]&gt;=-60,"Expires &lt; 60 Days",Table1[[#This Row],[Agreement Days]]&lt;-60,"Valid Contract")</f>
        <v>Valid Contract</v>
      </c>
      <c r="W1053" s="14" t="s">
        <v>13</v>
      </c>
      <c r="X1053" s="14" t="s">
        <v>1599</v>
      </c>
      <c r="Y1053" s="16" t="s">
        <v>1600</v>
      </c>
      <c r="Z1053" s="17">
        <v>788315241</v>
      </c>
      <c r="AA1053" s="17"/>
      <c r="AB1053" s="116"/>
      <c r="AC1053" s="116"/>
    </row>
    <row r="1054" spans="1:29" hidden="1" x14ac:dyDescent="0.3">
      <c r="A1054" s="18" t="s">
        <v>1596</v>
      </c>
      <c r="B1054" s="18" t="s">
        <v>119</v>
      </c>
      <c r="C1054" s="18" t="s">
        <v>2191</v>
      </c>
      <c r="D1054" s="14" t="s">
        <v>545</v>
      </c>
      <c r="E1054" s="18" t="s">
        <v>9</v>
      </c>
      <c r="F1054" s="14" t="s">
        <v>601</v>
      </c>
      <c r="G1054" s="14" t="s">
        <v>546</v>
      </c>
      <c r="H1054" s="18" t="s">
        <v>5</v>
      </c>
      <c r="I1054" s="14" t="s">
        <v>117</v>
      </c>
      <c r="J1054" s="14">
        <v>1</v>
      </c>
      <c r="K1054" s="14" t="s">
        <v>2166</v>
      </c>
      <c r="L1054" s="14"/>
      <c r="M1054" s="14">
        <v>1</v>
      </c>
      <c r="N1054" s="15">
        <v>90000</v>
      </c>
      <c r="O1054" s="15">
        <f t="shared" si="39"/>
        <v>90000</v>
      </c>
      <c r="P1054" s="15"/>
      <c r="Q1054" s="14" t="s">
        <v>520</v>
      </c>
      <c r="R1054" s="21">
        <v>45383</v>
      </c>
      <c r="S1054" s="22" t="str">
        <f>TEXT(Table1[[#This Row],[End Date]],"MMMM")</f>
        <v>April</v>
      </c>
      <c r="T1054" s="23" t="str">
        <f>TEXT(Table1[[#This Row],[End Date]],"YYYY")</f>
        <v>2024</v>
      </c>
      <c r="U1054" s="24">
        <f t="shared" ca="1" si="40"/>
        <v>-250</v>
      </c>
      <c r="V1054" s="14" t="str" cm="1">
        <f t="array" aca="1" ref="V1054" ca="1">_xlfn.IFS(Table1[[#This Row],[Agreement Days]]&gt;=0,"Expired",Table1[[#This Row],[Agreement Days]]&gt;=-30,"Expires &lt; 30 Days",Table1[[#This Row],[Agreement Days]]&gt;=-60,"Expires &lt; 60 Days",Table1[[#This Row],[Agreement Days]]&lt;-60,"Valid Contract")</f>
        <v>Valid Contract</v>
      </c>
      <c r="W1054" s="14" t="s">
        <v>13</v>
      </c>
      <c r="X1054" s="14" t="s">
        <v>1599</v>
      </c>
      <c r="Y1054" s="16" t="s">
        <v>1600</v>
      </c>
      <c r="Z1054" s="17">
        <v>788315241</v>
      </c>
      <c r="AA1054" s="17"/>
      <c r="AB1054" s="116"/>
      <c r="AC1054" s="116"/>
    </row>
    <row r="1055" spans="1:29" hidden="1" x14ac:dyDescent="0.3">
      <c r="A1055" s="18" t="s">
        <v>1596</v>
      </c>
      <c r="B1055" s="18" t="s">
        <v>119</v>
      </c>
      <c r="C1055" s="18" t="s">
        <v>2192</v>
      </c>
      <c r="D1055" s="14" t="s">
        <v>545</v>
      </c>
      <c r="E1055" s="18" t="s">
        <v>9</v>
      </c>
      <c r="F1055" s="14" t="s">
        <v>601</v>
      </c>
      <c r="G1055" s="14" t="s">
        <v>546</v>
      </c>
      <c r="H1055" s="18" t="s">
        <v>5</v>
      </c>
      <c r="I1055" s="14" t="s">
        <v>117</v>
      </c>
      <c r="J1055" s="14">
        <v>1</v>
      </c>
      <c r="K1055" s="14" t="s">
        <v>2166</v>
      </c>
      <c r="L1055" s="14"/>
      <c r="M1055" s="14">
        <v>1</v>
      </c>
      <c r="N1055" s="15">
        <v>90000</v>
      </c>
      <c r="O1055" s="15">
        <f t="shared" si="39"/>
        <v>90000</v>
      </c>
      <c r="P1055" s="15"/>
      <c r="Q1055" s="14" t="s">
        <v>520</v>
      </c>
      <c r="R1055" s="21">
        <v>45383</v>
      </c>
      <c r="S1055" s="22" t="str">
        <f>TEXT(Table1[[#This Row],[End Date]],"MMMM")</f>
        <v>April</v>
      </c>
      <c r="T1055" s="23" t="str">
        <f>TEXT(Table1[[#This Row],[End Date]],"YYYY")</f>
        <v>2024</v>
      </c>
      <c r="U1055" s="24">
        <f t="shared" ca="1" si="40"/>
        <v>-250</v>
      </c>
      <c r="V1055" s="14" t="str" cm="1">
        <f t="array" aca="1" ref="V1055" ca="1">_xlfn.IFS(Table1[[#This Row],[Agreement Days]]&gt;=0,"Expired",Table1[[#This Row],[Agreement Days]]&gt;=-30,"Expires &lt; 30 Days",Table1[[#This Row],[Agreement Days]]&gt;=-60,"Expires &lt; 60 Days",Table1[[#This Row],[Agreement Days]]&lt;-60,"Valid Contract")</f>
        <v>Valid Contract</v>
      </c>
      <c r="W1055" s="14" t="s">
        <v>13</v>
      </c>
      <c r="X1055" s="14" t="s">
        <v>1599</v>
      </c>
      <c r="Y1055" s="16" t="s">
        <v>1600</v>
      </c>
      <c r="Z1055" s="17">
        <v>788315241</v>
      </c>
      <c r="AA1055" s="17">
        <v>788315243</v>
      </c>
      <c r="AB1055" s="116"/>
      <c r="AC1055" s="116"/>
    </row>
    <row r="1056" spans="1:29" hidden="1" x14ac:dyDescent="0.3">
      <c r="A1056" s="18" t="s">
        <v>1596</v>
      </c>
      <c r="B1056" s="18" t="s">
        <v>119</v>
      </c>
      <c r="C1056" s="18" t="s">
        <v>2193</v>
      </c>
      <c r="D1056" s="14" t="s">
        <v>545</v>
      </c>
      <c r="E1056" s="18" t="s">
        <v>9</v>
      </c>
      <c r="F1056" s="14" t="s">
        <v>601</v>
      </c>
      <c r="G1056" s="14" t="s">
        <v>546</v>
      </c>
      <c r="H1056" s="18" t="s">
        <v>5</v>
      </c>
      <c r="I1056" s="14" t="s">
        <v>117</v>
      </c>
      <c r="J1056" s="14">
        <v>3</v>
      </c>
      <c r="K1056" s="14" t="s">
        <v>2187</v>
      </c>
      <c r="L1056" s="14"/>
      <c r="M1056" s="14">
        <v>1</v>
      </c>
      <c r="N1056" s="15">
        <v>180000</v>
      </c>
      <c r="O1056" s="15">
        <f t="shared" si="39"/>
        <v>180000</v>
      </c>
      <c r="P1056" s="15"/>
      <c r="Q1056" s="14" t="s">
        <v>520</v>
      </c>
      <c r="R1056" s="21">
        <v>45383</v>
      </c>
      <c r="S1056" s="22" t="str">
        <f>TEXT(Table1[[#This Row],[End Date]],"MMMM")</f>
        <v>April</v>
      </c>
      <c r="T1056" s="23" t="str">
        <f>TEXT(Table1[[#This Row],[End Date]],"YYYY")</f>
        <v>2024</v>
      </c>
      <c r="U1056" s="24">
        <f t="shared" ca="1" si="40"/>
        <v>-250</v>
      </c>
      <c r="V1056" s="14" t="str" cm="1">
        <f t="array" aca="1" ref="V1056" ca="1">_xlfn.IFS(Table1[[#This Row],[Agreement Days]]&gt;=0,"Expired",Table1[[#This Row],[Agreement Days]]&gt;=-30,"Expires &lt; 30 Days",Table1[[#This Row],[Agreement Days]]&gt;=-60,"Expires &lt; 60 Days",Table1[[#This Row],[Agreement Days]]&lt;-60,"Valid Contract")</f>
        <v>Valid Contract</v>
      </c>
      <c r="W1056" s="14" t="s">
        <v>13</v>
      </c>
      <c r="X1056" s="14" t="s">
        <v>1599</v>
      </c>
      <c r="Y1056" s="16" t="s">
        <v>1600</v>
      </c>
      <c r="Z1056" s="17">
        <v>788315241</v>
      </c>
      <c r="AA1056" s="17"/>
      <c r="AB1056" s="116"/>
      <c r="AC1056" s="116"/>
    </row>
    <row r="1057" spans="1:29" hidden="1" x14ac:dyDescent="0.3">
      <c r="A1057" s="18" t="s">
        <v>1596</v>
      </c>
      <c r="B1057" s="18" t="s">
        <v>119</v>
      </c>
      <c r="C1057" s="18" t="s">
        <v>2194</v>
      </c>
      <c r="D1057" s="14" t="s">
        <v>545</v>
      </c>
      <c r="E1057" s="18" t="s">
        <v>9</v>
      </c>
      <c r="F1057" s="14" t="s">
        <v>601</v>
      </c>
      <c r="G1057" s="14" t="s">
        <v>546</v>
      </c>
      <c r="H1057" s="18" t="s">
        <v>5</v>
      </c>
      <c r="I1057" s="14" t="s">
        <v>117</v>
      </c>
      <c r="J1057" s="14">
        <v>1</v>
      </c>
      <c r="K1057" s="14" t="s">
        <v>2166</v>
      </c>
      <c r="L1057" s="14"/>
      <c r="M1057" s="14">
        <v>1</v>
      </c>
      <c r="N1057" s="15">
        <v>90000</v>
      </c>
      <c r="O1057" s="15">
        <f t="shared" si="39"/>
        <v>90000</v>
      </c>
      <c r="P1057" s="15"/>
      <c r="Q1057" s="14" t="s">
        <v>520</v>
      </c>
      <c r="R1057" s="21">
        <v>45383</v>
      </c>
      <c r="S1057" s="22" t="str">
        <f>TEXT(Table1[[#This Row],[End Date]],"MMMM")</f>
        <v>April</v>
      </c>
      <c r="T1057" s="23" t="str">
        <f>TEXT(Table1[[#This Row],[End Date]],"YYYY")</f>
        <v>2024</v>
      </c>
      <c r="U1057" s="24">
        <f t="shared" ca="1" si="40"/>
        <v>-250</v>
      </c>
      <c r="V1057" s="14" t="str" cm="1">
        <f t="array" aca="1" ref="V1057" ca="1">_xlfn.IFS(Table1[[#This Row],[Agreement Days]]&gt;=0,"Expired",Table1[[#This Row],[Agreement Days]]&gt;=-30,"Expires &lt; 30 Days",Table1[[#This Row],[Agreement Days]]&gt;=-60,"Expires &lt; 60 Days",Table1[[#This Row],[Agreement Days]]&lt;-60,"Valid Contract")</f>
        <v>Valid Contract</v>
      </c>
      <c r="W1057" s="14" t="s">
        <v>13</v>
      </c>
      <c r="X1057" s="14" t="s">
        <v>1599</v>
      </c>
      <c r="Y1057" s="16" t="s">
        <v>1600</v>
      </c>
      <c r="Z1057" s="17">
        <v>788315241</v>
      </c>
      <c r="AA1057" s="17"/>
      <c r="AB1057" s="116"/>
      <c r="AC1057" s="116"/>
    </row>
    <row r="1058" spans="1:29" hidden="1" x14ac:dyDescent="0.3">
      <c r="A1058" s="18" t="s">
        <v>1596</v>
      </c>
      <c r="B1058" s="18" t="s">
        <v>119</v>
      </c>
      <c r="C1058" s="18" t="s">
        <v>2195</v>
      </c>
      <c r="D1058" s="14" t="s">
        <v>545</v>
      </c>
      <c r="E1058" s="18" t="s">
        <v>9</v>
      </c>
      <c r="F1058" s="14" t="s">
        <v>601</v>
      </c>
      <c r="G1058" s="14" t="s">
        <v>546</v>
      </c>
      <c r="H1058" s="18" t="s">
        <v>5</v>
      </c>
      <c r="I1058" s="14" t="s">
        <v>117</v>
      </c>
      <c r="J1058" s="14">
        <v>1</v>
      </c>
      <c r="K1058" s="14" t="s">
        <v>2166</v>
      </c>
      <c r="L1058" s="14"/>
      <c r="M1058" s="14">
        <v>1</v>
      </c>
      <c r="N1058" s="15">
        <v>90000</v>
      </c>
      <c r="O1058" s="15">
        <f t="shared" si="39"/>
        <v>90000</v>
      </c>
      <c r="P1058" s="15"/>
      <c r="Q1058" s="14" t="s">
        <v>520</v>
      </c>
      <c r="R1058" s="21">
        <v>45383</v>
      </c>
      <c r="S1058" s="22" t="str">
        <f>TEXT(Table1[[#This Row],[End Date]],"MMMM")</f>
        <v>April</v>
      </c>
      <c r="T1058" s="23" t="str">
        <f>TEXT(Table1[[#This Row],[End Date]],"YYYY")</f>
        <v>2024</v>
      </c>
      <c r="U1058" s="24">
        <f t="shared" ca="1" si="40"/>
        <v>-250</v>
      </c>
      <c r="V1058" s="14" t="str" cm="1">
        <f t="array" aca="1" ref="V1058" ca="1">_xlfn.IFS(Table1[[#This Row],[Agreement Days]]&gt;=0,"Expired",Table1[[#This Row],[Agreement Days]]&gt;=-30,"Expires &lt; 30 Days",Table1[[#This Row],[Agreement Days]]&gt;=-60,"Expires &lt; 60 Days",Table1[[#This Row],[Agreement Days]]&lt;-60,"Valid Contract")</f>
        <v>Valid Contract</v>
      </c>
      <c r="W1058" s="14" t="s">
        <v>13</v>
      </c>
      <c r="X1058" s="14" t="s">
        <v>1599</v>
      </c>
      <c r="Y1058" s="16" t="s">
        <v>1600</v>
      </c>
      <c r="Z1058" s="17">
        <v>788315241</v>
      </c>
      <c r="AA1058" s="17"/>
      <c r="AB1058" s="116"/>
      <c r="AC1058" s="116"/>
    </row>
    <row r="1059" spans="1:29" hidden="1" x14ac:dyDescent="0.3">
      <c r="A1059" s="18" t="s">
        <v>1596</v>
      </c>
      <c r="B1059" s="18" t="s">
        <v>119</v>
      </c>
      <c r="C1059" s="18" t="s">
        <v>2196</v>
      </c>
      <c r="D1059" s="14" t="s">
        <v>616</v>
      </c>
      <c r="E1059" s="18" t="s">
        <v>9</v>
      </c>
      <c r="F1059" s="14" t="s">
        <v>601</v>
      </c>
      <c r="G1059" s="14" t="s">
        <v>546</v>
      </c>
      <c r="H1059" s="18" t="s">
        <v>5</v>
      </c>
      <c r="I1059" s="14" t="s">
        <v>117</v>
      </c>
      <c r="J1059" s="14">
        <v>3</v>
      </c>
      <c r="K1059" s="14" t="s">
        <v>2187</v>
      </c>
      <c r="L1059" s="14"/>
      <c r="M1059" s="14">
        <v>1</v>
      </c>
      <c r="N1059" s="15">
        <v>180000</v>
      </c>
      <c r="O1059" s="15">
        <f t="shared" si="39"/>
        <v>180000</v>
      </c>
      <c r="P1059" s="15"/>
      <c r="Q1059" s="14" t="s">
        <v>520</v>
      </c>
      <c r="R1059" s="21">
        <v>45383</v>
      </c>
      <c r="S1059" s="22" t="str">
        <f>TEXT(Table1[[#This Row],[End Date]],"MMMM")</f>
        <v>April</v>
      </c>
      <c r="T1059" s="23" t="str">
        <f>TEXT(Table1[[#This Row],[End Date]],"YYYY")</f>
        <v>2024</v>
      </c>
      <c r="U1059" s="24">
        <f t="shared" ca="1" si="40"/>
        <v>-250</v>
      </c>
      <c r="V1059" s="14" t="str" cm="1">
        <f t="array" aca="1" ref="V1059" ca="1">_xlfn.IFS(Table1[[#This Row],[Agreement Days]]&gt;=0,"Expired",Table1[[#This Row],[Agreement Days]]&gt;=-30,"Expires &lt; 30 Days",Table1[[#This Row],[Agreement Days]]&gt;=-60,"Expires &lt; 60 Days",Table1[[#This Row],[Agreement Days]]&lt;-60,"Valid Contract")</f>
        <v>Valid Contract</v>
      </c>
      <c r="W1059" s="14" t="s">
        <v>13</v>
      </c>
      <c r="X1059" s="14" t="s">
        <v>1599</v>
      </c>
      <c r="Y1059" s="16" t="s">
        <v>1600</v>
      </c>
      <c r="Z1059" s="17">
        <v>788315241</v>
      </c>
      <c r="AA1059" s="17"/>
      <c r="AB1059" s="116"/>
      <c r="AC1059" s="116"/>
    </row>
    <row r="1060" spans="1:29" hidden="1" x14ac:dyDescent="0.3">
      <c r="A1060" s="18" t="s">
        <v>1596</v>
      </c>
      <c r="B1060" s="18" t="s">
        <v>119</v>
      </c>
      <c r="C1060" s="18" t="s">
        <v>2197</v>
      </c>
      <c r="D1060" s="14" t="s">
        <v>761</v>
      </c>
      <c r="E1060" s="18" t="s">
        <v>9</v>
      </c>
      <c r="F1060" s="14" t="s">
        <v>601</v>
      </c>
      <c r="G1060" s="14" t="s">
        <v>546</v>
      </c>
      <c r="H1060" s="18" t="s">
        <v>5</v>
      </c>
      <c r="I1060" s="14" t="s">
        <v>117</v>
      </c>
      <c r="J1060" s="14">
        <v>3</v>
      </c>
      <c r="K1060" s="14" t="s">
        <v>2187</v>
      </c>
      <c r="L1060" s="14"/>
      <c r="M1060" s="14">
        <v>1</v>
      </c>
      <c r="N1060" s="15">
        <v>180000</v>
      </c>
      <c r="O1060" s="15">
        <f t="shared" si="39"/>
        <v>180000</v>
      </c>
      <c r="P1060" s="15"/>
      <c r="Q1060" s="14" t="s">
        <v>520</v>
      </c>
      <c r="R1060" s="21">
        <v>45383</v>
      </c>
      <c r="S1060" s="22" t="str">
        <f>TEXT(Table1[[#This Row],[End Date]],"MMMM")</f>
        <v>April</v>
      </c>
      <c r="T1060" s="23" t="str">
        <f>TEXT(Table1[[#This Row],[End Date]],"YYYY")</f>
        <v>2024</v>
      </c>
      <c r="U1060" s="24">
        <f t="shared" ca="1" si="40"/>
        <v>-250</v>
      </c>
      <c r="V1060" s="14" t="str" cm="1">
        <f t="array" aca="1" ref="V1060" ca="1">_xlfn.IFS(Table1[[#This Row],[Agreement Days]]&gt;=0,"Expired",Table1[[#This Row],[Agreement Days]]&gt;=-30,"Expires &lt; 30 Days",Table1[[#This Row],[Agreement Days]]&gt;=-60,"Expires &lt; 60 Days",Table1[[#This Row],[Agreement Days]]&lt;-60,"Valid Contract")</f>
        <v>Valid Contract</v>
      </c>
      <c r="W1060" s="14" t="s">
        <v>13</v>
      </c>
      <c r="X1060" s="14" t="s">
        <v>1599</v>
      </c>
      <c r="Y1060" s="16" t="s">
        <v>1600</v>
      </c>
      <c r="Z1060" s="17">
        <v>788315241</v>
      </c>
      <c r="AA1060" s="17"/>
      <c r="AB1060" s="116"/>
      <c r="AC1060" s="116"/>
    </row>
    <row r="1061" spans="1:29" hidden="1" x14ac:dyDescent="0.3">
      <c r="A1061" s="18" t="s">
        <v>1596</v>
      </c>
      <c r="B1061" s="18" t="s">
        <v>119</v>
      </c>
      <c r="C1061" s="18" t="s">
        <v>2198</v>
      </c>
      <c r="D1061" s="14" t="s">
        <v>619</v>
      </c>
      <c r="E1061" s="18" t="s">
        <v>9</v>
      </c>
      <c r="F1061" s="14" t="s">
        <v>601</v>
      </c>
      <c r="G1061" s="14" t="s">
        <v>546</v>
      </c>
      <c r="H1061" s="18" t="s">
        <v>5</v>
      </c>
      <c r="I1061" s="14" t="s">
        <v>117</v>
      </c>
      <c r="J1061" s="14">
        <v>3</v>
      </c>
      <c r="K1061" s="14" t="s">
        <v>2187</v>
      </c>
      <c r="L1061" s="14"/>
      <c r="M1061" s="14">
        <v>1</v>
      </c>
      <c r="N1061" s="15">
        <v>180000</v>
      </c>
      <c r="O1061" s="15">
        <f t="shared" si="39"/>
        <v>180000</v>
      </c>
      <c r="P1061" s="15"/>
      <c r="Q1061" s="14" t="s">
        <v>520</v>
      </c>
      <c r="R1061" s="21">
        <v>45383</v>
      </c>
      <c r="S1061" s="22" t="str">
        <f>TEXT(Table1[[#This Row],[End Date]],"MMMM")</f>
        <v>April</v>
      </c>
      <c r="T1061" s="23" t="str">
        <f>TEXT(Table1[[#This Row],[End Date]],"YYYY")</f>
        <v>2024</v>
      </c>
      <c r="U1061" s="24">
        <f t="shared" ca="1" si="40"/>
        <v>-250</v>
      </c>
      <c r="V1061" s="14" t="str" cm="1">
        <f t="array" aca="1" ref="V1061" ca="1">_xlfn.IFS(Table1[[#This Row],[Agreement Days]]&gt;=0,"Expired",Table1[[#This Row],[Agreement Days]]&gt;=-30,"Expires &lt; 30 Days",Table1[[#This Row],[Agreement Days]]&gt;=-60,"Expires &lt; 60 Days",Table1[[#This Row],[Agreement Days]]&lt;-60,"Valid Contract")</f>
        <v>Valid Contract</v>
      </c>
      <c r="W1061" s="14" t="s">
        <v>13</v>
      </c>
      <c r="X1061" s="14" t="s">
        <v>1599</v>
      </c>
      <c r="Y1061" s="16" t="s">
        <v>1600</v>
      </c>
      <c r="Z1061" s="17">
        <v>788315241</v>
      </c>
      <c r="AA1061" s="17"/>
      <c r="AB1061" s="116"/>
      <c r="AC1061" s="116"/>
    </row>
    <row r="1062" spans="1:29" hidden="1" x14ac:dyDescent="0.3">
      <c r="A1062" s="18" t="s">
        <v>1596</v>
      </c>
      <c r="B1062" s="18" t="s">
        <v>119</v>
      </c>
      <c r="C1062" s="18" t="s">
        <v>2199</v>
      </c>
      <c r="D1062" s="14" t="s">
        <v>873</v>
      </c>
      <c r="E1062" s="18" t="s">
        <v>9</v>
      </c>
      <c r="F1062" s="14" t="s">
        <v>601</v>
      </c>
      <c r="G1062" s="14" t="s">
        <v>546</v>
      </c>
      <c r="H1062" s="18" t="s">
        <v>5</v>
      </c>
      <c r="I1062" s="14" t="s">
        <v>117</v>
      </c>
      <c r="J1062" s="14">
        <v>3</v>
      </c>
      <c r="K1062" s="14" t="s">
        <v>2187</v>
      </c>
      <c r="L1062" s="14"/>
      <c r="M1062" s="14">
        <v>1</v>
      </c>
      <c r="N1062" s="15">
        <v>180000</v>
      </c>
      <c r="O1062" s="15">
        <f t="shared" si="39"/>
        <v>180000</v>
      </c>
      <c r="P1062" s="15"/>
      <c r="Q1062" s="14" t="s">
        <v>520</v>
      </c>
      <c r="R1062" s="21">
        <v>45383</v>
      </c>
      <c r="S1062" s="22" t="str">
        <f>TEXT(Table1[[#This Row],[End Date]],"MMMM")</f>
        <v>April</v>
      </c>
      <c r="T1062" s="23" t="str">
        <f>TEXT(Table1[[#This Row],[End Date]],"YYYY")</f>
        <v>2024</v>
      </c>
      <c r="U1062" s="24">
        <f t="shared" ca="1" si="40"/>
        <v>-250</v>
      </c>
      <c r="V1062" s="14" t="str" cm="1">
        <f t="array" aca="1" ref="V1062" ca="1">_xlfn.IFS(Table1[[#This Row],[Agreement Days]]&gt;=0,"Expired",Table1[[#This Row],[Agreement Days]]&gt;=-30,"Expires &lt; 30 Days",Table1[[#This Row],[Agreement Days]]&gt;=-60,"Expires &lt; 60 Days",Table1[[#This Row],[Agreement Days]]&lt;-60,"Valid Contract")</f>
        <v>Valid Contract</v>
      </c>
      <c r="W1062" s="14" t="s">
        <v>13</v>
      </c>
      <c r="X1062" s="14" t="s">
        <v>1599</v>
      </c>
      <c r="Y1062" s="16" t="s">
        <v>1600</v>
      </c>
      <c r="Z1062" s="17">
        <v>788315241</v>
      </c>
      <c r="AA1062" s="17"/>
      <c r="AB1062" s="116"/>
      <c r="AC1062" s="116"/>
    </row>
    <row r="1063" spans="1:29" hidden="1" x14ac:dyDescent="0.3">
      <c r="A1063" s="18" t="s">
        <v>1596</v>
      </c>
      <c r="B1063" s="18" t="s">
        <v>119</v>
      </c>
      <c r="C1063" s="18" t="s">
        <v>2200</v>
      </c>
      <c r="D1063" s="14" t="s">
        <v>875</v>
      </c>
      <c r="E1063" s="18" t="s">
        <v>9</v>
      </c>
      <c r="F1063" s="14" t="s">
        <v>601</v>
      </c>
      <c r="G1063" s="14" t="s">
        <v>546</v>
      </c>
      <c r="H1063" s="18" t="s">
        <v>5</v>
      </c>
      <c r="I1063" s="14" t="s">
        <v>117</v>
      </c>
      <c r="J1063" s="14">
        <v>3</v>
      </c>
      <c r="K1063" s="14" t="s">
        <v>2187</v>
      </c>
      <c r="L1063" s="14"/>
      <c r="M1063" s="14">
        <v>1</v>
      </c>
      <c r="N1063" s="15">
        <v>180000</v>
      </c>
      <c r="O1063" s="15">
        <f t="shared" si="39"/>
        <v>180000</v>
      </c>
      <c r="P1063" s="15"/>
      <c r="Q1063" s="14" t="s">
        <v>520</v>
      </c>
      <c r="R1063" s="21">
        <v>45383</v>
      </c>
      <c r="S1063" s="22" t="str">
        <f>TEXT(Table1[[#This Row],[End Date]],"MMMM")</f>
        <v>April</v>
      </c>
      <c r="T1063" s="23" t="str">
        <f>TEXT(Table1[[#This Row],[End Date]],"YYYY")</f>
        <v>2024</v>
      </c>
      <c r="U1063" s="24">
        <f t="shared" ca="1" si="40"/>
        <v>-250</v>
      </c>
      <c r="V1063" s="14" t="str" cm="1">
        <f t="array" aca="1" ref="V1063" ca="1">_xlfn.IFS(Table1[[#This Row],[Agreement Days]]&gt;=0,"Expired",Table1[[#This Row],[Agreement Days]]&gt;=-30,"Expires &lt; 30 Days",Table1[[#This Row],[Agreement Days]]&gt;=-60,"Expires &lt; 60 Days",Table1[[#This Row],[Agreement Days]]&lt;-60,"Valid Contract")</f>
        <v>Valid Contract</v>
      </c>
      <c r="W1063" s="14" t="s">
        <v>13</v>
      </c>
      <c r="X1063" s="14" t="s">
        <v>1599</v>
      </c>
      <c r="Y1063" s="16" t="s">
        <v>1600</v>
      </c>
      <c r="Z1063" s="17">
        <v>788315241</v>
      </c>
      <c r="AA1063" s="17"/>
      <c r="AB1063" s="116"/>
      <c r="AC1063" s="116"/>
    </row>
    <row r="1064" spans="1:29" hidden="1" x14ac:dyDescent="0.3">
      <c r="A1064" s="18" t="s">
        <v>1596</v>
      </c>
      <c r="B1064" s="18" t="s">
        <v>119</v>
      </c>
      <c r="C1064" s="18" t="s">
        <v>2201</v>
      </c>
      <c r="D1064" s="14" t="s">
        <v>946</v>
      </c>
      <c r="E1064" s="18" t="s">
        <v>9</v>
      </c>
      <c r="F1064" s="14" t="s">
        <v>601</v>
      </c>
      <c r="G1064" s="14" t="s">
        <v>546</v>
      </c>
      <c r="H1064" s="18" t="s">
        <v>5</v>
      </c>
      <c r="I1064" s="14" t="s">
        <v>117</v>
      </c>
      <c r="J1064" s="14">
        <v>3</v>
      </c>
      <c r="K1064" s="14" t="s">
        <v>2187</v>
      </c>
      <c r="L1064" s="14"/>
      <c r="M1064" s="14">
        <v>1</v>
      </c>
      <c r="N1064" s="15">
        <v>180000</v>
      </c>
      <c r="O1064" s="15">
        <f t="shared" si="39"/>
        <v>180000</v>
      </c>
      <c r="P1064" s="15"/>
      <c r="Q1064" s="14" t="s">
        <v>520</v>
      </c>
      <c r="R1064" s="21">
        <v>45383</v>
      </c>
      <c r="S1064" s="22" t="str">
        <f>TEXT(Table1[[#This Row],[End Date]],"MMMM")</f>
        <v>April</v>
      </c>
      <c r="T1064" s="23" t="str">
        <f>TEXT(Table1[[#This Row],[End Date]],"YYYY")</f>
        <v>2024</v>
      </c>
      <c r="U1064" s="24">
        <f t="shared" ca="1" si="40"/>
        <v>-250</v>
      </c>
      <c r="V1064" s="14" t="str" cm="1">
        <f t="array" aca="1" ref="V1064" ca="1">_xlfn.IFS(Table1[[#This Row],[Agreement Days]]&gt;=0,"Expired",Table1[[#This Row],[Agreement Days]]&gt;=-30,"Expires &lt; 30 Days",Table1[[#This Row],[Agreement Days]]&gt;=-60,"Expires &lt; 60 Days",Table1[[#This Row],[Agreement Days]]&lt;-60,"Valid Contract")</f>
        <v>Valid Contract</v>
      </c>
      <c r="W1064" s="14" t="s">
        <v>13</v>
      </c>
      <c r="X1064" s="14" t="s">
        <v>1599</v>
      </c>
      <c r="Y1064" s="16" t="s">
        <v>1600</v>
      </c>
      <c r="Z1064" s="17">
        <v>788315241</v>
      </c>
      <c r="AA1064" s="17"/>
      <c r="AB1064" s="116"/>
      <c r="AC1064" s="116"/>
    </row>
    <row r="1065" spans="1:29" hidden="1" x14ac:dyDescent="0.3">
      <c r="A1065" s="18" t="s">
        <v>1596</v>
      </c>
      <c r="B1065" s="18" t="s">
        <v>119</v>
      </c>
      <c r="C1065" s="18" t="s">
        <v>2202</v>
      </c>
      <c r="D1065" s="14" t="s">
        <v>653</v>
      </c>
      <c r="E1065" s="18" t="s">
        <v>9</v>
      </c>
      <c r="F1065" s="14" t="s">
        <v>601</v>
      </c>
      <c r="G1065" s="14" t="s">
        <v>546</v>
      </c>
      <c r="H1065" s="18" t="s">
        <v>5</v>
      </c>
      <c r="I1065" s="14" t="s">
        <v>117</v>
      </c>
      <c r="J1065" s="14">
        <v>3</v>
      </c>
      <c r="K1065" s="14" t="s">
        <v>2187</v>
      </c>
      <c r="L1065" s="14"/>
      <c r="M1065" s="14">
        <v>1</v>
      </c>
      <c r="N1065" s="15">
        <v>180000</v>
      </c>
      <c r="O1065" s="15">
        <f t="shared" si="39"/>
        <v>180000</v>
      </c>
      <c r="P1065" s="15"/>
      <c r="Q1065" s="14" t="s">
        <v>520</v>
      </c>
      <c r="R1065" s="21">
        <v>45383</v>
      </c>
      <c r="S1065" s="22" t="str">
        <f>TEXT(Table1[[#This Row],[End Date]],"MMMM")</f>
        <v>April</v>
      </c>
      <c r="T1065" s="23" t="str">
        <f>TEXT(Table1[[#This Row],[End Date]],"YYYY")</f>
        <v>2024</v>
      </c>
      <c r="U1065" s="24">
        <f t="shared" ca="1" si="40"/>
        <v>-250</v>
      </c>
      <c r="V1065" s="14" t="str" cm="1">
        <f t="array" aca="1" ref="V1065" ca="1">_xlfn.IFS(Table1[[#This Row],[Agreement Days]]&gt;=0,"Expired",Table1[[#This Row],[Agreement Days]]&gt;=-30,"Expires &lt; 30 Days",Table1[[#This Row],[Agreement Days]]&gt;=-60,"Expires &lt; 60 Days",Table1[[#This Row],[Agreement Days]]&lt;-60,"Valid Contract")</f>
        <v>Valid Contract</v>
      </c>
      <c r="W1065" s="14" t="s">
        <v>13</v>
      </c>
      <c r="X1065" s="14" t="s">
        <v>1599</v>
      </c>
      <c r="Y1065" s="16" t="s">
        <v>1600</v>
      </c>
      <c r="Z1065" s="17">
        <v>788315241</v>
      </c>
      <c r="AA1065" s="17"/>
      <c r="AB1065" s="116"/>
      <c r="AC1065" s="116"/>
    </row>
    <row r="1066" spans="1:29" hidden="1" x14ac:dyDescent="0.3">
      <c r="A1066" s="18" t="s">
        <v>1596</v>
      </c>
      <c r="B1066" s="18" t="s">
        <v>119</v>
      </c>
      <c r="C1066" s="18" t="s">
        <v>2203</v>
      </c>
      <c r="D1066" s="14" t="s">
        <v>769</v>
      </c>
      <c r="E1066" s="18" t="s">
        <v>9</v>
      </c>
      <c r="F1066" s="14" t="s">
        <v>601</v>
      </c>
      <c r="G1066" s="14" t="s">
        <v>546</v>
      </c>
      <c r="H1066" s="18" t="s">
        <v>5</v>
      </c>
      <c r="I1066" s="14" t="s">
        <v>117</v>
      </c>
      <c r="J1066" s="14">
        <v>1</v>
      </c>
      <c r="K1066" s="14" t="s">
        <v>2166</v>
      </c>
      <c r="L1066" s="14"/>
      <c r="M1066" s="14">
        <v>1</v>
      </c>
      <c r="N1066" s="15">
        <v>90000</v>
      </c>
      <c r="O1066" s="15">
        <f t="shared" si="39"/>
        <v>90000</v>
      </c>
      <c r="P1066" s="15"/>
      <c r="Q1066" s="14" t="s">
        <v>520</v>
      </c>
      <c r="R1066" s="21">
        <v>45383</v>
      </c>
      <c r="S1066" s="22" t="str">
        <f>TEXT(Table1[[#This Row],[End Date]],"MMMM")</f>
        <v>April</v>
      </c>
      <c r="T1066" s="23" t="str">
        <f>TEXT(Table1[[#This Row],[End Date]],"YYYY")</f>
        <v>2024</v>
      </c>
      <c r="U1066" s="24">
        <f t="shared" ca="1" si="40"/>
        <v>-250</v>
      </c>
      <c r="V1066" s="14" t="str" cm="1">
        <f t="array" aca="1" ref="V1066" ca="1">_xlfn.IFS(Table1[[#This Row],[Agreement Days]]&gt;=0,"Expired",Table1[[#This Row],[Agreement Days]]&gt;=-30,"Expires &lt; 30 Days",Table1[[#This Row],[Agreement Days]]&gt;=-60,"Expires &lt; 60 Days",Table1[[#This Row],[Agreement Days]]&lt;-60,"Valid Contract")</f>
        <v>Valid Contract</v>
      </c>
      <c r="W1066" s="14" t="s">
        <v>13</v>
      </c>
      <c r="X1066" s="14" t="s">
        <v>1599</v>
      </c>
      <c r="Y1066" s="16" t="s">
        <v>1600</v>
      </c>
      <c r="Z1066" s="17">
        <v>788315241</v>
      </c>
      <c r="AA1066" s="17"/>
      <c r="AB1066" s="116"/>
      <c r="AC1066" s="116"/>
    </row>
    <row r="1067" spans="1:29" hidden="1" x14ac:dyDescent="0.3">
      <c r="A1067" s="18" t="s">
        <v>1596</v>
      </c>
      <c r="B1067" s="18" t="s">
        <v>119</v>
      </c>
      <c r="C1067" s="18" t="s">
        <v>2204</v>
      </c>
      <c r="D1067" s="14" t="s">
        <v>579</v>
      </c>
      <c r="E1067" s="18" t="s">
        <v>9</v>
      </c>
      <c r="F1067" s="14" t="s">
        <v>601</v>
      </c>
      <c r="G1067" s="14" t="s">
        <v>546</v>
      </c>
      <c r="H1067" s="18" t="s">
        <v>5</v>
      </c>
      <c r="I1067" s="14" t="s">
        <v>117</v>
      </c>
      <c r="J1067" s="14">
        <v>3</v>
      </c>
      <c r="K1067" s="14" t="s">
        <v>2187</v>
      </c>
      <c r="L1067" s="14"/>
      <c r="M1067" s="14">
        <v>1</v>
      </c>
      <c r="N1067" s="15">
        <v>180000</v>
      </c>
      <c r="O1067" s="15">
        <f t="shared" si="39"/>
        <v>180000</v>
      </c>
      <c r="P1067" s="15"/>
      <c r="Q1067" s="14" t="s">
        <v>520</v>
      </c>
      <c r="R1067" s="21">
        <v>45383</v>
      </c>
      <c r="S1067" s="22" t="str">
        <f>TEXT(Table1[[#This Row],[End Date]],"MMMM")</f>
        <v>April</v>
      </c>
      <c r="T1067" s="23" t="str">
        <f>TEXT(Table1[[#This Row],[End Date]],"YYYY")</f>
        <v>2024</v>
      </c>
      <c r="U1067" s="24">
        <f t="shared" ca="1" si="40"/>
        <v>-250</v>
      </c>
      <c r="V1067" s="14" t="str" cm="1">
        <f t="array" aca="1" ref="V1067" ca="1">_xlfn.IFS(Table1[[#This Row],[Agreement Days]]&gt;=0,"Expired",Table1[[#This Row],[Agreement Days]]&gt;=-30,"Expires &lt; 30 Days",Table1[[#This Row],[Agreement Days]]&gt;=-60,"Expires &lt; 60 Days",Table1[[#This Row],[Agreement Days]]&lt;-60,"Valid Contract")</f>
        <v>Valid Contract</v>
      </c>
      <c r="W1067" s="14" t="s">
        <v>13</v>
      </c>
      <c r="X1067" s="14" t="s">
        <v>1599</v>
      </c>
      <c r="Y1067" s="16" t="s">
        <v>1600</v>
      </c>
      <c r="Z1067" s="17">
        <v>788315241</v>
      </c>
      <c r="AA1067" s="17"/>
      <c r="AB1067" s="116"/>
      <c r="AC1067" s="116"/>
    </row>
    <row r="1068" spans="1:29" hidden="1" x14ac:dyDescent="0.3">
      <c r="A1068" s="18" t="s">
        <v>1596</v>
      </c>
      <c r="B1068" s="18" t="s">
        <v>119</v>
      </c>
      <c r="C1068" s="18" t="s">
        <v>2205</v>
      </c>
      <c r="D1068" s="14" t="s">
        <v>545</v>
      </c>
      <c r="E1068" s="18" t="s">
        <v>9</v>
      </c>
      <c r="F1068" s="14" t="s">
        <v>601</v>
      </c>
      <c r="G1068" s="14" t="s">
        <v>546</v>
      </c>
      <c r="H1068" s="18" t="s">
        <v>5</v>
      </c>
      <c r="I1068" s="14" t="s">
        <v>117</v>
      </c>
      <c r="J1068" s="14">
        <v>5</v>
      </c>
      <c r="K1068" s="14" t="s">
        <v>2206</v>
      </c>
      <c r="L1068" s="14"/>
      <c r="M1068" s="14">
        <v>1</v>
      </c>
      <c r="N1068" s="15">
        <v>270000</v>
      </c>
      <c r="O1068" s="15">
        <f t="shared" si="39"/>
        <v>270000</v>
      </c>
      <c r="P1068" s="15"/>
      <c r="Q1068" s="14" t="s">
        <v>520</v>
      </c>
      <c r="R1068" s="21">
        <v>45383</v>
      </c>
      <c r="S1068" s="22" t="str">
        <f>TEXT(Table1[[#This Row],[End Date]],"MMMM")</f>
        <v>April</v>
      </c>
      <c r="T1068" s="23" t="str">
        <f>TEXT(Table1[[#This Row],[End Date]],"YYYY")</f>
        <v>2024</v>
      </c>
      <c r="U1068" s="24">
        <f t="shared" ca="1" si="40"/>
        <v>-250</v>
      </c>
      <c r="V1068" s="14" t="str" cm="1">
        <f t="array" aca="1" ref="V1068" ca="1">_xlfn.IFS(Table1[[#This Row],[Agreement Days]]&gt;=0,"Expired",Table1[[#This Row],[Agreement Days]]&gt;=-30,"Expires &lt; 30 Days",Table1[[#This Row],[Agreement Days]]&gt;=-60,"Expires &lt; 60 Days",Table1[[#This Row],[Agreement Days]]&lt;-60,"Valid Contract")</f>
        <v>Valid Contract</v>
      </c>
      <c r="W1068" s="14" t="s">
        <v>13</v>
      </c>
      <c r="X1068" s="14" t="s">
        <v>1599</v>
      </c>
      <c r="Y1068" s="16" t="s">
        <v>1600</v>
      </c>
      <c r="Z1068" s="17">
        <v>788315241</v>
      </c>
      <c r="AA1068" s="17"/>
      <c r="AB1068" s="116"/>
      <c r="AC1068" s="116"/>
    </row>
    <row r="1069" spans="1:29" hidden="1" x14ac:dyDescent="0.3">
      <c r="A1069" s="18" t="s">
        <v>1596</v>
      </c>
      <c r="B1069" s="18" t="s">
        <v>119</v>
      </c>
      <c r="C1069" s="18" t="s">
        <v>2207</v>
      </c>
      <c r="D1069" s="14" t="s">
        <v>545</v>
      </c>
      <c r="E1069" s="18" t="s">
        <v>9</v>
      </c>
      <c r="F1069" s="14" t="s">
        <v>601</v>
      </c>
      <c r="G1069" s="14" t="s">
        <v>546</v>
      </c>
      <c r="H1069" s="18" t="s">
        <v>5</v>
      </c>
      <c r="I1069" s="14" t="s">
        <v>117</v>
      </c>
      <c r="J1069" s="14">
        <v>10</v>
      </c>
      <c r="K1069" s="18" t="s">
        <v>547</v>
      </c>
      <c r="L1069" s="14"/>
      <c r="M1069" s="14">
        <v>1</v>
      </c>
      <c r="N1069" s="15">
        <v>510000</v>
      </c>
      <c r="O1069" s="15">
        <f t="shared" si="39"/>
        <v>510000</v>
      </c>
      <c r="P1069" s="15"/>
      <c r="Q1069" s="14" t="s">
        <v>520</v>
      </c>
      <c r="R1069" s="21">
        <v>45383</v>
      </c>
      <c r="S1069" s="22" t="str">
        <f>TEXT(Table1[[#This Row],[End Date]],"MMMM")</f>
        <v>April</v>
      </c>
      <c r="T1069" s="23" t="str">
        <f>TEXT(Table1[[#This Row],[End Date]],"YYYY")</f>
        <v>2024</v>
      </c>
      <c r="U1069" s="24">
        <f t="shared" ca="1" si="40"/>
        <v>-250</v>
      </c>
      <c r="V1069" s="14" t="str" cm="1">
        <f t="array" aca="1" ref="V1069" ca="1">_xlfn.IFS(Table1[[#This Row],[Agreement Days]]&gt;=0,"Expired",Table1[[#This Row],[Agreement Days]]&gt;=-30,"Expires &lt; 30 Days",Table1[[#This Row],[Agreement Days]]&gt;=-60,"Expires &lt; 60 Days",Table1[[#This Row],[Agreement Days]]&lt;-60,"Valid Contract")</f>
        <v>Valid Contract</v>
      </c>
      <c r="W1069" s="14" t="s">
        <v>13</v>
      </c>
      <c r="X1069" s="14" t="s">
        <v>1599</v>
      </c>
      <c r="Y1069" s="16" t="s">
        <v>1600</v>
      </c>
      <c r="Z1069" s="17">
        <v>788315241</v>
      </c>
      <c r="AA1069" s="17"/>
      <c r="AB1069" s="116"/>
      <c r="AC1069" s="116"/>
    </row>
    <row r="1070" spans="1:29" hidden="1" x14ac:dyDescent="0.3">
      <c r="A1070" s="18" t="s">
        <v>1596</v>
      </c>
      <c r="B1070" s="18" t="s">
        <v>119</v>
      </c>
      <c r="C1070" s="18" t="s">
        <v>2208</v>
      </c>
      <c r="D1070" s="14" t="s">
        <v>545</v>
      </c>
      <c r="E1070" s="18" t="s">
        <v>9</v>
      </c>
      <c r="F1070" s="14" t="s">
        <v>601</v>
      </c>
      <c r="G1070" s="14" t="s">
        <v>546</v>
      </c>
      <c r="H1070" s="18" t="s">
        <v>5</v>
      </c>
      <c r="I1070" s="14" t="s">
        <v>117</v>
      </c>
      <c r="J1070" s="14">
        <v>5</v>
      </c>
      <c r="K1070" s="14" t="s">
        <v>2209</v>
      </c>
      <c r="L1070" s="14"/>
      <c r="M1070" s="14">
        <v>1</v>
      </c>
      <c r="N1070" s="15">
        <v>270000</v>
      </c>
      <c r="O1070" s="15">
        <f t="shared" si="39"/>
        <v>270000</v>
      </c>
      <c r="P1070" s="15"/>
      <c r="Q1070" s="14" t="s">
        <v>520</v>
      </c>
      <c r="R1070" s="21">
        <v>45383</v>
      </c>
      <c r="S1070" s="22" t="str">
        <f>TEXT(Table1[[#This Row],[End Date]],"MMMM")</f>
        <v>April</v>
      </c>
      <c r="T1070" s="23" t="str">
        <f>TEXT(Table1[[#This Row],[End Date]],"YYYY")</f>
        <v>2024</v>
      </c>
      <c r="U1070" s="24">
        <f t="shared" ca="1" si="40"/>
        <v>-250</v>
      </c>
      <c r="V1070" s="14" t="str" cm="1">
        <f t="array" aca="1" ref="V1070" ca="1">_xlfn.IFS(Table1[[#This Row],[Agreement Days]]&gt;=0,"Expired",Table1[[#This Row],[Agreement Days]]&gt;=-30,"Expires &lt; 30 Days",Table1[[#This Row],[Agreement Days]]&gt;=-60,"Expires &lt; 60 Days",Table1[[#This Row],[Agreement Days]]&lt;-60,"Valid Contract")</f>
        <v>Valid Contract</v>
      </c>
      <c r="W1070" s="14" t="s">
        <v>13</v>
      </c>
      <c r="X1070" s="14" t="s">
        <v>1599</v>
      </c>
      <c r="Y1070" s="16" t="s">
        <v>1600</v>
      </c>
      <c r="Z1070" s="17">
        <v>788315241</v>
      </c>
      <c r="AA1070" s="17"/>
      <c r="AB1070" s="116"/>
      <c r="AC1070" s="116"/>
    </row>
    <row r="1071" spans="1:29" hidden="1" x14ac:dyDescent="0.3">
      <c r="A1071" s="18" t="s">
        <v>1596</v>
      </c>
      <c r="B1071" s="18" t="s">
        <v>119</v>
      </c>
      <c r="C1071" s="18" t="s">
        <v>2210</v>
      </c>
      <c r="D1071" s="14" t="s">
        <v>545</v>
      </c>
      <c r="E1071" s="18" t="s">
        <v>9</v>
      </c>
      <c r="F1071" s="14" t="s">
        <v>601</v>
      </c>
      <c r="G1071" s="14" t="s">
        <v>546</v>
      </c>
      <c r="H1071" s="18" t="s">
        <v>5</v>
      </c>
      <c r="I1071" s="14" t="s">
        <v>117</v>
      </c>
      <c r="J1071" s="14">
        <v>5</v>
      </c>
      <c r="K1071" s="14" t="s">
        <v>2211</v>
      </c>
      <c r="L1071" s="14"/>
      <c r="M1071" s="14">
        <v>1</v>
      </c>
      <c r="N1071" s="15">
        <v>270000</v>
      </c>
      <c r="O1071" s="15">
        <f t="shared" si="39"/>
        <v>270000</v>
      </c>
      <c r="P1071" s="15"/>
      <c r="Q1071" s="14" t="s">
        <v>520</v>
      </c>
      <c r="R1071" s="21">
        <v>45383</v>
      </c>
      <c r="S1071" s="22" t="str">
        <f>TEXT(Table1[[#This Row],[End Date]],"MMMM")</f>
        <v>April</v>
      </c>
      <c r="T1071" s="23" t="str">
        <f>TEXT(Table1[[#This Row],[End Date]],"YYYY")</f>
        <v>2024</v>
      </c>
      <c r="U1071" s="24">
        <f t="shared" ca="1" si="40"/>
        <v>-250</v>
      </c>
      <c r="V1071" s="14" t="str" cm="1">
        <f t="array" aca="1" ref="V1071" ca="1">_xlfn.IFS(Table1[[#This Row],[Agreement Days]]&gt;=0,"Expired",Table1[[#This Row],[Agreement Days]]&gt;=-30,"Expires &lt; 30 Days",Table1[[#This Row],[Agreement Days]]&gt;=-60,"Expires &lt; 60 Days",Table1[[#This Row],[Agreement Days]]&lt;-60,"Valid Contract")</f>
        <v>Valid Contract</v>
      </c>
      <c r="W1071" s="14" t="s">
        <v>13</v>
      </c>
      <c r="X1071" s="14" t="s">
        <v>1599</v>
      </c>
      <c r="Y1071" s="16" t="s">
        <v>1600</v>
      </c>
      <c r="Z1071" s="17">
        <v>788315241</v>
      </c>
      <c r="AA1071" s="17"/>
      <c r="AB1071" s="116"/>
      <c r="AC1071" s="116"/>
    </row>
    <row r="1072" spans="1:29" hidden="1" x14ac:dyDescent="0.3">
      <c r="A1072" s="18" t="s">
        <v>1596</v>
      </c>
      <c r="B1072" s="18" t="s">
        <v>119</v>
      </c>
      <c r="C1072" s="18" t="s">
        <v>2212</v>
      </c>
      <c r="D1072" s="14" t="s">
        <v>808</v>
      </c>
      <c r="E1072" s="18" t="s">
        <v>9</v>
      </c>
      <c r="F1072" s="14" t="s">
        <v>601</v>
      </c>
      <c r="G1072" s="14" t="s">
        <v>546</v>
      </c>
      <c r="H1072" s="18" t="s">
        <v>5</v>
      </c>
      <c r="I1072" s="14" t="s">
        <v>117</v>
      </c>
      <c r="J1072" s="14">
        <v>5</v>
      </c>
      <c r="K1072" s="14" t="s">
        <v>2213</v>
      </c>
      <c r="L1072" s="14"/>
      <c r="M1072" s="14">
        <v>1</v>
      </c>
      <c r="N1072" s="15">
        <v>270000</v>
      </c>
      <c r="O1072" s="15">
        <f t="shared" si="39"/>
        <v>270000</v>
      </c>
      <c r="P1072" s="15"/>
      <c r="Q1072" s="14" t="s">
        <v>520</v>
      </c>
      <c r="R1072" s="21">
        <v>45383</v>
      </c>
      <c r="S1072" s="22" t="str">
        <f>TEXT(Table1[[#This Row],[End Date]],"MMMM")</f>
        <v>April</v>
      </c>
      <c r="T1072" s="23" t="str">
        <f>TEXT(Table1[[#This Row],[End Date]],"YYYY")</f>
        <v>2024</v>
      </c>
      <c r="U1072" s="24">
        <f t="shared" ca="1" si="40"/>
        <v>-250</v>
      </c>
      <c r="V1072" s="14" t="str" cm="1">
        <f t="array" aca="1" ref="V1072" ca="1">_xlfn.IFS(Table1[[#This Row],[Agreement Days]]&gt;=0,"Expired",Table1[[#This Row],[Agreement Days]]&gt;=-30,"Expires &lt; 30 Days",Table1[[#This Row],[Agreement Days]]&gt;=-60,"Expires &lt; 60 Days",Table1[[#This Row],[Agreement Days]]&lt;-60,"Valid Contract")</f>
        <v>Valid Contract</v>
      </c>
      <c r="W1072" s="14" t="s">
        <v>13</v>
      </c>
      <c r="X1072" s="14" t="s">
        <v>1599</v>
      </c>
      <c r="Y1072" s="16" t="s">
        <v>1600</v>
      </c>
      <c r="Z1072" s="17">
        <v>788315241</v>
      </c>
      <c r="AA1072" s="17"/>
      <c r="AB1072" s="116"/>
      <c r="AC1072" s="116"/>
    </row>
    <row r="1073" spans="1:29" hidden="1" x14ac:dyDescent="0.3">
      <c r="A1073" s="18" t="s">
        <v>1596</v>
      </c>
      <c r="B1073" s="18" t="s">
        <v>119</v>
      </c>
      <c r="C1073" s="18" t="s">
        <v>2214</v>
      </c>
      <c r="D1073" s="14" t="s">
        <v>540</v>
      </c>
      <c r="E1073" s="18" t="s">
        <v>9</v>
      </c>
      <c r="F1073" s="14" t="s">
        <v>601</v>
      </c>
      <c r="G1073" s="14" t="s">
        <v>546</v>
      </c>
      <c r="H1073" s="18" t="s">
        <v>5</v>
      </c>
      <c r="I1073" s="14" t="s">
        <v>117</v>
      </c>
      <c r="J1073" s="14">
        <v>5</v>
      </c>
      <c r="K1073" s="14" t="s">
        <v>2213</v>
      </c>
      <c r="L1073" s="14"/>
      <c r="M1073" s="14">
        <v>1</v>
      </c>
      <c r="N1073" s="15">
        <v>270000</v>
      </c>
      <c r="O1073" s="15">
        <f t="shared" si="39"/>
        <v>270000</v>
      </c>
      <c r="P1073" s="15"/>
      <c r="Q1073" s="14" t="s">
        <v>520</v>
      </c>
      <c r="R1073" s="21">
        <v>45383</v>
      </c>
      <c r="S1073" s="22" t="str">
        <f>TEXT(Table1[[#This Row],[End Date]],"MMMM")</f>
        <v>April</v>
      </c>
      <c r="T1073" s="23" t="str">
        <f>TEXT(Table1[[#This Row],[End Date]],"YYYY")</f>
        <v>2024</v>
      </c>
      <c r="U1073" s="24">
        <f t="shared" ca="1" si="40"/>
        <v>-250</v>
      </c>
      <c r="V1073" s="14" t="str" cm="1">
        <f t="array" aca="1" ref="V1073" ca="1">_xlfn.IFS(Table1[[#This Row],[Agreement Days]]&gt;=0,"Expired",Table1[[#This Row],[Agreement Days]]&gt;=-30,"Expires &lt; 30 Days",Table1[[#This Row],[Agreement Days]]&gt;=-60,"Expires &lt; 60 Days",Table1[[#This Row],[Agreement Days]]&lt;-60,"Valid Contract")</f>
        <v>Valid Contract</v>
      </c>
      <c r="W1073" s="14" t="s">
        <v>13</v>
      </c>
      <c r="X1073" s="14" t="s">
        <v>1599</v>
      </c>
      <c r="Y1073" s="16" t="s">
        <v>1600</v>
      </c>
      <c r="Z1073" s="17">
        <v>788315241</v>
      </c>
      <c r="AA1073" s="17"/>
      <c r="AB1073" s="116"/>
      <c r="AC1073" s="116"/>
    </row>
    <row r="1074" spans="1:29" hidden="1" x14ac:dyDescent="0.3">
      <c r="A1074" s="18" t="s">
        <v>1596</v>
      </c>
      <c r="B1074" s="18" t="s">
        <v>119</v>
      </c>
      <c r="C1074" s="18" t="s">
        <v>2215</v>
      </c>
      <c r="D1074" s="14" t="s">
        <v>540</v>
      </c>
      <c r="E1074" s="18" t="s">
        <v>9</v>
      </c>
      <c r="F1074" s="14" t="s">
        <v>601</v>
      </c>
      <c r="G1074" s="14" t="s">
        <v>546</v>
      </c>
      <c r="H1074" s="18" t="s">
        <v>5</v>
      </c>
      <c r="I1074" s="14" t="s">
        <v>117</v>
      </c>
      <c r="J1074" s="14">
        <v>5</v>
      </c>
      <c r="K1074" s="14" t="s">
        <v>2209</v>
      </c>
      <c r="L1074" s="14"/>
      <c r="M1074" s="14">
        <v>1</v>
      </c>
      <c r="N1074" s="15">
        <v>270000</v>
      </c>
      <c r="O1074" s="15">
        <f t="shared" si="39"/>
        <v>270000</v>
      </c>
      <c r="P1074" s="15"/>
      <c r="Q1074" s="14" t="s">
        <v>520</v>
      </c>
      <c r="R1074" s="21">
        <v>45383</v>
      </c>
      <c r="S1074" s="22" t="str">
        <f>TEXT(Table1[[#This Row],[End Date]],"MMMM")</f>
        <v>April</v>
      </c>
      <c r="T1074" s="23" t="str">
        <f>TEXT(Table1[[#This Row],[End Date]],"YYYY")</f>
        <v>2024</v>
      </c>
      <c r="U1074" s="24">
        <f t="shared" ca="1" si="40"/>
        <v>-250</v>
      </c>
      <c r="V1074" s="14" t="str" cm="1">
        <f t="array" aca="1" ref="V1074" ca="1">_xlfn.IFS(Table1[[#This Row],[Agreement Days]]&gt;=0,"Expired",Table1[[#This Row],[Agreement Days]]&gt;=-30,"Expires &lt; 30 Days",Table1[[#This Row],[Agreement Days]]&gt;=-60,"Expires &lt; 60 Days",Table1[[#This Row],[Agreement Days]]&lt;-60,"Valid Contract")</f>
        <v>Valid Contract</v>
      </c>
      <c r="W1074" s="14" t="s">
        <v>13</v>
      </c>
      <c r="X1074" s="14" t="s">
        <v>1599</v>
      </c>
      <c r="Y1074" s="16" t="s">
        <v>1600</v>
      </c>
      <c r="Z1074" s="17">
        <v>788315241</v>
      </c>
      <c r="AA1074" s="17"/>
      <c r="AB1074" s="116"/>
      <c r="AC1074" s="116"/>
    </row>
    <row r="1075" spans="1:29" hidden="1" x14ac:dyDescent="0.3">
      <c r="A1075" s="18" t="s">
        <v>1596</v>
      </c>
      <c r="B1075" s="18" t="s">
        <v>119</v>
      </c>
      <c r="C1075" s="18" t="s">
        <v>2216</v>
      </c>
      <c r="D1075" s="14" t="s">
        <v>540</v>
      </c>
      <c r="E1075" s="18" t="s">
        <v>9</v>
      </c>
      <c r="F1075" s="14" t="s">
        <v>601</v>
      </c>
      <c r="G1075" s="14" t="s">
        <v>546</v>
      </c>
      <c r="H1075" s="18" t="s">
        <v>5</v>
      </c>
      <c r="I1075" s="14" t="s">
        <v>117</v>
      </c>
      <c r="J1075" s="14">
        <v>5</v>
      </c>
      <c r="K1075" s="14" t="s">
        <v>2209</v>
      </c>
      <c r="L1075" s="14"/>
      <c r="M1075" s="14">
        <v>1</v>
      </c>
      <c r="N1075" s="15">
        <v>270000</v>
      </c>
      <c r="O1075" s="15">
        <f t="shared" si="39"/>
        <v>270000</v>
      </c>
      <c r="P1075" s="15"/>
      <c r="Q1075" s="14" t="s">
        <v>520</v>
      </c>
      <c r="R1075" s="21">
        <v>45383</v>
      </c>
      <c r="S1075" s="22" t="str">
        <f>TEXT(Table1[[#This Row],[End Date]],"MMMM")</f>
        <v>April</v>
      </c>
      <c r="T1075" s="23" t="str">
        <f>TEXT(Table1[[#This Row],[End Date]],"YYYY")</f>
        <v>2024</v>
      </c>
      <c r="U1075" s="24">
        <f t="shared" ca="1" si="40"/>
        <v>-250</v>
      </c>
      <c r="V1075" s="14" t="str" cm="1">
        <f t="array" aca="1" ref="V1075" ca="1">_xlfn.IFS(Table1[[#This Row],[Agreement Days]]&gt;=0,"Expired",Table1[[#This Row],[Agreement Days]]&gt;=-30,"Expires &lt; 30 Days",Table1[[#This Row],[Agreement Days]]&gt;=-60,"Expires &lt; 60 Days",Table1[[#This Row],[Agreement Days]]&lt;-60,"Valid Contract")</f>
        <v>Valid Contract</v>
      </c>
      <c r="W1075" s="14" t="s">
        <v>13</v>
      </c>
      <c r="X1075" s="14" t="s">
        <v>1599</v>
      </c>
      <c r="Y1075" s="16" t="s">
        <v>1600</v>
      </c>
      <c r="Z1075" s="17">
        <v>788315241</v>
      </c>
      <c r="AA1075" s="17"/>
      <c r="AB1075" s="116"/>
      <c r="AC1075" s="116"/>
    </row>
    <row r="1076" spans="1:29" hidden="1" x14ac:dyDescent="0.3">
      <c r="A1076" s="18" t="s">
        <v>1596</v>
      </c>
      <c r="B1076" s="18" t="s">
        <v>119</v>
      </c>
      <c r="C1076" s="18" t="s">
        <v>2217</v>
      </c>
      <c r="D1076" s="14" t="s">
        <v>735</v>
      </c>
      <c r="E1076" s="18" t="s">
        <v>9</v>
      </c>
      <c r="F1076" s="14" t="s">
        <v>601</v>
      </c>
      <c r="G1076" s="14" t="s">
        <v>546</v>
      </c>
      <c r="H1076" s="18" t="s">
        <v>5</v>
      </c>
      <c r="I1076" s="14" t="s">
        <v>117</v>
      </c>
      <c r="J1076" s="14">
        <v>5</v>
      </c>
      <c r="K1076" s="14" t="s">
        <v>2213</v>
      </c>
      <c r="L1076" s="14"/>
      <c r="M1076" s="14">
        <v>1</v>
      </c>
      <c r="N1076" s="15">
        <v>270000</v>
      </c>
      <c r="O1076" s="15">
        <f t="shared" si="39"/>
        <v>270000</v>
      </c>
      <c r="P1076" s="15"/>
      <c r="Q1076" s="14" t="s">
        <v>520</v>
      </c>
      <c r="R1076" s="21">
        <v>45383</v>
      </c>
      <c r="S1076" s="22" t="str">
        <f>TEXT(Table1[[#This Row],[End Date]],"MMMM")</f>
        <v>April</v>
      </c>
      <c r="T1076" s="23" t="str">
        <f>TEXT(Table1[[#This Row],[End Date]],"YYYY")</f>
        <v>2024</v>
      </c>
      <c r="U1076" s="24">
        <f t="shared" ca="1" si="40"/>
        <v>-250</v>
      </c>
      <c r="V1076" s="14" t="str" cm="1">
        <f t="array" aca="1" ref="V1076" ca="1">_xlfn.IFS(Table1[[#This Row],[Agreement Days]]&gt;=0,"Expired",Table1[[#This Row],[Agreement Days]]&gt;=-30,"Expires &lt; 30 Days",Table1[[#This Row],[Agreement Days]]&gt;=-60,"Expires &lt; 60 Days",Table1[[#This Row],[Agreement Days]]&lt;-60,"Valid Contract")</f>
        <v>Valid Contract</v>
      </c>
      <c r="W1076" s="14" t="s">
        <v>13</v>
      </c>
      <c r="X1076" s="14" t="s">
        <v>1599</v>
      </c>
      <c r="Y1076" s="16" t="s">
        <v>1600</v>
      </c>
      <c r="Z1076" s="17">
        <v>788315241</v>
      </c>
      <c r="AA1076" s="17"/>
      <c r="AB1076" s="116"/>
      <c r="AC1076" s="116"/>
    </row>
    <row r="1077" spans="1:29" hidden="1" x14ac:dyDescent="0.3">
      <c r="A1077" s="18" t="s">
        <v>1596</v>
      </c>
      <c r="B1077" s="18" t="s">
        <v>119</v>
      </c>
      <c r="C1077" s="18" t="s">
        <v>2218</v>
      </c>
      <c r="D1077" s="14" t="s">
        <v>873</v>
      </c>
      <c r="E1077" s="18" t="s">
        <v>9</v>
      </c>
      <c r="F1077" s="14" t="s">
        <v>601</v>
      </c>
      <c r="G1077" s="14" t="s">
        <v>546</v>
      </c>
      <c r="H1077" s="18" t="s">
        <v>5</v>
      </c>
      <c r="I1077" s="14" t="s">
        <v>117</v>
      </c>
      <c r="J1077" s="14">
        <v>5</v>
      </c>
      <c r="K1077" s="14" t="s">
        <v>2213</v>
      </c>
      <c r="L1077" s="14"/>
      <c r="M1077" s="14">
        <v>1</v>
      </c>
      <c r="N1077" s="15">
        <v>270000</v>
      </c>
      <c r="O1077" s="15">
        <f t="shared" si="39"/>
        <v>270000</v>
      </c>
      <c r="P1077" s="15"/>
      <c r="Q1077" s="14" t="s">
        <v>520</v>
      </c>
      <c r="R1077" s="21">
        <v>45383</v>
      </c>
      <c r="S1077" s="22" t="str">
        <f>TEXT(Table1[[#This Row],[End Date]],"MMMM")</f>
        <v>April</v>
      </c>
      <c r="T1077" s="23" t="str">
        <f>TEXT(Table1[[#This Row],[End Date]],"YYYY")</f>
        <v>2024</v>
      </c>
      <c r="U1077" s="24">
        <f t="shared" ca="1" si="40"/>
        <v>-250</v>
      </c>
      <c r="V1077" s="14" t="str" cm="1">
        <f t="array" aca="1" ref="V1077" ca="1">_xlfn.IFS(Table1[[#This Row],[Agreement Days]]&gt;=0,"Expired",Table1[[#This Row],[Agreement Days]]&gt;=-30,"Expires &lt; 30 Days",Table1[[#This Row],[Agreement Days]]&gt;=-60,"Expires &lt; 60 Days",Table1[[#This Row],[Agreement Days]]&lt;-60,"Valid Contract")</f>
        <v>Valid Contract</v>
      </c>
      <c r="W1077" s="14" t="s">
        <v>13</v>
      </c>
      <c r="X1077" s="14" t="s">
        <v>1599</v>
      </c>
      <c r="Y1077" s="16" t="s">
        <v>1600</v>
      </c>
      <c r="Z1077" s="17">
        <v>788315241</v>
      </c>
      <c r="AA1077" s="17"/>
      <c r="AB1077" s="116"/>
      <c r="AC1077" s="116"/>
    </row>
    <row r="1078" spans="1:29" hidden="1" x14ac:dyDescent="0.3">
      <c r="A1078" s="18" t="s">
        <v>1596</v>
      </c>
      <c r="B1078" s="18" t="s">
        <v>119</v>
      </c>
      <c r="C1078" s="18" t="s">
        <v>2219</v>
      </c>
      <c r="D1078" s="14" t="s">
        <v>875</v>
      </c>
      <c r="E1078" s="18" t="s">
        <v>9</v>
      </c>
      <c r="F1078" s="14" t="s">
        <v>601</v>
      </c>
      <c r="G1078" s="14" t="s">
        <v>546</v>
      </c>
      <c r="H1078" s="18" t="s">
        <v>5</v>
      </c>
      <c r="I1078" s="14" t="s">
        <v>117</v>
      </c>
      <c r="J1078" s="14">
        <v>5</v>
      </c>
      <c r="K1078" s="18" t="s">
        <v>519</v>
      </c>
      <c r="L1078" s="14"/>
      <c r="M1078" s="14">
        <v>1</v>
      </c>
      <c r="N1078" s="15">
        <v>270000</v>
      </c>
      <c r="O1078" s="15">
        <f t="shared" si="39"/>
        <v>270000</v>
      </c>
      <c r="P1078" s="15"/>
      <c r="Q1078" s="14" t="s">
        <v>520</v>
      </c>
      <c r="R1078" s="21">
        <v>45383</v>
      </c>
      <c r="S1078" s="22" t="str">
        <f>TEXT(Table1[[#This Row],[End Date]],"MMMM")</f>
        <v>April</v>
      </c>
      <c r="T1078" s="23" t="str">
        <f>TEXT(Table1[[#This Row],[End Date]],"YYYY")</f>
        <v>2024</v>
      </c>
      <c r="U1078" s="24">
        <f t="shared" ca="1" si="40"/>
        <v>-250</v>
      </c>
      <c r="V1078" s="14" t="str" cm="1">
        <f t="array" aca="1" ref="V1078" ca="1">_xlfn.IFS(Table1[[#This Row],[Agreement Days]]&gt;=0,"Expired",Table1[[#This Row],[Agreement Days]]&gt;=-30,"Expires &lt; 30 Days",Table1[[#This Row],[Agreement Days]]&gt;=-60,"Expires &lt; 60 Days",Table1[[#This Row],[Agreement Days]]&lt;-60,"Valid Contract")</f>
        <v>Valid Contract</v>
      </c>
      <c r="W1078" s="14" t="s">
        <v>13</v>
      </c>
      <c r="X1078" s="14" t="s">
        <v>1599</v>
      </c>
      <c r="Y1078" s="16" t="s">
        <v>1600</v>
      </c>
      <c r="Z1078" s="17">
        <v>788315241</v>
      </c>
      <c r="AA1078" s="17"/>
      <c r="AB1078" s="116"/>
      <c r="AC1078" s="116"/>
    </row>
    <row r="1079" spans="1:29" hidden="1" x14ac:dyDescent="0.3">
      <c r="A1079" s="18" t="s">
        <v>1596</v>
      </c>
      <c r="B1079" s="18" t="s">
        <v>119</v>
      </c>
      <c r="C1079" s="18" t="s">
        <v>2220</v>
      </c>
      <c r="D1079" s="14" t="s">
        <v>769</v>
      </c>
      <c r="E1079" s="18" t="s">
        <v>9</v>
      </c>
      <c r="F1079" s="14" t="s">
        <v>601</v>
      </c>
      <c r="G1079" s="14" t="s">
        <v>546</v>
      </c>
      <c r="H1079" s="18" t="s">
        <v>5</v>
      </c>
      <c r="I1079" s="14" t="s">
        <v>117</v>
      </c>
      <c r="J1079" s="14">
        <v>5</v>
      </c>
      <c r="K1079" s="14" t="s">
        <v>2213</v>
      </c>
      <c r="L1079" s="14"/>
      <c r="M1079" s="14">
        <v>1</v>
      </c>
      <c r="N1079" s="15">
        <v>270000</v>
      </c>
      <c r="O1079" s="15">
        <f t="shared" si="39"/>
        <v>270000</v>
      </c>
      <c r="P1079" s="15"/>
      <c r="Q1079" s="14" t="s">
        <v>520</v>
      </c>
      <c r="R1079" s="21">
        <v>45383</v>
      </c>
      <c r="S1079" s="22" t="str">
        <f>TEXT(Table1[[#This Row],[End Date]],"MMMM")</f>
        <v>April</v>
      </c>
      <c r="T1079" s="23" t="str">
        <f>TEXT(Table1[[#This Row],[End Date]],"YYYY")</f>
        <v>2024</v>
      </c>
      <c r="U1079" s="24">
        <f t="shared" ca="1" si="40"/>
        <v>-250</v>
      </c>
      <c r="V1079" s="14" t="str" cm="1">
        <f t="array" aca="1" ref="V1079" ca="1">_xlfn.IFS(Table1[[#This Row],[Agreement Days]]&gt;=0,"Expired",Table1[[#This Row],[Agreement Days]]&gt;=-30,"Expires &lt; 30 Days",Table1[[#This Row],[Agreement Days]]&gt;=-60,"Expires &lt; 60 Days",Table1[[#This Row],[Agreement Days]]&lt;-60,"Valid Contract")</f>
        <v>Valid Contract</v>
      </c>
      <c r="W1079" s="14" t="s">
        <v>13</v>
      </c>
      <c r="X1079" s="14" t="s">
        <v>1599</v>
      </c>
      <c r="Y1079" s="16" t="s">
        <v>1600</v>
      </c>
      <c r="Z1079" s="17">
        <v>788315241</v>
      </c>
      <c r="AA1079" s="17"/>
      <c r="AB1079" s="116"/>
      <c r="AC1079" s="116"/>
    </row>
    <row r="1080" spans="1:29" hidden="1" x14ac:dyDescent="0.3">
      <c r="A1080" s="18" t="s">
        <v>1596</v>
      </c>
      <c r="B1080" s="18" t="s">
        <v>119</v>
      </c>
      <c r="C1080" s="18" t="s">
        <v>2221</v>
      </c>
      <c r="D1080" s="14" t="s">
        <v>739</v>
      </c>
      <c r="E1080" s="18" t="s">
        <v>9</v>
      </c>
      <c r="F1080" s="14" t="s">
        <v>601</v>
      </c>
      <c r="G1080" s="14" t="s">
        <v>546</v>
      </c>
      <c r="H1080" s="18" t="s">
        <v>5</v>
      </c>
      <c r="I1080" s="14" t="s">
        <v>117</v>
      </c>
      <c r="J1080" s="14">
        <v>10</v>
      </c>
      <c r="K1080" s="14" t="s">
        <v>2222</v>
      </c>
      <c r="L1080" s="14"/>
      <c r="M1080" s="14">
        <v>1</v>
      </c>
      <c r="N1080" s="15">
        <v>510000</v>
      </c>
      <c r="O1080" s="15">
        <f t="shared" si="39"/>
        <v>510000</v>
      </c>
      <c r="P1080" s="15"/>
      <c r="Q1080" s="14" t="s">
        <v>520</v>
      </c>
      <c r="R1080" s="21">
        <v>45383</v>
      </c>
      <c r="S1080" s="22" t="str">
        <f>TEXT(Table1[[#This Row],[End Date]],"MMMM")</f>
        <v>April</v>
      </c>
      <c r="T1080" s="23" t="str">
        <f>TEXT(Table1[[#This Row],[End Date]],"YYYY")</f>
        <v>2024</v>
      </c>
      <c r="U1080" s="24">
        <f t="shared" ca="1" si="40"/>
        <v>-250</v>
      </c>
      <c r="V1080" s="14" t="str" cm="1">
        <f t="array" aca="1" ref="V1080" ca="1">_xlfn.IFS(Table1[[#This Row],[Agreement Days]]&gt;=0,"Expired",Table1[[#This Row],[Agreement Days]]&gt;=-30,"Expires &lt; 30 Days",Table1[[#This Row],[Agreement Days]]&gt;=-60,"Expires &lt; 60 Days",Table1[[#This Row],[Agreement Days]]&lt;-60,"Valid Contract")</f>
        <v>Valid Contract</v>
      </c>
      <c r="W1080" s="14" t="s">
        <v>13</v>
      </c>
      <c r="X1080" s="14" t="s">
        <v>1599</v>
      </c>
      <c r="Y1080" s="16" t="s">
        <v>1600</v>
      </c>
      <c r="Z1080" s="17">
        <v>788315241</v>
      </c>
      <c r="AA1080" s="17"/>
      <c r="AB1080" s="116"/>
      <c r="AC1080" s="116"/>
    </row>
    <row r="1081" spans="1:29" hidden="1" x14ac:dyDescent="0.3">
      <c r="A1081" s="18" t="s">
        <v>1596</v>
      </c>
      <c r="B1081" s="18" t="s">
        <v>119</v>
      </c>
      <c r="C1081" s="18" t="s">
        <v>2223</v>
      </c>
      <c r="D1081" s="14" t="s">
        <v>545</v>
      </c>
      <c r="E1081" s="18" t="s">
        <v>9</v>
      </c>
      <c r="F1081" s="14" t="s">
        <v>601</v>
      </c>
      <c r="G1081" s="14" t="s">
        <v>546</v>
      </c>
      <c r="H1081" s="18" t="s">
        <v>5</v>
      </c>
      <c r="I1081" s="14" t="s">
        <v>117</v>
      </c>
      <c r="J1081" s="14">
        <v>5</v>
      </c>
      <c r="K1081" s="14" t="s">
        <v>2213</v>
      </c>
      <c r="L1081" s="14"/>
      <c r="M1081" s="14">
        <v>1</v>
      </c>
      <c r="N1081" s="15">
        <v>270000</v>
      </c>
      <c r="O1081" s="15">
        <f t="shared" si="39"/>
        <v>270000</v>
      </c>
      <c r="P1081" s="15"/>
      <c r="Q1081" s="14" t="s">
        <v>520</v>
      </c>
      <c r="R1081" s="21">
        <v>45383</v>
      </c>
      <c r="S1081" s="22" t="str">
        <f>TEXT(Table1[[#This Row],[End Date]],"MMMM")</f>
        <v>April</v>
      </c>
      <c r="T1081" s="23" t="str">
        <f>TEXT(Table1[[#This Row],[End Date]],"YYYY")</f>
        <v>2024</v>
      </c>
      <c r="U1081" s="24">
        <f t="shared" ca="1" si="40"/>
        <v>-250</v>
      </c>
      <c r="V1081" s="14" t="str" cm="1">
        <f t="array" aca="1" ref="V1081" ca="1">_xlfn.IFS(Table1[[#This Row],[Agreement Days]]&gt;=0,"Expired",Table1[[#This Row],[Agreement Days]]&gt;=-30,"Expires &lt; 30 Days",Table1[[#This Row],[Agreement Days]]&gt;=-60,"Expires &lt; 60 Days",Table1[[#This Row],[Agreement Days]]&lt;-60,"Valid Contract")</f>
        <v>Valid Contract</v>
      </c>
      <c r="W1081" s="14" t="s">
        <v>13</v>
      </c>
      <c r="X1081" s="14" t="s">
        <v>1599</v>
      </c>
      <c r="Y1081" s="16" t="s">
        <v>1600</v>
      </c>
      <c r="Z1081" s="17">
        <v>788315241</v>
      </c>
      <c r="AA1081" s="17"/>
      <c r="AB1081" s="116"/>
      <c r="AC1081" s="116"/>
    </row>
    <row r="1082" spans="1:29" hidden="1" x14ac:dyDescent="0.3">
      <c r="A1082" s="18" t="s">
        <v>1596</v>
      </c>
      <c r="B1082" s="18" t="s">
        <v>119</v>
      </c>
      <c r="C1082" s="18" t="s">
        <v>2224</v>
      </c>
      <c r="D1082" s="14" t="s">
        <v>545</v>
      </c>
      <c r="E1082" s="18" t="s">
        <v>9</v>
      </c>
      <c r="F1082" s="14" t="s">
        <v>601</v>
      </c>
      <c r="G1082" s="14" t="s">
        <v>546</v>
      </c>
      <c r="H1082" s="18" t="s">
        <v>5</v>
      </c>
      <c r="I1082" s="14" t="s">
        <v>117</v>
      </c>
      <c r="J1082" s="14">
        <v>10</v>
      </c>
      <c r="K1082" s="14" t="s">
        <v>2222</v>
      </c>
      <c r="L1082" s="14"/>
      <c r="M1082" s="14">
        <v>1</v>
      </c>
      <c r="N1082" s="15">
        <v>510000</v>
      </c>
      <c r="O1082" s="15">
        <f t="shared" si="39"/>
        <v>510000</v>
      </c>
      <c r="P1082" s="15"/>
      <c r="Q1082" s="14" t="s">
        <v>520</v>
      </c>
      <c r="R1082" s="21">
        <v>45383</v>
      </c>
      <c r="S1082" s="22" t="str">
        <f>TEXT(Table1[[#This Row],[End Date]],"MMMM")</f>
        <v>April</v>
      </c>
      <c r="T1082" s="23" t="str">
        <f>TEXT(Table1[[#This Row],[End Date]],"YYYY")</f>
        <v>2024</v>
      </c>
      <c r="U1082" s="24">
        <f t="shared" ca="1" si="40"/>
        <v>-250</v>
      </c>
      <c r="V1082" s="14" t="str" cm="1">
        <f t="array" aca="1" ref="V1082" ca="1">_xlfn.IFS(Table1[[#This Row],[Agreement Days]]&gt;=0,"Expired",Table1[[#This Row],[Agreement Days]]&gt;=-30,"Expires &lt; 30 Days",Table1[[#This Row],[Agreement Days]]&gt;=-60,"Expires &lt; 60 Days",Table1[[#This Row],[Agreement Days]]&lt;-60,"Valid Contract")</f>
        <v>Valid Contract</v>
      </c>
      <c r="W1082" s="14" t="s">
        <v>13</v>
      </c>
      <c r="X1082" s="14" t="s">
        <v>1599</v>
      </c>
      <c r="Y1082" s="16" t="s">
        <v>1600</v>
      </c>
      <c r="Z1082" s="17">
        <v>788315241</v>
      </c>
      <c r="AA1082" s="17"/>
      <c r="AB1082" s="116"/>
      <c r="AC1082" s="116"/>
    </row>
    <row r="1083" spans="1:29" hidden="1" x14ac:dyDescent="0.3">
      <c r="A1083" s="18" t="s">
        <v>1596</v>
      </c>
      <c r="B1083" s="18" t="s">
        <v>119</v>
      </c>
      <c r="C1083" s="18" t="s">
        <v>2225</v>
      </c>
      <c r="D1083" s="14" t="s">
        <v>545</v>
      </c>
      <c r="E1083" s="18" t="s">
        <v>9</v>
      </c>
      <c r="F1083" s="14" t="s">
        <v>601</v>
      </c>
      <c r="G1083" s="14" t="s">
        <v>546</v>
      </c>
      <c r="H1083" s="18" t="s">
        <v>5</v>
      </c>
      <c r="I1083" s="14" t="s">
        <v>117</v>
      </c>
      <c r="J1083" s="14">
        <v>10</v>
      </c>
      <c r="K1083" s="18" t="s">
        <v>547</v>
      </c>
      <c r="L1083" s="14"/>
      <c r="M1083" s="14">
        <v>1</v>
      </c>
      <c r="N1083" s="15">
        <v>510000</v>
      </c>
      <c r="O1083" s="15">
        <f t="shared" si="39"/>
        <v>510000</v>
      </c>
      <c r="P1083" s="15"/>
      <c r="Q1083" s="14" t="s">
        <v>520</v>
      </c>
      <c r="R1083" s="21">
        <v>45383</v>
      </c>
      <c r="S1083" s="22" t="str">
        <f>TEXT(Table1[[#This Row],[End Date]],"MMMM")</f>
        <v>April</v>
      </c>
      <c r="T1083" s="23" t="str">
        <f>TEXT(Table1[[#This Row],[End Date]],"YYYY")</f>
        <v>2024</v>
      </c>
      <c r="U1083" s="24">
        <f t="shared" ca="1" si="40"/>
        <v>-250</v>
      </c>
      <c r="V1083" s="14" t="str" cm="1">
        <f t="array" aca="1" ref="V1083" ca="1">_xlfn.IFS(Table1[[#This Row],[Agreement Days]]&gt;=0,"Expired",Table1[[#This Row],[Agreement Days]]&gt;=-30,"Expires &lt; 30 Days",Table1[[#This Row],[Agreement Days]]&gt;=-60,"Expires &lt; 60 Days",Table1[[#This Row],[Agreement Days]]&lt;-60,"Valid Contract")</f>
        <v>Valid Contract</v>
      </c>
      <c r="W1083" s="14" t="s">
        <v>13</v>
      </c>
      <c r="X1083" s="14" t="s">
        <v>1599</v>
      </c>
      <c r="Y1083" s="16" t="s">
        <v>1600</v>
      </c>
      <c r="Z1083" s="17">
        <v>788315241</v>
      </c>
      <c r="AA1083" s="17"/>
      <c r="AB1083" s="116"/>
      <c r="AC1083" s="116"/>
    </row>
    <row r="1084" spans="1:29" hidden="1" x14ac:dyDescent="0.3">
      <c r="A1084" s="18" t="s">
        <v>1596</v>
      </c>
      <c r="B1084" s="18" t="s">
        <v>119</v>
      </c>
      <c r="C1084" s="18" t="s">
        <v>2226</v>
      </c>
      <c r="D1084" s="14" t="s">
        <v>545</v>
      </c>
      <c r="E1084" s="18" t="s">
        <v>9</v>
      </c>
      <c r="F1084" s="14" t="s">
        <v>601</v>
      </c>
      <c r="G1084" s="14" t="s">
        <v>546</v>
      </c>
      <c r="H1084" s="18" t="s">
        <v>5</v>
      </c>
      <c r="I1084" s="14" t="s">
        <v>117</v>
      </c>
      <c r="J1084" s="14">
        <v>10</v>
      </c>
      <c r="K1084" s="14" t="s">
        <v>2227</v>
      </c>
      <c r="L1084" s="14"/>
      <c r="M1084" s="14">
        <v>1</v>
      </c>
      <c r="N1084" s="15">
        <v>510000</v>
      </c>
      <c r="O1084" s="15">
        <f t="shared" si="39"/>
        <v>510000</v>
      </c>
      <c r="P1084" s="15"/>
      <c r="Q1084" s="14" t="s">
        <v>520</v>
      </c>
      <c r="R1084" s="21">
        <v>45383</v>
      </c>
      <c r="S1084" s="22" t="str">
        <f>TEXT(Table1[[#This Row],[End Date]],"MMMM")</f>
        <v>April</v>
      </c>
      <c r="T1084" s="23" t="str">
        <f>TEXT(Table1[[#This Row],[End Date]],"YYYY")</f>
        <v>2024</v>
      </c>
      <c r="U1084" s="24">
        <f t="shared" ca="1" si="40"/>
        <v>-250</v>
      </c>
      <c r="V1084" s="14" t="str" cm="1">
        <f t="array" aca="1" ref="V1084" ca="1">_xlfn.IFS(Table1[[#This Row],[Agreement Days]]&gt;=0,"Expired",Table1[[#This Row],[Agreement Days]]&gt;=-30,"Expires &lt; 30 Days",Table1[[#This Row],[Agreement Days]]&gt;=-60,"Expires &lt; 60 Days",Table1[[#This Row],[Agreement Days]]&lt;-60,"Valid Contract")</f>
        <v>Valid Contract</v>
      </c>
      <c r="W1084" s="14" t="s">
        <v>13</v>
      </c>
      <c r="X1084" s="14" t="s">
        <v>1599</v>
      </c>
      <c r="Y1084" s="16" t="s">
        <v>1600</v>
      </c>
      <c r="Z1084" s="17">
        <v>788315241</v>
      </c>
      <c r="AA1084" s="17"/>
      <c r="AB1084" s="116"/>
      <c r="AC1084" s="116"/>
    </row>
    <row r="1085" spans="1:29" hidden="1" x14ac:dyDescent="0.3">
      <c r="A1085" s="18" t="s">
        <v>1596</v>
      </c>
      <c r="B1085" s="18" t="s">
        <v>119</v>
      </c>
      <c r="C1085" s="18" t="s">
        <v>2228</v>
      </c>
      <c r="D1085" s="14" t="s">
        <v>540</v>
      </c>
      <c r="E1085" s="18" t="s">
        <v>9</v>
      </c>
      <c r="F1085" s="14" t="s">
        <v>601</v>
      </c>
      <c r="G1085" s="14" t="s">
        <v>546</v>
      </c>
      <c r="H1085" s="18" t="s">
        <v>5</v>
      </c>
      <c r="I1085" s="14" t="s">
        <v>117</v>
      </c>
      <c r="J1085" s="14">
        <v>10</v>
      </c>
      <c r="K1085" s="14" t="s">
        <v>2229</v>
      </c>
      <c r="L1085" s="14"/>
      <c r="M1085" s="14">
        <v>1</v>
      </c>
      <c r="N1085" s="15">
        <v>510000</v>
      </c>
      <c r="O1085" s="15">
        <f t="shared" si="39"/>
        <v>510000</v>
      </c>
      <c r="P1085" s="15"/>
      <c r="Q1085" s="14" t="s">
        <v>520</v>
      </c>
      <c r="R1085" s="21">
        <v>45383</v>
      </c>
      <c r="S1085" s="22" t="str">
        <f>TEXT(Table1[[#This Row],[End Date]],"MMMM")</f>
        <v>April</v>
      </c>
      <c r="T1085" s="23" t="str">
        <f>TEXT(Table1[[#This Row],[End Date]],"YYYY")</f>
        <v>2024</v>
      </c>
      <c r="U1085" s="24">
        <f t="shared" ca="1" si="40"/>
        <v>-250</v>
      </c>
      <c r="V1085" s="14" t="str" cm="1">
        <f t="array" aca="1" ref="V1085" ca="1">_xlfn.IFS(Table1[[#This Row],[Agreement Days]]&gt;=0,"Expired",Table1[[#This Row],[Agreement Days]]&gt;=-30,"Expires &lt; 30 Days",Table1[[#This Row],[Agreement Days]]&gt;=-60,"Expires &lt; 60 Days",Table1[[#This Row],[Agreement Days]]&lt;-60,"Valid Contract")</f>
        <v>Valid Contract</v>
      </c>
      <c r="W1085" s="14" t="s">
        <v>13</v>
      </c>
      <c r="X1085" s="14" t="s">
        <v>1599</v>
      </c>
      <c r="Y1085" s="16" t="s">
        <v>1600</v>
      </c>
      <c r="Z1085" s="17">
        <v>788315241</v>
      </c>
      <c r="AA1085" s="17"/>
      <c r="AB1085" s="116"/>
      <c r="AC1085" s="116"/>
    </row>
    <row r="1086" spans="1:29" hidden="1" x14ac:dyDescent="0.3">
      <c r="A1086" s="18" t="s">
        <v>1596</v>
      </c>
      <c r="B1086" s="18" t="s">
        <v>119</v>
      </c>
      <c r="C1086" s="18" t="s">
        <v>2230</v>
      </c>
      <c r="D1086" s="14" t="s">
        <v>540</v>
      </c>
      <c r="E1086" s="18" t="s">
        <v>9</v>
      </c>
      <c r="F1086" s="14" t="s">
        <v>601</v>
      </c>
      <c r="G1086" s="14" t="s">
        <v>546</v>
      </c>
      <c r="H1086" s="18" t="s">
        <v>5</v>
      </c>
      <c r="I1086" s="14" t="s">
        <v>117</v>
      </c>
      <c r="J1086" s="14">
        <v>5</v>
      </c>
      <c r="K1086" s="14" t="s">
        <v>2209</v>
      </c>
      <c r="L1086" s="14"/>
      <c r="M1086" s="14">
        <v>1</v>
      </c>
      <c r="N1086" s="15">
        <v>270000</v>
      </c>
      <c r="O1086" s="15">
        <f t="shared" si="39"/>
        <v>270000</v>
      </c>
      <c r="P1086" s="15"/>
      <c r="Q1086" s="14" t="s">
        <v>520</v>
      </c>
      <c r="R1086" s="21">
        <v>45383</v>
      </c>
      <c r="S1086" s="22" t="str">
        <f>TEXT(Table1[[#This Row],[End Date]],"MMMM")</f>
        <v>April</v>
      </c>
      <c r="T1086" s="23" t="str">
        <f>TEXT(Table1[[#This Row],[End Date]],"YYYY")</f>
        <v>2024</v>
      </c>
      <c r="U1086" s="24">
        <f t="shared" ca="1" si="40"/>
        <v>-250</v>
      </c>
      <c r="V1086" s="14" t="str" cm="1">
        <f t="array" aca="1" ref="V1086" ca="1">_xlfn.IFS(Table1[[#This Row],[Agreement Days]]&gt;=0,"Expired",Table1[[#This Row],[Agreement Days]]&gt;=-30,"Expires &lt; 30 Days",Table1[[#This Row],[Agreement Days]]&gt;=-60,"Expires &lt; 60 Days",Table1[[#This Row],[Agreement Days]]&lt;-60,"Valid Contract")</f>
        <v>Valid Contract</v>
      </c>
      <c r="W1086" s="14" t="s">
        <v>13</v>
      </c>
      <c r="X1086" s="14" t="s">
        <v>1599</v>
      </c>
      <c r="Y1086" s="16" t="s">
        <v>1600</v>
      </c>
      <c r="Z1086" s="17">
        <v>788315241</v>
      </c>
      <c r="AA1086" s="17"/>
      <c r="AB1086" s="116"/>
      <c r="AC1086" s="116"/>
    </row>
    <row r="1087" spans="1:29" hidden="1" x14ac:dyDescent="0.3">
      <c r="A1087" s="18" t="s">
        <v>1596</v>
      </c>
      <c r="B1087" s="18" t="s">
        <v>119</v>
      </c>
      <c r="C1087" s="18" t="s">
        <v>2231</v>
      </c>
      <c r="D1087" s="14" t="s">
        <v>735</v>
      </c>
      <c r="E1087" s="18" t="s">
        <v>9</v>
      </c>
      <c r="F1087" s="14" t="s">
        <v>601</v>
      </c>
      <c r="G1087" s="14" t="s">
        <v>546</v>
      </c>
      <c r="H1087" s="18" t="s">
        <v>5</v>
      </c>
      <c r="I1087" s="14" t="s">
        <v>117</v>
      </c>
      <c r="J1087" s="14">
        <v>10</v>
      </c>
      <c r="K1087" s="18" t="s">
        <v>547</v>
      </c>
      <c r="L1087" s="14"/>
      <c r="M1087" s="14">
        <v>1</v>
      </c>
      <c r="N1087" s="15">
        <v>510000</v>
      </c>
      <c r="O1087" s="15">
        <f t="shared" si="39"/>
        <v>510000</v>
      </c>
      <c r="P1087" s="15"/>
      <c r="Q1087" s="14" t="s">
        <v>520</v>
      </c>
      <c r="R1087" s="21">
        <v>45383</v>
      </c>
      <c r="S1087" s="22" t="str">
        <f>TEXT(Table1[[#This Row],[End Date]],"MMMM")</f>
        <v>April</v>
      </c>
      <c r="T1087" s="23" t="str">
        <f>TEXT(Table1[[#This Row],[End Date]],"YYYY")</f>
        <v>2024</v>
      </c>
      <c r="U1087" s="24">
        <f t="shared" ca="1" si="40"/>
        <v>-250</v>
      </c>
      <c r="V1087" s="14" t="str" cm="1">
        <f t="array" aca="1" ref="V1087" ca="1">_xlfn.IFS(Table1[[#This Row],[Agreement Days]]&gt;=0,"Expired",Table1[[#This Row],[Agreement Days]]&gt;=-30,"Expires &lt; 30 Days",Table1[[#This Row],[Agreement Days]]&gt;=-60,"Expires &lt; 60 Days",Table1[[#This Row],[Agreement Days]]&lt;-60,"Valid Contract")</f>
        <v>Valid Contract</v>
      </c>
      <c r="W1087" s="14" t="s">
        <v>13</v>
      </c>
      <c r="X1087" s="14" t="s">
        <v>1599</v>
      </c>
      <c r="Y1087" s="16" t="s">
        <v>1600</v>
      </c>
      <c r="Z1087" s="17">
        <v>788315241</v>
      </c>
      <c r="AA1087" s="17"/>
      <c r="AB1087" s="116"/>
      <c r="AC1087" s="116"/>
    </row>
    <row r="1088" spans="1:29" hidden="1" x14ac:dyDescent="0.3">
      <c r="A1088" s="18" t="s">
        <v>1596</v>
      </c>
      <c r="B1088" s="18" t="s">
        <v>119</v>
      </c>
      <c r="C1088" s="18" t="s">
        <v>2232</v>
      </c>
      <c r="D1088" s="14" t="s">
        <v>630</v>
      </c>
      <c r="E1088" s="18" t="s">
        <v>9</v>
      </c>
      <c r="F1088" s="14" t="s">
        <v>601</v>
      </c>
      <c r="G1088" s="14" t="s">
        <v>546</v>
      </c>
      <c r="H1088" s="18" t="s">
        <v>5</v>
      </c>
      <c r="I1088" s="14" t="s">
        <v>117</v>
      </c>
      <c r="J1088" s="14">
        <v>5</v>
      </c>
      <c r="K1088" s="18" t="s">
        <v>519</v>
      </c>
      <c r="L1088" s="14"/>
      <c r="M1088" s="14">
        <v>1</v>
      </c>
      <c r="N1088" s="15">
        <v>270000</v>
      </c>
      <c r="O1088" s="15">
        <f t="shared" si="39"/>
        <v>270000</v>
      </c>
      <c r="P1088" s="15"/>
      <c r="Q1088" s="14" t="s">
        <v>520</v>
      </c>
      <c r="R1088" s="21">
        <v>45383</v>
      </c>
      <c r="S1088" s="22" t="str">
        <f>TEXT(Table1[[#This Row],[End Date]],"MMMM")</f>
        <v>April</v>
      </c>
      <c r="T1088" s="23" t="str">
        <f>TEXT(Table1[[#This Row],[End Date]],"YYYY")</f>
        <v>2024</v>
      </c>
      <c r="U1088" s="24">
        <f t="shared" ca="1" si="40"/>
        <v>-250</v>
      </c>
      <c r="V1088" s="14" t="str" cm="1">
        <f t="array" aca="1" ref="V1088" ca="1">_xlfn.IFS(Table1[[#This Row],[Agreement Days]]&gt;=0,"Expired",Table1[[#This Row],[Agreement Days]]&gt;=-30,"Expires &lt; 30 Days",Table1[[#This Row],[Agreement Days]]&gt;=-60,"Expires &lt; 60 Days",Table1[[#This Row],[Agreement Days]]&lt;-60,"Valid Contract")</f>
        <v>Valid Contract</v>
      </c>
      <c r="W1088" s="14" t="s">
        <v>13</v>
      </c>
      <c r="X1088" s="14" t="s">
        <v>1599</v>
      </c>
      <c r="Y1088" s="16" t="s">
        <v>1600</v>
      </c>
      <c r="Z1088" s="17">
        <v>788315241</v>
      </c>
      <c r="AA1088" s="17"/>
      <c r="AB1088" s="116"/>
      <c r="AC1088" s="116"/>
    </row>
    <row r="1089" spans="1:29" hidden="1" x14ac:dyDescent="0.3">
      <c r="A1089" s="18" t="s">
        <v>1596</v>
      </c>
      <c r="B1089" s="18" t="s">
        <v>119</v>
      </c>
      <c r="C1089" s="18" t="s">
        <v>2233</v>
      </c>
      <c r="D1089" s="14" t="s">
        <v>542</v>
      </c>
      <c r="E1089" s="18" t="s">
        <v>9</v>
      </c>
      <c r="F1089" s="14" t="s">
        <v>601</v>
      </c>
      <c r="G1089" s="14" t="s">
        <v>546</v>
      </c>
      <c r="H1089" s="18" t="s">
        <v>5</v>
      </c>
      <c r="I1089" s="14" t="s">
        <v>117</v>
      </c>
      <c r="J1089" s="14">
        <v>5</v>
      </c>
      <c r="K1089" s="18" t="s">
        <v>519</v>
      </c>
      <c r="L1089" s="14"/>
      <c r="M1089" s="14">
        <v>1</v>
      </c>
      <c r="N1089" s="15">
        <v>270000</v>
      </c>
      <c r="O1089" s="15">
        <f t="shared" si="39"/>
        <v>270000</v>
      </c>
      <c r="P1089" s="15"/>
      <c r="Q1089" s="14" t="s">
        <v>520</v>
      </c>
      <c r="R1089" s="21">
        <v>45383</v>
      </c>
      <c r="S1089" s="22" t="str">
        <f>TEXT(Table1[[#This Row],[End Date]],"MMMM")</f>
        <v>April</v>
      </c>
      <c r="T1089" s="23" t="str">
        <f>TEXT(Table1[[#This Row],[End Date]],"YYYY")</f>
        <v>2024</v>
      </c>
      <c r="U1089" s="24">
        <f t="shared" ca="1" si="40"/>
        <v>-250</v>
      </c>
      <c r="V1089" s="14" t="str" cm="1">
        <f t="array" aca="1" ref="V1089" ca="1">_xlfn.IFS(Table1[[#This Row],[Agreement Days]]&gt;=0,"Expired",Table1[[#This Row],[Agreement Days]]&gt;=-30,"Expires &lt; 30 Days",Table1[[#This Row],[Agreement Days]]&gt;=-60,"Expires &lt; 60 Days",Table1[[#This Row],[Agreement Days]]&lt;-60,"Valid Contract")</f>
        <v>Valid Contract</v>
      </c>
      <c r="W1089" s="14" t="s">
        <v>13</v>
      </c>
      <c r="X1089" s="14" t="s">
        <v>1599</v>
      </c>
      <c r="Y1089" s="16" t="s">
        <v>1600</v>
      </c>
      <c r="Z1089" s="17">
        <v>788315241</v>
      </c>
      <c r="AA1089" s="17"/>
      <c r="AB1089" s="116"/>
      <c r="AC1089" s="116"/>
    </row>
    <row r="1090" spans="1:29" hidden="1" x14ac:dyDescent="0.3">
      <c r="A1090" s="18" t="s">
        <v>1596</v>
      </c>
      <c r="B1090" s="18" t="s">
        <v>119</v>
      </c>
      <c r="C1090" s="18" t="s">
        <v>2234</v>
      </c>
      <c r="D1090" s="14" t="s">
        <v>586</v>
      </c>
      <c r="E1090" s="18" t="s">
        <v>9</v>
      </c>
      <c r="F1090" s="14" t="s">
        <v>601</v>
      </c>
      <c r="G1090" s="14" t="s">
        <v>546</v>
      </c>
      <c r="H1090" s="18" t="s">
        <v>5</v>
      </c>
      <c r="I1090" s="14" t="s">
        <v>117</v>
      </c>
      <c r="J1090" s="14">
        <v>15</v>
      </c>
      <c r="K1090" s="14" t="s">
        <v>2235</v>
      </c>
      <c r="L1090" s="14"/>
      <c r="M1090" s="14">
        <v>1</v>
      </c>
      <c r="N1090" s="15">
        <v>720000</v>
      </c>
      <c r="O1090" s="15">
        <f t="shared" si="39"/>
        <v>720000</v>
      </c>
      <c r="P1090" s="15"/>
      <c r="Q1090" s="14" t="s">
        <v>520</v>
      </c>
      <c r="R1090" s="21">
        <v>45383</v>
      </c>
      <c r="S1090" s="22" t="str">
        <f>TEXT(Table1[[#This Row],[End Date]],"MMMM")</f>
        <v>April</v>
      </c>
      <c r="T1090" s="23" t="str">
        <f>TEXT(Table1[[#This Row],[End Date]],"YYYY")</f>
        <v>2024</v>
      </c>
      <c r="U1090" s="24">
        <f t="shared" ca="1" si="40"/>
        <v>-250</v>
      </c>
      <c r="V1090" s="14" t="str" cm="1">
        <f t="array" aca="1" ref="V1090" ca="1">_xlfn.IFS(Table1[[#This Row],[Agreement Days]]&gt;=0,"Expired",Table1[[#This Row],[Agreement Days]]&gt;=-30,"Expires &lt; 30 Days",Table1[[#This Row],[Agreement Days]]&gt;=-60,"Expires &lt; 60 Days",Table1[[#This Row],[Agreement Days]]&lt;-60,"Valid Contract")</f>
        <v>Valid Contract</v>
      </c>
      <c r="W1090" s="14" t="s">
        <v>13</v>
      </c>
      <c r="X1090" s="14" t="s">
        <v>1599</v>
      </c>
      <c r="Y1090" s="16" t="s">
        <v>1600</v>
      </c>
      <c r="Z1090" s="17">
        <v>788315241</v>
      </c>
      <c r="AA1090" s="17"/>
      <c r="AB1090" s="116"/>
      <c r="AC1090" s="116"/>
    </row>
    <row r="1091" spans="1:29" hidden="1" x14ac:dyDescent="0.3">
      <c r="A1091" s="18" t="s">
        <v>1596</v>
      </c>
      <c r="B1091" s="18" t="s">
        <v>119</v>
      </c>
      <c r="C1091" s="18" t="s">
        <v>2236</v>
      </c>
      <c r="D1091" s="14" t="s">
        <v>540</v>
      </c>
      <c r="E1091" s="18" t="s">
        <v>9</v>
      </c>
      <c r="F1091" s="14" t="s">
        <v>601</v>
      </c>
      <c r="G1091" s="14" t="s">
        <v>546</v>
      </c>
      <c r="H1091" s="18" t="s">
        <v>5</v>
      </c>
      <c r="I1091" s="14" t="s">
        <v>117</v>
      </c>
      <c r="J1091" s="14">
        <v>30</v>
      </c>
      <c r="K1091" s="14" t="s">
        <v>2237</v>
      </c>
      <c r="L1091" s="14"/>
      <c r="M1091" s="14">
        <v>1</v>
      </c>
      <c r="N1091" s="15">
        <v>1260000</v>
      </c>
      <c r="O1091" s="15">
        <f t="shared" si="39"/>
        <v>1260000</v>
      </c>
      <c r="P1091" s="15"/>
      <c r="Q1091" s="14" t="s">
        <v>520</v>
      </c>
      <c r="R1091" s="21">
        <v>45383</v>
      </c>
      <c r="S1091" s="22" t="str">
        <f>TEXT(Table1[[#This Row],[End Date]],"MMMM")</f>
        <v>April</v>
      </c>
      <c r="T1091" s="23" t="str">
        <f>TEXT(Table1[[#This Row],[End Date]],"YYYY")</f>
        <v>2024</v>
      </c>
      <c r="U1091" s="24">
        <f t="shared" ca="1" si="40"/>
        <v>-250</v>
      </c>
      <c r="V1091" s="14" t="str" cm="1">
        <f t="array" aca="1" ref="V1091" ca="1">_xlfn.IFS(Table1[[#This Row],[Agreement Days]]&gt;=0,"Expired",Table1[[#This Row],[Agreement Days]]&gt;=-30,"Expires &lt; 30 Days",Table1[[#This Row],[Agreement Days]]&gt;=-60,"Expires &lt; 60 Days",Table1[[#This Row],[Agreement Days]]&lt;-60,"Valid Contract")</f>
        <v>Valid Contract</v>
      </c>
      <c r="W1091" s="14" t="s">
        <v>13</v>
      </c>
      <c r="X1091" s="14" t="s">
        <v>1599</v>
      </c>
      <c r="Y1091" s="16" t="s">
        <v>1600</v>
      </c>
      <c r="Z1091" s="17">
        <v>788315241</v>
      </c>
      <c r="AA1091" s="17"/>
      <c r="AB1091" s="116"/>
      <c r="AC1091" s="116"/>
    </row>
    <row r="1092" spans="1:29" hidden="1" x14ac:dyDescent="0.3">
      <c r="A1092" s="18" t="s">
        <v>1596</v>
      </c>
      <c r="B1092" s="18" t="s">
        <v>119</v>
      </c>
      <c r="C1092" s="18" t="s">
        <v>2238</v>
      </c>
      <c r="D1092" s="14" t="s">
        <v>759</v>
      </c>
      <c r="E1092" s="18" t="s">
        <v>9</v>
      </c>
      <c r="F1092" s="14" t="s">
        <v>601</v>
      </c>
      <c r="G1092" s="14" t="s">
        <v>546</v>
      </c>
      <c r="H1092" s="18" t="s">
        <v>5</v>
      </c>
      <c r="I1092" s="14" t="s">
        <v>117</v>
      </c>
      <c r="J1092" s="14">
        <v>15</v>
      </c>
      <c r="K1092" s="14" t="s">
        <v>2239</v>
      </c>
      <c r="L1092" s="14"/>
      <c r="M1092" s="14">
        <v>1</v>
      </c>
      <c r="N1092" s="15">
        <f>849600/1.18</f>
        <v>720000</v>
      </c>
      <c r="O1092" s="15">
        <f t="shared" si="39"/>
        <v>720000</v>
      </c>
      <c r="P1092" s="15"/>
      <c r="Q1092" s="14" t="s">
        <v>520</v>
      </c>
      <c r="R1092" s="21">
        <v>45383</v>
      </c>
      <c r="S1092" s="22" t="str">
        <f>TEXT(Table1[[#This Row],[End Date]],"MMMM")</f>
        <v>April</v>
      </c>
      <c r="T1092" s="23" t="str">
        <f>TEXT(Table1[[#This Row],[End Date]],"YYYY")</f>
        <v>2024</v>
      </c>
      <c r="U1092" s="24">
        <f t="shared" ca="1" si="40"/>
        <v>-250</v>
      </c>
      <c r="V1092" s="14" t="str" cm="1">
        <f t="array" aca="1" ref="V1092" ca="1">_xlfn.IFS(Table1[[#This Row],[Agreement Days]]&gt;=0,"Expired",Table1[[#This Row],[Agreement Days]]&gt;=-30,"Expires &lt; 30 Days",Table1[[#This Row],[Agreement Days]]&gt;=-60,"Expires &lt; 60 Days",Table1[[#This Row],[Agreement Days]]&lt;-60,"Valid Contract")</f>
        <v>Valid Contract</v>
      </c>
      <c r="W1092" s="14" t="s">
        <v>13</v>
      </c>
      <c r="X1092" s="14" t="s">
        <v>1599</v>
      </c>
      <c r="Y1092" s="16" t="s">
        <v>1600</v>
      </c>
      <c r="Z1092" s="17">
        <v>788315241</v>
      </c>
      <c r="AA1092" s="17"/>
      <c r="AB1092" s="116"/>
      <c r="AC1092" s="116"/>
    </row>
    <row r="1093" spans="1:29" hidden="1" x14ac:dyDescent="0.3">
      <c r="A1093" s="18" t="s">
        <v>1596</v>
      </c>
      <c r="B1093" s="18" t="s">
        <v>119</v>
      </c>
      <c r="C1093" s="18" t="s">
        <v>2240</v>
      </c>
      <c r="D1093" s="14" t="s">
        <v>545</v>
      </c>
      <c r="E1093" s="18" t="s">
        <v>9</v>
      </c>
      <c r="F1093" s="14" t="s">
        <v>601</v>
      </c>
      <c r="G1093" s="14" t="s">
        <v>546</v>
      </c>
      <c r="H1093" s="18" t="s">
        <v>5</v>
      </c>
      <c r="I1093" s="14" t="s">
        <v>117</v>
      </c>
      <c r="J1093" s="14">
        <v>20</v>
      </c>
      <c r="K1093" s="14" t="s">
        <v>2241</v>
      </c>
      <c r="L1093" s="14"/>
      <c r="M1093" s="14">
        <v>1</v>
      </c>
      <c r="N1093" s="15">
        <f>1062000/1.18</f>
        <v>900000</v>
      </c>
      <c r="O1093" s="15">
        <f t="shared" si="39"/>
        <v>900000</v>
      </c>
      <c r="P1093" s="15"/>
      <c r="Q1093" s="14" t="s">
        <v>520</v>
      </c>
      <c r="R1093" s="21">
        <v>45383</v>
      </c>
      <c r="S1093" s="22" t="str">
        <f>TEXT(Table1[[#This Row],[End Date]],"MMMM")</f>
        <v>April</v>
      </c>
      <c r="T1093" s="23" t="str">
        <f>TEXT(Table1[[#This Row],[End Date]],"YYYY")</f>
        <v>2024</v>
      </c>
      <c r="U1093" s="24">
        <f t="shared" ca="1" si="40"/>
        <v>-250</v>
      </c>
      <c r="V1093" s="14" t="str" cm="1">
        <f t="array" aca="1" ref="V1093" ca="1">_xlfn.IFS(Table1[[#This Row],[Agreement Days]]&gt;=0,"Expired",Table1[[#This Row],[Agreement Days]]&gt;=-30,"Expires &lt; 30 Days",Table1[[#This Row],[Agreement Days]]&gt;=-60,"Expires &lt; 60 Days",Table1[[#This Row],[Agreement Days]]&lt;-60,"Valid Contract")</f>
        <v>Valid Contract</v>
      </c>
      <c r="W1093" s="14" t="s">
        <v>13</v>
      </c>
      <c r="X1093" s="14" t="s">
        <v>1599</v>
      </c>
      <c r="Y1093" s="16" t="s">
        <v>1600</v>
      </c>
      <c r="Z1093" s="17">
        <v>788315241</v>
      </c>
      <c r="AA1093" s="17"/>
      <c r="AB1093" s="116"/>
      <c r="AC1093" s="116"/>
    </row>
    <row r="1094" spans="1:29" hidden="1" x14ac:dyDescent="0.3">
      <c r="A1094" s="18" t="s">
        <v>1596</v>
      </c>
      <c r="B1094" s="18" t="s">
        <v>119</v>
      </c>
      <c r="C1094" s="18" t="s">
        <v>2242</v>
      </c>
      <c r="D1094" s="14" t="s">
        <v>545</v>
      </c>
      <c r="E1094" s="18" t="s">
        <v>9</v>
      </c>
      <c r="F1094" s="14" t="s">
        <v>601</v>
      </c>
      <c r="G1094" s="14" t="s">
        <v>546</v>
      </c>
      <c r="H1094" s="18" t="s">
        <v>5</v>
      </c>
      <c r="I1094" s="14" t="s">
        <v>117</v>
      </c>
      <c r="J1094" s="14">
        <v>30</v>
      </c>
      <c r="K1094" s="14" t="s">
        <v>2237</v>
      </c>
      <c r="L1094" s="14"/>
      <c r="M1094" s="14">
        <v>1</v>
      </c>
      <c r="N1094" s="15">
        <f>1486800/1.18</f>
        <v>1260000</v>
      </c>
      <c r="O1094" s="15">
        <f t="shared" si="39"/>
        <v>1260000</v>
      </c>
      <c r="P1094" s="15"/>
      <c r="Q1094" s="14" t="s">
        <v>520</v>
      </c>
      <c r="R1094" s="21">
        <v>45383</v>
      </c>
      <c r="S1094" s="22" t="str">
        <f>TEXT(Table1[[#This Row],[End Date]],"MMMM")</f>
        <v>April</v>
      </c>
      <c r="T1094" s="23" t="str">
        <f>TEXT(Table1[[#This Row],[End Date]],"YYYY")</f>
        <v>2024</v>
      </c>
      <c r="U1094" s="24">
        <f t="shared" ca="1" si="40"/>
        <v>-250</v>
      </c>
      <c r="V1094" s="14" t="str" cm="1">
        <f t="array" aca="1" ref="V1094" ca="1">_xlfn.IFS(Table1[[#This Row],[Agreement Days]]&gt;=0,"Expired",Table1[[#This Row],[Agreement Days]]&gt;=-30,"Expires &lt; 30 Days",Table1[[#This Row],[Agreement Days]]&gt;=-60,"Expires &lt; 60 Days",Table1[[#This Row],[Agreement Days]]&lt;-60,"Valid Contract")</f>
        <v>Valid Contract</v>
      </c>
      <c r="W1094" s="14" t="s">
        <v>13</v>
      </c>
      <c r="X1094" s="14" t="s">
        <v>1599</v>
      </c>
      <c r="Y1094" s="16" t="s">
        <v>1600</v>
      </c>
      <c r="Z1094" s="17">
        <v>788315241</v>
      </c>
      <c r="AA1094" s="17"/>
      <c r="AB1094" s="116"/>
      <c r="AC1094" s="116"/>
    </row>
    <row r="1095" spans="1:29" hidden="1" x14ac:dyDescent="0.3">
      <c r="A1095" s="18" t="s">
        <v>1596</v>
      </c>
      <c r="B1095" s="18" t="s">
        <v>119</v>
      </c>
      <c r="C1095" s="18" t="s">
        <v>2243</v>
      </c>
      <c r="D1095" s="14" t="s">
        <v>540</v>
      </c>
      <c r="E1095" s="18" t="s">
        <v>9</v>
      </c>
      <c r="F1095" s="14" t="s">
        <v>601</v>
      </c>
      <c r="G1095" s="14" t="s">
        <v>546</v>
      </c>
      <c r="H1095" s="18" t="s">
        <v>5</v>
      </c>
      <c r="I1095" s="14" t="s">
        <v>117</v>
      </c>
      <c r="J1095" s="14">
        <v>30</v>
      </c>
      <c r="K1095" s="14" t="s">
        <v>2244</v>
      </c>
      <c r="L1095" s="14"/>
      <c r="M1095" s="14">
        <v>1</v>
      </c>
      <c r="N1095" s="15">
        <v>1260000</v>
      </c>
      <c r="O1095" s="15">
        <f t="shared" ref="O1095:O1100" si="41">N1095*M1095</f>
        <v>1260000</v>
      </c>
      <c r="P1095" s="15"/>
      <c r="Q1095" s="14" t="s">
        <v>520</v>
      </c>
      <c r="R1095" s="21">
        <v>45383</v>
      </c>
      <c r="S1095" s="22" t="str">
        <f>TEXT(Table1[[#This Row],[End Date]],"MMMM")</f>
        <v>April</v>
      </c>
      <c r="T1095" s="23" t="str">
        <f>TEXT(Table1[[#This Row],[End Date]],"YYYY")</f>
        <v>2024</v>
      </c>
      <c r="U1095" s="24">
        <f t="shared" ref="U1095:U1158" ca="1" si="42">TODAY()-R1095</f>
        <v>-250</v>
      </c>
      <c r="V1095" s="14" t="str" cm="1">
        <f t="array" aca="1" ref="V1095" ca="1">_xlfn.IFS(Table1[[#This Row],[Agreement Days]]&gt;=0,"Expired",Table1[[#This Row],[Agreement Days]]&gt;=-30,"Expires &lt; 30 Days",Table1[[#This Row],[Agreement Days]]&gt;=-60,"Expires &lt; 60 Days",Table1[[#This Row],[Agreement Days]]&lt;-60,"Valid Contract")</f>
        <v>Valid Contract</v>
      </c>
      <c r="W1095" s="14" t="s">
        <v>13</v>
      </c>
      <c r="X1095" s="14" t="s">
        <v>1599</v>
      </c>
      <c r="Y1095" s="16" t="s">
        <v>1600</v>
      </c>
      <c r="Z1095" s="17">
        <v>788315241</v>
      </c>
      <c r="AA1095" s="17"/>
      <c r="AB1095" s="116"/>
      <c r="AC1095" s="116"/>
    </row>
    <row r="1096" spans="1:29" hidden="1" x14ac:dyDescent="0.3">
      <c r="A1096" s="18" t="s">
        <v>1596</v>
      </c>
      <c r="B1096" s="18" t="s">
        <v>119</v>
      </c>
      <c r="C1096" s="18" t="s">
        <v>2245</v>
      </c>
      <c r="D1096" s="14" t="s">
        <v>875</v>
      </c>
      <c r="E1096" s="18" t="s">
        <v>9</v>
      </c>
      <c r="F1096" s="14" t="s">
        <v>601</v>
      </c>
      <c r="G1096" s="14" t="s">
        <v>546</v>
      </c>
      <c r="H1096" s="18" t="s">
        <v>5</v>
      </c>
      <c r="I1096" s="14" t="s">
        <v>117</v>
      </c>
      <c r="J1096" s="14">
        <v>80</v>
      </c>
      <c r="K1096" s="18" t="s">
        <v>2246</v>
      </c>
      <c r="L1096" s="14"/>
      <c r="M1096" s="14">
        <v>1</v>
      </c>
      <c r="N1096" s="15">
        <v>2199576</v>
      </c>
      <c r="O1096" s="15">
        <f t="shared" si="41"/>
        <v>2199576</v>
      </c>
      <c r="P1096" s="15"/>
      <c r="Q1096" s="14" t="s">
        <v>520</v>
      </c>
      <c r="R1096" s="21">
        <v>45383</v>
      </c>
      <c r="S1096" s="22" t="str">
        <f>TEXT(Table1[[#This Row],[End Date]],"MMMM")</f>
        <v>April</v>
      </c>
      <c r="T1096" s="23" t="str">
        <f>TEXT(Table1[[#This Row],[End Date]],"YYYY")</f>
        <v>2024</v>
      </c>
      <c r="U1096" s="24">
        <f t="shared" ca="1" si="42"/>
        <v>-250</v>
      </c>
      <c r="V1096" s="14" t="str" cm="1">
        <f t="array" aca="1" ref="V1096" ca="1">_xlfn.IFS(Table1[[#This Row],[Agreement Days]]&gt;=0,"Expired",Table1[[#This Row],[Agreement Days]]&gt;=-30,"Expires &lt; 30 Days",Table1[[#This Row],[Agreement Days]]&gt;=-60,"Expires &lt; 60 Days",Table1[[#This Row],[Agreement Days]]&lt;-60,"Valid Contract")</f>
        <v>Valid Contract</v>
      </c>
      <c r="W1096" s="14" t="s">
        <v>13</v>
      </c>
      <c r="X1096" s="14" t="s">
        <v>1599</v>
      </c>
      <c r="Y1096" s="16" t="s">
        <v>1600</v>
      </c>
      <c r="Z1096" s="17">
        <v>788315241</v>
      </c>
      <c r="AA1096" s="17"/>
      <c r="AB1096" s="116"/>
      <c r="AC1096" s="116"/>
    </row>
    <row r="1097" spans="1:29" hidden="1" x14ac:dyDescent="0.3">
      <c r="A1097" s="18" t="s">
        <v>1596</v>
      </c>
      <c r="B1097" s="18" t="s">
        <v>119</v>
      </c>
      <c r="C1097" s="18" t="s">
        <v>2247</v>
      </c>
      <c r="D1097" s="14" t="s">
        <v>735</v>
      </c>
      <c r="E1097" s="18" t="s">
        <v>9</v>
      </c>
      <c r="F1097" s="14" t="s">
        <v>601</v>
      </c>
      <c r="G1097" s="14" t="s">
        <v>546</v>
      </c>
      <c r="H1097" s="18" t="s">
        <v>5</v>
      </c>
      <c r="I1097" s="14" t="s">
        <v>117</v>
      </c>
      <c r="J1097" s="14">
        <v>50</v>
      </c>
      <c r="K1097" s="14" t="s">
        <v>2248</v>
      </c>
      <c r="L1097" s="14"/>
      <c r="M1097" s="14">
        <v>1</v>
      </c>
      <c r="N1097" s="15">
        <f>2124000/1.18</f>
        <v>1800000</v>
      </c>
      <c r="O1097" s="15">
        <f t="shared" si="41"/>
        <v>1800000</v>
      </c>
      <c r="P1097" s="15"/>
      <c r="Q1097" s="14" t="s">
        <v>520</v>
      </c>
      <c r="R1097" s="21">
        <v>45383</v>
      </c>
      <c r="S1097" s="22" t="str">
        <f>TEXT(Table1[[#This Row],[End Date]],"MMMM")</f>
        <v>April</v>
      </c>
      <c r="T1097" s="23" t="str">
        <f>TEXT(Table1[[#This Row],[End Date]],"YYYY")</f>
        <v>2024</v>
      </c>
      <c r="U1097" s="24">
        <f t="shared" ca="1" si="42"/>
        <v>-250</v>
      </c>
      <c r="V1097" s="14" t="str" cm="1">
        <f t="array" aca="1" ref="V1097" ca="1">_xlfn.IFS(Table1[[#This Row],[Agreement Days]]&gt;=0,"Expired",Table1[[#This Row],[Agreement Days]]&gt;=-30,"Expires &lt; 30 Days",Table1[[#This Row],[Agreement Days]]&gt;=-60,"Expires &lt; 60 Days",Table1[[#This Row],[Agreement Days]]&lt;-60,"Valid Contract")</f>
        <v>Valid Contract</v>
      </c>
      <c r="W1097" s="14" t="s">
        <v>13</v>
      </c>
      <c r="X1097" s="14" t="s">
        <v>1599</v>
      </c>
      <c r="Y1097" s="16" t="s">
        <v>1600</v>
      </c>
      <c r="Z1097" s="17">
        <v>788315241</v>
      </c>
      <c r="AA1097" s="17"/>
      <c r="AB1097" s="116"/>
      <c r="AC1097" s="116"/>
    </row>
    <row r="1098" spans="1:29" hidden="1" x14ac:dyDescent="0.3">
      <c r="A1098" s="18" t="s">
        <v>1596</v>
      </c>
      <c r="B1098" s="18" t="s">
        <v>119</v>
      </c>
      <c r="C1098" s="18" t="s">
        <v>2249</v>
      </c>
      <c r="D1098" s="14" t="s">
        <v>545</v>
      </c>
      <c r="E1098" s="18" t="s">
        <v>9</v>
      </c>
      <c r="F1098" s="14" t="s">
        <v>601</v>
      </c>
      <c r="G1098" s="14" t="s">
        <v>546</v>
      </c>
      <c r="H1098" s="18" t="s">
        <v>5</v>
      </c>
      <c r="I1098" s="14" t="s">
        <v>117</v>
      </c>
      <c r="J1098" s="14">
        <v>200</v>
      </c>
      <c r="K1098" s="14" t="s">
        <v>2250</v>
      </c>
      <c r="L1098" s="14"/>
      <c r="M1098" s="14">
        <v>1</v>
      </c>
      <c r="N1098" s="15">
        <v>7178000</v>
      </c>
      <c r="O1098" s="15">
        <f t="shared" si="41"/>
        <v>7178000</v>
      </c>
      <c r="P1098" s="15"/>
      <c r="Q1098" s="14" t="s">
        <v>520</v>
      </c>
      <c r="R1098" s="21">
        <v>45383</v>
      </c>
      <c r="S1098" s="22" t="str">
        <f>TEXT(Table1[[#This Row],[End Date]],"MMMM")</f>
        <v>April</v>
      </c>
      <c r="T1098" s="23" t="str">
        <f>TEXT(Table1[[#This Row],[End Date]],"YYYY")</f>
        <v>2024</v>
      </c>
      <c r="U1098" s="24">
        <f t="shared" ca="1" si="42"/>
        <v>-250</v>
      </c>
      <c r="V1098" s="14" t="str" cm="1">
        <f t="array" aca="1" ref="V1098" ca="1">_xlfn.IFS(Table1[[#This Row],[Agreement Days]]&gt;=0,"Expired",Table1[[#This Row],[Agreement Days]]&gt;=-30,"Expires &lt; 30 Days",Table1[[#This Row],[Agreement Days]]&gt;=-60,"Expires &lt; 60 Days",Table1[[#This Row],[Agreement Days]]&lt;-60,"Valid Contract")</f>
        <v>Valid Contract</v>
      </c>
      <c r="W1098" s="14" t="s">
        <v>13</v>
      </c>
      <c r="X1098" s="14" t="s">
        <v>1599</v>
      </c>
      <c r="Y1098" s="16" t="s">
        <v>1600</v>
      </c>
      <c r="Z1098" s="17">
        <v>788315241</v>
      </c>
      <c r="AA1098" s="17"/>
      <c r="AB1098" s="116"/>
      <c r="AC1098" s="116"/>
    </row>
    <row r="1099" spans="1:29" hidden="1" x14ac:dyDescent="0.3">
      <c r="A1099" s="18" t="s">
        <v>1596</v>
      </c>
      <c r="B1099" s="18" t="s">
        <v>119</v>
      </c>
      <c r="C1099" s="18" t="s">
        <v>2251</v>
      </c>
      <c r="D1099" s="14" t="s">
        <v>739</v>
      </c>
      <c r="E1099" s="18" t="s">
        <v>9</v>
      </c>
      <c r="F1099" s="14" t="s">
        <v>601</v>
      </c>
      <c r="G1099" s="14" t="s">
        <v>546</v>
      </c>
      <c r="H1099" s="18" t="s">
        <v>5</v>
      </c>
      <c r="I1099" s="14" t="s">
        <v>117</v>
      </c>
      <c r="J1099" s="14">
        <v>180</v>
      </c>
      <c r="K1099" s="14" t="s">
        <v>2252</v>
      </c>
      <c r="L1099" s="14"/>
      <c r="M1099" s="14">
        <v>1</v>
      </c>
      <c r="N1099" s="15">
        <f>7858800/1.18</f>
        <v>6660000</v>
      </c>
      <c r="O1099" s="15">
        <f t="shared" si="41"/>
        <v>6660000</v>
      </c>
      <c r="P1099" s="15"/>
      <c r="Q1099" s="14" t="s">
        <v>520</v>
      </c>
      <c r="R1099" s="21">
        <v>45383</v>
      </c>
      <c r="S1099" s="22" t="str">
        <f>TEXT(Table1[[#This Row],[End Date]],"MMMM")</f>
        <v>April</v>
      </c>
      <c r="T1099" s="23" t="str">
        <f>TEXT(Table1[[#This Row],[End Date]],"YYYY")</f>
        <v>2024</v>
      </c>
      <c r="U1099" s="24">
        <f t="shared" ca="1" si="42"/>
        <v>-250</v>
      </c>
      <c r="V1099" s="14" t="str" cm="1">
        <f t="array" aca="1" ref="V1099" ca="1">_xlfn.IFS(Table1[[#This Row],[Agreement Days]]&gt;=0,"Expired",Table1[[#This Row],[Agreement Days]]&gt;=-30,"Expires &lt; 30 Days",Table1[[#This Row],[Agreement Days]]&gt;=-60,"Expires &lt; 60 Days",Table1[[#This Row],[Agreement Days]]&lt;-60,"Valid Contract")</f>
        <v>Valid Contract</v>
      </c>
      <c r="W1099" s="14" t="s">
        <v>13</v>
      </c>
      <c r="X1099" s="14" t="s">
        <v>1599</v>
      </c>
      <c r="Y1099" s="16" t="s">
        <v>1600</v>
      </c>
      <c r="Z1099" s="17">
        <v>788315241</v>
      </c>
      <c r="AA1099" s="17"/>
      <c r="AB1099" s="116"/>
      <c r="AC1099" s="116"/>
    </row>
    <row r="1100" spans="1:29" hidden="1" x14ac:dyDescent="0.3">
      <c r="A1100" s="18" t="s">
        <v>1596</v>
      </c>
      <c r="B1100" s="18" t="s">
        <v>119</v>
      </c>
      <c r="C1100" s="18" t="s">
        <v>2253</v>
      </c>
      <c r="D1100" s="14" t="s">
        <v>545</v>
      </c>
      <c r="E1100" s="18" t="s">
        <v>9</v>
      </c>
      <c r="F1100" s="14" t="s">
        <v>601</v>
      </c>
      <c r="G1100" s="14" t="s">
        <v>546</v>
      </c>
      <c r="H1100" s="18" t="s">
        <v>2</v>
      </c>
      <c r="I1100" s="14" t="s">
        <v>120</v>
      </c>
      <c r="J1100" s="14"/>
      <c r="K1100" s="14" t="s">
        <v>2254</v>
      </c>
      <c r="L1100" s="14"/>
      <c r="M1100" s="14">
        <v>1</v>
      </c>
      <c r="N1100" s="15">
        <f>304493/1.18</f>
        <v>258044.9152542373</v>
      </c>
      <c r="O1100" s="15">
        <f t="shared" si="41"/>
        <v>258044.9152542373</v>
      </c>
      <c r="P1100" s="15"/>
      <c r="Q1100" s="14" t="s">
        <v>520</v>
      </c>
      <c r="R1100" s="21">
        <v>45383</v>
      </c>
      <c r="S1100" s="22" t="str">
        <f>TEXT(Table1[[#This Row],[End Date]],"MMMM")</f>
        <v>April</v>
      </c>
      <c r="T1100" s="23" t="str">
        <f>TEXT(Table1[[#This Row],[End Date]],"YYYY")</f>
        <v>2024</v>
      </c>
      <c r="U1100" s="24">
        <f t="shared" ca="1" si="42"/>
        <v>-250</v>
      </c>
      <c r="V1100" s="14" t="str" cm="1">
        <f t="array" aca="1" ref="V1100" ca="1">_xlfn.IFS(Table1[[#This Row],[Agreement Days]]&gt;=0,"Expired",Table1[[#This Row],[Agreement Days]]&gt;=-30,"Expires &lt; 30 Days",Table1[[#This Row],[Agreement Days]]&gt;=-60,"Expires &lt; 60 Days",Table1[[#This Row],[Agreement Days]]&lt;-60,"Valid Contract")</f>
        <v>Valid Contract</v>
      </c>
      <c r="W1100" s="14" t="s">
        <v>13</v>
      </c>
      <c r="X1100" s="14" t="s">
        <v>1599</v>
      </c>
      <c r="Y1100" s="16" t="s">
        <v>1600</v>
      </c>
      <c r="Z1100" s="17">
        <v>788315241</v>
      </c>
      <c r="AA1100" s="17"/>
      <c r="AB1100" s="116"/>
      <c r="AC1100" s="116"/>
    </row>
    <row r="1101" spans="1:29" hidden="1" x14ac:dyDescent="0.3">
      <c r="A1101" s="18" t="s">
        <v>1596</v>
      </c>
      <c r="B1101" s="18" t="s">
        <v>119</v>
      </c>
      <c r="C1101" s="18" t="s">
        <v>2255</v>
      </c>
      <c r="D1101" s="14" t="s">
        <v>540</v>
      </c>
      <c r="E1101" s="18" t="s">
        <v>9</v>
      </c>
      <c r="F1101" s="14" t="s">
        <v>601</v>
      </c>
      <c r="G1101" s="14" t="s">
        <v>546</v>
      </c>
      <c r="H1101" s="18" t="s">
        <v>5</v>
      </c>
      <c r="I1101" s="14" t="s">
        <v>116</v>
      </c>
      <c r="J1101" s="14"/>
      <c r="K1101" s="14" t="s">
        <v>533</v>
      </c>
      <c r="L1101" s="46">
        <v>14.11</v>
      </c>
      <c r="M1101" s="14">
        <v>1</v>
      </c>
      <c r="N1101" s="15"/>
      <c r="O1101" s="15"/>
      <c r="P1101" s="15"/>
      <c r="Q1101" s="14" t="s">
        <v>520</v>
      </c>
      <c r="R1101" s="21">
        <v>45383</v>
      </c>
      <c r="S1101" s="22" t="str">
        <f>TEXT(Table1[[#This Row],[End Date]],"MMMM")</f>
        <v>April</v>
      </c>
      <c r="T1101" s="23" t="str">
        <f>TEXT(Table1[[#This Row],[End Date]],"YYYY")</f>
        <v>2024</v>
      </c>
      <c r="U1101" s="24">
        <f t="shared" ca="1" si="42"/>
        <v>-250</v>
      </c>
      <c r="V1101" s="14" t="str" cm="1">
        <f t="array" aca="1" ref="V1101" ca="1">_xlfn.IFS(Table1[[#This Row],[Agreement Days]]&gt;=0,"Expired",Table1[[#This Row],[Agreement Days]]&gt;=-30,"Expires &lt; 30 Days",Table1[[#This Row],[Agreement Days]]&gt;=-60,"Expires &lt; 60 Days",Table1[[#This Row],[Agreement Days]]&lt;-60,"Valid Contract")</f>
        <v>Valid Contract</v>
      </c>
      <c r="W1101" s="14" t="s">
        <v>13</v>
      </c>
      <c r="X1101" s="14" t="s">
        <v>1599</v>
      </c>
      <c r="Y1101" s="16" t="s">
        <v>1600</v>
      </c>
      <c r="Z1101" s="17">
        <v>788315241</v>
      </c>
      <c r="AA1101" s="17"/>
      <c r="AB1101" s="116"/>
      <c r="AC1101" s="116"/>
    </row>
    <row r="1102" spans="1:29" hidden="1" x14ac:dyDescent="0.3">
      <c r="A1102" s="18" t="s">
        <v>1596</v>
      </c>
      <c r="B1102" s="18" t="s">
        <v>119</v>
      </c>
      <c r="C1102" s="18" t="s">
        <v>2256</v>
      </c>
      <c r="D1102" s="14" t="s">
        <v>540</v>
      </c>
      <c r="E1102" s="18" t="s">
        <v>9</v>
      </c>
      <c r="F1102" s="14" t="s">
        <v>601</v>
      </c>
      <c r="G1102" s="14" t="s">
        <v>546</v>
      </c>
      <c r="H1102" s="18" t="s">
        <v>5</v>
      </c>
      <c r="I1102" s="14" t="s">
        <v>117</v>
      </c>
      <c r="J1102" s="14">
        <v>5</v>
      </c>
      <c r="K1102" s="14" t="s">
        <v>2213</v>
      </c>
      <c r="L1102" s="46"/>
      <c r="M1102" s="14">
        <v>1</v>
      </c>
      <c r="N1102" s="14">
        <v>270000</v>
      </c>
      <c r="O1102" s="15">
        <f t="shared" ref="O1102:O1165" si="43">N1102*M1102</f>
        <v>270000</v>
      </c>
      <c r="P1102" s="15"/>
      <c r="Q1102" s="14" t="s">
        <v>520</v>
      </c>
      <c r="R1102" s="21">
        <v>45383</v>
      </c>
      <c r="S1102" s="22" t="str">
        <f>TEXT(Table1[[#This Row],[End Date]],"MMMM")</f>
        <v>April</v>
      </c>
      <c r="T1102" s="22" t="str">
        <f>TEXT(Table1[[#This Row],[End Date]],"YYYY")</f>
        <v>2024</v>
      </c>
      <c r="U1102" s="28">
        <f t="shared" ca="1" si="42"/>
        <v>-250</v>
      </c>
      <c r="V1102" s="14" t="str" cm="1">
        <f t="array" aca="1" ref="V1102" ca="1">_xlfn.IFS(Table1[[#This Row],[Agreement Days]]&gt;=0,"Expired",Table1[[#This Row],[Agreement Days]]&gt;=-30,"Expires &lt; 30 Days",Table1[[#This Row],[Agreement Days]]&gt;=-60,"Expires &lt; 60 Days",Table1[[#This Row],[Agreement Days]]&lt;-60,"Valid Contract")</f>
        <v>Valid Contract</v>
      </c>
      <c r="W1102" s="14" t="s">
        <v>13</v>
      </c>
      <c r="X1102" s="14" t="s">
        <v>1599</v>
      </c>
      <c r="Y1102" s="16" t="s">
        <v>1600</v>
      </c>
      <c r="Z1102" s="17">
        <v>788315241</v>
      </c>
      <c r="AA1102" s="17"/>
      <c r="AB1102" s="116"/>
      <c r="AC1102" s="116"/>
    </row>
    <row r="1103" spans="1:29" hidden="1" x14ac:dyDescent="0.3">
      <c r="A1103" s="18" t="s">
        <v>1596</v>
      </c>
      <c r="B1103" s="18" t="s">
        <v>119</v>
      </c>
      <c r="C1103" s="18" t="s">
        <v>2257</v>
      </c>
      <c r="D1103" s="14" t="s">
        <v>545</v>
      </c>
      <c r="E1103" s="18" t="s">
        <v>9</v>
      </c>
      <c r="F1103" s="14" t="s">
        <v>601</v>
      </c>
      <c r="G1103" s="14" t="s">
        <v>546</v>
      </c>
      <c r="H1103" s="18" t="s">
        <v>5</v>
      </c>
      <c r="I1103" s="14" t="s">
        <v>117</v>
      </c>
      <c r="J1103" s="14">
        <v>1</v>
      </c>
      <c r="K1103" s="14" t="s">
        <v>2168</v>
      </c>
      <c r="L1103" s="46"/>
      <c r="M1103" s="14">
        <v>1</v>
      </c>
      <c r="N1103" s="14">
        <v>90000</v>
      </c>
      <c r="O1103" s="15">
        <f t="shared" si="43"/>
        <v>90000</v>
      </c>
      <c r="P1103" s="15"/>
      <c r="Q1103" s="14" t="s">
        <v>520</v>
      </c>
      <c r="R1103" s="21">
        <v>45383</v>
      </c>
      <c r="S1103" s="22" t="str">
        <f>TEXT(Table1[[#This Row],[End Date]],"MMMM")</f>
        <v>April</v>
      </c>
      <c r="T1103" s="22" t="str">
        <f>TEXT(Table1[[#This Row],[End Date]],"YYYY")</f>
        <v>2024</v>
      </c>
      <c r="U1103" s="28">
        <f t="shared" ca="1" si="42"/>
        <v>-250</v>
      </c>
      <c r="V1103" s="14" t="str" cm="1">
        <f t="array" aca="1" ref="V1103" ca="1">_xlfn.IFS(Table1[[#This Row],[Agreement Days]]&gt;=0,"Expired",Table1[[#This Row],[Agreement Days]]&gt;=-30,"Expires &lt; 30 Days",Table1[[#This Row],[Agreement Days]]&gt;=-60,"Expires &lt; 60 Days",Table1[[#This Row],[Agreement Days]]&lt;-60,"Valid Contract")</f>
        <v>Valid Contract</v>
      </c>
      <c r="W1103" s="14" t="s">
        <v>13</v>
      </c>
      <c r="X1103" s="14" t="s">
        <v>1599</v>
      </c>
      <c r="Y1103" s="16" t="s">
        <v>1600</v>
      </c>
      <c r="Z1103" s="17">
        <v>788315241</v>
      </c>
      <c r="AA1103" s="17"/>
      <c r="AB1103" s="116"/>
      <c r="AC1103" s="116"/>
    </row>
    <row r="1104" spans="1:29" hidden="1" x14ac:dyDescent="0.3">
      <c r="A1104" s="18" t="s">
        <v>1596</v>
      </c>
      <c r="B1104" s="18" t="s">
        <v>119</v>
      </c>
      <c r="C1104" s="18" t="s">
        <v>2258</v>
      </c>
      <c r="D1104" s="14" t="s">
        <v>540</v>
      </c>
      <c r="E1104" s="18" t="s">
        <v>9</v>
      </c>
      <c r="F1104" s="14" t="s">
        <v>601</v>
      </c>
      <c r="G1104" s="14" t="s">
        <v>546</v>
      </c>
      <c r="H1104" s="18" t="s">
        <v>5</v>
      </c>
      <c r="I1104" s="14" t="s">
        <v>117</v>
      </c>
      <c r="J1104" s="14">
        <v>5</v>
      </c>
      <c r="K1104" s="14" t="s">
        <v>2213</v>
      </c>
      <c r="L1104" s="46"/>
      <c r="M1104" s="14">
        <v>1</v>
      </c>
      <c r="N1104" s="14">
        <v>270000</v>
      </c>
      <c r="O1104" s="15">
        <f t="shared" si="43"/>
        <v>270000</v>
      </c>
      <c r="P1104" s="15"/>
      <c r="Q1104" s="14" t="s">
        <v>520</v>
      </c>
      <c r="R1104" s="21">
        <v>45383</v>
      </c>
      <c r="S1104" s="22" t="str">
        <f>TEXT(Table1[[#This Row],[End Date]],"MMMM")</f>
        <v>April</v>
      </c>
      <c r="T1104" s="22" t="str">
        <f>TEXT(Table1[[#This Row],[End Date]],"YYYY")</f>
        <v>2024</v>
      </c>
      <c r="U1104" s="28">
        <f t="shared" ca="1" si="42"/>
        <v>-250</v>
      </c>
      <c r="V1104" s="14" t="str" cm="1">
        <f t="array" aca="1" ref="V1104" ca="1">_xlfn.IFS(Table1[[#This Row],[Agreement Days]]&gt;=0,"Expired",Table1[[#This Row],[Agreement Days]]&gt;=-30,"Expires &lt; 30 Days",Table1[[#This Row],[Agreement Days]]&gt;=-60,"Expires &lt; 60 Days",Table1[[#This Row],[Agreement Days]]&lt;-60,"Valid Contract")</f>
        <v>Valid Contract</v>
      </c>
      <c r="W1104" s="14" t="s">
        <v>13</v>
      </c>
      <c r="X1104" s="14" t="s">
        <v>1599</v>
      </c>
      <c r="Y1104" s="16" t="s">
        <v>1600</v>
      </c>
      <c r="Z1104" s="17">
        <v>788315241</v>
      </c>
      <c r="AA1104" s="17"/>
      <c r="AB1104" s="116"/>
      <c r="AC1104" s="116"/>
    </row>
    <row r="1105" spans="1:29" hidden="1" x14ac:dyDescent="0.3">
      <c r="A1105" s="18" t="s">
        <v>1596</v>
      </c>
      <c r="B1105" s="18" t="s">
        <v>119</v>
      </c>
      <c r="C1105" s="18" t="s">
        <v>2259</v>
      </c>
      <c r="D1105" s="14" t="s">
        <v>540</v>
      </c>
      <c r="E1105" s="18" t="s">
        <v>9</v>
      </c>
      <c r="F1105" s="14" t="s">
        <v>601</v>
      </c>
      <c r="G1105" s="14" t="s">
        <v>546</v>
      </c>
      <c r="H1105" s="18" t="s">
        <v>5</v>
      </c>
      <c r="I1105" s="14" t="s">
        <v>117</v>
      </c>
      <c r="J1105" s="14">
        <v>1</v>
      </c>
      <c r="K1105" s="14" t="s">
        <v>2168</v>
      </c>
      <c r="L1105" s="46"/>
      <c r="M1105" s="14">
        <v>1</v>
      </c>
      <c r="N1105" s="14">
        <v>90000</v>
      </c>
      <c r="O1105" s="15">
        <f t="shared" si="43"/>
        <v>90000</v>
      </c>
      <c r="P1105" s="15"/>
      <c r="Q1105" s="14" t="s">
        <v>520</v>
      </c>
      <c r="R1105" s="21">
        <v>45383</v>
      </c>
      <c r="S1105" s="22" t="str">
        <f>TEXT(Table1[[#This Row],[End Date]],"MMMM")</f>
        <v>April</v>
      </c>
      <c r="T1105" s="22" t="str">
        <f>TEXT(Table1[[#This Row],[End Date]],"YYYY")</f>
        <v>2024</v>
      </c>
      <c r="U1105" s="28">
        <f t="shared" ca="1" si="42"/>
        <v>-250</v>
      </c>
      <c r="V1105" s="14" t="str" cm="1">
        <f t="array" aca="1" ref="V1105" ca="1">_xlfn.IFS(Table1[[#This Row],[Agreement Days]]&gt;=0,"Expired",Table1[[#This Row],[Agreement Days]]&gt;=-30,"Expires &lt; 30 Days",Table1[[#This Row],[Agreement Days]]&gt;=-60,"Expires &lt; 60 Days",Table1[[#This Row],[Agreement Days]]&lt;-60,"Valid Contract")</f>
        <v>Valid Contract</v>
      </c>
      <c r="W1105" s="14" t="s">
        <v>13</v>
      </c>
      <c r="X1105" s="14" t="s">
        <v>1599</v>
      </c>
      <c r="Y1105" s="16" t="s">
        <v>1600</v>
      </c>
      <c r="Z1105" s="17">
        <v>788315241</v>
      </c>
      <c r="AA1105" s="17"/>
      <c r="AB1105" s="116"/>
      <c r="AC1105" s="116"/>
    </row>
    <row r="1106" spans="1:29" hidden="1" x14ac:dyDescent="0.3">
      <c r="A1106" s="18" t="s">
        <v>1596</v>
      </c>
      <c r="B1106" s="18" t="s">
        <v>119</v>
      </c>
      <c r="C1106" s="18" t="s">
        <v>2260</v>
      </c>
      <c r="D1106" s="14" t="s">
        <v>540</v>
      </c>
      <c r="E1106" s="18" t="s">
        <v>9</v>
      </c>
      <c r="F1106" s="14" t="s">
        <v>601</v>
      </c>
      <c r="G1106" s="14" t="s">
        <v>546</v>
      </c>
      <c r="H1106" s="18" t="s">
        <v>5</v>
      </c>
      <c r="I1106" s="14" t="s">
        <v>117</v>
      </c>
      <c r="J1106" s="14">
        <v>3</v>
      </c>
      <c r="K1106" s="14" t="s">
        <v>2187</v>
      </c>
      <c r="L1106" s="46"/>
      <c r="M1106" s="14">
        <v>1</v>
      </c>
      <c r="N1106" s="14">
        <v>180000</v>
      </c>
      <c r="O1106" s="15">
        <f t="shared" si="43"/>
        <v>180000</v>
      </c>
      <c r="P1106" s="15"/>
      <c r="Q1106" s="14" t="s">
        <v>520</v>
      </c>
      <c r="R1106" s="21">
        <v>45383</v>
      </c>
      <c r="S1106" s="22" t="str">
        <f>TEXT(Table1[[#This Row],[End Date]],"MMMM")</f>
        <v>April</v>
      </c>
      <c r="T1106" s="22" t="str">
        <f>TEXT(Table1[[#This Row],[End Date]],"YYYY")</f>
        <v>2024</v>
      </c>
      <c r="U1106" s="28">
        <f t="shared" ca="1" si="42"/>
        <v>-250</v>
      </c>
      <c r="V1106" s="14" t="str" cm="1">
        <f t="array" aca="1" ref="V1106" ca="1">_xlfn.IFS(Table1[[#This Row],[Agreement Days]]&gt;=0,"Expired",Table1[[#This Row],[Agreement Days]]&gt;=-30,"Expires &lt; 30 Days",Table1[[#This Row],[Agreement Days]]&gt;=-60,"Expires &lt; 60 Days",Table1[[#This Row],[Agreement Days]]&lt;-60,"Valid Contract")</f>
        <v>Valid Contract</v>
      </c>
      <c r="W1106" s="14" t="s">
        <v>13</v>
      </c>
      <c r="X1106" s="14" t="s">
        <v>1599</v>
      </c>
      <c r="Y1106" s="16" t="s">
        <v>1600</v>
      </c>
      <c r="Z1106" s="17">
        <v>788315241</v>
      </c>
      <c r="AA1106" s="17"/>
      <c r="AB1106" s="116"/>
      <c r="AC1106" s="116"/>
    </row>
    <row r="1107" spans="1:29" hidden="1" x14ac:dyDescent="0.3">
      <c r="A1107" s="18" t="s">
        <v>1596</v>
      </c>
      <c r="B1107" s="18" t="s">
        <v>119</v>
      </c>
      <c r="C1107" s="18" t="s">
        <v>2261</v>
      </c>
      <c r="D1107" s="14" t="s">
        <v>532</v>
      </c>
      <c r="E1107" s="18" t="s">
        <v>9</v>
      </c>
      <c r="F1107" s="14" t="s">
        <v>601</v>
      </c>
      <c r="G1107" s="14" t="s">
        <v>546</v>
      </c>
      <c r="H1107" s="18" t="s">
        <v>5</v>
      </c>
      <c r="I1107" s="14" t="s">
        <v>117</v>
      </c>
      <c r="J1107" s="14">
        <v>3</v>
      </c>
      <c r="K1107" s="14" t="s">
        <v>2187</v>
      </c>
      <c r="L1107" s="46"/>
      <c r="M1107" s="14">
        <v>1</v>
      </c>
      <c r="N1107" s="14">
        <v>180000</v>
      </c>
      <c r="O1107" s="15">
        <f t="shared" si="43"/>
        <v>180000</v>
      </c>
      <c r="P1107" s="15"/>
      <c r="Q1107" s="14" t="s">
        <v>520</v>
      </c>
      <c r="R1107" s="21">
        <v>45383</v>
      </c>
      <c r="S1107" s="22" t="str">
        <f>TEXT(Table1[[#This Row],[End Date]],"MMMM")</f>
        <v>April</v>
      </c>
      <c r="T1107" s="22" t="str">
        <f>TEXT(Table1[[#This Row],[End Date]],"YYYY")</f>
        <v>2024</v>
      </c>
      <c r="U1107" s="28">
        <f t="shared" ca="1" si="42"/>
        <v>-250</v>
      </c>
      <c r="V1107" s="14" t="str" cm="1">
        <f t="array" aca="1" ref="V1107" ca="1">_xlfn.IFS(Table1[[#This Row],[Agreement Days]]&gt;=0,"Expired",Table1[[#This Row],[Agreement Days]]&gt;=-30,"Expires &lt; 30 Days",Table1[[#This Row],[Agreement Days]]&gt;=-60,"Expires &lt; 60 Days",Table1[[#This Row],[Agreement Days]]&lt;-60,"Valid Contract")</f>
        <v>Valid Contract</v>
      </c>
      <c r="W1107" s="14" t="s">
        <v>13</v>
      </c>
      <c r="X1107" s="14" t="s">
        <v>1599</v>
      </c>
      <c r="Y1107" s="16" t="s">
        <v>1600</v>
      </c>
      <c r="Z1107" s="17">
        <v>788315241</v>
      </c>
      <c r="AA1107" s="17"/>
      <c r="AB1107" s="116"/>
      <c r="AC1107" s="116"/>
    </row>
    <row r="1108" spans="1:29" hidden="1" x14ac:dyDescent="0.3">
      <c r="A1108" s="18" t="s">
        <v>1596</v>
      </c>
      <c r="B1108" s="18" t="s">
        <v>119</v>
      </c>
      <c r="C1108" s="18" t="s">
        <v>2262</v>
      </c>
      <c r="D1108" s="14" t="s">
        <v>769</v>
      </c>
      <c r="E1108" s="18" t="s">
        <v>9</v>
      </c>
      <c r="F1108" s="14" t="s">
        <v>601</v>
      </c>
      <c r="G1108" s="14" t="s">
        <v>546</v>
      </c>
      <c r="H1108" s="18" t="s">
        <v>5</v>
      </c>
      <c r="I1108" s="14" t="s">
        <v>117</v>
      </c>
      <c r="J1108" s="14">
        <v>1</v>
      </c>
      <c r="K1108" s="14" t="s">
        <v>2168</v>
      </c>
      <c r="L1108" s="14"/>
      <c r="M1108" s="14">
        <v>1</v>
      </c>
      <c r="N1108" s="14">
        <v>90000</v>
      </c>
      <c r="O1108" s="15">
        <f t="shared" si="43"/>
        <v>90000</v>
      </c>
      <c r="P1108" s="15"/>
      <c r="Q1108" s="14" t="s">
        <v>520</v>
      </c>
      <c r="R1108" s="21">
        <v>45383</v>
      </c>
      <c r="S1108" s="22" t="str">
        <f>TEXT(Table1[[#This Row],[End Date]],"MMMM")</f>
        <v>April</v>
      </c>
      <c r="T1108" s="22" t="str">
        <f>TEXT(Table1[[#This Row],[End Date]],"YYYY")</f>
        <v>2024</v>
      </c>
      <c r="U1108" s="28">
        <f t="shared" ca="1" si="42"/>
        <v>-250</v>
      </c>
      <c r="V1108" s="14" t="str" cm="1">
        <f t="array" aca="1" ref="V1108" ca="1">_xlfn.IFS(Table1[[#This Row],[Agreement Days]]&gt;=0,"Expired",Table1[[#This Row],[Agreement Days]]&gt;=-30,"Expires &lt; 30 Days",Table1[[#This Row],[Agreement Days]]&gt;=-60,"Expires &lt; 60 Days",Table1[[#This Row],[Agreement Days]]&lt;-60,"Valid Contract")</f>
        <v>Valid Contract</v>
      </c>
      <c r="W1108" s="14" t="s">
        <v>13</v>
      </c>
      <c r="X1108" s="14" t="s">
        <v>1599</v>
      </c>
      <c r="Y1108" s="16" t="s">
        <v>1600</v>
      </c>
      <c r="Z1108" s="17">
        <v>788315241</v>
      </c>
      <c r="AA1108" s="17"/>
      <c r="AB1108" s="116"/>
      <c r="AC1108" s="116"/>
    </row>
    <row r="1109" spans="1:29" hidden="1" x14ac:dyDescent="0.3">
      <c r="A1109" s="18" t="s">
        <v>1596</v>
      </c>
      <c r="B1109" s="18" t="s">
        <v>119</v>
      </c>
      <c r="C1109" s="18" t="s">
        <v>2203</v>
      </c>
      <c r="D1109" s="14" t="s">
        <v>769</v>
      </c>
      <c r="E1109" s="18" t="s">
        <v>9</v>
      </c>
      <c r="F1109" s="14" t="s">
        <v>601</v>
      </c>
      <c r="G1109" s="14" t="s">
        <v>546</v>
      </c>
      <c r="H1109" s="18" t="s">
        <v>5</v>
      </c>
      <c r="I1109" s="14" t="s">
        <v>117</v>
      </c>
      <c r="J1109" s="14">
        <v>1</v>
      </c>
      <c r="K1109" s="14" t="s">
        <v>2168</v>
      </c>
      <c r="L1109" s="46"/>
      <c r="M1109" s="14">
        <v>1</v>
      </c>
      <c r="N1109" s="14">
        <v>90000</v>
      </c>
      <c r="O1109" s="15">
        <f t="shared" si="43"/>
        <v>90000</v>
      </c>
      <c r="P1109" s="15"/>
      <c r="Q1109" s="14" t="s">
        <v>520</v>
      </c>
      <c r="R1109" s="21">
        <v>45383</v>
      </c>
      <c r="S1109" s="22" t="str">
        <f>TEXT(Table1[[#This Row],[End Date]],"MMMM")</f>
        <v>April</v>
      </c>
      <c r="T1109" s="22" t="str">
        <f>TEXT(Table1[[#This Row],[End Date]],"YYYY")</f>
        <v>2024</v>
      </c>
      <c r="U1109" s="28">
        <f t="shared" ca="1" si="42"/>
        <v>-250</v>
      </c>
      <c r="V1109" s="14" t="str" cm="1">
        <f t="array" aca="1" ref="V1109" ca="1">_xlfn.IFS(Table1[[#This Row],[Agreement Days]]&gt;=0,"Expired",Table1[[#This Row],[Agreement Days]]&gt;=-30,"Expires &lt; 30 Days",Table1[[#This Row],[Agreement Days]]&gt;=-60,"Expires &lt; 60 Days",Table1[[#This Row],[Agreement Days]]&lt;-60,"Valid Contract")</f>
        <v>Valid Contract</v>
      </c>
      <c r="W1109" s="14" t="s">
        <v>13</v>
      </c>
      <c r="X1109" s="14" t="s">
        <v>1599</v>
      </c>
      <c r="Y1109" s="16" t="s">
        <v>1600</v>
      </c>
      <c r="Z1109" s="17">
        <v>788315241</v>
      </c>
      <c r="AA1109" s="17"/>
      <c r="AB1109" s="116"/>
      <c r="AC1109" s="116"/>
    </row>
    <row r="1110" spans="1:29" hidden="1" x14ac:dyDescent="0.3">
      <c r="A1110" s="18" t="s">
        <v>1596</v>
      </c>
      <c r="B1110" s="18" t="s">
        <v>119</v>
      </c>
      <c r="C1110" s="18" t="s">
        <v>2263</v>
      </c>
      <c r="D1110" s="14" t="s">
        <v>735</v>
      </c>
      <c r="E1110" s="18" t="s">
        <v>9</v>
      </c>
      <c r="F1110" s="14" t="s">
        <v>601</v>
      </c>
      <c r="G1110" s="14" t="s">
        <v>546</v>
      </c>
      <c r="H1110" s="18" t="s">
        <v>5</v>
      </c>
      <c r="I1110" s="14" t="s">
        <v>117</v>
      </c>
      <c r="J1110" s="14">
        <v>5</v>
      </c>
      <c r="K1110" s="14" t="s">
        <v>2213</v>
      </c>
      <c r="L1110" s="14"/>
      <c r="M1110" s="14">
        <v>1</v>
      </c>
      <c r="N1110" s="14">
        <v>270000</v>
      </c>
      <c r="O1110" s="15">
        <f t="shared" si="43"/>
        <v>270000</v>
      </c>
      <c r="P1110" s="15"/>
      <c r="Q1110" s="14" t="s">
        <v>520</v>
      </c>
      <c r="R1110" s="21">
        <v>45383</v>
      </c>
      <c r="S1110" s="22" t="str">
        <f>TEXT(Table1[[#This Row],[End Date]],"MMMM")</f>
        <v>April</v>
      </c>
      <c r="T1110" s="22" t="str">
        <f>TEXT(Table1[[#This Row],[End Date]],"YYYY")</f>
        <v>2024</v>
      </c>
      <c r="U1110" s="28">
        <f t="shared" ca="1" si="42"/>
        <v>-250</v>
      </c>
      <c r="V1110" s="14" t="str" cm="1">
        <f t="array" aca="1" ref="V1110" ca="1">_xlfn.IFS(Table1[[#This Row],[Agreement Days]]&gt;=0,"Expired",Table1[[#This Row],[Agreement Days]]&gt;=-30,"Expires &lt; 30 Days",Table1[[#This Row],[Agreement Days]]&gt;=-60,"Expires &lt; 60 Days",Table1[[#This Row],[Agreement Days]]&lt;-60,"Valid Contract")</f>
        <v>Valid Contract</v>
      </c>
      <c r="W1110" s="14" t="s">
        <v>13</v>
      </c>
      <c r="X1110" s="14" t="s">
        <v>1599</v>
      </c>
      <c r="Y1110" s="16" t="s">
        <v>1600</v>
      </c>
      <c r="Z1110" s="17">
        <v>788315241</v>
      </c>
      <c r="AA1110" s="17"/>
      <c r="AB1110" s="116"/>
      <c r="AC1110" s="116"/>
    </row>
    <row r="1111" spans="1:29" hidden="1" x14ac:dyDescent="0.3">
      <c r="A1111" s="18" t="s">
        <v>1596</v>
      </c>
      <c r="B1111" s="18" t="s">
        <v>119</v>
      </c>
      <c r="C1111" s="18" t="s">
        <v>2264</v>
      </c>
      <c r="D1111" s="14" t="s">
        <v>516</v>
      </c>
      <c r="E1111" s="18" t="s">
        <v>9</v>
      </c>
      <c r="F1111" s="14" t="s">
        <v>601</v>
      </c>
      <c r="G1111" s="14" t="s">
        <v>546</v>
      </c>
      <c r="H1111" s="18" t="s">
        <v>5</v>
      </c>
      <c r="I1111" s="14" t="s">
        <v>117</v>
      </c>
      <c r="J1111" s="14">
        <v>5</v>
      </c>
      <c r="K1111" s="14" t="s">
        <v>2213</v>
      </c>
      <c r="L1111" s="46"/>
      <c r="M1111" s="14">
        <v>1</v>
      </c>
      <c r="N1111" s="14">
        <v>270000</v>
      </c>
      <c r="O1111" s="15">
        <f t="shared" si="43"/>
        <v>270000</v>
      </c>
      <c r="P1111" s="15"/>
      <c r="Q1111" s="14" t="s">
        <v>520</v>
      </c>
      <c r="R1111" s="21">
        <v>45383</v>
      </c>
      <c r="S1111" s="22" t="str">
        <f>TEXT(Table1[[#This Row],[End Date]],"MMMM")</f>
        <v>April</v>
      </c>
      <c r="T1111" s="22" t="str">
        <f>TEXT(Table1[[#This Row],[End Date]],"YYYY")</f>
        <v>2024</v>
      </c>
      <c r="U1111" s="28">
        <f t="shared" ca="1" si="42"/>
        <v>-250</v>
      </c>
      <c r="V1111" s="14" t="str" cm="1">
        <f t="array" aca="1" ref="V1111" ca="1">_xlfn.IFS(Table1[[#This Row],[Agreement Days]]&gt;=0,"Expired",Table1[[#This Row],[Agreement Days]]&gt;=-30,"Expires &lt; 30 Days",Table1[[#This Row],[Agreement Days]]&gt;=-60,"Expires &lt; 60 Days",Table1[[#This Row],[Agreement Days]]&lt;-60,"Valid Contract")</f>
        <v>Valid Contract</v>
      </c>
      <c r="W1111" s="14" t="s">
        <v>13</v>
      </c>
      <c r="X1111" s="14" t="s">
        <v>1599</v>
      </c>
      <c r="Y1111" s="16" t="s">
        <v>1600</v>
      </c>
      <c r="Z1111" s="17">
        <v>788315241</v>
      </c>
      <c r="AA1111" s="17"/>
      <c r="AB1111" s="116"/>
      <c r="AC1111" s="116"/>
    </row>
    <row r="1112" spans="1:29" hidden="1" x14ac:dyDescent="0.3">
      <c r="A1112" s="18" t="s">
        <v>1596</v>
      </c>
      <c r="B1112" s="18" t="s">
        <v>119</v>
      </c>
      <c r="C1112" s="18" t="s">
        <v>2265</v>
      </c>
      <c r="D1112" s="14" t="s">
        <v>1280</v>
      </c>
      <c r="E1112" s="18" t="s">
        <v>9</v>
      </c>
      <c r="F1112" s="14" t="s">
        <v>601</v>
      </c>
      <c r="G1112" s="14" t="s">
        <v>546</v>
      </c>
      <c r="H1112" s="18" t="s">
        <v>5</v>
      </c>
      <c r="I1112" s="14" t="s">
        <v>117</v>
      </c>
      <c r="J1112" s="14">
        <v>5</v>
      </c>
      <c r="K1112" s="14" t="s">
        <v>2213</v>
      </c>
      <c r="L1112" s="46"/>
      <c r="M1112" s="14">
        <v>1</v>
      </c>
      <c r="N1112" s="14">
        <v>270000</v>
      </c>
      <c r="O1112" s="15">
        <f t="shared" si="43"/>
        <v>270000</v>
      </c>
      <c r="P1112" s="15"/>
      <c r="Q1112" s="14" t="s">
        <v>520</v>
      </c>
      <c r="R1112" s="21">
        <v>45383</v>
      </c>
      <c r="S1112" s="22" t="str">
        <f>TEXT(Table1[[#This Row],[End Date]],"MMMM")</f>
        <v>April</v>
      </c>
      <c r="T1112" s="22" t="str">
        <f>TEXT(Table1[[#This Row],[End Date]],"YYYY")</f>
        <v>2024</v>
      </c>
      <c r="U1112" s="28">
        <f t="shared" ca="1" si="42"/>
        <v>-250</v>
      </c>
      <c r="V1112" s="14" t="str" cm="1">
        <f t="array" aca="1" ref="V1112" ca="1">_xlfn.IFS(Table1[[#This Row],[Agreement Days]]&gt;=0,"Expired",Table1[[#This Row],[Agreement Days]]&gt;=-30,"Expires &lt; 30 Days",Table1[[#This Row],[Agreement Days]]&gt;=-60,"Expires &lt; 60 Days",Table1[[#This Row],[Agreement Days]]&lt;-60,"Valid Contract")</f>
        <v>Valid Contract</v>
      </c>
      <c r="W1112" s="14" t="s">
        <v>13</v>
      </c>
      <c r="X1112" s="14" t="s">
        <v>1599</v>
      </c>
      <c r="Y1112" s="16" t="s">
        <v>1600</v>
      </c>
      <c r="Z1112" s="17">
        <v>788315241</v>
      </c>
      <c r="AA1112" s="17"/>
      <c r="AB1112" s="116"/>
      <c r="AC1112" s="116"/>
    </row>
    <row r="1113" spans="1:29" hidden="1" x14ac:dyDescent="0.3">
      <c r="A1113" s="18" t="s">
        <v>1596</v>
      </c>
      <c r="B1113" s="18" t="s">
        <v>119</v>
      </c>
      <c r="C1113" s="18" t="s">
        <v>2266</v>
      </c>
      <c r="D1113" s="14" t="s">
        <v>875</v>
      </c>
      <c r="E1113" s="18" t="s">
        <v>9</v>
      </c>
      <c r="F1113" s="14" t="s">
        <v>601</v>
      </c>
      <c r="G1113" s="14" t="s">
        <v>546</v>
      </c>
      <c r="H1113" s="18" t="s">
        <v>5</v>
      </c>
      <c r="I1113" s="14" t="s">
        <v>117</v>
      </c>
      <c r="J1113" s="14">
        <v>5</v>
      </c>
      <c r="K1113" s="14" t="s">
        <v>2213</v>
      </c>
      <c r="L1113" s="46"/>
      <c r="M1113" s="14">
        <v>1</v>
      </c>
      <c r="N1113" s="14">
        <v>270000</v>
      </c>
      <c r="O1113" s="15">
        <f t="shared" si="43"/>
        <v>270000</v>
      </c>
      <c r="P1113" s="15"/>
      <c r="Q1113" s="14" t="s">
        <v>520</v>
      </c>
      <c r="R1113" s="21">
        <v>45383</v>
      </c>
      <c r="S1113" s="22" t="str">
        <f>TEXT(Table1[[#This Row],[End Date]],"MMMM")</f>
        <v>April</v>
      </c>
      <c r="T1113" s="22" t="str">
        <f>TEXT(Table1[[#This Row],[End Date]],"YYYY")</f>
        <v>2024</v>
      </c>
      <c r="U1113" s="28">
        <f t="shared" ca="1" si="42"/>
        <v>-250</v>
      </c>
      <c r="V1113" s="14" t="str" cm="1">
        <f t="array" aca="1" ref="V1113" ca="1">_xlfn.IFS(Table1[[#This Row],[Agreement Days]]&gt;=0,"Expired",Table1[[#This Row],[Agreement Days]]&gt;=-30,"Expires &lt; 30 Days",Table1[[#This Row],[Agreement Days]]&gt;=-60,"Expires &lt; 60 Days",Table1[[#This Row],[Agreement Days]]&lt;-60,"Valid Contract")</f>
        <v>Valid Contract</v>
      </c>
      <c r="W1113" s="14" t="s">
        <v>13</v>
      </c>
      <c r="X1113" s="14" t="s">
        <v>1599</v>
      </c>
      <c r="Y1113" s="16" t="s">
        <v>1600</v>
      </c>
      <c r="Z1113" s="17">
        <v>788315241</v>
      </c>
      <c r="AA1113" s="17"/>
      <c r="AB1113" s="116"/>
      <c r="AC1113" s="116"/>
    </row>
    <row r="1114" spans="1:29" hidden="1" x14ac:dyDescent="0.3">
      <c r="A1114" s="18" t="s">
        <v>1596</v>
      </c>
      <c r="B1114" s="18" t="s">
        <v>119</v>
      </c>
      <c r="C1114" s="18" t="s">
        <v>2267</v>
      </c>
      <c r="D1114" s="14" t="s">
        <v>875</v>
      </c>
      <c r="E1114" s="18" t="s">
        <v>9</v>
      </c>
      <c r="F1114" s="14" t="s">
        <v>601</v>
      </c>
      <c r="G1114" s="14" t="s">
        <v>546</v>
      </c>
      <c r="H1114" s="18" t="s">
        <v>5</v>
      </c>
      <c r="I1114" s="14" t="s">
        <v>117</v>
      </c>
      <c r="J1114" s="14">
        <v>20</v>
      </c>
      <c r="K1114" s="14" t="s">
        <v>2241</v>
      </c>
      <c r="L1114" s="46"/>
      <c r="M1114" s="14">
        <v>1</v>
      </c>
      <c r="N1114" s="14">
        <v>900000</v>
      </c>
      <c r="O1114" s="15">
        <f t="shared" si="43"/>
        <v>900000</v>
      </c>
      <c r="P1114" s="15"/>
      <c r="Q1114" s="14" t="s">
        <v>520</v>
      </c>
      <c r="R1114" s="21">
        <v>45383</v>
      </c>
      <c r="S1114" s="22" t="str">
        <f>TEXT(Table1[[#This Row],[End Date]],"MMMM")</f>
        <v>April</v>
      </c>
      <c r="T1114" s="22" t="str">
        <f>TEXT(Table1[[#This Row],[End Date]],"YYYY")</f>
        <v>2024</v>
      </c>
      <c r="U1114" s="28">
        <f t="shared" ca="1" si="42"/>
        <v>-250</v>
      </c>
      <c r="V1114" s="14" t="str" cm="1">
        <f t="array" aca="1" ref="V1114" ca="1">_xlfn.IFS(Table1[[#This Row],[Agreement Days]]&gt;=0,"Expired",Table1[[#This Row],[Agreement Days]]&gt;=-30,"Expires &lt; 30 Days",Table1[[#This Row],[Agreement Days]]&gt;=-60,"Expires &lt; 60 Days",Table1[[#This Row],[Agreement Days]]&lt;-60,"Valid Contract")</f>
        <v>Valid Contract</v>
      </c>
      <c r="W1114" s="14" t="s">
        <v>13</v>
      </c>
      <c r="X1114" s="14" t="s">
        <v>1599</v>
      </c>
      <c r="Y1114" s="16" t="s">
        <v>1600</v>
      </c>
      <c r="Z1114" s="17">
        <v>788315241</v>
      </c>
      <c r="AA1114" s="17"/>
      <c r="AB1114" s="116"/>
      <c r="AC1114" s="116"/>
    </row>
    <row r="1115" spans="1:29" hidden="1" x14ac:dyDescent="0.3">
      <c r="A1115" s="18" t="s">
        <v>1596</v>
      </c>
      <c r="B1115" s="18" t="s">
        <v>119</v>
      </c>
      <c r="C1115" s="18" t="s">
        <v>2268</v>
      </c>
      <c r="D1115" s="14" t="s">
        <v>579</v>
      </c>
      <c r="E1115" s="18" t="s">
        <v>9</v>
      </c>
      <c r="F1115" s="14" t="s">
        <v>601</v>
      </c>
      <c r="G1115" s="14" t="s">
        <v>546</v>
      </c>
      <c r="H1115" s="18" t="s">
        <v>5</v>
      </c>
      <c r="I1115" s="14" t="s">
        <v>117</v>
      </c>
      <c r="J1115" s="14">
        <v>20</v>
      </c>
      <c r="K1115" s="14" t="s">
        <v>2241</v>
      </c>
      <c r="L1115" s="46"/>
      <c r="M1115" s="14">
        <v>1</v>
      </c>
      <c r="N1115" s="14">
        <v>900000</v>
      </c>
      <c r="O1115" s="15">
        <f t="shared" si="43"/>
        <v>900000</v>
      </c>
      <c r="P1115" s="15"/>
      <c r="Q1115" s="14" t="s">
        <v>520</v>
      </c>
      <c r="R1115" s="21">
        <v>45383</v>
      </c>
      <c r="S1115" s="22" t="str">
        <f>TEXT(Table1[[#This Row],[End Date]],"MMMM")</f>
        <v>April</v>
      </c>
      <c r="T1115" s="22" t="str">
        <f>TEXT(Table1[[#This Row],[End Date]],"YYYY")</f>
        <v>2024</v>
      </c>
      <c r="U1115" s="28">
        <f t="shared" ca="1" si="42"/>
        <v>-250</v>
      </c>
      <c r="V1115" s="14" t="str" cm="1">
        <f t="array" aca="1" ref="V1115" ca="1">_xlfn.IFS(Table1[[#This Row],[Agreement Days]]&gt;=0,"Expired",Table1[[#This Row],[Agreement Days]]&gt;=-30,"Expires &lt; 30 Days",Table1[[#This Row],[Agreement Days]]&gt;=-60,"Expires &lt; 60 Days",Table1[[#This Row],[Agreement Days]]&lt;-60,"Valid Contract")</f>
        <v>Valid Contract</v>
      </c>
      <c r="W1115" s="14" t="s">
        <v>13</v>
      </c>
      <c r="X1115" s="14" t="s">
        <v>1599</v>
      </c>
      <c r="Y1115" s="16" t="s">
        <v>1600</v>
      </c>
      <c r="Z1115" s="17">
        <v>788315241</v>
      </c>
      <c r="AA1115" s="17"/>
      <c r="AB1115" s="116"/>
      <c r="AC1115" s="116"/>
    </row>
    <row r="1116" spans="1:29" hidden="1" x14ac:dyDescent="0.3">
      <c r="A1116" s="18" t="s">
        <v>1596</v>
      </c>
      <c r="B1116" s="18" t="s">
        <v>119</v>
      </c>
      <c r="C1116" s="18" t="s">
        <v>2269</v>
      </c>
      <c r="D1116" s="14" t="s">
        <v>808</v>
      </c>
      <c r="E1116" s="18" t="s">
        <v>9</v>
      </c>
      <c r="F1116" s="14" t="s">
        <v>601</v>
      </c>
      <c r="G1116" s="14" t="s">
        <v>546</v>
      </c>
      <c r="H1116" s="18" t="s">
        <v>5</v>
      </c>
      <c r="I1116" s="14" t="s">
        <v>117</v>
      </c>
      <c r="J1116" s="14">
        <v>5</v>
      </c>
      <c r="K1116" s="14" t="s">
        <v>2213</v>
      </c>
      <c r="L1116" s="46"/>
      <c r="M1116" s="14">
        <v>1</v>
      </c>
      <c r="N1116" s="14">
        <v>270000</v>
      </c>
      <c r="O1116" s="15">
        <f t="shared" si="43"/>
        <v>270000</v>
      </c>
      <c r="P1116" s="15"/>
      <c r="Q1116" s="14" t="s">
        <v>520</v>
      </c>
      <c r="R1116" s="21">
        <v>45383</v>
      </c>
      <c r="S1116" s="22" t="str">
        <f>TEXT(Table1[[#This Row],[End Date]],"MMMM")</f>
        <v>April</v>
      </c>
      <c r="T1116" s="22" t="str">
        <f>TEXT(Table1[[#This Row],[End Date]],"YYYY")</f>
        <v>2024</v>
      </c>
      <c r="U1116" s="28">
        <f t="shared" ca="1" si="42"/>
        <v>-250</v>
      </c>
      <c r="V1116" s="14" t="str" cm="1">
        <f t="array" aca="1" ref="V1116" ca="1">_xlfn.IFS(Table1[[#This Row],[Agreement Days]]&gt;=0,"Expired",Table1[[#This Row],[Agreement Days]]&gt;=-30,"Expires &lt; 30 Days",Table1[[#This Row],[Agreement Days]]&gt;=-60,"Expires &lt; 60 Days",Table1[[#This Row],[Agreement Days]]&lt;-60,"Valid Contract")</f>
        <v>Valid Contract</v>
      </c>
      <c r="W1116" s="14" t="s">
        <v>13</v>
      </c>
      <c r="X1116" s="14" t="s">
        <v>1599</v>
      </c>
      <c r="Y1116" s="16" t="s">
        <v>1600</v>
      </c>
      <c r="Z1116" s="17">
        <v>788315241</v>
      </c>
      <c r="AA1116" s="17"/>
      <c r="AB1116" s="116"/>
      <c r="AC1116" s="116"/>
    </row>
    <row r="1117" spans="1:29" hidden="1" x14ac:dyDescent="0.3">
      <c r="A1117" s="18" t="s">
        <v>1596</v>
      </c>
      <c r="B1117" s="18" t="s">
        <v>119</v>
      </c>
      <c r="C1117" s="18" t="s">
        <v>2270</v>
      </c>
      <c r="D1117" s="14" t="s">
        <v>545</v>
      </c>
      <c r="E1117" s="18" t="s">
        <v>9</v>
      </c>
      <c r="F1117" s="14" t="s">
        <v>601</v>
      </c>
      <c r="G1117" s="14" t="s">
        <v>546</v>
      </c>
      <c r="H1117" s="18" t="s">
        <v>5</v>
      </c>
      <c r="I1117" s="14" t="s">
        <v>117</v>
      </c>
      <c r="J1117" s="14">
        <v>20</v>
      </c>
      <c r="K1117" s="14" t="s">
        <v>2241</v>
      </c>
      <c r="L1117" s="46"/>
      <c r="M1117" s="14">
        <v>1</v>
      </c>
      <c r="N1117" s="14">
        <v>900000</v>
      </c>
      <c r="O1117" s="15">
        <f t="shared" si="43"/>
        <v>900000</v>
      </c>
      <c r="P1117" s="15"/>
      <c r="Q1117" s="14" t="s">
        <v>520</v>
      </c>
      <c r="R1117" s="21">
        <v>45383</v>
      </c>
      <c r="S1117" s="22" t="str">
        <f>TEXT(Table1[[#This Row],[End Date]],"MMMM")</f>
        <v>April</v>
      </c>
      <c r="T1117" s="22" t="str">
        <f>TEXT(Table1[[#This Row],[End Date]],"YYYY")</f>
        <v>2024</v>
      </c>
      <c r="U1117" s="28">
        <f t="shared" ca="1" si="42"/>
        <v>-250</v>
      </c>
      <c r="V1117" s="14" t="str" cm="1">
        <f t="array" aca="1" ref="V1117" ca="1">_xlfn.IFS(Table1[[#This Row],[Agreement Days]]&gt;=0,"Expired",Table1[[#This Row],[Agreement Days]]&gt;=-30,"Expires &lt; 30 Days",Table1[[#This Row],[Agreement Days]]&gt;=-60,"Expires &lt; 60 Days",Table1[[#This Row],[Agreement Days]]&lt;-60,"Valid Contract")</f>
        <v>Valid Contract</v>
      </c>
      <c r="W1117" s="14" t="s">
        <v>13</v>
      </c>
      <c r="X1117" s="14" t="s">
        <v>1599</v>
      </c>
      <c r="Y1117" s="16" t="s">
        <v>1600</v>
      </c>
      <c r="Z1117" s="17">
        <v>788315241</v>
      </c>
      <c r="AA1117" s="17"/>
      <c r="AB1117" s="116"/>
      <c r="AC1117" s="116"/>
    </row>
    <row r="1118" spans="1:29" hidden="1" x14ac:dyDescent="0.3">
      <c r="A1118" s="18" t="s">
        <v>2271</v>
      </c>
      <c r="B1118" s="18" t="s">
        <v>174</v>
      </c>
      <c r="C1118" s="18" t="s">
        <v>2272</v>
      </c>
      <c r="D1118" s="14" t="s">
        <v>545</v>
      </c>
      <c r="E1118" s="18" t="s">
        <v>9</v>
      </c>
      <c r="F1118" s="14" t="s">
        <v>688</v>
      </c>
      <c r="G1118" s="14" t="s">
        <v>546</v>
      </c>
      <c r="H1118" s="18" t="s">
        <v>5</v>
      </c>
      <c r="I1118" s="14" t="s">
        <v>117</v>
      </c>
      <c r="J1118" s="14">
        <v>150</v>
      </c>
      <c r="K1118" s="18" t="s">
        <v>2130</v>
      </c>
      <c r="L1118" s="18"/>
      <c r="M1118" s="14">
        <v>1</v>
      </c>
      <c r="N1118" s="15">
        <v>4500000</v>
      </c>
      <c r="O1118" s="15">
        <f t="shared" si="43"/>
        <v>4500000</v>
      </c>
      <c r="P1118" s="15"/>
      <c r="Q1118" s="14" t="s">
        <v>520</v>
      </c>
      <c r="R1118" s="25">
        <v>45392</v>
      </c>
      <c r="S1118" s="34" t="str">
        <f>TEXT(Table1[[#This Row],[End Date]],"MMMM")</f>
        <v>April</v>
      </c>
      <c r="T1118" s="34" t="str">
        <f>TEXT(Table1[[#This Row],[End Date]],"YYYY")</f>
        <v>2024</v>
      </c>
      <c r="U1118" s="24">
        <f t="shared" ca="1" si="42"/>
        <v>-259</v>
      </c>
      <c r="V1118" s="14" t="str" cm="1">
        <f t="array" aca="1" ref="V1118" ca="1">_xlfn.IFS(Table1[[#This Row],[Agreement Days]]&gt;=0,"Expired",Table1[[#This Row],[Agreement Days]]&gt;=-30,"Expires &lt; 30 Days",Table1[[#This Row],[Agreement Days]]&gt;=-60,"Expires &lt; 60 Days",Table1[[#This Row],[Agreement Days]]&lt;-60,"Valid Contract")</f>
        <v>Valid Contract</v>
      </c>
      <c r="W1118" s="18" t="s">
        <v>21</v>
      </c>
      <c r="X1118" s="18" t="s">
        <v>2273</v>
      </c>
      <c r="Y1118" s="42" t="s">
        <v>2274</v>
      </c>
      <c r="Z1118" s="27">
        <v>788447853</v>
      </c>
      <c r="AA1118" s="27"/>
      <c r="AB1118" s="116"/>
      <c r="AC1118" s="116"/>
    </row>
    <row r="1119" spans="1:29" hidden="1" x14ac:dyDescent="0.3">
      <c r="A1119" s="18" t="s">
        <v>2271</v>
      </c>
      <c r="B1119" s="18" t="s">
        <v>174</v>
      </c>
      <c r="C1119" s="18" t="s">
        <v>2272</v>
      </c>
      <c r="D1119" s="14" t="s">
        <v>545</v>
      </c>
      <c r="E1119" s="18" t="s">
        <v>9</v>
      </c>
      <c r="F1119" s="14" t="s">
        <v>688</v>
      </c>
      <c r="G1119" s="14" t="s">
        <v>546</v>
      </c>
      <c r="H1119" s="18" t="s">
        <v>2</v>
      </c>
      <c r="I1119" s="14" t="s">
        <v>120</v>
      </c>
      <c r="J1119" s="18"/>
      <c r="K1119" s="18" t="s">
        <v>2275</v>
      </c>
      <c r="L1119" s="18"/>
      <c r="M1119" s="14">
        <v>1</v>
      </c>
      <c r="N1119" s="15">
        <v>258045</v>
      </c>
      <c r="O1119" s="15">
        <f t="shared" si="43"/>
        <v>258045</v>
      </c>
      <c r="P1119" s="15"/>
      <c r="Q1119" s="14" t="s">
        <v>520</v>
      </c>
      <c r="R1119" s="25">
        <v>45392</v>
      </c>
      <c r="S1119" s="34" t="str">
        <f>TEXT(Table1[[#This Row],[End Date]],"MMMM")</f>
        <v>April</v>
      </c>
      <c r="T1119" s="34" t="str">
        <f>TEXT(Table1[[#This Row],[End Date]],"YYYY")</f>
        <v>2024</v>
      </c>
      <c r="U1119" s="24">
        <f t="shared" ca="1" si="42"/>
        <v>-259</v>
      </c>
      <c r="V1119" s="14" t="str" cm="1">
        <f t="array" aca="1" ref="V1119" ca="1">_xlfn.IFS(Table1[[#This Row],[Agreement Days]]&gt;=0,"Expired",Table1[[#This Row],[Agreement Days]]&gt;=-30,"Expires &lt; 30 Days",Table1[[#This Row],[Agreement Days]]&gt;=-60,"Expires &lt; 60 Days",Table1[[#This Row],[Agreement Days]]&lt;-60,"Valid Contract")</f>
        <v>Valid Contract</v>
      </c>
      <c r="W1119" s="18" t="s">
        <v>21</v>
      </c>
      <c r="X1119" s="18" t="s">
        <v>2273</v>
      </c>
      <c r="Y1119" s="42" t="s">
        <v>2274</v>
      </c>
      <c r="Z1119" s="27">
        <v>788447853</v>
      </c>
      <c r="AA1119" s="27"/>
      <c r="AB1119" s="116"/>
      <c r="AC1119" s="116"/>
    </row>
    <row r="1120" spans="1:29" hidden="1" x14ac:dyDescent="0.3">
      <c r="A1120" s="18" t="s">
        <v>2271</v>
      </c>
      <c r="B1120" s="18" t="s">
        <v>174</v>
      </c>
      <c r="C1120" s="18" t="s">
        <v>2272</v>
      </c>
      <c r="D1120" s="14" t="s">
        <v>545</v>
      </c>
      <c r="E1120" s="18" t="s">
        <v>9</v>
      </c>
      <c r="F1120" s="14" t="s">
        <v>688</v>
      </c>
      <c r="G1120" s="14" t="s">
        <v>546</v>
      </c>
      <c r="H1120" s="18" t="s">
        <v>5</v>
      </c>
      <c r="I1120" s="14" t="s">
        <v>115</v>
      </c>
      <c r="J1120" s="18"/>
      <c r="K1120" s="18" t="s">
        <v>845</v>
      </c>
      <c r="L1120" s="18"/>
      <c r="M1120" s="14">
        <v>1</v>
      </c>
      <c r="N1120" s="15">
        <f>33400/1.18</f>
        <v>28305.084745762713</v>
      </c>
      <c r="O1120" s="15">
        <f t="shared" si="43"/>
        <v>28305.084745762713</v>
      </c>
      <c r="P1120" s="15"/>
      <c r="Q1120" s="14" t="s">
        <v>520</v>
      </c>
      <c r="R1120" s="25">
        <v>45392</v>
      </c>
      <c r="S1120" s="34" t="str">
        <f>TEXT(Table1[[#This Row],[End Date]],"MMMM")</f>
        <v>April</v>
      </c>
      <c r="T1120" s="34" t="str">
        <f>TEXT(Table1[[#This Row],[End Date]],"YYYY")</f>
        <v>2024</v>
      </c>
      <c r="U1120" s="24">
        <f t="shared" ca="1" si="42"/>
        <v>-259</v>
      </c>
      <c r="V1120" s="14" t="str" cm="1">
        <f t="array" aca="1" ref="V1120" ca="1">_xlfn.IFS(Table1[[#This Row],[Agreement Days]]&gt;=0,"Expired",Table1[[#This Row],[Agreement Days]]&gt;=-30,"Expires &lt; 30 Days",Table1[[#This Row],[Agreement Days]]&gt;=-60,"Expires &lt; 60 Days",Table1[[#This Row],[Agreement Days]]&lt;-60,"Valid Contract")</f>
        <v>Valid Contract</v>
      </c>
      <c r="W1120" s="18" t="s">
        <v>21</v>
      </c>
      <c r="X1120" s="18" t="s">
        <v>2273</v>
      </c>
      <c r="Y1120" s="42" t="s">
        <v>2274</v>
      </c>
      <c r="Z1120" s="27">
        <v>788447853</v>
      </c>
      <c r="AA1120" s="27"/>
      <c r="AB1120" s="116"/>
      <c r="AC1120" s="116"/>
    </row>
    <row r="1121" spans="1:29" hidden="1" x14ac:dyDescent="0.3">
      <c r="A1121" s="18" t="s">
        <v>2271</v>
      </c>
      <c r="B1121" s="18" t="s">
        <v>174</v>
      </c>
      <c r="C1121" s="18" t="s">
        <v>2272</v>
      </c>
      <c r="D1121" s="14" t="s">
        <v>545</v>
      </c>
      <c r="E1121" s="18" t="s">
        <v>9</v>
      </c>
      <c r="F1121" s="14" t="s">
        <v>688</v>
      </c>
      <c r="G1121" s="14" t="s">
        <v>546</v>
      </c>
      <c r="H1121" s="18" t="s">
        <v>5</v>
      </c>
      <c r="I1121" s="14" t="s">
        <v>115</v>
      </c>
      <c r="J1121" s="18"/>
      <c r="K1121" s="18" t="s">
        <v>573</v>
      </c>
      <c r="L1121" s="18"/>
      <c r="M1121" s="14">
        <v>3</v>
      </c>
      <c r="N1121" s="15">
        <v>19491.53</v>
      </c>
      <c r="O1121" s="15">
        <f t="shared" si="43"/>
        <v>58474.59</v>
      </c>
      <c r="P1121" s="15"/>
      <c r="Q1121" s="14" t="s">
        <v>520</v>
      </c>
      <c r="R1121" s="25">
        <v>45392</v>
      </c>
      <c r="S1121" s="34" t="str">
        <f>TEXT(Table1[[#This Row],[End Date]],"MMMM")</f>
        <v>April</v>
      </c>
      <c r="T1121" s="34" t="str">
        <f>TEXT(Table1[[#This Row],[End Date]],"YYYY")</f>
        <v>2024</v>
      </c>
      <c r="U1121" s="24">
        <f t="shared" ca="1" si="42"/>
        <v>-259</v>
      </c>
      <c r="V1121" s="14" t="str" cm="1">
        <f t="array" aca="1" ref="V1121" ca="1">_xlfn.IFS(Table1[[#This Row],[Agreement Days]]&gt;=0,"Expired",Table1[[#This Row],[Agreement Days]]&gt;=-30,"Expires &lt; 30 Days",Table1[[#This Row],[Agreement Days]]&gt;=-60,"Expires &lt; 60 Days",Table1[[#This Row],[Agreement Days]]&lt;-60,"Valid Contract")</f>
        <v>Valid Contract</v>
      </c>
      <c r="W1121" s="18" t="s">
        <v>21</v>
      </c>
      <c r="X1121" s="18" t="s">
        <v>2273</v>
      </c>
      <c r="Y1121" s="42" t="s">
        <v>2274</v>
      </c>
      <c r="Z1121" s="27">
        <v>788447853</v>
      </c>
      <c r="AA1121" s="27"/>
      <c r="AB1121" s="116"/>
      <c r="AC1121" s="116"/>
    </row>
    <row r="1122" spans="1:29" hidden="1" x14ac:dyDescent="0.3">
      <c r="A1122" s="18" t="s">
        <v>2276</v>
      </c>
      <c r="B1122" s="18" t="s">
        <v>32</v>
      </c>
      <c r="C1122" s="18" t="s">
        <v>32</v>
      </c>
      <c r="D1122" s="14" t="s">
        <v>516</v>
      </c>
      <c r="E1122" s="18" t="s">
        <v>9</v>
      </c>
      <c r="F1122" s="14" t="s">
        <v>631</v>
      </c>
      <c r="G1122" s="14" t="s">
        <v>546</v>
      </c>
      <c r="H1122" s="18" t="s">
        <v>2</v>
      </c>
      <c r="I1122" s="14" t="s">
        <v>117</v>
      </c>
      <c r="J1122" s="14">
        <v>60</v>
      </c>
      <c r="K1122" s="14" t="s">
        <v>2277</v>
      </c>
      <c r="L1122" s="14"/>
      <c r="M1122" s="14">
        <v>1</v>
      </c>
      <c r="N1122" s="15">
        <f>2463840/1.18</f>
        <v>2088000</v>
      </c>
      <c r="O1122" s="15">
        <f t="shared" si="43"/>
        <v>2088000</v>
      </c>
      <c r="P1122" s="15"/>
      <c r="Q1122" s="14" t="s">
        <v>520</v>
      </c>
      <c r="R1122" s="25">
        <v>45400</v>
      </c>
      <c r="S1122" s="22" t="str">
        <f>TEXT(Table1[[#This Row],[End Date]],"MMMM")</f>
        <v>April</v>
      </c>
      <c r="T1122" s="23" t="str">
        <f>TEXT(Table1[[#This Row],[End Date]],"YYYY")</f>
        <v>2024</v>
      </c>
      <c r="U1122" s="24">
        <f t="shared" ca="1" si="42"/>
        <v>-267</v>
      </c>
      <c r="V1122" s="14" t="str" cm="1">
        <f t="array" aca="1" ref="V1122" ca="1">_xlfn.IFS(Table1[[#This Row],[Agreement Days]]&gt;=0,"Expired",Table1[[#This Row],[Agreement Days]]&gt;=-30,"Expires &lt; 30 Days",Table1[[#This Row],[Agreement Days]]&gt;=-60,"Expires &lt; 60 Days",Table1[[#This Row],[Agreement Days]]&lt;-60,"Valid Contract")</f>
        <v>Valid Contract</v>
      </c>
      <c r="W1122" s="14" t="s">
        <v>13</v>
      </c>
      <c r="X1122" s="14" t="s">
        <v>2278</v>
      </c>
      <c r="Y1122" s="43" t="s">
        <v>2279</v>
      </c>
      <c r="Z1122" s="27">
        <v>788840651</v>
      </c>
      <c r="AA1122" s="17"/>
      <c r="AB1122" s="116"/>
      <c r="AC1122" s="116"/>
    </row>
    <row r="1123" spans="1:29" hidden="1" x14ac:dyDescent="0.3">
      <c r="A1123" s="18" t="s">
        <v>652</v>
      </c>
      <c r="B1123" s="18" t="s">
        <v>227</v>
      </c>
      <c r="C1123" s="18" t="s">
        <v>227</v>
      </c>
      <c r="D1123" s="14" t="s">
        <v>653</v>
      </c>
      <c r="E1123" s="18" t="s">
        <v>9</v>
      </c>
      <c r="F1123" s="14" t="s">
        <v>517</v>
      </c>
      <c r="G1123" s="14" t="s">
        <v>518</v>
      </c>
      <c r="H1123" s="18" t="s">
        <v>5</v>
      </c>
      <c r="I1123" s="14" t="s">
        <v>118</v>
      </c>
      <c r="J1123" s="14"/>
      <c r="K1123" s="14" t="s">
        <v>1020</v>
      </c>
      <c r="L1123" s="14"/>
      <c r="M1123" s="14">
        <v>1</v>
      </c>
      <c r="N1123" s="15">
        <v>369325</v>
      </c>
      <c r="O1123" s="15">
        <f t="shared" si="43"/>
        <v>369325</v>
      </c>
      <c r="P1123" s="15"/>
      <c r="Q1123" s="14" t="s">
        <v>520</v>
      </c>
      <c r="R1123" s="25">
        <v>45401</v>
      </c>
      <c r="S1123" s="22" t="str">
        <f>TEXT(Table1[[#This Row],[End Date]],"MMMM")</f>
        <v>April</v>
      </c>
      <c r="T1123" s="23" t="str">
        <f>TEXT(Table1[[#This Row],[End Date]],"YYYY")</f>
        <v>2024</v>
      </c>
      <c r="U1123" s="24">
        <f t="shared" ca="1" si="42"/>
        <v>-268</v>
      </c>
      <c r="V1123" s="14" t="str" cm="1">
        <f t="array" aca="1" ref="V1123" ca="1">_xlfn.IFS(Table1[[#This Row],[Agreement Days]]&gt;=0,"Expired",Table1[[#This Row],[Agreement Days]]&gt;=-30,"Expires &lt; 30 Days",Table1[[#This Row],[Agreement Days]]&gt;=-60,"Expires &lt; 60 Days",Table1[[#This Row],[Agreement Days]]&lt;-60,"Valid Contract")</f>
        <v>Valid Contract</v>
      </c>
      <c r="W1123" s="14" t="s">
        <v>19</v>
      </c>
      <c r="X1123" s="14" t="s">
        <v>655</v>
      </c>
      <c r="Y1123" s="14" t="s">
        <v>656</v>
      </c>
      <c r="Z1123" s="17">
        <v>788313458</v>
      </c>
      <c r="AA1123" s="17"/>
      <c r="AB1123" s="116"/>
      <c r="AC1123" s="116"/>
    </row>
    <row r="1124" spans="1:29" hidden="1" x14ac:dyDescent="0.3">
      <c r="A1124" s="18" t="s">
        <v>2280</v>
      </c>
      <c r="B1124" s="18" t="s">
        <v>444</v>
      </c>
      <c r="C1124" s="18" t="s">
        <v>2281</v>
      </c>
      <c r="D1124" s="14" t="s">
        <v>545</v>
      </c>
      <c r="E1124" s="18" t="s">
        <v>10</v>
      </c>
      <c r="F1124" s="14" t="s">
        <v>560</v>
      </c>
      <c r="G1124" s="14" t="s">
        <v>518</v>
      </c>
      <c r="H1124" s="18" t="s">
        <v>2</v>
      </c>
      <c r="I1124" s="14" t="s">
        <v>438</v>
      </c>
      <c r="J1124" s="14"/>
      <c r="K1124" s="14" t="s">
        <v>2282</v>
      </c>
      <c r="L1124" s="14"/>
      <c r="M1124" s="14">
        <v>1</v>
      </c>
      <c r="N1124" s="15">
        <f>120000/1.18</f>
        <v>101694.91525423729</v>
      </c>
      <c r="O1124" s="15">
        <f t="shared" si="43"/>
        <v>101694.91525423729</v>
      </c>
      <c r="P1124" s="15"/>
      <c r="Q1124" s="14" t="s">
        <v>520</v>
      </c>
      <c r="R1124" s="25">
        <v>45412</v>
      </c>
      <c r="S1124" s="22" t="str">
        <f>TEXT(Table1[[#This Row],[End Date]],"MMMM")</f>
        <v>April</v>
      </c>
      <c r="T1124" s="23" t="str">
        <f>TEXT(Table1[[#This Row],[End Date]],"YYYY")</f>
        <v>2024</v>
      </c>
      <c r="U1124" s="24">
        <f t="shared" ca="1" si="42"/>
        <v>-279</v>
      </c>
      <c r="V1124" s="14" t="str" cm="1">
        <f t="array" aca="1" ref="V1124" ca="1">_xlfn.IFS(Table1[[#This Row],[Agreement Days]]&gt;=0,"Expired",Table1[[#This Row],[Agreement Days]]&gt;=-30,"Expires &lt; 30 Days",Table1[[#This Row],[Agreement Days]]&gt;=-60,"Expires &lt; 60 Days",Table1[[#This Row],[Agreement Days]]&lt;-60,"Valid Contract")</f>
        <v>Valid Contract</v>
      </c>
      <c r="W1124" s="14" t="s">
        <v>13</v>
      </c>
      <c r="X1124" s="14" t="s">
        <v>2283</v>
      </c>
      <c r="Y1124" s="16" t="s">
        <v>2284</v>
      </c>
      <c r="Z1124" s="27">
        <v>789938585</v>
      </c>
      <c r="AA1124" s="17"/>
      <c r="AB1124" s="116"/>
      <c r="AC1124" s="116"/>
    </row>
    <row r="1125" spans="1:29" hidden="1" x14ac:dyDescent="0.3">
      <c r="A1125" s="18" t="s">
        <v>2285</v>
      </c>
      <c r="B1125" s="18" t="s">
        <v>305</v>
      </c>
      <c r="C1125" s="18" t="s">
        <v>2286</v>
      </c>
      <c r="D1125" s="14" t="s">
        <v>662</v>
      </c>
      <c r="E1125" s="18" t="s">
        <v>9</v>
      </c>
      <c r="F1125" s="14" t="s">
        <v>688</v>
      </c>
      <c r="G1125" s="14" t="s">
        <v>518</v>
      </c>
      <c r="H1125" s="18" t="s">
        <v>5</v>
      </c>
      <c r="I1125" s="14" t="s">
        <v>117</v>
      </c>
      <c r="J1125" s="14">
        <v>5</v>
      </c>
      <c r="K1125" s="18" t="s">
        <v>519</v>
      </c>
      <c r="L1125" s="18"/>
      <c r="M1125" s="14">
        <v>1</v>
      </c>
      <c r="N1125" s="15">
        <v>270000</v>
      </c>
      <c r="O1125" s="15">
        <f t="shared" si="43"/>
        <v>270000</v>
      </c>
      <c r="P1125" s="15"/>
      <c r="Q1125" s="14" t="s">
        <v>520</v>
      </c>
      <c r="R1125" s="25">
        <v>45412</v>
      </c>
      <c r="S1125" s="34" t="str">
        <f>TEXT(Table1[[#This Row],[End Date]],"MMMM")</f>
        <v>April</v>
      </c>
      <c r="T1125" s="34" t="str">
        <f>TEXT(Table1[[#This Row],[End Date]],"YYYY")</f>
        <v>2024</v>
      </c>
      <c r="U1125" s="24">
        <f t="shared" ca="1" si="42"/>
        <v>-279</v>
      </c>
      <c r="V1125" s="14" t="str" cm="1">
        <f t="array" aca="1" ref="V1125" ca="1">_xlfn.IFS(Table1[[#This Row],[Agreement Days]]&gt;=0,"Expired",Table1[[#This Row],[Agreement Days]]&gt;=-30,"Expires &lt; 30 Days",Table1[[#This Row],[Agreement Days]]&gt;=-60,"Expires &lt; 60 Days",Table1[[#This Row],[Agreement Days]]&lt;-60,"Valid Contract")</f>
        <v>Valid Contract</v>
      </c>
      <c r="W1125" s="18" t="s">
        <v>21</v>
      </c>
      <c r="X1125" s="18" t="s">
        <v>2287</v>
      </c>
      <c r="Y1125" s="42" t="s">
        <v>2288</v>
      </c>
      <c r="Z1125" s="27">
        <v>788626468</v>
      </c>
      <c r="AA1125" s="27"/>
      <c r="AB1125" s="116"/>
      <c r="AC1125" s="116"/>
    </row>
    <row r="1126" spans="1:29" hidden="1" x14ac:dyDescent="0.3">
      <c r="A1126" s="18" t="s">
        <v>2285</v>
      </c>
      <c r="B1126" s="18" t="s">
        <v>305</v>
      </c>
      <c r="C1126" s="18" t="s">
        <v>2289</v>
      </c>
      <c r="D1126" s="14" t="s">
        <v>662</v>
      </c>
      <c r="E1126" s="18" t="s">
        <v>9</v>
      </c>
      <c r="F1126" s="14" t="s">
        <v>688</v>
      </c>
      <c r="G1126" s="14" t="s">
        <v>518</v>
      </c>
      <c r="H1126" s="18" t="s">
        <v>4</v>
      </c>
      <c r="I1126" s="14" t="s">
        <v>118</v>
      </c>
      <c r="J1126" s="18"/>
      <c r="K1126" s="18" t="s">
        <v>650</v>
      </c>
      <c r="L1126" s="18"/>
      <c r="M1126" s="14">
        <v>1</v>
      </c>
      <c r="N1126" s="15">
        <v>369325</v>
      </c>
      <c r="O1126" s="15">
        <f t="shared" si="43"/>
        <v>369325</v>
      </c>
      <c r="P1126" s="15"/>
      <c r="Q1126" s="14" t="s">
        <v>520</v>
      </c>
      <c r="R1126" s="25">
        <v>45412</v>
      </c>
      <c r="S1126" s="34" t="str">
        <f>TEXT(Table1[[#This Row],[End Date]],"MMMM")</f>
        <v>April</v>
      </c>
      <c r="T1126" s="34" t="str">
        <f>TEXT(Table1[[#This Row],[End Date]],"YYYY")</f>
        <v>2024</v>
      </c>
      <c r="U1126" s="24">
        <f t="shared" ca="1" si="42"/>
        <v>-279</v>
      </c>
      <c r="V1126" s="14" t="str" cm="1">
        <f t="array" aca="1" ref="V1126" ca="1">_xlfn.IFS(Table1[[#This Row],[Agreement Days]]&gt;=0,"Expired",Table1[[#This Row],[Agreement Days]]&gt;=-30,"Expires &lt; 30 Days",Table1[[#This Row],[Agreement Days]]&gt;=-60,"Expires &lt; 60 Days",Table1[[#This Row],[Agreement Days]]&lt;-60,"Valid Contract")</f>
        <v>Valid Contract</v>
      </c>
      <c r="W1126" s="18" t="s">
        <v>21</v>
      </c>
      <c r="X1126" s="18" t="s">
        <v>2287</v>
      </c>
      <c r="Y1126" s="42" t="s">
        <v>2288</v>
      </c>
      <c r="Z1126" s="27">
        <v>788626468</v>
      </c>
      <c r="AA1126" s="27"/>
      <c r="AB1126" s="116"/>
      <c r="AC1126" s="116"/>
    </row>
    <row r="1127" spans="1:29" hidden="1" x14ac:dyDescent="0.3">
      <c r="A1127" s="18" t="s">
        <v>2290</v>
      </c>
      <c r="B1127" s="18" t="s">
        <v>60</v>
      </c>
      <c r="C1127" s="18" t="s">
        <v>2291</v>
      </c>
      <c r="D1127" s="14" t="s">
        <v>630</v>
      </c>
      <c r="E1127" s="18" t="s">
        <v>9</v>
      </c>
      <c r="F1127" s="14" t="s">
        <v>631</v>
      </c>
      <c r="G1127" s="14" t="s">
        <v>518</v>
      </c>
      <c r="H1127" s="18" t="s">
        <v>5</v>
      </c>
      <c r="I1127" s="14" t="s">
        <v>117</v>
      </c>
      <c r="J1127" s="14">
        <v>5</v>
      </c>
      <c r="K1127" s="14" t="s">
        <v>763</v>
      </c>
      <c r="L1127" s="14"/>
      <c r="M1127" s="14">
        <v>1</v>
      </c>
      <c r="N1127" s="15">
        <v>270000</v>
      </c>
      <c r="O1127" s="15">
        <f t="shared" si="43"/>
        <v>270000</v>
      </c>
      <c r="P1127" s="15"/>
      <c r="Q1127" s="14" t="s">
        <v>520</v>
      </c>
      <c r="R1127" s="25">
        <v>45412</v>
      </c>
      <c r="S1127" s="22" t="str">
        <f>TEXT(Table1[[#This Row],[End Date]],"MMMM")</f>
        <v>April</v>
      </c>
      <c r="T1127" s="23" t="str">
        <f>TEXT(Table1[[#This Row],[End Date]],"YYYY")</f>
        <v>2024</v>
      </c>
      <c r="U1127" s="24">
        <f t="shared" ca="1" si="42"/>
        <v>-279</v>
      </c>
      <c r="V1127" s="14" t="str" cm="1">
        <f t="array" aca="1" ref="V1127" ca="1">_xlfn.IFS(Table1[[#This Row],[Agreement Days]]&gt;=0,"Expired",Table1[[#This Row],[Agreement Days]]&gt;=-30,"Expires &lt; 30 Days",Table1[[#This Row],[Agreement Days]]&gt;=-60,"Expires &lt; 60 Days",Table1[[#This Row],[Agreement Days]]&lt;-60,"Valid Contract")</f>
        <v>Valid Contract</v>
      </c>
      <c r="W1127" s="14" t="s">
        <v>13</v>
      </c>
      <c r="X1127" s="14" t="s">
        <v>2292</v>
      </c>
      <c r="Y1127" s="43" t="s">
        <v>2293</v>
      </c>
      <c r="Z1127" s="27" t="s">
        <v>2294</v>
      </c>
      <c r="AA1127" s="17"/>
      <c r="AB1127" s="116"/>
      <c r="AC1127" s="116"/>
    </row>
    <row r="1128" spans="1:29" hidden="1" x14ac:dyDescent="0.3">
      <c r="A1128" s="18" t="s">
        <v>2295</v>
      </c>
      <c r="B1128" s="18" t="s">
        <v>101</v>
      </c>
      <c r="C1128" s="18" t="s">
        <v>101</v>
      </c>
      <c r="D1128" s="14" t="s">
        <v>579</v>
      </c>
      <c r="E1128" s="18" t="s">
        <v>9</v>
      </c>
      <c r="F1128" s="14" t="s">
        <v>631</v>
      </c>
      <c r="G1128" s="14" t="s">
        <v>518</v>
      </c>
      <c r="H1128" s="18" t="s">
        <v>5</v>
      </c>
      <c r="I1128" s="14" t="s">
        <v>117</v>
      </c>
      <c r="J1128" s="14">
        <v>1</v>
      </c>
      <c r="K1128" s="14" t="s">
        <v>677</v>
      </c>
      <c r="L1128" s="14"/>
      <c r="M1128" s="14">
        <v>1</v>
      </c>
      <c r="N1128" s="15">
        <v>90000</v>
      </c>
      <c r="O1128" s="15">
        <f t="shared" si="43"/>
        <v>90000</v>
      </c>
      <c r="P1128" s="15"/>
      <c r="Q1128" s="14" t="s">
        <v>520</v>
      </c>
      <c r="R1128" s="25">
        <v>45412</v>
      </c>
      <c r="S1128" s="22" t="str">
        <f>TEXT(Table1[[#This Row],[End Date]],"MMMM")</f>
        <v>April</v>
      </c>
      <c r="T1128" s="23" t="str">
        <f>TEXT(Table1[[#This Row],[End Date]],"YYYY")</f>
        <v>2024</v>
      </c>
      <c r="U1128" s="24">
        <f t="shared" ca="1" si="42"/>
        <v>-279</v>
      </c>
      <c r="V1128" s="14" t="str" cm="1">
        <f t="array" aca="1" ref="V1128" ca="1">_xlfn.IFS(Table1[[#This Row],[Agreement Days]]&gt;=0,"Expired",Table1[[#This Row],[Agreement Days]]&gt;=-30,"Expires &lt; 30 Days",Table1[[#This Row],[Agreement Days]]&gt;=-60,"Expires &lt; 60 Days",Table1[[#This Row],[Agreement Days]]&lt;-60,"Valid Contract")</f>
        <v>Valid Contract</v>
      </c>
      <c r="W1128" s="14" t="s">
        <v>13</v>
      </c>
      <c r="X1128" s="14" t="s">
        <v>1130</v>
      </c>
      <c r="Y1128" s="43" t="s">
        <v>2296</v>
      </c>
      <c r="Z1128" s="27" t="s">
        <v>2297</v>
      </c>
      <c r="AA1128" s="17"/>
      <c r="AB1128" s="116"/>
      <c r="AC1128" s="116"/>
    </row>
    <row r="1129" spans="1:29" hidden="1" x14ac:dyDescent="0.3">
      <c r="A1129" s="18" t="s">
        <v>2298</v>
      </c>
      <c r="B1129" s="18" t="s">
        <v>77</v>
      </c>
      <c r="C1129" s="18" t="s">
        <v>2299</v>
      </c>
      <c r="D1129" s="14" t="s">
        <v>630</v>
      </c>
      <c r="E1129" s="18" t="s">
        <v>9</v>
      </c>
      <c r="F1129" s="14" t="s">
        <v>631</v>
      </c>
      <c r="G1129" s="14" t="s">
        <v>518</v>
      </c>
      <c r="H1129" s="18" t="s">
        <v>5</v>
      </c>
      <c r="I1129" s="14" t="s">
        <v>117</v>
      </c>
      <c r="J1129" s="14">
        <v>3</v>
      </c>
      <c r="K1129" s="14" t="s">
        <v>632</v>
      </c>
      <c r="L1129" s="14"/>
      <c r="M1129" s="14">
        <v>1</v>
      </c>
      <c r="N1129" s="15">
        <v>180000</v>
      </c>
      <c r="O1129" s="15">
        <f t="shared" si="43"/>
        <v>180000</v>
      </c>
      <c r="P1129" s="15"/>
      <c r="Q1129" s="14" t="s">
        <v>520</v>
      </c>
      <c r="R1129" s="21">
        <v>45412</v>
      </c>
      <c r="S1129" s="22" t="str">
        <f>TEXT(Table1[[#This Row],[End Date]],"MMMM")</f>
        <v>April</v>
      </c>
      <c r="T1129" s="23" t="str">
        <f>TEXT(Table1[[#This Row],[End Date]],"YYYY")</f>
        <v>2024</v>
      </c>
      <c r="U1129" s="24">
        <f t="shared" ca="1" si="42"/>
        <v>-279</v>
      </c>
      <c r="V1129" s="14" t="str" cm="1">
        <f t="array" aca="1" ref="V1129" ca="1">_xlfn.IFS(Table1[[#This Row],[Agreement Days]]&gt;=0,"Expired",Table1[[#This Row],[Agreement Days]]&gt;=-30,"Expires &lt; 30 Days",Table1[[#This Row],[Agreement Days]]&gt;=-60,"Expires &lt; 60 Days",Table1[[#This Row],[Agreement Days]]&lt;-60,"Valid Contract")</f>
        <v>Valid Contract</v>
      </c>
      <c r="W1129" s="14" t="s">
        <v>13</v>
      </c>
      <c r="X1129" s="14" t="s">
        <v>2300</v>
      </c>
      <c r="Y1129" s="43" t="s">
        <v>2301</v>
      </c>
      <c r="Z1129" s="17">
        <v>788645555</v>
      </c>
      <c r="AA1129" s="17"/>
      <c r="AB1129" s="116"/>
      <c r="AC1129" s="116"/>
    </row>
    <row r="1130" spans="1:29" hidden="1" x14ac:dyDescent="0.3">
      <c r="A1130" s="18" t="s">
        <v>1912</v>
      </c>
      <c r="B1130" s="18" t="s">
        <v>313</v>
      </c>
      <c r="C1130" s="18" t="s">
        <v>1913</v>
      </c>
      <c r="D1130" s="14" t="s">
        <v>848</v>
      </c>
      <c r="E1130" s="18" t="s">
        <v>9</v>
      </c>
      <c r="F1130" s="14" t="s">
        <v>688</v>
      </c>
      <c r="G1130" s="14" t="s">
        <v>518</v>
      </c>
      <c r="H1130" s="18" t="s">
        <v>5</v>
      </c>
      <c r="I1130" s="14" t="s">
        <v>117</v>
      </c>
      <c r="J1130" s="14">
        <v>5</v>
      </c>
      <c r="K1130" s="18" t="s">
        <v>519</v>
      </c>
      <c r="L1130" s="18"/>
      <c r="M1130" s="14">
        <v>1</v>
      </c>
      <c r="N1130" s="15">
        <v>270000</v>
      </c>
      <c r="O1130" s="15">
        <f t="shared" si="43"/>
        <v>270000</v>
      </c>
      <c r="P1130" s="15"/>
      <c r="Q1130" s="14" t="s">
        <v>520</v>
      </c>
      <c r="R1130" s="25">
        <v>45412</v>
      </c>
      <c r="S1130" s="34" t="str">
        <f>TEXT(Table1[[#This Row],[End Date]],"MMMM")</f>
        <v>April</v>
      </c>
      <c r="T1130" s="34" t="str">
        <f>TEXT(Table1[[#This Row],[End Date]],"YYYY")</f>
        <v>2024</v>
      </c>
      <c r="U1130" s="24">
        <f t="shared" ca="1" si="42"/>
        <v>-279</v>
      </c>
      <c r="V1130" s="14" t="str" cm="1">
        <f t="array" aca="1" ref="V1130" ca="1">_xlfn.IFS(Table1[[#This Row],[Agreement Days]]&gt;=0,"Expired",Table1[[#This Row],[Agreement Days]]&gt;=-30,"Expires &lt; 30 Days",Table1[[#This Row],[Agreement Days]]&gt;=-60,"Expires &lt; 60 Days",Table1[[#This Row],[Agreement Days]]&lt;-60,"Valid Contract")</f>
        <v>Valid Contract</v>
      </c>
      <c r="W1130" s="18" t="s">
        <v>21</v>
      </c>
      <c r="X1130" s="18" t="s">
        <v>1914</v>
      </c>
      <c r="Y1130" s="42" t="s">
        <v>1915</v>
      </c>
      <c r="Z1130" s="27">
        <v>786274819</v>
      </c>
      <c r="AA1130" s="27"/>
      <c r="AB1130" s="116"/>
      <c r="AC1130" s="116"/>
    </row>
    <row r="1131" spans="1:29" hidden="1" x14ac:dyDescent="0.3">
      <c r="A1131" s="18" t="s">
        <v>1912</v>
      </c>
      <c r="B1131" s="18" t="s">
        <v>313</v>
      </c>
      <c r="C1131" s="18" t="s">
        <v>1913</v>
      </c>
      <c r="D1131" s="14" t="s">
        <v>848</v>
      </c>
      <c r="E1131" s="18" t="s">
        <v>9</v>
      </c>
      <c r="F1131" s="14" t="s">
        <v>688</v>
      </c>
      <c r="G1131" s="14" t="s">
        <v>518</v>
      </c>
      <c r="H1131" s="18" t="s">
        <v>4</v>
      </c>
      <c r="I1131" s="14" t="s">
        <v>118</v>
      </c>
      <c r="J1131" s="18"/>
      <c r="K1131" s="18" t="s">
        <v>650</v>
      </c>
      <c r="L1131" s="18"/>
      <c r="M1131" s="14">
        <v>1</v>
      </c>
      <c r="N1131" s="15">
        <v>369325</v>
      </c>
      <c r="O1131" s="15">
        <f t="shared" si="43"/>
        <v>369325</v>
      </c>
      <c r="P1131" s="15"/>
      <c r="Q1131" s="14" t="s">
        <v>520</v>
      </c>
      <c r="R1131" s="25">
        <v>45412</v>
      </c>
      <c r="S1131" s="34" t="str">
        <f>TEXT(Table1[[#This Row],[End Date]],"MMMM")</f>
        <v>April</v>
      </c>
      <c r="T1131" s="34" t="str">
        <f>TEXT(Table1[[#This Row],[End Date]],"YYYY")</f>
        <v>2024</v>
      </c>
      <c r="U1131" s="24">
        <f t="shared" ca="1" si="42"/>
        <v>-279</v>
      </c>
      <c r="V1131" s="14" t="str" cm="1">
        <f t="array" aca="1" ref="V1131" ca="1">_xlfn.IFS(Table1[[#This Row],[Agreement Days]]&gt;=0,"Expired",Table1[[#This Row],[Agreement Days]]&gt;=-30,"Expires &lt; 30 Days",Table1[[#This Row],[Agreement Days]]&gt;=-60,"Expires &lt; 60 Days",Table1[[#This Row],[Agreement Days]]&lt;-60,"Valid Contract")</f>
        <v>Valid Contract</v>
      </c>
      <c r="W1131" s="18" t="s">
        <v>21</v>
      </c>
      <c r="X1131" s="18" t="s">
        <v>1914</v>
      </c>
      <c r="Y1131" s="42" t="s">
        <v>1915</v>
      </c>
      <c r="Z1131" s="27">
        <v>786274819</v>
      </c>
      <c r="AA1131" s="27"/>
      <c r="AB1131" s="116"/>
      <c r="AC1131" s="116"/>
    </row>
    <row r="1132" spans="1:29" hidden="1" x14ac:dyDescent="0.3">
      <c r="A1132" s="18" t="s">
        <v>2302</v>
      </c>
      <c r="B1132" s="18" t="s">
        <v>303</v>
      </c>
      <c r="C1132" s="18" t="s">
        <v>2303</v>
      </c>
      <c r="D1132" s="14" t="s">
        <v>771</v>
      </c>
      <c r="E1132" s="18" t="s">
        <v>9</v>
      </c>
      <c r="F1132" s="14" t="s">
        <v>688</v>
      </c>
      <c r="G1132" s="14" t="s">
        <v>518</v>
      </c>
      <c r="H1132" s="18" t="s">
        <v>5</v>
      </c>
      <c r="I1132" s="14" t="s">
        <v>117</v>
      </c>
      <c r="J1132" s="14">
        <v>5</v>
      </c>
      <c r="K1132" s="18" t="s">
        <v>519</v>
      </c>
      <c r="L1132" s="18"/>
      <c r="M1132" s="14">
        <v>1</v>
      </c>
      <c r="N1132" s="15">
        <v>270000</v>
      </c>
      <c r="O1132" s="15">
        <f t="shared" si="43"/>
        <v>270000</v>
      </c>
      <c r="P1132" s="15"/>
      <c r="Q1132" s="14" t="s">
        <v>520</v>
      </c>
      <c r="R1132" s="25">
        <v>45412</v>
      </c>
      <c r="S1132" s="34" t="str">
        <f>TEXT(Table1[[#This Row],[End Date]],"MMMM")</f>
        <v>April</v>
      </c>
      <c r="T1132" s="34" t="str">
        <f>TEXT(Table1[[#This Row],[End Date]],"YYYY")</f>
        <v>2024</v>
      </c>
      <c r="U1132" s="24">
        <f t="shared" ca="1" si="42"/>
        <v>-279</v>
      </c>
      <c r="V1132" s="14" t="str" cm="1">
        <f t="array" aca="1" ref="V1132" ca="1">_xlfn.IFS(Table1[[#This Row],[Agreement Days]]&gt;=0,"Expired",Table1[[#This Row],[Agreement Days]]&gt;=-30,"Expires &lt; 30 Days",Table1[[#This Row],[Agreement Days]]&gt;=-60,"Expires &lt; 60 Days",Table1[[#This Row],[Agreement Days]]&lt;-60,"Valid Contract")</f>
        <v>Valid Contract</v>
      </c>
      <c r="W1132" s="18" t="s">
        <v>21</v>
      </c>
      <c r="X1132" s="18" t="s">
        <v>2304</v>
      </c>
      <c r="Y1132" s="42" t="s">
        <v>2305</v>
      </c>
      <c r="Z1132" s="27">
        <v>788424624</v>
      </c>
      <c r="AA1132" s="27"/>
      <c r="AB1132" s="116"/>
      <c r="AC1132" s="116"/>
    </row>
    <row r="1133" spans="1:29" hidden="1" x14ac:dyDescent="0.3">
      <c r="A1133" s="18" t="s">
        <v>2302</v>
      </c>
      <c r="B1133" s="18" t="s">
        <v>303</v>
      </c>
      <c r="C1133" s="18" t="s">
        <v>2303</v>
      </c>
      <c r="D1133" s="14" t="s">
        <v>771</v>
      </c>
      <c r="E1133" s="18" t="s">
        <v>9</v>
      </c>
      <c r="F1133" s="14" t="s">
        <v>688</v>
      </c>
      <c r="G1133" s="14" t="s">
        <v>518</v>
      </c>
      <c r="H1133" s="18" t="s">
        <v>4</v>
      </c>
      <c r="I1133" s="14" t="s">
        <v>118</v>
      </c>
      <c r="J1133" s="18"/>
      <c r="K1133" s="18" t="s">
        <v>650</v>
      </c>
      <c r="L1133" s="18"/>
      <c r="M1133" s="14">
        <v>1</v>
      </c>
      <c r="N1133" s="15">
        <v>369325</v>
      </c>
      <c r="O1133" s="15">
        <f t="shared" si="43"/>
        <v>369325</v>
      </c>
      <c r="P1133" s="15"/>
      <c r="Q1133" s="14" t="s">
        <v>520</v>
      </c>
      <c r="R1133" s="25">
        <v>45412</v>
      </c>
      <c r="S1133" s="34" t="str">
        <f>TEXT(Table1[[#This Row],[End Date]],"MMMM")</f>
        <v>April</v>
      </c>
      <c r="T1133" s="34" t="str">
        <f>TEXT(Table1[[#This Row],[End Date]],"YYYY")</f>
        <v>2024</v>
      </c>
      <c r="U1133" s="24">
        <f t="shared" ca="1" si="42"/>
        <v>-279</v>
      </c>
      <c r="V1133" s="14" t="str" cm="1">
        <f t="array" aca="1" ref="V1133" ca="1">_xlfn.IFS(Table1[[#This Row],[Agreement Days]]&gt;=0,"Expired",Table1[[#This Row],[Agreement Days]]&gt;=-30,"Expires &lt; 30 Days",Table1[[#This Row],[Agreement Days]]&gt;=-60,"Expires &lt; 60 Days",Table1[[#This Row],[Agreement Days]]&lt;-60,"Valid Contract")</f>
        <v>Valid Contract</v>
      </c>
      <c r="W1133" s="18" t="s">
        <v>21</v>
      </c>
      <c r="X1133" s="18" t="s">
        <v>2304</v>
      </c>
      <c r="Y1133" s="42" t="s">
        <v>2305</v>
      </c>
      <c r="Z1133" s="27">
        <v>788424624</v>
      </c>
      <c r="AA1133" s="27"/>
      <c r="AB1133" s="116"/>
      <c r="AC1133" s="116"/>
    </row>
    <row r="1134" spans="1:29" hidden="1" x14ac:dyDescent="0.3">
      <c r="A1134" s="18" t="s">
        <v>1916</v>
      </c>
      <c r="B1134" s="18" t="s">
        <v>312</v>
      </c>
      <c r="C1134" s="18" t="s">
        <v>1917</v>
      </c>
      <c r="D1134" s="14" t="s">
        <v>946</v>
      </c>
      <c r="E1134" s="18" t="s">
        <v>9</v>
      </c>
      <c r="F1134" s="14" t="s">
        <v>688</v>
      </c>
      <c r="G1134" s="14" t="s">
        <v>518</v>
      </c>
      <c r="H1134" s="18" t="s">
        <v>5</v>
      </c>
      <c r="I1134" s="14" t="s">
        <v>117</v>
      </c>
      <c r="J1134" s="14">
        <v>5</v>
      </c>
      <c r="K1134" s="18" t="s">
        <v>519</v>
      </c>
      <c r="L1134" s="18"/>
      <c r="M1134" s="14">
        <v>1</v>
      </c>
      <c r="N1134" s="15">
        <v>270000</v>
      </c>
      <c r="O1134" s="15">
        <f t="shared" si="43"/>
        <v>270000</v>
      </c>
      <c r="P1134" s="15"/>
      <c r="Q1134" s="14" t="s">
        <v>520</v>
      </c>
      <c r="R1134" s="25">
        <v>45412</v>
      </c>
      <c r="S1134" s="34" t="str">
        <f>TEXT(Table1[[#This Row],[End Date]],"MMMM")</f>
        <v>April</v>
      </c>
      <c r="T1134" s="34" t="str">
        <f>TEXT(Table1[[#This Row],[End Date]],"YYYY")</f>
        <v>2024</v>
      </c>
      <c r="U1134" s="24">
        <f t="shared" ca="1" si="42"/>
        <v>-279</v>
      </c>
      <c r="V1134" s="14" t="str" cm="1">
        <f t="array" aca="1" ref="V1134" ca="1">_xlfn.IFS(Table1[[#This Row],[Agreement Days]]&gt;=0,"Expired",Table1[[#This Row],[Agreement Days]]&gt;=-30,"Expires &lt; 30 Days",Table1[[#This Row],[Agreement Days]]&gt;=-60,"Expires &lt; 60 Days",Table1[[#This Row],[Agreement Days]]&lt;-60,"Valid Contract")</f>
        <v>Valid Contract</v>
      </c>
      <c r="W1134" s="18" t="s">
        <v>21</v>
      </c>
      <c r="X1134" s="42" t="s">
        <v>1918</v>
      </c>
      <c r="Y1134" s="42" t="s">
        <v>1919</v>
      </c>
      <c r="Z1134" s="27">
        <v>788989730</v>
      </c>
      <c r="AA1134" s="27"/>
      <c r="AB1134" s="116"/>
      <c r="AC1134" s="116"/>
    </row>
    <row r="1135" spans="1:29" hidden="1" x14ac:dyDescent="0.3">
      <c r="A1135" s="18" t="s">
        <v>1916</v>
      </c>
      <c r="B1135" s="18" t="s">
        <v>312</v>
      </c>
      <c r="C1135" s="18" t="s">
        <v>1917</v>
      </c>
      <c r="D1135" s="14" t="s">
        <v>946</v>
      </c>
      <c r="E1135" s="18" t="s">
        <v>9</v>
      </c>
      <c r="F1135" s="14" t="s">
        <v>688</v>
      </c>
      <c r="G1135" s="14" t="s">
        <v>518</v>
      </c>
      <c r="H1135" s="18" t="s">
        <v>4</v>
      </c>
      <c r="I1135" s="14" t="s">
        <v>118</v>
      </c>
      <c r="J1135" s="18"/>
      <c r="K1135" s="18" t="s">
        <v>650</v>
      </c>
      <c r="L1135" s="18"/>
      <c r="M1135" s="14">
        <v>1</v>
      </c>
      <c r="N1135" s="15">
        <v>369325</v>
      </c>
      <c r="O1135" s="15">
        <f t="shared" si="43"/>
        <v>369325</v>
      </c>
      <c r="P1135" s="15"/>
      <c r="Q1135" s="14" t="s">
        <v>520</v>
      </c>
      <c r="R1135" s="25">
        <v>45412</v>
      </c>
      <c r="S1135" s="34" t="str">
        <f>TEXT(Table1[[#This Row],[End Date]],"MMMM")</f>
        <v>April</v>
      </c>
      <c r="T1135" s="34" t="str">
        <f>TEXT(Table1[[#This Row],[End Date]],"YYYY")</f>
        <v>2024</v>
      </c>
      <c r="U1135" s="24">
        <f t="shared" ca="1" si="42"/>
        <v>-279</v>
      </c>
      <c r="V1135" s="14" t="str" cm="1">
        <f t="array" aca="1" ref="V1135" ca="1">_xlfn.IFS(Table1[[#This Row],[Agreement Days]]&gt;=0,"Expired",Table1[[#This Row],[Agreement Days]]&gt;=-30,"Expires &lt; 30 Days",Table1[[#This Row],[Agreement Days]]&gt;=-60,"Expires &lt; 60 Days",Table1[[#This Row],[Agreement Days]]&lt;-60,"Valid Contract")</f>
        <v>Valid Contract</v>
      </c>
      <c r="W1135" s="18" t="s">
        <v>21</v>
      </c>
      <c r="X1135" s="42" t="s">
        <v>1918</v>
      </c>
      <c r="Y1135" s="42" t="s">
        <v>1919</v>
      </c>
      <c r="Z1135" s="27">
        <v>788989730</v>
      </c>
      <c r="AA1135" s="27"/>
      <c r="AB1135" s="116"/>
      <c r="AC1135" s="116"/>
    </row>
    <row r="1136" spans="1:29" hidden="1" x14ac:dyDescent="0.3">
      <c r="A1136" s="18" t="s">
        <v>2306</v>
      </c>
      <c r="B1136" s="18" t="s">
        <v>91</v>
      </c>
      <c r="C1136" s="18" t="s">
        <v>2307</v>
      </c>
      <c r="D1136" s="14" t="s">
        <v>540</v>
      </c>
      <c r="E1136" s="18" t="s">
        <v>9</v>
      </c>
      <c r="F1136" s="14" t="s">
        <v>631</v>
      </c>
      <c r="G1136" s="14" t="s">
        <v>518</v>
      </c>
      <c r="H1136" s="18" t="s">
        <v>5</v>
      </c>
      <c r="I1136" s="14" t="s">
        <v>117</v>
      </c>
      <c r="J1136" s="14">
        <v>3</v>
      </c>
      <c r="K1136" s="14" t="s">
        <v>632</v>
      </c>
      <c r="L1136" s="14"/>
      <c r="M1136" s="14">
        <v>1</v>
      </c>
      <c r="N1136" s="15">
        <v>180000</v>
      </c>
      <c r="O1136" s="15">
        <f t="shared" si="43"/>
        <v>180000</v>
      </c>
      <c r="P1136" s="15"/>
      <c r="Q1136" s="14" t="s">
        <v>520</v>
      </c>
      <c r="R1136" s="21">
        <v>45412</v>
      </c>
      <c r="S1136" s="22" t="str">
        <f>TEXT(Table1[[#This Row],[End Date]],"MMMM")</f>
        <v>April</v>
      </c>
      <c r="T1136" s="23" t="str">
        <f>TEXT(Table1[[#This Row],[End Date]],"YYYY")</f>
        <v>2024</v>
      </c>
      <c r="U1136" s="24">
        <f t="shared" ca="1" si="42"/>
        <v>-279</v>
      </c>
      <c r="V1136" s="14" t="str" cm="1">
        <f t="array" aca="1" ref="V1136" ca="1">_xlfn.IFS(Table1[[#This Row],[Agreement Days]]&gt;=0,"Expired",Table1[[#This Row],[Agreement Days]]&gt;=-30,"Expires &lt; 30 Days",Table1[[#This Row],[Agreement Days]]&gt;=-60,"Expires &lt; 60 Days",Table1[[#This Row],[Agreement Days]]&lt;-60,"Valid Contract")</f>
        <v>Valid Contract</v>
      </c>
      <c r="W1136" s="14" t="s">
        <v>13</v>
      </c>
      <c r="X1136" s="14" t="s">
        <v>2308</v>
      </c>
      <c r="Y1136" s="43" t="s">
        <v>2309</v>
      </c>
      <c r="Z1136" s="17">
        <v>788566707</v>
      </c>
      <c r="AA1136" s="17"/>
      <c r="AB1136" s="116"/>
      <c r="AC1136" s="116"/>
    </row>
    <row r="1137" spans="1:29" hidden="1" x14ac:dyDescent="0.3">
      <c r="A1137" s="18" t="s">
        <v>2310</v>
      </c>
      <c r="B1137" s="18" t="s">
        <v>266</v>
      </c>
      <c r="C1137" s="18" t="s">
        <v>2311</v>
      </c>
      <c r="D1137" s="14" t="s">
        <v>545</v>
      </c>
      <c r="E1137" s="18" t="s">
        <v>9</v>
      </c>
      <c r="F1137" s="14" t="s">
        <v>688</v>
      </c>
      <c r="G1137" s="14" t="s">
        <v>518</v>
      </c>
      <c r="H1137" s="18" t="s">
        <v>5</v>
      </c>
      <c r="I1137" s="14" t="s">
        <v>117</v>
      </c>
      <c r="J1137" s="14">
        <v>5</v>
      </c>
      <c r="K1137" s="18" t="s">
        <v>519</v>
      </c>
      <c r="L1137" s="18"/>
      <c r="M1137" s="14">
        <v>1</v>
      </c>
      <c r="N1137" s="15">
        <v>270000</v>
      </c>
      <c r="O1137" s="15">
        <f t="shared" si="43"/>
        <v>270000</v>
      </c>
      <c r="P1137" s="15"/>
      <c r="Q1137" s="14" t="s">
        <v>520</v>
      </c>
      <c r="R1137" s="25">
        <v>45412</v>
      </c>
      <c r="S1137" s="34" t="str">
        <f>TEXT(Table1[[#This Row],[End Date]],"MMMM")</f>
        <v>April</v>
      </c>
      <c r="T1137" s="34" t="str">
        <f>TEXT(Table1[[#This Row],[End Date]],"YYYY")</f>
        <v>2024</v>
      </c>
      <c r="U1137" s="24">
        <f t="shared" ca="1" si="42"/>
        <v>-279</v>
      </c>
      <c r="V1137" s="14" t="str" cm="1">
        <f t="array" aca="1" ref="V1137" ca="1">_xlfn.IFS(Table1[[#This Row],[Agreement Days]]&gt;=0,"Expired",Table1[[#This Row],[Agreement Days]]&gt;=-30,"Expires &lt; 30 Days",Table1[[#This Row],[Agreement Days]]&gt;=-60,"Expires &lt; 60 Days",Table1[[#This Row],[Agreement Days]]&lt;-60,"Valid Contract")</f>
        <v>Valid Contract</v>
      </c>
      <c r="W1137" s="18" t="s">
        <v>21</v>
      </c>
      <c r="X1137" s="42" t="s">
        <v>2312</v>
      </c>
      <c r="Y1137" s="42" t="s">
        <v>2313</v>
      </c>
      <c r="Z1137" s="27">
        <v>788718169</v>
      </c>
      <c r="AA1137" s="27"/>
      <c r="AB1137" s="116"/>
      <c r="AC1137" s="116"/>
    </row>
    <row r="1138" spans="1:29" hidden="1" x14ac:dyDescent="0.3">
      <c r="A1138" s="18" t="s">
        <v>2310</v>
      </c>
      <c r="B1138" s="18" t="s">
        <v>266</v>
      </c>
      <c r="C1138" s="18" t="s">
        <v>2311</v>
      </c>
      <c r="D1138" s="14" t="s">
        <v>545</v>
      </c>
      <c r="E1138" s="18" t="s">
        <v>9</v>
      </c>
      <c r="F1138" s="14" t="s">
        <v>688</v>
      </c>
      <c r="G1138" s="14" t="s">
        <v>518</v>
      </c>
      <c r="H1138" s="18" t="s">
        <v>4</v>
      </c>
      <c r="I1138" s="14" t="s">
        <v>118</v>
      </c>
      <c r="J1138" s="18"/>
      <c r="K1138" s="18" t="s">
        <v>650</v>
      </c>
      <c r="L1138" s="18"/>
      <c r="M1138" s="14">
        <v>1</v>
      </c>
      <c r="N1138" s="15">
        <v>369325</v>
      </c>
      <c r="O1138" s="15">
        <f t="shared" si="43"/>
        <v>369325</v>
      </c>
      <c r="P1138" s="15"/>
      <c r="Q1138" s="14" t="s">
        <v>520</v>
      </c>
      <c r="R1138" s="25">
        <v>45412</v>
      </c>
      <c r="S1138" s="34" t="str">
        <f>TEXT(Table1[[#This Row],[End Date]],"MMMM")</f>
        <v>April</v>
      </c>
      <c r="T1138" s="34" t="str">
        <f>TEXT(Table1[[#This Row],[End Date]],"YYYY")</f>
        <v>2024</v>
      </c>
      <c r="U1138" s="24">
        <f t="shared" ca="1" si="42"/>
        <v>-279</v>
      </c>
      <c r="V1138" s="14" t="str" cm="1">
        <f t="array" aca="1" ref="V1138" ca="1">_xlfn.IFS(Table1[[#This Row],[Agreement Days]]&gt;=0,"Expired",Table1[[#This Row],[Agreement Days]]&gt;=-30,"Expires &lt; 30 Days",Table1[[#This Row],[Agreement Days]]&gt;=-60,"Expires &lt; 60 Days",Table1[[#This Row],[Agreement Days]]&lt;-60,"Valid Contract")</f>
        <v>Valid Contract</v>
      </c>
      <c r="W1138" s="18" t="s">
        <v>21</v>
      </c>
      <c r="X1138" s="42" t="s">
        <v>2312</v>
      </c>
      <c r="Y1138" s="42" t="s">
        <v>2313</v>
      </c>
      <c r="Z1138" s="27">
        <v>788718169</v>
      </c>
      <c r="AA1138" s="27"/>
      <c r="AB1138" s="116"/>
      <c r="AC1138" s="116"/>
    </row>
    <row r="1139" spans="1:29" hidden="1" x14ac:dyDescent="0.3">
      <c r="A1139" s="18" t="s">
        <v>2314</v>
      </c>
      <c r="B1139" s="18" t="s">
        <v>286</v>
      </c>
      <c r="C1139" s="18" t="s">
        <v>2315</v>
      </c>
      <c r="D1139" s="14" t="s">
        <v>662</v>
      </c>
      <c r="E1139" s="18" t="s">
        <v>9</v>
      </c>
      <c r="F1139" s="14" t="s">
        <v>688</v>
      </c>
      <c r="G1139" s="14" t="s">
        <v>518</v>
      </c>
      <c r="H1139" s="18" t="s">
        <v>5</v>
      </c>
      <c r="I1139" s="14" t="s">
        <v>117</v>
      </c>
      <c r="J1139" s="14">
        <v>5</v>
      </c>
      <c r="K1139" s="18" t="s">
        <v>519</v>
      </c>
      <c r="L1139" s="18"/>
      <c r="M1139" s="14">
        <v>1</v>
      </c>
      <c r="N1139" s="15">
        <v>270000</v>
      </c>
      <c r="O1139" s="15">
        <f t="shared" si="43"/>
        <v>270000</v>
      </c>
      <c r="P1139" s="15"/>
      <c r="Q1139" s="14" t="s">
        <v>520</v>
      </c>
      <c r="R1139" s="25">
        <v>45412</v>
      </c>
      <c r="S1139" s="34" t="str">
        <f>TEXT(Table1[[#This Row],[End Date]],"MMMM")</f>
        <v>April</v>
      </c>
      <c r="T1139" s="34" t="str">
        <f>TEXT(Table1[[#This Row],[End Date]],"YYYY")</f>
        <v>2024</v>
      </c>
      <c r="U1139" s="24">
        <f t="shared" ca="1" si="42"/>
        <v>-279</v>
      </c>
      <c r="V1139" s="14" t="str" cm="1">
        <f t="array" aca="1" ref="V1139" ca="1">_xlfn.IFS(Table1[[#This Row],[Agreement Days]]&gt;=0,"Expired",Table1[[#This Row],[Agreement Days]]&gt;=-30,"Expires &lt; 30 Days",Table1[[#This Row],[Agreement Days]]&gt;=-60,"Expires &lt; 60 Days",Table1[[#This Row],[Agreement Days]]&lt;-60,"Valid Contract")</f>
        <v>Valid Contract</v>
      </c>
      <c r="W1139" s="18" t="s">
        <v>21</v>
      </c>
      <c r="X1139" s="18" t="s">
        <v>2316</v>
      </c>
      <c r="Y1139" s="42" t="s">
        <v>2317</v>
      </c>
      <c r="Z1139" s="27" t="s">
        <v>2318</v>
      </c>
      <c r="AA1139" s="27"/>
      <c r="AB1139" s="116"/>
      <c r="AC1139" s="116"/>
    </row>
    <row r="1140" spans="1:29" hidden="1" x14ac:dyDescent="0.3">
      <c r="A1140" s="18" t="s">
        <v>2314</v>
      </c>
      <c r="B1140" s="18" t="s">
        <v>286</v>
      </c>
      <c r="C1140" s="18" t="s">
        <v>2315</v>
      </c>
      <c r="D1140" s="14" t="s">
        <v>662</v>
      </c>
      <c r="E1140" s="18" t="s">
        <v>9</v>
      </c>
      <c r="F1140" s="14" t="s">
        <v>688</v>
      </c>
      <c r="G1140" s="14" t="s">
        <v>518</v>
      </c>
      <c r="H1140" s="18" t="s">
        <v>4</v>
      </c>
      <c r="I1140" s="14" t="s">
        <v>118</v>
      </c>
      <c r="J1140" s="18"/>
      <c r="K1140" s="18" t="s">
        <v>650</v>
      </c>
      <c r="L1140" s="18"/>
      <c r="M1140" s="14">
        <v>1</v>
      </c>
      <c r="N1140" s="15">
        <v>369325</v>
      </c>
      <c r="O1140" s="15">
        <f t="shared" si="43"/>
        <v>369325</v>
      </c>
      <c r="P1140" s="15"/>
      <c r="Q1140" s="14" t="s">
        <v>520</v>
      </c>
      <c r="R1140" s="25">
        <v>45412</v>
      </c>
      <c r="S1140" s="34" t="str">
        <f>TEXT(Table1[[#This Row],[End Date]],"MMMM")</f>
        <v>April</v>
      </c>
      <c r="T1140" s="34" t="str">
        <f>TEXT(Table1[[#This Row],[End Date]],"YYYY")</f>
        <v>2024</v>
      </c>
      <c r="U1140" s="24">
        <f t="shared" ca="1" si="42"/>
        <v>-279</v>
      </c>
      <c r="V1140" s="14" t="str" cm="1">
        <f t="array" aca="1" ref="V1140" ca="1">_xlfn.IFS(Table1[[#This Row],[Agreement Days]]&gt;=0,"Expired",Table1[[#This Row],[Agreement Days]]&gt;=-30,"Expires &lt; 30 Days",Table1[[#This Row],[Agreement Days]]&gt;=-60,"Expires &lt; 60 Days",Table1[[#This Row],[Agreement Days]]&lt;-60,"Valid Contract")</f>
        <v>Valid Contract</v>
      </c>
      <c r="W1140" s="18" t="s">
        <v>21</v>
      </c>
      <c r="X1140" s="18" t="s">
        <v>2316</v>
      </c>
      <c r="Y1140" s="18" t="s">
        <v>2317</v>
      </c>
      <c r="Z1140" s="27" t="s">
        <v>2318</v>
      </c>
      <c r="AA1140" s="27"/>
      <c r="AB1140" s="116"/>
      <c r="AC1140" s="116"/>
    </row>
    <row r="1141" spans="1:29" hidden="1" x14ac:dyDescent="0.3">
      <c r="A1141" s="18" t="s">
        <v>1924</v>
      </c>
      <c r="B1141" s="18" t="s">
        <v>318</v>
      </c>
      <c r="C1141" s="18" t="s">
        <v>1925</v>
      </c>
      <c r="D1141" s="14" t="s">
        <v>616</v>
      </c>
      <c r="E1141" s="18" t="s">
        <v>9</v>
      </c>
      <c r="F1141" s="14" t="s">
        <v>688</v>
      </c>
      <c r="G1141" s="14" t="s">
        <v>518</v>
      </c>
      <c r="H1141" s="18" t="s">
        <v>5</v>
      </c>
      <c r="I1141" s="14" t="s">
        <v>117</v>
      </c>
      <c r="J1141" s="14">
        <v>5</v>
      </c>
      <c r="K1141" s="18" t="s">
        <v>519</v>
      </c>
      <c r="L1141" s="18"/>
      <c r="M1141" s="14">
        <v>1</v>
      </c>
      <c r="N1141" s="15">
        <v>270000</v>
      </c>
      <c r="O1141" s="15">
        <f t="shared" si="43"/>
        <v>270000</v>
      </c>
      <c r="P1141" s="15"/>
      <c r="Q1141" s="14" t="s">
        <v>520</v>
      </c>
      <c r="R1141" s="25">
        <v>45412</v>
      </c>
      <c r="S1141" s="34" t="str">
        <f>TEXT(Table1[[#This Row],[End Date]],"MMMM")</f>
        <v>April</v>
      </c>
      <c r="T1141" s="34" t="str">
        <f>TEXT(Table1[[#This Row],[End Date]],"YYYY")</f>
        <v>2024</v>
      </c>
      <c r="U1141" s="24">
        <f t="shared" ca="1" si="42"/>
        <v>-279</v>
      </c>
      <c r="V1141" s="14" t="str" cm="1">
        <f t="array" aca="1" ref="V1141" ca="1">_xlfn.IFS(Table1[[#This Row],[Agreement Days]]&gt;=0,"Expired",Table1[[#This Row],[Agreement Days]]&gt;=-30,"Expires &lt; 30 Days",Table1[[#This Row],[Agreement Days]]&gt;=-60,"Expires &lt; 60 Days",Table1[[#This Row],[Agreement Days]]&lt;-60,"Valid Contract")</f>
        <v>Valid Contract</v>
      </c>
      <c r="W1141" s="18" t="s">
        <v>21</v>
      </c>
      <c r="X1141" s="18" t="s">
        <v>1926</v>
      </c>
      <c r="Y1141" s="42" t="s">
        <v>1927</v>
      </c>
      <c r="Z1141" s="27">
        <v>788984855</v>
      </c>
      <c r="AA1141" s="27"/>
      <c r="AB1141" s="116"/>
      <c r="AC1141" s="116"/>
    </row>
    <row r="1142" spans="1:29" hidden="1" x14ac:dyDescent="0.3">
      <c r="A1142" s="18" t="s">
        <v>1924</v>
      </c>
      <c r="B1142" s="18" t="s">
        <v>318</v>
      </c>
      <c r="C1142" s="18" t="s">
        <v>1925</v>
      </c>
      <c r="D1142" s="14" t="s">
        <v>616</v>
      </c>
      <c r="E1142" s="18" t="s">
        <v>9</v>
      </c>
      <c r="F1142" s="14" t="s">
        <v>688</v>
      </c>
      <c r="G1142" s="14" t="s">
        <v>518</v>
      </c>
      <c r="H1142" s="18" t="s">
        <v>4</v>
      </c>
      <c r="I1142" s="14" t="s">
        <v>118</v>
      </c>
      <c r="J1142" s="18"/>
      <c r="K1142" s="18" t="s">
        <v>650</v>
      </c>
      <c r="L1142" s="18"/>
      <c r="M1142" s="14">
        <v>1</v>
      </c>
      <c r="N1142" s="15">
        <v>369325</v>
      </c>
      <c r="O1142" s="15">
        <f t="shared" si="43"/>
        <v>369325</v>
      </c>
      <c r="P1142" s="15"/>
      <c r="Q1142" s="14" t="s">
        <v>520</v>
      </c>
      <c r="R1142" s="25">
        <v>45412</v>
      </c>
      <c r="S1142" s="34" t="str">
        <f>TEXT(Table1[[#This Row],[End Date]],"MMMM")</f>
        <v>April</v>
      </c>
      <c r="T1142" s="34" t="str">
        <f>TEXT(Table1[[#This Row],[End Date]],"YYYY")</f>
        <v>2024</v>
      </c>
      <c r="U1142" s="24">
        <f t="shared" ca="1" si="42"/>
        <v>-279</v>
      </c>
      <c r="V1142" s="14" t="str" cm="1">
        <f t="array" aca="1" ref="V1142" ca="1">_xlfn.IFS(Table1[[#This Row],[Agreement Days]]&gt;=0,"Expired",Table1[[#This Row],[Agreement Days]]&gt;=-30,"Expires &lt; 30 Days",Table1[[#This Row],[Agreement Days]]&gt;=-60,"Expires &lt; 60 Days",Table1[[#This Row],[Agreement Days]]&lt;-60,"Valid Contract")</f>
        <v>Valid Contract</v>
      </c>
      <c r="W1142" s="18" t="s">
        <v>21</v>
      </c>
      <c r="X1142" s="18" t="s">
        <v>1926</v>
      </c>
      <c r="Y1142" s="42" t="s">
        <v>1927</v>
      </c>
      <c r="Z1142" s="27">
        <v>788984855</v>
      </c>
      <c r="AA1142" s="27"/>
      <c r="AB1142" s="116"/>
      <c r="AC1142" s="116"/>
    </row>
    <row r="1143" spans="1:29" hidden="1" x14ac:dyDescent="0.3">
      <c r="A1143" s="18" t="s">
        <v>2319</v>
      </c>
      <c r="B1143" s="18" t="s">
        <v>323</v>
      </c>
      <c r="C1143" s="18" t="s">
        <v>2320</v>
      </c>
      <c r="D1143" s="14" t="s">
        <v>542</v>
      </c>
      <c r="E1143" s="18" t="s">
        <v>9</v>
      </c>
      <c r="F1143" s="14" t="s">
        <v>688</v>
      </c>
      <c r="G1143" s="14" t="s">
        <v>518</v>
      </c>
      <c r="H1143" s="18" t="s">
        <v>5</v>
      </c>
      <c r="I1143" s="14" t="s">
        <v>117</v>
      </c>
      <c r="J1143" s="14">
        <v>10</v>
      </c>
      <c r="K1143" s="18" t="s">
        <v>547</v>
      </c>
      <c r="L1143" s="18"/>
      <c r="M1143" s="14">
        <v>1</v>
      </c>
      <c r="N1143" s="15">
        <v>510000</v>
      </c>
      <c r="O1143" s="15">
        <f t="shared" si="43"/>
        <v>510000</v>
      </c>
      <c r="P1143" s="15"/>
      <c r="Q1143" s="14" t="s">
        <v>520</v>
      </c>
      <c r="R1143" s="25">
        <v>45412</v>
      </c>
      <c r="S1143" s="34" t="str">
        <f>TEXT(Table1[[#This Row],[End Date]],"MMMM")</f>
        <v>April</v>
      </c>
      <c r="T1143" s="34" t="str">
        <f>TEXT(Table1[[#This Row],[End Date]],"YYYY")</f>
        <v>2024</v>
      </c>
      <c r="U1143" s="24">
        <f t="shared" ca="1" si="42"/>
        <v>-279</v>
      </c>
      <c r="V1143" s="14" t="str" cm="1">
        <f t="array" aca="1" ref="V1143" ca="1">_xlfn.IFS(Table1[[#This Row],[Agreement Days]]&gt;=0,"Expired",Table1[[#This Row],[Agreement Days]]&gt;=-30,"Expires &lt; 30 Days",Table1[[#This Row],[Agreement Days]]&gt;=-60,"Expires &lt; 60 Days",Table1[[#This Row],[Agreement Days]]&lt;-60,"Valid Contract")</f>
        <v>Valid Contract</v>
      </c>
      <c r="W1143" s="18" t="s">
        <v>21</v>
      </c>
      <c r="X1143" s="18" t="s">
        <v>2321</v>
      </c>
      <c r="Y1143" s="42" t="s">
        <v>2322</v>
      </c>
      <c r="Z1143" s="27">
        <v>788937001</v>
      </c>
      <c r="AA1143" s="27"/>
      <c r="AB1143" s="116"/>
      <c r="AC1143" s="116"/>
    </row>
    <row r="1144" spans="1:29" hidden="1" x14ac:dyDescent="0.3">
      <c r="A1144" s="18" t="s">
        <v>2319</v>
      </c>
      <c r="B1144" s="18" t="s">
        <v>323</v>
      </c>
      <c r="C1144" s="18" t="s">
        <v>2320</v>
      </c>
      <c r="D1144" s="14" t="s">
        <v>542</v>
      </c>
      <c r="E1144" s="18" t="s">
        <v>9</v>
      </c>
      <c r="F1144" s="14" t="s">
        <v>688</v>
      </c>
      <c r="G1144" s="14" t="s">
        <v>518</v>
      </c>
      <c r="H1144" s="18" t="s">
        <v>4</v>
      </c>
      <c r="I1144" s="14" t="s">
        <v>118</v>
      </c>
      <c r="J1144" s="18"/>
      <c r="K1144" s="18" t="s">
        <v>650</v>
      </c>
      <c r="L1144" s="18"/>
      <c r="M1144" s="14">
        <v>1</v>
      </c>
      <c r="N1144" s="15">
        <v>369325</v>
      </c>
      <c r="O1144" s="15">
        <f t="shared" si="43"/>
        <v>369325</v>
      </c>
      <c r="P1144" s="15"/>
      <c r="Q1144" s="14" t="s">
        <v>520</v>
      </c>
      <c r="R1144" s="25">
        <v>45412</v>
      </c>
      <c r="S1144" s="34" t="str">
        <f>TEXT(Table1[[#This Row],[End Date]],"MMMM")</f>
        <v>April</v>
      </c>
      <c r="T1144" s="34" t="str">
        <f>TEXT(Table1[[#This Row],[End Date]],"YYYY")</f>
        <v>2024</v>
      </c>
      <c r="U1144" s="24">
        <f t="shared" ca="1" si="42"/>
        <v>-279</v>
      </c>
      <c r="V1144" s="14" t="str" cm="1">
        <f t="array" aca="1" ref="V1144" ca="1">_xlfn.IFS(Table1[[#This Row],[Agreement Days]]&gt;=0,"Expired",Table1[[#This Row],[Agreement Days]]&gt;=-30,"Expires &lt; 30 Days",Table1[[#This Row],[Agreement Days]]&gt;=-60,"Expires &lt; 60 Days",Table1[[#This Row],[Agreement Days]]&lt;-60,"Valid Contract")</f>
        <v>Valid Contract</v>
      </c>
      <c r="W1144" s="18" t="s">
        <v>21</v>
      </c>
      <c r="X1144" s="18" t="s">
        <v>2321</v>
      </c>
      <c r="Y1144" s="42" t="s">
        <v>2322</v>
      </c>
      <c r="Z1144" s="27">
        <v>788937001</v>
      </c>
      <c r="AA1144" s="27"/>
      <c r="AB1144" s="116"/>
      <c r="AC1144" s="116"/>
    </row>
    <row r="1145" spans="1:29" hidden="1" x14ac:dyDescent="0.3">
      <c r="A1145" s="18" t="s">
        <v>941</v>
      </c>
      <c r="B1145" s="18" t="s">
        <v>310</v>
      </c>
      <c r="C1145" s="18" t="s">
        <v>942</v>
      </c>
      <c r="D1145" s="14" t="s">
        <v>586</v>
      </c>
      <c r="E1145" s="18" t="s">
        <v>9</v>
      </c>
      <c r="F1145" s="14" t="s">
        <v>688</v>
      </c>
      <c r="G1145" s="14" t="s">
        <v>518</v>
      </c>
      <c r="H1145" s="18" t="s">
        <v>4</v>
      </c>
      <c r="I1145" s="14" t="s">
        <v>118</v>
      </c>
      <c r="J1145" s="18"/>
      <c r="K1145" s="18" t="s">
        <v>650</v>
      </c>
      <c r="L1145" s="18"/>
      <c r="M1145" s="14">
        <v>1</v>
      </c>
      <c r="N1145" s="15">
        <v>369325</v>
      </c>
      <c r="O1145" s="15">
        <f t="shared" si="43"/>
        <v>369325</v>
      </c>
      <c r="P1145" s="15"/>
      <c r="Q1145" s="14" t="s">
        <v>520</v>
      </c>
      <c r="R1145" s="25">
        <v>45412</v>
      </c>
      <c r="S1145" s="34" t="str">
        <f>TEXT(Table1[[#This Row],[End Date]],"MMMM")</f>
        <v>April</v>
      </c>
      <c r="T1145" s="34" t="str">
        <f>TEXT(Table1[[#This Row],[End Date]],"YYYY")</f>
        <v>2024</v>
      </c>
      <c r="U1145" s="24">
        <f t="shared" ca="1" si="42"/>
        <v>-279</v>
      </c>
      <c r="V1145" s="14" t="str" cm="1">
        <f t="array" aca="1" ref="V1145" ca="1">_xlfn.IFS(Table1[[#This Row],[Agreement Days]]&gt;=0,"Expired",Table1[[#This Row],[Agreement Days]]&gt;=-30,"Expires &lt; 30 Days",Table1[[#This Row],[Agreement Days]]&gt;=-60,"Expires &lt; 60 Days",Table1[[#This Row],[Agreement Days]]&lt;-60,"Valid Contract")</f>
        <v>Valid Contract</v>
      </c>
      <c r="W1145" s="18" t="s">
        <v>21</v>
      </c>
      <c r="X1145" s="18" t="s">
        <v>943</v>
      </c>
      <c r="Y1145" s="42" t="s">
        <v>944</v>
      </c>
      <c r="Z1145" s="27">
        <v>785658392</v>
      </c>
      <c r="AA1145" s="27"/>
      <c r="AB1145" s="116"/>
      <c r="AC1145" s="116"/>
    </row>
    <row r="1146" spans="1:29" hidden="1" x14ac:dyDescent="0.3">
      <c r="A1146" s="18" t="s">
        <v>941</v>
      </c>
      <c r="B1146" s="18" t="s">
        <v>310</v>
      </c>
      <c r="C1146" s="18" t="s">
        <v>942</v>
      </c>
      <c r="D1146" s="14" t="s">
        <v>586</v>
      </c>
      <c r="E1146" s="18" t="s">
        <v>9</v>
      </c>
      <c r="F1146" s="14" t="s">
        <v>688</v>
      </c>
      <c r="G1146" s="14" t="s">
        <v>518</v>
      </c>
      <c r="H1146" s="18" t="s">
        <v>5</v>
      </c>
      <c r="I1146" s="14" t="s">
        <v>117</v>
      </c>
      <c r="J1146" s="14">
        <v>5</v>
      </c>
      <c r="K1146" s="18" t="s">
        <v>519</v>
      </c>
      <c r="L1146" s="18"/>
      <c r="M1146" s="14">
        <v>1</v>
      </c>
      <c r="N1146" s="15">
        <v>270000</v>
      </c>
      <c r="O1146" s="15">
        <f t="shared" si="43"/>
        <v>270000</v>
      </c>
      <c r="P1146" s="15"/>
      <c r="Q1146" s="14" t="s">
        <v>520</v>
      </c>
      <c r="R1146" s="25">
        <v>45412</v>
      </c>
      <c r="S1146" s="34" t="str">
        <f>TEXT(Table1[[#This Row],[End Date]],"MMMM")</f>
        <v>April</v>
      </c>
      <c r="T1146" s="34" t="str">
        <f>TEXT(Table1[[#This Row],[End Date]],"YYYY")</f>
        <v>2024</v>
      </c>
      <c r="U1146" s="24">
        <f t="shared" ca="1" si="42"/>
        <v>-279</v>
      </c>
      <c r="V1146" s="14" t="str" cm="1">
        <f t="array" aca="1" ref="V1146" ca="1">_xlfn.IFS(Table1[[#This Row],[Agreement Days]]&gt;=0,"Expired",Table1[[#This Row],[Agreement Days]]&gt;=-30,"Expires &lt; 30 Days",Table1[[#This Row],[Agreement Days]]&gt;=-60,"Expires &lt; 60 Days",Table1[[#This Row],[Agreement Days]]&lt;-60,"Valid Contract")</f>
        <v>Valid Contract</v>
      </c>
      <c r="W1146" s="18" t="s">
        <v>21</v>
      </c>
      <c r="X1146" s="18" t="s">
        <v>943</v>
      </c>
      <c r="Y1146" s="42" t="s">
        <v>944</v>
      </c>
      <c r="Z1146" s="27">
        <v>785658392</v>
      </c>
      <c r="AA1146" s="27"/>
      <c r="AB1146" s="116"/>
      <c r="AC1146" s="116"/>
    </row>
    <row r="1147" spans="1:29" hidden="1" x14ac:dyDescent="0.3">
      <c r="A1147" s="18" t="s">
        <v>2323</v>
      </c>
      <c r="B1147" s="18" t="s">
        <v>327</v>
      </c>
      <c r="C1147" s="18" t="s">
        <v>2324</v>
      </c>
      <c r="D1147" s="14" t="s">
        <v>616</v>
      </c>
      <c r="E1147" s="18" t="s">
        <v>9</v>
      </c>
      <c r="F1147" s="14" t="s">
        <v>688</v>
      </c>
      <c r="G1147" s="14" t="s">
        <v>518</v>
      </c>
      <c r="H1147" s="18" t="s">
        <v>5</v>
      </c>
      <c r="I1147" s="14" t="s">
        <v>117</v>
      </c>
      <c r="J1147" s="14">
        <v>5</v>
      </c>
      <c r="K1147" s="18" t="s">
        <v>519</v>
      </c>
      <c r="L1147" s="18"/>
      <c r="M1147" s="14">
        <v>1</v>
      </c>
      <c r="N1147" s="15">
        <v>270000</v>
      </c>
      <c r="O1147" s="15">
        <f t="shared" si="43"/>
        <v>270000</v>
      </c>
      <c r="P1147" s="15"/>
      <c r="Q1147" s="14" t="s">
        <v>520</v>
      </c>
      <c r="R1147" s="25">
        <v>45412</v>
      </c>
      <c r="S1147" s="34" t="str">
        <f>TEXT(Table1[[#This Row],[End Date]],"MMMM")</f>
        <v>April</v>
      </c>
      <c r="T1147" s="34" t="str">
        <f>TEXT(Table1[[#This Row],[End Date]],"YYYY")</f>
        <v>2024</v>
      </c>
      <c r="U1147" s="24">
        <f t="shared" ca="1" si="42"/>
        <v>-279</v>
      </c>
      <c r="V1147" s="14" t="str" cm="1">
        <f t="array" aca="1" ref="V1147" ca="1">_xlfn.IFS(Table1[[#This Row],[Agreement Days]]&gt;=0,"Expired",Table1[[#This Row],[Agreement Days]]&gt;=-30,"Expires &lt; 30 Days",Table1[[#This Row],[Agreement Days]]&gt;=-60,"Expires &lt; 60 Days",Table1[[#This Row],[Agreement Days]]&lt;-60,"Valid Contract")</f>
        <v>Valid Contract</v>
      </c>
      <c r="W1147" s="18" t="s">
        <v>21</v>
      </c>
      <c r="X1147" s="18" t="s">
        <v>2325</v>
      </c>
      <c r="Y1147" s="42" t="s">
        <v>2326</v>
      </c>
      <c r="Z1147" s="27">
        <v>782165443</v>
      </c>
      <c r="AA1147" s="27"/>
      <c r="AB1147" s="116"/>
      <c r="AC1147" s="116"/>
    </row>
    <row r="1148" spans="1:29" hidden="1" x14ac:dyDescent="0.3">
      <c r="A1148" s="18" t="s">
        <v>2323</v>
      </c>
      <c r="B1148" s="18" t="s">
        <v>327</v>
      </c>
      <c r="C1148" s="18" t="s">
        <v>2324</v>
      </c>
      <c r="D1148" s="14" t="s">
        <v>616</v>
      </c>
      <c r="E1148" s="18" t="s">
        <v>9</v>
      </c>
      <c r="F1148" s="14" t="s">
        <v>688</v>
      </c>
      <c r="G1148" s="14" t="s">
        <v>518</v>
      </c>
      <c r="H1148" s="18" t="s">
        <v>4</v>
      </c>
      <c r="I1148" s="14" t="s">
        <v>118</v>
      </c>
      <c r="J1148" s="18"/>
      <c r="K1148" s="18" t="s">
        <v>650</v>
      </c>
      <c r="L1148" s="18"/>
      <c r="M1148" s="14">
        <v>1</v>
      </c>
      <c r="N1148" s="15">
        <v>369325</v>
      </c>
      <c r="O1148" s="15">
        <f t="shared" si="43"/>
        <v>369325</v>
      </c>
      <c r="P1148" s="15"/>
      <c r="Q1148" s="14" t="s">
        <v>520</v>
      </c>
      <c r="R1148" s="25">
        <v>45412</v>
      </c>
      <c r="S1148" s="34" t="str">
        <f>TEXT(Table1[[#This Row],[End Date]],"MMMM")</f>
        <v>April</v>
      </c>
      <c r="T1148" s="34" t="str">
        <f>TEXT(Table1[[#This Row],[End Date]],"YYYY")</f>
        <v>2024</v>
      </c>
      <c r="U1148" s="24">
        <f t="shared" ca="1" si="42"/>
        <v>-279</v>
      </c>
      <c r="V1148" s="14" t="str" cm="1">
        <f t="array" aca="1" ref="V1148" ca="1">_xlfn.IFS(Table1[[#This Row],[Agreement Days]]&gt;=0,"Expired",Table1[[#This Row],[Agreement Days]]&gt;=-30,"Expires &lt; 30 Days",Table1[[#This Row],[Agreement Days]]&gt;=-60,"Expires &lt; 60 Days",Table1[[#This Row],[Agreement Days]]&lt;-60,"Valid Contract")</f>
        <v>Valid Contract</v>
      </c>
      <c r="W1148" s="18" t="s">
        <v>21</v>
      </c>
      <c r="X1148" s="18" t="s">
        <v>2325</v>
      </c>
      <c r="Y1148" s="42" t="s">
        <v>2326</v>
      </c>
      <c r="Z1148" s="27">
        <v>782165443</v>
      </c>
      <c r="AA1148" s="27"/>
      <c r="AB1148" s="116"/>
      <c r="AC1148" s="116"/>
    </row>
    <row r="1149" spans="1:29" hidden="1" x14ac:dyDescent="0.3">
      <c r="A1149" s="18" t="s">
        <v>2327</v>
      </c>
      <c r="B1149" s="18" t="s">
        <v>284</v>
      </c>
      <c r="C1149" s="18" t="s">
        <v>284</v>
      </c>
      <c r="D1149" s="14" t="s">
        <v>653</v>
      </c>
      <c r="E1149" s="18" t="s">
        <v>9</v>
      </c>
      <c r="F1149" s="14" t="s">
        <v>688</v>
      </c>
      <c r="G1149" s="14" t="s">
        <v>518</v>
      </c>
      <c r="H1149" s="18" t="s">
        <v>5</v>
      </c>
      <c r="I1149" s="14" t="s">
        <v>117</v>
      </c>
      <c r="J1149" s="14">
        <v>5</v>
      </c>
      <c r="K1149" s="18" t="s">
        <v>2328</v>
      </c>
      <c r="L1149" s="18"/>
      <c r="M1149" s="14">
        <v>1</v>
      </c>
      <c r="N1149" s="15">
        <v>270000</v>
      </c>
      <c r="O1149" s="15">
        <f t="shared" si="43"/>
        <v>270000</v>
      </c>
      <c r="P1149" s="15"/>
      <c r="Q1149" s="14" t="s">
        <v>520</v>
      </c>
      <c r="R1149" s="25">
        <v>45412</v>
      </c>
      <c r="S1149" s="34" t="str">
        <f>TEXT(Table1[[#This Row],[End Date]],"MMMM")</f>
        <v>April</v>
      </c>
      <c r="T1149" s="34" t="str">
        <f>TEXT(Table1[[#This Row],[End Date]],"YYYY")</f>
        <v>2024</v>
      </c>
      <c r="U1149" s="24">
        <f t="shared" ca="1" si="42"/>
        <v>-279</v>
      </c>
      <c r="V1149" s="14" t="str" cm="1">
        <f t="array" aca="1" ref="V1149" ca="1">_xlfn.IFS(Table1[[#This Row],[Agreement Days]]&gt;=0,"Expired",Table1[[#This Row],[Agreement Days]]&gt;=-30,"Expires &lt; 30 Days",Table1[[#This Row],[Agreement Days]]&gt;=-60,"Expires &lt; 60 Days",Table1[[#This Row],[Agreement Days]]&lt;-60,"Valid Contract")</f>
        <v>Valid Contract</v>
      </c>
      <c r="W1149" s="18" t="s">
        <v>21</v>
      </c>
      <c r="X1149" s="18" t="s">
        <v>2329</v>
      </c>
      <c r="Y1149" s="42" t="s">
        <v>2330</v>
      </c>
      <c r="Z1149" s="27">
        <v>786615217</v>
      </c>
      <c r="AA1149" s="27"/>
      <c r="AB1149" s="116"/>
      <c r="AC1149" s="116"/>
    </row>
    <row r="1150" spans="1:29" hidden="1" x14ac:dyDescent="0.3">
      <c r="A1150" s="18" t="s">
        <v>2327</v>
      </c>
      <c r="B1150" s="18" t="s">
        <v>284</v>
      </c>
      <c r="C1150" s="18" t="s">
        <v>284</v>
      </c>
      <c r="D1150" s="14" t="s">
        <v>653</v>
      </c>
      <c r="E1150" s="18" t="s">
        <v>9</v>
      </c>
      <c r="F1150" s="14" t="s">
        <v>688</v>
      </c>
      <c r="G1150" s="14" t="s">
        <v>518</v>
      </c>
      <c r="H1150" s="18" t="s">
        <v>4</v>
      </c>
      <c r="I1150" s="14" t="s">
        <v>118</v>
      </c>
      <c r="J1150" s="18"/>
      <c r="K1150" s="18" t="s">
        <v>650</v>
      </c>
      <c r="L1150" s="18"/>
      <c r="M1150" s="14">
        <v>1</v>
      </c>
      <c r="N1150" s="15">
        <v>369325</v>
      </c>
      <c r="O1150" s="15">
        <f t="shared" si="43"/>
        <v>369325</v>
      </c>
      <c r="P1150" s="15"/>
      <c r="Q1150" s="14" t="s">
        <v>520</v>
      </c>
      <c r="R1150" s="25">
        <v>45412</v>
      </c>
      <c r="S1150" s="34" t="str">
        <f>TEXT(Table1[[#This Row],[End Date]],"MMMM")</f>
        <v>April</v>
      </c>
      <c r="T1150" s="34" t="str">
        <f>TEXT(Table1[[#This Row],[End Date]],"YYYY")</f>
        <v>2024</v>
      </c>
      <c r="U1150" s="24">
        <f t="shared" ca="1" si="42"/>
        <v>-279</v>
      </c>
      <c r="V1150" s="14" t="str" cm="1">
        <f t="array" aca="1" ref="V1150" ca="1">_xlfn.IFS(Table1[[#This Row],[Agreement Days]]&gt;=0,"Expired",Table1[[#This Row],[Agreement Days]]&gt;=-30,"Expires &lt; 30 Days",Table1[[#This Row],[Agreement Days]]&gt;=-60,"Expires &lt; 60 Days",Table1[[#This Row],[Agreement Days]]&lt;-60,"Valid Contract")</f>
        <v>Valid Contract</v>
      </c>
      <c r="W1150" s="18" t="s">
        <v>21</v>
      </c>
      <c r="X1150" s="18" t="s">
        <v>2329</v>
      </c>
      <c r="Y1150" s="42" t="s">
        <v>2330</v>
      </c>
      <c r="Z1150" s="27">
        <v>786615217</v>
      </c>
      <c r="AA1150" s="27"/>
      <c r="AB1150" s="116"/>
      <c r="AC1150" s="116"/>
    </row>
    <row r="1151" spans="1:29" s="41" customFormat="1" hidden="1" x14ac:dyDescent="0.3">
      <c r="A1151" s="18" t="s">
        <v>2331</v>
      </c>
      <c r="B1151" s="18" t="s">
        <v>316</v>
      </c>
      <c r="C1151" s="18" t="s">
        <v>2332</v>
      </c>
      <c r="D1151" s="14" t="s">
        <v>810</v>
      </c>
      <c r="E1151" s="18" t="s">
        <v>9</v>
      </c>
      <c r="F1151" s="14" t="s">
        <v>688</v>
      </c>
      <c r="G1151" s="14" t="s">
        <v>518</v>
      </c>
      <c r="H1151" s="18" t="s">
        <v>5</v>
      </c>
      <c r="I1151" s="14" t="s">
        <v>117</v>
      </c>
      <c r="J1151" s="14">
        <v>5</v>
      </c>
      <c r="K1151" s="18" t="s">
        <v>519</v>
      </c>
      <c r="L1151" s="18"/>
      <c r="M1151" s="14">
        <v>1</v>
      </c>
      <c r="N1151" s="15">
        <v>270000</v>
      </c>
      <c r="O1151" s="15">
        <f t="shared" si="43"/>
        <v>270000</v>
      </c>
      <c r="P1151" s="15"/>
      <c r="Q1151" s="14" t="s">
        <v>520</v>
      </c>
      <c r="R1151" s="25">
        <v>45412</v>
      </c>
      <c r="S1151" s="34" t="str">
        <f>TEXT(Table1[[#This Row],[End Date]],"MMMM")</f>
        <v>April</v>
      </c>
      <c r="T1151" s="34" t="str">
        <f>TEXT(Table1[[#This Row],[End Date]],"YYYY")</f>
        <v>2024</v>
      </c>
      <c r="U1151" s="24">
        <f t="shared" ca="1" si="42"/>
        <v>-279</v>
      </c>
      <c r="V1151" s="14" t="str" cm="1">
        <f t="array" aca="1" ref="V1151" ca="1">_xlfn.IFS(Table1[[#This Row],[Agreement Days]]&gt;=0,"Expired",Table1[[#This Row],[Agreement Days]]&gt;=-30,"Expires &lt; 30 Days",Table1[[#This Row],[Agreement Days]]&gt;=-60,"Expires &lt; 60 Days",Table1[[#This Row],[Agreement Days]]&lt;-60,"Valid Contract")</f>
        <v>Valid Contract</v>
      </c>
      <c r="W1151" s="18" t="s">
        <v>21</v>
      </c>
      <c r="X1151" s="18" t="s">
        <v>2333</v>
      </c>
      <c r="Y1151" s="42" t="s">
        <v>2334</v>
      </c>
      <c r="Z1151" s="27">
        <v>788655836</v>
      </c>
      <c r="AA1151" s="27"/>
      <c r="AB1151" s="116"/>
      <c r="AC1151" s="116"/>
    </row>
    <row r="1152" spans="1:29" hidden="1" x14ac:dyDescent="0.3">
      <c r="A1152" s="18" t="s">
        <v>2331</v>
      </c>
      <c r="B1152" s="18" t="s">
        <v>316</v>
      </c>
      <c r="C1152" s="18" t="s">
        <v>2332</v>
      </c>
      <c r="D1152" s="14" t="s">
        <v>810</v>
      </c>
      <c r="E1152" s="18" t="s">
        <v>9</v>
      </c>
      <c r="F1152" s="14" t="s">
        <v>688</v>
      </c>
      <c r="G1152" s="14" t="s">
        <v>518</v>
      </c>
      <c r="H1152" s="18" t="s">
        <v>4</v>
      </c>
      <c r="I1152" s="14" t="s">
        <v>118</v>
      </c>
      <c r="J1152" s="18"/>
      <c r="K1152" s="18" t="s">
        <v>650</v>
      </c>
      <c r="L1152" s="18"/>
      <c r="M1152" s="14">
        <v>1</v>
      </c>
      <c r="N1152" s="15">
        <v>369325</v>
      </c>
      <c r="O1152" s="15">
        <f t="shared" si="43"/>
        <v>369325</v>
      </c>
      <c r="P1152" s="15"/>
      <c r="Q1152" s="14" t="s">
        <v>520</v>
      </c>
      <c r="R1152" s="25">
        <v>45412</v>
      </c>
      <c r="S1152" s="34" t="str">
        <f>TEXT(Table1[[#This Row],[End Date]],"MMMM")</f>
        <v>April</v>
      </c>
      <c r="T1152" s="34" t="str">
        <f>TEXT(Table1[[#This Row],[End Date]],"YYYY")</f>
        <v>2024</v>
      </c>
      <c r="U1152" s="24">
        <f t="shared" ca="1" si="42"/>
        <v>-279</v>
      </c>
      <c r="V1152" s="14" t="str" cm="1">
        <f t="array" aca="1" ref="V1152" ca="1">_xlfn.IFS(Table1[[#This Row],[Agreement Days]]&gt;=0,"Expired",Table1[[#This Row],[Agreement Days]]&gt;=-30,"Expires &lt; 30 Days",Table1[[#This Row],[Agreement Days]]&gt;=-60,"Expires &lt; 60 Days",Table1[[#This Row],[Agreement Days]]&lt;-60,"Valid Contract")</f>
        <v>Valid Contract</v>
      </c>
      <c r="W1152" s="18" t="s">
        <v>21</v>
      </c>
      <c r="X1152" s="18" t="s">
        <v>2333</v>
      </c>
      <c r="Y1152" s="42" t="s">
        <v>2334</v>
      </c>
      <c r="Z1152" s="27">
        <v>788655836</v>
      </c>
      <c r="AA1152" s="27"/>
      <c r="AB1152" s="116"/>
      <c r="AC1152" s="116"/>
    </row>
    <row r="1153" spans="1:29" hidden="1" x14ac:dyDescent="0.3">
      <c r="A1153" s="18" t="s">
        <v>1747</v>
      </c>
      <c r="B1153" s="18" t="s">
        <v>317</v>
      </c>
      <c r="C1153" s="18" t="s">
        <v>1748</v>
      </c>
      <c r="D1153" s="14" t="s">
        <v>645</v>
      </c>
      <c r="E1153" s="18" t="s">
        <v>9</v>
      </c>
      <c r="F1153" s="14" t="s">
        <v>688</v>
      </c>
      <c r="G1153" s="14" t="s">
        <v>518</v>
      </c>
      <c r="H1153" s="18" t="s">
        <v>5</v>
      </c>
      <c r="I1153" s="14" t="s">
        <v>117</v>
      </c>
      <c r="J1153" s="14">
        <v>5</v>
      </c>
      <c r="K1153" s="18" t="s">
        <v>519</v>
      </c>
      <c r="L1153" s="18"/>
      <c r="M1153" s="14">
        <v>1</v>
      </c>
      <c r="N1153" s="15">
        <v>270000</v>
      </c>
      <c r="O1153" s="15">
        <f t="shared" si="43"/>
        <v>270000</v>
      </c>
      <c r="P1153" s="15"/>
      <c r="Q1153" s="14" t="s">
        <v>520</v>
      </c>
      <c r="R1153" s="25">
        <v>45412</v>
      </c>
      <c r="S1153" s="34" t="str">
        <f>TEXT(Table1[[#This Row],[End Date]],"MMMM")</f>
        <v>April</v>
      </c>
      <c r="T1153" s="34" t="str">
        <f>TEXT(Table1[[#This Row],[End Date]],"YYYY")</f>
        <v>2024</v>
      </c>
      <c r="U1153" s="24">
        <f t="shared" ca="1" si="42"/>
        <v>-279</v>
      </c>
      <c r="V1153" s="14" t="str" cm="1">
        <f t="array" aca="1" ref="V1153" ca="1">_xlfn.IFS(Table1[[#This Row],[Agreement Days]]&gt;=0,"Expired",Table1[[#This Row],[Agreement Days]]&gt;=-30,"Expires &lt; 30 Days",Table1[[#This Row],[Agreement Days]]&gt;=-60,"Expires &lt; 60 Days",Table1[[#This Row],[Agreement Days]]&lt;-60,"Valid Contract")</f>
        <v>Valid Contract</v>
      </c>
      <c r="W1153" s="18" t="s">
        <v>21</v>
      </c>
      <c r="X1153" s="18" t="s">
        <v>1749</v>
      </c>
      <c r="Y1153" s="42" t="s">
        <v>1750</v>
      </c>
      <c r="Z1153" s="27">
        <v>788855310</v>
      </c>
      <c r="AA1153" s="27"/>
      <c r="AB1153" s="116"/>
      <c r="AC1153" s="116"/>
    </row>
    <row r="1154" spans="1:29" hidden="1" x14ac:dyDescent="0.3">
      <c r="A1154" s="18" t="s">
        <v>1747</v>
      </c>
      <c r="B1154" s="18" t="s">
        <v>317</v>
      </c>
      <c r="C1154" s="18" t="s">
        <v>1748</v>
      </c>
      <c r="D1154" s="14" t="s">
        <v>645</v>
      </c>
      <c r="E1154" s="18" t="s">
        <v>9</v>
      </c>
      <c r="F1154" s="14" t="s">
        <v>688</v>
      </c>
      <c r="G1154" s="14" t="s">
        <v>518</v>
      </c>
      <c r="H1154" s="18" t="s">
        <v>4</v>
      </c>
      <c r="I1154" s="14" t="s">
        <v>118</v>
      </c>
      <c r="J1154" s="18"/>
      <c r="K1154" s="18" t="s">
        <v>650</v>
      </c>
      <c r="L1154" s="18"/>
      <c r="M1154" s="14">
        <v>1</v>
      </c>
      <c r="N1154" s="15">
        <v>369325</v>
      </c>
      <c r="O1154" s="15">
        <f t="shared" si="43"/>
        <v>369325</v>
      </c>
      <c r="P1154" s="15"/>
      <c r="Q1154" s="14" t="s">
        <v>520</v>
      </c>
      <c r="R1154" s="25">
        <v>45412</v>
      </c>
      <c r="S1154" s="34" t="str">
        <f>TEXT(Table1[[#This Row],[End Date]],"MMMM")</f>
        <v>April</v>
      </c>
      <c r="T1154" s="34" t="str">
        <f>TEXT(Table1[[#This Row],[End Date]],"YYYY")</f>
        <v>2024</v>
      </c>
      <c r="U1154" s="24">
        <f t="shared" ca="1" si="42"/>
        <v>-279</v>
      </c>
      <c r="V1154" s="14" t="str" cm="1">
        <f t="array" aca="1" ref="V1154" ca="1">_xlfn.IFS(Table1[[#This Row],[Agreement Days]]&gt;=0,"Expired",Table1[[#This Row],[Agreement Days]]&gt;=-30,"Expires &lt; 30 Days",Table1[[#This Row],[Agreement Days]]&gt;=-60,"Expires &lt; 60 Days",Table1[[#This Row],[Agreement Days]]&lt;-60,"Valid Contract")</f>
        <v>Valid Contract</v>
      </c>
      <c r="W1154" s="18" t="s">
        <v>21</v>
      </c>
      <c r="X1154" s="18" t="s">
        <v>1749</v>
      </c>
      <c r="Y1154" s="42" t="s">
        <v>1750</v>
      </c>
      <c r="Z1154" s="27">
        <v>788855310</v>
      </c>
      <c r="AA1154" s="27"/>
      <c r="AB1154" s="116"/>
      <c r="AC1154" s="116"/>
    </row>
    <row r="1155" spans="1:29" hidden="1" x14ac:dyDescent="0.3">
      <c r="A1155" s="18" t="s">
        <v>2335</v>
      </c>
      <c r="B1155" s="18" t="s">
        <v>193</v>
      </c>
      <c r="C1155" s="18" t="s">
        <v>2336</v>
      </c>
      <c r="D1155" s="14" t="s">
        <v>735</v>
      </c>
      <c r="E1155" s="18" t="s">
        <v>9</v>
      </c>
      <c r="F1155" s="14" t="s">
        <v>517</v>
      </c>
      <c r="G1155" s="14" t="s">
        <v>518</v>
      </c>
      <c r="H1155" s="18" t="s">
        <v>5</v>
      </c>
      <c r="I1155" s="14" t="s">
        <v>117</v>
      </c>
      <c r="J1155" s="14">
        <v>3</v>
      </c>
      <c r="K1155" s="20" t="s">
        <v>646</v>
      </c>
      <c r="L1155" s="14"/>
      <c r="M1155" s="14">
        <v>1</v>
      </c>
      <c r="N1155" s="15">
        <v>180000</v>
      </c>
      <c r="O1155" s="15">
        <f t="shared" si="43"/>
        <v>180000</v>
      </c>
      <c r="P1155" s="15"/>
      <c r="Q1155" s="14" t="s">
        <v>520</v>
      </c>
      <c r="R1155" s="25">
        <v>45412</v>
      </c>
      <c r="S1155" s="22" t="str">
        <f>TEXT(Table1[[#This Row],[End Date]],"MMMM")</f>
        <v>April</v>
      </c>
      <c r="T1155" s="23" t="str">
        <f>TEXT(Table1[[#This Row],[End Date]],"YYYY")</f>
        <v>2024</v>
      </c>
      <c r="U1155" s="24">
        <f t="shared" ca="1" si="42"/>
        <v>-279</v>
      </c>
      <c r="V1155" s="14" t="str" cm="1">
        <f t="array" aca="1" ref="V1155" ca="1">_xlfn.IFS(Table1[[#This Row],[Agreement Days]]&gt;=0,"Expired",Table1[[#This Row],[Agreement Days]]&gt;=-30,"Expires &lt; 30 Days",Table1[[#This Row],[Agreement Days]]&gt;=-60,"Expires &lt; 60 Days",Table1[[#This Row],[Agreement Days]]&lt;-60,"Valid Contract")</f>
        <v>Valid Contract</v>
      </c>
      <c r="W1155" s="14" t="s">
        <v>20</v>
      </c>
      <c r="X1155" s="14" t="s">
        <v>2337</v>
      </c>
      <c r="Y1155" s="16" t="s">
        <v>2338</v>
      </c>
      <c r="Z1155" s="27" t="s">
        <v>2339</v>
      </c>
      <c r="AA1155" s="19"/>
      <c r="AB1155" s="116"/>
      <c r="AC1155" s="116"/>
    </row>
    <row r="1156" spans="1:29" hidden="1" x14ac:dyDescent="0.3">
      <c r="A1156" s="18" t="s">
        <v>2335</v>
      </c>
      <c r="B1156" s="18" t="s">
        <v>193</v>
      </c>
      <c r="C1156" s="18" t="s">
        <v>2340</v>
      </c>
      <c r="D1156" s="14" t="s">
        <v>735</v>
      </c>
      <c r="E1156" s="18" t="s">
        <v>9</v>
      </c>
      <c r="F1156" s="14" t="s">
        <v>517</v>
      </c>
      <c r="G1156" s="14" t="s">
        <v>518</v>
      </c>
      <c r="H1156" s="18" t="s">
        <v>5</v>
      </c>
      <c r="I1156" s="14" t="s">
        <v>117</v>
      </c>
      <c r="J1156" s="14">
        <v>10</v>
      </c>
      <c r="K1156" s="20" t="s">
        <v>547</v>
      </c>
      <c r="L1156" s="14"/>
      <c r="M1156" s="14">
        <v>1</v>
      </c>
      <c r="N1156" s="15">
        <v>510000</v>
      </c>
      <c r="O1156" s="15">
        <f t="shared" si="43"/>
        <v>510000</v>
      </c>
      <c r="P1156" s="15"/>
      <c r="Q1156" s="14" t="s">
        <v>520</v>
      </c>
      <c r="R1156" s="25">
        <v>45412</v>
      </c>
      <c r="S1156" s="22" t="str">
        <f>TEXT(Table1[[#This Row],[End Date]],"MMMM")</f>
        <v>April</v>
      </c>
      <c r="T1156" s="23" t="str">
        <f>TEXT(Table1[[#This Row],[End Date]],"YYYY")</f>
        <v>2024</v>
      </c>
      <c r="U1156" s="24">
        <f t="shared" ca="1" si="42"/>
        <v>-279</v>
      </c>
      <c r="V1156" s="14" t="str" cm="1">
        <f t="array" aca="1" ref="V1156" ca="1">_xlfn.IFS(Table1[[#This Row],[Agreement Days]]&gt;=0,"Expired",Table1[[#This Row],[Agreement Days]]&gt;=-30,"Expires &lt; 30 Days",Table1[[#This Row],[Agreement Days]]&gt;=-60,"Expires &lt; 60 Days",Table1[[#This Row],[Agreement Days]]&lt;-60,"Valid Contract")</f>
        <v>Valid Contract</v>
      </c>
      <c r="W1156" s="14" t="s">
        <v>20</v>
      </c>
      <c r="X1156" s="14" t="s">
        <v>2337</v>
      </c>
      <c r="Y1156" s="16" t="s">
        <v>2338</v>
      </c>
      <c r="Z1156" s="27" t="s">
        <v>2339</v>
      </c>
      <c r="AA1156" s="19"/>
      <c r="AB1156" s="116"/>
      <c r="AC1156" s="116"/>
    </row>
    <row r="1157" spans="1:29" hidden="1" x14ac:dyDescent="0.3">
      <c r="A1157" s="18" t="s">
        <v>2335</v>
      </c>
      <c r="B1157" s="18" t="s">
        <v>193</v>
      </c>
      <c r="C1157" s="18" t="s">
        <v>2340</v>
      </c>
      <c r="D1157" s="14" t="s">
        <v>735</v>
      </c>
      <c r="E1157" s="18" t="s">
        <v>9</v>
      </c>
      <c r="F1157" s="14" t="s">
        <v>517</v>
      </c>
      <c r="G1157" s="14" t="s">
        <v>518</v>
      </c>
      <c r="H1157" s="18" t="s">
        <v>2</v>
      </c>
      <c r="I1157" s="14" t="s">
        <v>120</v>
      </c>
      <c r="J1157" s="14"/>
      <c r="K1157" s="20" t="s">
        <v>649</v>
      </c>
      <c r="L1157" s="14"/>
      <c r="M1157" s="14">
        <v>1</v>
      </c>
      <c r="N1157" s="15">
        <v>258045</v>
      </c>
      <c r="O1157" s="15">
        <f t="shared" si="43"/>
        <v>258045</v>
      </c>
      <c r="P1157" s="15"/>
      <c r="Q1157" s="14" t="s">
        <v>520</v>
      </c>
      <c r="R1157" s="25">
        <v>45412</v>
      </c>
      <c r="S1157" s="22" t="str">
        <f>TEXT(Table1[[#This Row],[End Date]],"MMMM")</f>
        <v>April</v>
      </c>
      <c r="T1157" s="23" t="str">
        <f>TEXT(Table1[[#This Row],[End Date]],"YYYY")</f>
        <v>2024</v>
      </c>
      <c r="U1157" s="24">
        <f t="shared" ca="1" si="42"/>
        <v>-279</v>
      </c>
      <c r="V1157" s="14" t="str" cm="1">
        <f t="array" aca="1" ref="V1157" ca="1">_xlfn.IFS(Table1[[#This Row],[Agreement Days]]&gt;=0,"Expired",Table1[[#This Row],[Agreement Days]]&gt;=-30,"Expires &lt; 30 Days",Table1[[#This Row],[Agreement Days]]&gt;=-60,"Expires &lt; 60 Days",Table1[[#This Row],[Agreement Days]]&lt;-60,"Valid Contract")</f>
        <v>Valid Contract</v>
      </c>
      <c r="W1157" s="14" t="s">
        <v>20</v>
      </c>
      <c r="X1157" s="14" t="s">
        <v>2337</v>
      </c>
      <c r="Y1157" s="16" t="s">
        <v>2338</v>
      </c>
      <c r="Z1157" s="27" t="s">
        <v>2339</v>
      </c>
      <c r="AA1157" s="19"/>
      <c r="AB1157" s="116"/>
      <c r="AC1157" s="116"/>
    </row>
    <row r="1158" spans="1:29" hidden="1" x14ac:dyDescent="0.3">
      <c r="A1158" s="18" t="s">
        <v>2335</v>
      </c>
      <c r="B1158" s="18" t="s">
        <v>193</v>
      </c>
      <c r="C1158" s="18" t="s">
        <v>193</v>
      </c>
      <c r="D1158" s="14" t="s">
        <v>735</v>
      </c>
      <c r="E1158" s="18" t="s">
        <v>9</v>
      </c>
      <c r="F1158" s="14" t="s">
        <v>517</v>
      </c>
      <c r="G1158" s="14" t="s">
        <v>518</v>
      </c>
      <c r="H1158" s="18" t="s">
        <v>5</v>
      </c>
      <c r="I1158" s="14" t="s">
        <v>115</v>
      </c>
      <c r="J1158" s="14"/>
      <c r="K1158" s="18" t="s">
        <v>643</v>
      </c>
      <c r="L1158" s="14"/>
      <c r="M1158" s="14">
        <v>1</v>
      </c>
      <c r="N1158" s="15">
        <v>19491.53</v>
      </c>
      <c r="O1158" s="15">
        <f t="shared" si="43"/>
        <v>19491.53</v>
      </c>
      <c r="P1158" s="15"/>
      <c r="Q1158" s="14" t="s">
        <v>520</v>
      </c>
      <c r="R1158" s="25">
        <v>45412</v>
      </c>
      <c r="S1158" s="22" t="str">
        <f>TEXT(Table1[[#This Row],[End Date]],"MMMM")</f>
        <v>April</v>
      </c>
      <c r="T1158" s="23" t="str">
        <f>TEXT(Table1[[#This Row],[End Date]],"YYYY")</f>
        <v>2024</v>
      </c>
      <c r="U1158" s="24">
        <f t="shared" ca="1" si="42"/>
        <v>-279</v>
      </c>
      <c r="V1158" s="14" t="str" cm="1">
        <f t="array" aca="1" ref="V1158" ca="1">_xlfn.IFS(Table1[[#This Row],[Agreement Days]]&gt;=0,"Expired",Table1[[#This Row],[Agreement Days]]&gt;=-30,"Expires &lt; 30 Days",Table1[[#This Row],[Agreement Days]]&gt;=-60,"Expires &lt; 60 Days",Table1[[#This Row],[Agreement Days]]&lt;-60,"Valid Contract")</f>
        <v>Valid Contract</v>
      </c>
      <c r="W1158" s="14" t="s">
        <v>20</v>
      </c>
      <c r="X1158" s="14" t="s">
        <v>2337</v>
      </c>
      <c r="Y1158" s="16" t="s">
        <v>2338</v>
      </c>
      <c r="Z1158" s="27" t="s">
        <v>2339</v>
      </c>
      <c r="AA1158" s="19"/>
      <c r="AB1158" s="116"/>
      <c r="AC1158" s="116"/>
    </row>
    <row r="1159" spans="1:29" hidden="1" x14ac:dyDescent="0.3">
      <c r="A1159" s="18" t="s">
        <v>2335</v>
      </c>
      <c r="B1159" s="18" t="s">
        <v>193</v>
      </c>
      <c r="C1159" s="18" t="s">
        <v>2340</v>
      </c>
      <c r="D1159" s="14" t="s">
        <v>735</v>
      </c>
      <c r="E1159" s="18" t="s">
        <v>9</v>
      </c>
      <c r="F1159" s="20" t="s">
        <v>517</v>
      </c>
      <c r="G1159" s="20" t="s">
        <v>518</v>
      </c>
      <c r="H1159" s="18" t="s">
        <v>4</v>
      </c>
      <c r="I1159" s="14" t="s">
        <v>118</v>
      </c>
      <c r="J1159" s="14"/>
      <c r="K1159" s="14" t="s">
        <v>650</v>
      </c>
      <c r="L1159" s="14"/>
      <c r="M1159" s="14">
        <v>1</v>
      </c>
      <c r="N1159" s="15">
        <v>369325.42</v>
      </c>
      <c r="O1159" s="15">
        <f t="shared" si="43"/>
        <v>369325.42</v>
      </c>
      <c r="P1159" s="15"/>
      <c r="Q1159" s="14" t="s">
        <v>520</v>
      </c>
      <c r="R1159" s="25">
        <v>45412</v>
      </c>
      <c r="S1159" s="22" t="str">
        <f>TEXT(Table1[[#This Row],[End Date]],"MMMM")</f>
        <v>April</v>
      </c>
      <c r="T1159" s="67" t="str">
        <f>TEXT(Table1[[#This Row],[End Date]],"YYYY")</f>
        <v>2024</v>
      </c>
      <c r="U1159" s="24">
        <f t="shared" ref="U1159:U1222" ca="1" si="44">TODAY()-R1159</f>
        <v>-279</v>
      </c>
      <c r="V1159" s="14" t="str" cm="1">
        <f t="array" aca="1" ref="V1159" ca="1">_xlfn.IFS(Table1[[#This Row],[Agreement Days]]&gt;=0,"Expired",Table1[[#This Row],[Agreement Days]]&gt;=-30,"Expires &lt; 30 Days",Table1[[#This Row],[Agreement Days]]&gt;=-60,"Expires &lt; 60 Days",Table1[[#This Row],[Agreement Days]]&lt;-60,"Valid Contract")</f>
        <v>Valid Contract</v>
      </c>
      <c r="W1159" s="14" t="s">
        <v>20</v>
      </c>
      <c r="X1159" s="14" t="s">
        <v>2337</v>
      </c>
      <c r="Y1159" s="16" t="s">
        <v>2338</v>
      </c>
      <c r="Z1159" s="27" t="s">
        <v>2339</v>
      </c>
      <c r="AA1159" s="19"/>
      <c r="AB1159" s="116"/>
      <c r="AC1159" s="116"/>
    </row>
    <row r="1160" spans="1:29" hidden="1" x14ac:dyDescent="0.3">
      <c r="A1160" s="18" t="s">
        <v>2335</v>
      </c>
      <c r="B1160" s="18" t="s">
        <v>193</v>
      </c>
      <c r="C1160" s="18" t="s">
        <v>193</v>
      </c>
      <c r="D1160" s="14" t="s">
        <v>735</v>
      </c>
      <c r="E1160" s="18" t="s">
        <v>9</v>
      </c>
      <c r="F1160" s="14" t="s">
        <v>517</v>
      </c>
      <c r="G1160" s="14" t="s">
        <v>518</v>
      </c>
      <c r="H1160" s="18" t="s">
        <v>5</v>
      </c>
      <c r="I1160" s="14" t="s">
        <v>115</v>
      </c>
      <c r="J1160" s="14"/>
      <c r="K1160" s="18" t="s">
        <v>657</v>
      </c>
      <c r="L1160" s="14"/>
      <c r="M1160" s="14">
        <v>2</v>
      </c>
      <c r="N1160" s="15">
        <v>45338.98</v>
      </c>
      <c r="O1160" s="15">
        <f t="shared" si="43"/>
        <v>90677.96</v>
      </c>
      <c r="P1160" s="15"/>
      <c r="Q1160" s="14" t="s">
        <v>520</v>
      </c>
      <c r="R1160" s="25">
        <v>45412</v>
      </c>
      <c r="S1160" s="22" t="str">
        <f>TEXT(Table1[[#This Row],[End Date]],"MMMM")</f>
        <v>April</v>
      </c>
      <c r="T1160" s="23" t="str">
        <f>TEXT(Table1[[#This Row],[End Date]],"YYYY")</f>
        <v>2024</v>
      </c>
      <c r="U1160" s="24">
        <f t="shared" ca="1" si="44"/>
        <v>-279</v>
      </c>
      <c r="V1160" s="14" t="str" cm="1">
        <f t="array" aca="1" ref="V1160" ca="1">_xlfn.IFS(Table1[[#This Row],[Agreement Days]]&gt;=0,"Expired",Table1[[#This Row],[Agreement Days]]&gt;=-30,"Expires &lt; 30 Days",Table1[[#This Row],[Agreement Days]]&gt;=-60,"Expires &lt; 60 Days",Table1[[#This Row],[Agreement Days]]&lt;-60,"Valid Contract")</f>
        <v>Valid Contract</v>
      </c>
      <c r="W1160" s="14" t="s">
        <v>20</v>
      </c>
      <c r="X1160" s="14" t="s">
        <v>2337</v>
      </c>
      <c r="Y1160" s="16" t="s">
        <v>2338</v>
      </c>
      <c r="Z1160" s="27" t="s">
        <v>2339</v>
      </c>
      <c r="AA1160" s="19"/>
      <c r="AB1160" s="116"/>
      <c r="AC1160" s="116"/>
    </row>
    <row r="1161" spans="1:29" hidden="1" x14ac:dyDescent="0.3">
      <c r="A1161" s="18" t="s">
        <v>2335</v>
      </c>
      <c r="B1161" s="18" t="s">
        <v>193</v>
      </c>
      <c r="C1161" s="18" t="s">
        <v>193</v>
      </c>
      <c r="D1161" s="14" t="s">
        <v>735</v>
      </c>
      <c r="E1161" s="18" t="s">
        <v>9</v>
      </c>
      <c r="F1161" s="14" t="s">
        <v>517</v>
      </c>
      <c r="G1161" s="14" t="s">
        <v>518</v>
      </c>
      <c r="H1161" s="18" t="s">
        <v>5</v>
      </c>
      <c r="I1161" s="14" t="s">
        <v>115</v>
      </c>
      <c r="J1161" s="14"/>
      <c r="K1161" s="18" t="s">
        <v>642</v>
      </c>
      <c r="L1161" s="14"/>
      <c r="M1161" s="14">
        <v>15</v>
      </c>
      <c r="N1161" s="15">
        <v>101694.92</v>
      </c>
      <c r="O1161" s="15">
        <f t="shared" si="43"/>
        <v>1525423.8</v>
      </c>
      <c r="P1161" s="15"/>
      <c r="Q1161" s="14" t="s">
        <v>520</v>
      </c>
      <c r="R1161" s="25">
        <v>45412</v>
      </c>
      <c r="S1161" s="22" t="str">
        <f>TEXT(Table1[[#This Row],[End Date]],"MMMM")</f>
        <v>April</v>
      </c>
      <c r="T1161" s="23" t="str">
        <f>TEXT(Table1[[#This Row],[End Date]],"YYYY")</f>
        <v>2024</v>
      </c>
      <c r="U1161" s="24">
        <f t="shared" ca="1" si="44"/>
        <v>-279</v>
      </c>
      <c r="V1161" s="14" t="str" cm="1">
        <f t="array" aca="1" ref="V1161" ca="1">_xlfn.IFS(Table1[[#This Row],[Agreement Days]]&gt;=0,"Expired",Table1[[#This Row],[Agreement Days]]&gt;=-30,"Expires &lt; 30 Days",Table1[[#This Row],[Agreement Days]]&gt;=-60,"Expires &lt; 60 Days",Table1[[#This Row],[Agreement Days]]&lt;-60,"Valid Contract")</f>
        <v>Valid Contract</v>
      </c>
      <c r="W1161" s="14" t="s">
        <v>20</v>
      </c>
      <c r="X1161" s="14" t="s">
        <v>2337</v>
      </c>
      <c r="Y1161" s="16" t="s">
        <v>2338</v>
      </c>
      <c r="Z1161" s="27" t="s">
        <v>2339</v>
      </c>
      <c r="AA1161" s="19"/>
      <c r="AB1161" s="116"/>
      <c r="AC1161" s="116"/>
    </row>
    <row r="1162" spans="1:29" hidden="1" x14ac:dyDescent="0.3">
      <c r="A1162" s="18" t="s">
        <v>2335</v>
      </c>
      <c r="B1162" s="18" t="s">
        <v>193</v>
      </c>
      <c r="C1162" s="18" t="s">
        <v>193</v>
      </c>
      <c r="D1162" s="14" t="s">
        <v>735</v>
      </c>
      <c r="E1162" s="18" t="s">
        <v>9</v>
      </c>
      <c r="F1162" s="14" t="s">
        <v>517</v>
      </c>
      <c r="G1162" s="14" t="s">
        <v>518</v>
      </c>
      <c r="H1162" s="18" t="s">
        <v>5</v>
      </c>
      <c r="I1162" s="14" t="s">
        <v>115</v>
      </c>
      <c r="J1162" s="14"/>
      <c r="K1162" s="18" t="s">
        <v>573</v>
      </c>
      <c r="L1162" s="14"/>
      <c r="M1162" s="14">
        <v>53</v>
      </c>
      <c r="N1162" s="15">
        <v>19491.53</v>
      </c>
      <c r="O1162" s="15">
        <f t="shared" si="43"/>
        <v>1033051.09</v>
      </c>
      <c r="P1162" s="15"/>
      <c r="Q1162" s="14" t="s">
        <v>520</v>
      </c>
      <c r="R1162" s="25">
        <v>45412</v>
      </c>
      <c r="S1162" s="22" t="str">
        <f>TEXT(Table1[[#This Row],[End Date]],"MMMM")</f>
        <v>April</v>
      </c>
      <c r="T1162" s="23" t="str">
        <f>TEXT(Table1[[#This Row],[End Date]],"YYYY")</f>
        <v>2024</v>
      </c>
      <c r="U1162" s="24">
        <f t="shared" ca="1" si="44"/>
        <v>-279</v>
      </c>
      <c r="V1162" s="14" t="str" cm="1">
        <f t="array" aca="1" ref="V1162" ca="1">_xlfn.IFS(Table1[[#This Row],[Agreement Days]]&gt;=0,"Expired",Table1[[#This Row],[Agreement Days]]&gt;=-30,"Expires &lt; 30 Days",Table1[[#This Row],[Agreement Days]]&gt;=-60,"Expires &lt; 60 Days",Table1[[#This Row],[Agreement Days]]&lt;-60,"Valid Contract")</f>
        <v>Valid Contract</v>
      </c>
      <c r="W1162" s="14" t="s">
        <v>20</v>
      </c>
      <c r="X1162" s="14" t="s">
        <v>2337</v>
      </c>
      <c r="Y1162" s="16" t="s">
        <v>2338</v>
      </c>
      <c r="Z1162" s="27" t="s">
        <v>2339</v>
      </c>
      <c r="AA1162" s="19"/>
      <c r="AB1162" s="116"/>
      <c r="AC1162" s="116"/>
    </row>
    <row r="1163" spans="1:29" hidden="1" x14ac:dyDescent="0.3">
      <c r="A1163" s="18" t="s">
        <v>2341</v>
      </c>
      <c r="B1163" s="18" t="s">
        <v>278</v>
      </c>
      <c r="C1163" s="18" t="s">
        <v>278</v>
      </c>
      <c r="D1163" s="14" t="s">
        <v>653</v>
      </c>
      <c r="E1163" s="18" t="s">
        <v>9</v>
      </c>
      <c r="F1163" s="14" t="s">
        <v>517</v>
      </c>
      <c r="G1163" s="14" t="s">
        <v>518</v>
      </c>
      <c r="H1163" s="18" t="s">
        <v>5</v>
      </c>
      <c r="I1163" s="14" t="s">
        <v>117</v>
      </c>
      <c r="J1163" s="14">
        <v>20</v>
      </c>
      <c r="K1163" s="14" t="s">
        <v>654</v>
      </c>
      <c r="L1163" s="14"/>
      <c r="M1163" s="14">
        <v>1</v>
      </c>
      <c r="N1163" s="15">
        <v>900000</v>
      </c>
      <c r="O1163" s="15">
        <f t="shared" si="43"/>
        <v>900000</v>
      </c>
      <c r="P1163" s="15"/>
      <c r="Q1163" s="14" t="s">
        <v>520</v>
      </c>
      <c r="R1163" s="25">
        <v>45412</v>
      </c>
      <c r="S1163" s="22" t="str">
        <f>TEXT(Table1[[#This Row],[End Date]],"MMMM")</f>
        <v>April</v>
      </c>
      <c r="T1163" s="23" t="str">
        <f>TEXT(Table1[[#This Row],[End Date]],"YYYY")</f>
        <v>2024</v>
      </c>
      <c r="U1163" s="24">
        <f t="shared" ca="1" si="44"/>
        <v>-279</v>
      </c>
      <c r="V1163" s="14" t="str" cm="1">
        <f t="array" aca="1" ref="V1163" ca="1">_xlfn.IFS(Table1[[#This Row],[Agreement Days]]&gt;=0,"Expired",Table1[[#This Row],[Agreement Days]]&gt;=-30,"Expires &lt; 30 Days",Table1[[#This Row],[Agreement Days]]&gt;=-60,"Expires &lt; 60 Days",Table1[[#This Row],[Agreement Days]]&lt;-60,"Valid Contract")</f>
        <v>Valid Contract</v>
      </c>
      <c r="W1163" s="14" t="s">
        <v>19</v>
      </c>
      <c r="X1163" s="14" t="s">
        <v>2342</v>
      </c>
      <c r="Y1163" s="43" t="s">
        <v>2343</v>
      </c>
      <c r="Z1163" s="27">
        <v>788352491</v>
      </c>
      <c r="AA1163" s="17"/>
      <c r="AB1163" s="116"/>
      <c r="AC1163" s="116"/>
    </row>
    <row r="1164" spans="1:29" hidden="1" x14ac:dyDescent="0.3">
      <c r="A1164" s="18" t="s">
        <v>2341</v>
      </c>
      <c r="B1164" s="18" t="s">
        <v>278</v>
      </c>
      <c r="C1164" s="18" t="s">
        <v>278</v>
      </c>
      <c r="D1164" s="14" t="s">
        <v>653</v>
      </c>
      <c r="E1164" s="18" t="s">
        <v>9</v>
      </c>
      <c r="F1164" s="14" t="s">
        <v>517</v>
      </c>
      <c r="G1164" s="14" t="s">
        <v>518</v>
      </c>
      <c r="H1164" s="18" t="s">
        <v>5</v>
      </c>
      <c r="I1164" s="14" t="s">
        <v>131</v>
      </c>
      <c r="J1164" s="14"/>
      <c r="K1164" s="14" t="s">
        <v>554</v>
      </c>
      <c r="L1164" s="14"/>
      <c r="M1164" s="14">
        <v>1</v>
      </c>
      <c r="N1164" s="15">
        <v>189000</v>
      </c>
      <c r="O1164" s="15">
        <f t="shared" si="43"/>
        <v>189000</v>
      </c>
      <c r="P1164" s="15"/>
      <c r="Q1164" s="14" t="s">
        <v>520</v>
      </c>
      <c r="R1164" s="25">
        <v>45412</v>
      </c>
      <c r="S1164" s="22" t="str">
        <f>TEXT(Table1[[#This Row],[End Date]],"MMMM")</f>
        <v>April</v>
      </c>
      <c r="T1164" s="23" t="str">
        <f>TEXT(Table1[[#This Row],[End Date]],"YYYY")</f>
        <v>2024</v>
      </c>
      <c r="U1164" s="24">
        <f t="shared" ca="1" si="44"/>
        <v>-279</v>
      </c>
      <c r="V1164" s="14" t="str" cm="1">
        <f t="array" aca="1" ref="V1164" ca="1">_xlfn.IFS(Table1[[#This Row],[Agreement Days]]&gt;=0,"Expired",Table1[[#This Row],[Agreement Days]]&gt;=-30,"Expires &lt; 30 Days",Table1[[#This Row],[Agreement Days]]&gt;=-60,"Expires &lt; 60 Days",Table1[[#This Row],[Agreement Days]]&lt;-60,"Valid Contract")</f>
        <v>Valid Contract</v>
      </c>
      <c r="W1164" s="14" t="s">
        <v>19</v>
      </c>
      <c r="X1164" s="14" t="s">
        <v>2342</v>
      </c>
      <c r="Y1164" s="43" t="s">
        <v>2343</v>
      </c>
      <c r="Z1164" s="27">
        <v>788352491</v>
      </c>
      <c r="AA1164" s="17"/>
      <c r="AB1164" s="116"/>
      <c r="AC1164" s="116"/>
    </row>
    <row r="1165" spans="1:29" hidden="1" x14ac:dyDescent="0.3">
      <c r="A1165" s="18" t="s">
        <v>1967</v>
      </c>
      <c r="B1165" s="18" t="s">
        <v>306</v>
      </c>
      <c r="C1165" s="18" t="s">
        <v>1968</v>
      </c>
      <c r="D1165" s="14" t="s">
        <v>875</v>
      </c>
      <c r="E1165" s="18" t="s">
        <v>9</v>
      </c>
      <c r="F1165" s="14" t="s">
        <v>688</v>
      </c>
      <c r="G1165" s="14" t="s">
        <v>518</v>
      </c>
      <c r="H1165" s="18" t="s">
        <v>5</v>
      </c>
      <c r="I1165" s="14" t="s">
        <v>117</v>
      </c>
      <c r="J1165" s="14">
        <v>5</v>
      </c>
      <c r="K1165" s="18" t="s">
        <v>519</v>
      </c>
      <c r="L1165" s="18"/>
      <c r="M1165" s="14">
        <v>1</v>
      </c>
      <c r="N1165" s="15">
        <v>270000</v>
      </c>
      <c r="O1165" s="15">
        <f t="shared" si="43"/>
        <v>270000</v>
      </c>
      <c r="P1165" s="15"/>
      <c r="Q1165" s="14" t="s">
        <v>520</v>
      </c>
      <c r="R1165" s="25">
        <v>45412</v>
      </c>
      <c r="S1165" s="34" t="str">
        <f>TEXT(Table1[[#This Row],[End Date]],"MMMM")</f>
        <v>April</v>
      </c>
      <c r="T1165" s="34" t="str">
        <f>TEXT(Table1[[#This Row],[End Date]],"YYYY")</f>
        <v>2024</v>
      </c>
      <c r="U1165" s="24">
        <f t="shared" ca="1" si="44"/>
        <v>-279</v>
      </c>
      <c r="V1165" s="14" t="str" cm="1">
        <f t="array" aca="1" ref="V1165" ca="1">_xlfn.IFS(Table1[[#This Row],[Agreement Days]]&gt;=0,"Expired",Table1[[#This Row],[Agreement Days]]&gt;=-30,"Expires &lt; 30 Days",Table1[[#This Row],[Agreement Days]]&gt;=-60,"Expires &lt; 60 Days",Table1[[#This Row],[Agreement Days]]&lt;-60,"Valid Contract")</f>
        <v>Valid Contract</v>
      </c>
      <c r="W1165" s="18" t="s">
        <v>21</v>
      </c>
      <c r="X1165" s="18" t="s">
        <v>1969</v>
      </c>
      <c r="Y1165" s="42" t="s">
        <v>1970</v>
      </c>
      <c r="Z1165" s="27">
        <v>784893270</v>
      </c>
      <c r="AA1165" s="27"/>
      <c r="AB1165" s="116"/>
      <c r="AC1165" s="116"/>
    </row>
    <row r="1166" spans="1:29" hidden="1" x14ac:dyDescent="0.3">
      <c r="A1166" s="18" t="s">
        <v>1967</v>
      </c>
      <c r="B1166" s="18" t="s">
        <v>306</v>
      </c>
      <c r="C1166" s="18" t="s">
        <v>1968</v>
      </c>
      <c r="D1166" s="14" t="s">
        <v>875</v>
      </c>
      <c r="E1166" s="18" t="s">
        <v>9</v>
      </c>
      <c r="F1166" s="14" t="s">
        <v>688</v>
      </c>
      <c r="G1166" s="14" t="s">
        <v>518</v>
      </c>
      <c r="H1166" s="18" t="s">
        <v>4</v>
      </c>
      <c r="I1166" s="14" t="s">
        <v>118</v>
      </c>
      <c r="J1166" s="18"/>
      <c r="K1166" s="18" t="s">
        <v>650</v>
      </c>
      <c r="L1166" s="18"/>
      <c r="M1166" s="14">
        <v>1</v>
      </c>
      <c r="N1166" s="15">
        <v>369325</v>
      </c>
      <c r="O1166" s="15">
        <f t="shared" ref="O1166:O1229" si="45">N1166*M1166</f>
        <v>369325</v>
      </c>
      <c r="P1166" s="15"/>
      <c r="Q1166" s="14" t="s">
        <v>520</v>
      </c>
      <c r="R1166" s="25">
        <v>45412</v>
      </c>
      <c r="S1166" s="34" t="str">
        <f>TEXT(Table1[[#This Row],[End Date]],"MMMM")</f>
        <v>April</v>
      </c>
      <c r="T1166" s="34" t="str">
        <f>TEXT(Table1[[#This Row],[End Date]],"YYYY")</f>
        <v>2024</v>
      </c>
      <c r="U1166" s="24">
        <f t="shared" ca="1" si="44"/>
        <v>-279</v>
      </c>
      <c r="V1166" s="14" t="str" cm="1">
        <f t="array" aca="1" ref="V1166" ca="1">_xlfn.IFS(Table1[[#This Row],[Agreement Days]]&gt;=0,"Expired",Table1[[#This Row],[Agreement Days]]&gt;=-30,"Expires &lt; 30 Days",Table1[[#This Row],[Agreement Days]]&gt;=-60,"Expires &lt; 60 Days",Table1[[#This Row],[Agreement Days]]&lt;-60,"Valid Contract")</f>
        <v>Valid Contract</v>
      </c>
      <c r="W1166" s="18" t="s">
        <v>21</v>
      </c>
      <c r="X1166" s="18" t="s">
        <v>1969</v>
      </c>
      <c r="Y1166" s="42" t="s">
        <v>1970</v>
      </c>
      <c r="Z1166" s="27">
        <v>784893270</v>
      </c>
      <c r="AA1166" s="27"/>
      <c r="AB1166" s="116"/>
      <c r="AC1166" s="116"/>
    </row>
    <row r="1167" spans="1:29" hidden="1" x14ac:dyDescent="0.3">
      <c r="A1167" s="18" t="s">
        <v>2344</v>
      </c>
      <c r="B1167" s="18" t="s">
        <v>96</v>
      </c>
      <c r="C1167" s="18" t="s">
        <v>96</v>
      </c>
      <c r="D1167" s="14" t="s">
        <v>1280</v>
      </c>
      <c r="E1167" s="18" t="s">
        <v>9</v>
      </c>
      <c r="F1167" s="14" t="s">
        <v>631</v>
      </c>
      <c r="G1167" s="14" t="s">
        <v>518</v>
      </c>
      <c r="H1167" s="18" t="s">
        <v>5</v>
      </c>
      <c r="I1167" s="14" t="s">
        <v>117</v>
      </c>
      <c r="J1167" s="14">
        <v>3</v>
      </c>
      <c r="K1167" s="14" t="s">
        <v>632</v>
      </c>
      <c r="L1167" s="14"/>
      <c r="M1167" s="14">
        <v>1</v>
      </c>
      <c r="N1167" s="15">
        <v>180000</v>
      </c>
      <c r="O1167" s="15">
        <f t="shared" si="45"/>
        <v>180000</v>
      </c>
      <c r="P1167" s="15"/>
      <c r="Q1167" s="14" t="s">
        <v>520</v>
      </c>
      <c r="R1167" s="25">
        <v>45412</v>
      </c>
      <c r="S1167" s="22" t="str">
        <f>TEXT(Table1[[#This Row],[End Date]],"MMMM")</f>
        <v>April</v>
      </c>
      <c r="T1167" s="23" t="str">
        <f>TEXT(Table1[[#This Row],[End Date]],"YYYY")</f>
        <v>2024</v>
      </c>
      <c r="U1167" s="24">
        <f t="shared" ca="1" si="44"/>
        <v>-279</v>
      </c>
      <c r="V1167" s="14" t="str" cm="1">
        <f t="array" aca="1" ref="V1167" ca="1">_xlfn.IFS(Table1[[#This Row],[Agreement Days]]&gt;=0,"Expired",Table1[[#This Row],[Agreement Days]]&gt;=-30,"Expires &lt; 30 Days",Table1[[#This Row],[Agreement Days]]&gt;=-60,"Expires &lt; 60 Days",Table1[[#This Row],[Agreement Days]]&lt;-60,"Valid Contract")</f>
        <v>Valid Contract</v>
      </c>
      <c r="W1167" s="14" t="s">
        <v>13</v>
      </c>
      <c r="X1167" s="14" t="s">
        <v>2345</v>
      </c>
      <c r="Y1167" s="43" t="s">
        <v>2346</v>
      </c>
      <c r="Z1167" s="27">
        <v>788410325</v>
      </c>
      <c r="AA1167" s="17"/>
      <c r="AB1167" s="116"/>
      <c r="AC1167" s="116"/>
    </row>
    <row r="1168" spans="1:29" hidden="1" x14ac:dyDescent="0.3">
      <c r="A1168" s="18" t="s">
        <v>1897</v>
      </c>
      <c r="B1168" s="18" t="s">
        <v>415</v>
      </c>
      <c r="C1168" s="18" t="s">
        <v>1898</v>
      </c>
      <c r="D1168" s="14" t="s">
        <v>771</v>
      </c>
      <c r="E1168" s="18" t="s">
        <v>9</v>
      </c>
      <c r="F1168" s="14" t="s">
        <v>688</v>
      </c>
      <c r="G1168" s="14" t="s">
        <v>518</v>
      </c>
      <c r="H1168" s="18" t="s">
        <v>5</v>
      </c>
      <c r="I1168" s="14" t="s">
        <v>115</v>
      </c>
      <c r="J1168" s="18"/>
      <c r="K1168" s="18" t="s">
        <v>642</v>
      </c>
      <c r="L1168" s="18"/>
      <c r="M1168" s="14">
        <v>1</v>
      </c>
      <c r="N1168" s="15">
        <v>101694.92</v>
      </c>
      <c r="O1168" s="15">
        <f t="shared" si="45"/>
        <v>101694.92</v>
      </c>
      <c r="P1168" s="15"/>
      <c r="Q1168" s="14" t="s">
        <v>520</v>
      </c>
      <c r="R1168" s="25">
        <v>45412</v>
      </c>
      <c r="S1168" s="34" t="str">
        <f>TEXT(Table1[[#This Row],[End Date]],"MMMM")</f>
        <v>April</v>
      </c>
      <c r="T1168" s="34" t="str">
        <f>TEXT(Table1[[#This Row],[End Date]],"YYYY")</f>
        <v>2024</v>
      </c>
      <c r="U1168" s="24">
        <f t="shared" ca="1" si="44"/>
        <v>-279</v>
      </c>
      <c r="V1168" s="14" t="str" cm="1">
        <f t="array" aca="1" ref="V1168" ca="1">_xlfn.IFS(Table1[[#This Row],[Agreement Days]]&gt;=0,"Expired",Table1[[#This Row],[Agreement Days]]&gt;=-30,"Expires &lt; 30 Days",Table1[[#This Row],[Agreement Days]]&gt;=-60,"Expires &lt; 60 Days",Table1[[#This Row],[Agreement Days]]&lt;-60,"Valid Contract")</f>
        <v>Valid Contract</v>
      </c>
      <c r="W1168" s="18" t="s">
        <v>21</v>
      </c>
      <c r="X1168" s="18" t="s">
        <v>1899</v>
      </c>
      <c r="Y1168" s="42" t="s">
        <v>1900</v>
      </c>
      <c r="Z1168" s="27">
        <v>788359272</v>
      </c>
      <c r="AA1168" s="27"/>
      <c r="AB1168" s="116"/>
      <c r="AC1168" s="116"/>
    </row>
    <row r="1169" spans="1:29" hidden="1" x14ac:dyDescent="0.3">
      <c r="A1169" s="18" t="s">
        <v>2347</v>
      </c>
      <c r="B1169" s="18" t="s">
        <v>325</v>
      </c>
      <c r="C1169" s="18" t="s">
        <v>2348</v>
      </c>
      <c r="D1169" s="14" t="s">
        <v>545</v>
      </c>
      <c r="E1169" s="18" t="s">
        <v>9</v>
      </c>
      <c r="F1169" s="14" t="s">
        <v>517</v>
      </c>
      <c r="G1169" s="14" t="s">
        <v>518</v>
      </c>
      <c r="H1169" s="18" t="s">
        <v>2</v>
      </c>
      <c r="I1169" s="14" t="s">
        <v>117</v>
      </c>
      <c r="J1169" s="14">
        <v>10</v>
      </c>
      <c r="K1169" s="20" t="s">
        <v>547</v>
      </c>
      <c r="L1169" s="14"/>
      <c r="M1169" s="14">
        <v>1</v>
      </c>
      <c r="N1169" s="15">
        <v>510000</v>
      </c>
      <c r="O1169" s="15">
        <f t="shared" si="45"/>
        <v>510000</v>
      </c>
      <c r="P1169" s="15"/>
      <c r="Q1169" s="14" t="s">
        <v>520</v>
      </c>
      <c r="R1169" s="21">
        <v>45412</v>
      </c>
      <c r="S1169" s="22" t="str">
        <f>TEXT(Table1[[#This Row],[End Date]],"MMMM")</f>
        <v>April</v>
      </c>
      <c r="T1169" s="23" t="str">
        <f>TEXT(Table1[[#This Row],[End Date]],"YYYY")</f>
        <v>2024</v>
      </c>
      <c r="U1169" s="24">
        <f t="shared" ca="1" si="44"/>
        <v>-279</v>
      </c>
      <c r="V1169" s="14" t="str" cm="1">
        <f t="array" aca="1" ref="V1169" ca="1">_xlfn.IFS(Table1[[#This Row],[Agreement Days]]&gt;=0,"Expired",Table1[[#This Row],[Agreement Days]]&gt;=-30,"Expires &lt; 30 Days",Table1[[#This Row],[Agreement Days]]&gt;=-60,"Expires &lt; 60 Days",Table1[[#This Row],[Agreement Days]]&lt;-60,"Valid Contract")</f>
        <v>Valid Contract</v>
      </c>
      <c r="W1169" s="14" t="s">
        <v>20</v>
      </c>
      <c r="X1169" s="26" t="s">
        <v>2349</v>
      </c>
      <c r="Y1169" s="16" t="s">
        <v>2350</v>
      </c>
      <c r="Z1169" s="17" t="s">
        <v>2351</v>
      </c>
      <c r="AA1169" s="19"/>
      <c r="AB1169" s="116"/>
      <c r="AC1169" s="116"/>
    </row>
    <row r="1170" spans="1:29" hidden="1" x14ac:dyDescent="0.3">
      <c r="A1170" s="18" t="s">
        <v>2347</v>
      </c>
      <c r="B1170" s="18" t="s">
        <v>325</v>
      </c>
      <c r="C1170" s="18" t="s">
        <v>2348</v>
      </c>
      <c r="D1170" s="14" t="s">
        <v>545</v>
      </c>
      <c r="E1170" s="18" t="s">
        <v>9</v>
      </c>
      <c r="F1170" s="14" t="s">
        <v>517</v>
      </c>
      <c r="G1170" s="14" t="s">
        <v>518</v>
      </c>
      <c r="H1170" s="18" t="s">
        <v>4</v>
      </c>
      <c r="I1170" s="14" t="s">
        <v>118</v>
      </c>
      <c r="J1170" s="14"/>
      <c r="K1170" s="14" t="s">
        <v>650</v>
      </c>
      <c r="L1170" s="14"/>
      <c r="M1170" s="14">
        <v>1</v>
      </c>
      <c r="N1170" s="15">
        <v>369325</v>
      </c>
      <c r="O1170" s="15">
        <f t="shared" si="45"/>
        <v>369325</v>
      </c>
      <c r="P1170" s="15"/>
      <c r="Q1170" s="14" t="s">
        <v>520</v>
      </c>
      <c r="R1170" s="21">
        <v>45412</v>
      </c>
      <c r="S1170" s="22" t="str">
        <f>TEXT(Table1[[#This Row],[End Date]],"MMMM")</f>
        <v>April</v>
      </c>
      <c r="T1170" s="23" t="str">
        <f>TEXT(Table1[[#This Row],[End Date]],"YYYY")</f>
        <v>2024</v>
      </c>
      <c r="U1170" s="24">
        <f t="shared" ca="1" si="44"/>
        <v>-279</v>
      </c>
      <c r="V1170" s="14" t="str" cm="1">
        <f t="array" aca="1" ref="V1170" ca="1">_xlfn.IFS(Table1[[#This Row],[Agreement Days]]&gt;=0,"Expired",Table1[[#This Row],[Agreement Days]]&gt;=-30,"Expires &lt; 30 Days",Table1[[#This Row],[Agreement Days]]&gt;=-60,"Expires &lt; 60 Days",Table1[[#This Row],[Agreement Days]]&lt;-60,"Valid Contract")</f>
        <v>Valid Contract</v>
      </c>
      <c r="W1170" s="14" t="s">
        <v>20</v>
      </c>
      <c r="X1170" s="26" t="s">
        <v>2349</v>
      </c>
      <c r="Y1170" s="16" t="s">
        <v>2350</v>
      </c>
      <c r="Z1170" s="17" t="s">
        <v>2351</v>
      </c>
      <c r="AA1170" s="19"/>
      <c r="AB1170" s="116"/>
      <c r="AC1170" s="116"/>
    </row>
    <row r="1171" spans="1:29" hidden="1" x14ac:dyDescent="0.3">
      <c r="A1171" s="18" t="s">
        <v>2352</v>
      </c>
      <c r="B1171" s="18" t="s">
        <v>148</v>
      </c>
      <c r="C1171" s="18" t="s">
        <v>2353</v>
      </c>
      <c r="D1171" s="14" t="s">
        <v>545</v>
      </c>
      <c r="E1171" s="18" t="s">
        <v>9</v>
      </c>
      <c r="F1171" s="14" t="s">
        <v>1203</v>
      </c>
      <c r="G1171" s="14" t="s">
        <v>518</v>
      </c>
      <c r="H1171" s="18" t="s">
        <v>5</v>
      </c>
      <c r="I1171" s="14" t="s">
        <v>117</v>
      </c>
      <c r="J1171" s="14">
        <v>1</v>
      </c>
      <c r="K1171" s="14" t="s">
        <v>868</v>
      </c>
      <c r="L1171" s="14"/>
      <c r="M1171" s="14">
        <v>1</v>
      </c>
      <c r="N1171" s="15">
        <v>90000</v>
      </c>
      <c r="O1171" s="15">
        <f t="shared" si="45"/>
        <v>90000</v>
      </c>
      <c r="P1171" s="15"/>
      <c r="Q1171" s="14" t="s">
        <v>520</v>
      </c>
      <c r="R1171" s="25">
        <v>45412</v>
      </c>
      <c r="S1171" s="22" t="str">
        <f>TEXT(Table1[[#This Row],[End Date]],"MMMM")</f>
        <v>April</v>
      </c>
      <c r="T1171" s="23" t="str">
        <f>TEXT(Table1[[#This Row],[End Date]],"YYYY")</f>
        <v>2024</v>
      </c>
      <c r="U1171" s="24">
        <f t="shared" ca="1" si="44"/>
        <v>-279</v>
      </c>
      <c r="V1171" s="14" t="str" cm="1">
        <f t="array" aca="1" ref="V1171" ca="1">_xlfn.IFS(Table1[[#This Row],[Agreement Days]]&gt;=0,"Expired",Table1[[#This Row],[Agreement Days]]&gt;=-30,"Expires &lt; 30 Days",Table1[[#This Row],[Agreement Days]]&gt;=-60,"Expires &lt; 60 Days",Table1[[#This Row],[Agreement Days]]&lt;-60,"Valid Contract")</f>
        <v>Valid Contract</v>
      </c>
      <c r="W1171" s="14" t="s">
        <v>19</v>
      </c>
      <c r="X1171" s="14" t="s">
        <v>2354</v>
      </c>
      <c r="Y1171" s="14" t="s">
        <v>2355</v>
      </c>
      <c r="Z1171" s="27">
        <v>788317654</v>
      </c>
      <c r="AA1171" s="17"/>
      <c r="AB1171" s="116"/>
      <c r="AC1171" s="116"/>
    </row>
    <row r="1172" spans="1:29" hidden="1" x14ac:dyDescent="0.3">
      <c r="A1172" s="18" t="s">
        <v>2352</v>
      </c>
      <c r="B1172" s="18" t="s">
        <v>148</v>
      </c>
      <c r="C1172" s="18" t="s">
        <v>2356</v>
      </c>
      <c r="D1172" s="14" t="s">
        <v>735</v>
      </c>
      <c r="E1172" s="18" t="s">
        <v>9</v>
      </c>
      <c r="F1172" s="14" t="s">
        <v>1203</v>
      </c>
      <c r="G1172" s="14" t="s">
        <v>518</v>
      </c>
      <c r="H1172" s="18" t="s">
        <v>5</v>
      </c>
      <c r="I1172" s="14" t="s">
        <v>117</v>
      </c>
      <c r="J1172" s="14">
        <v>3</v>
      </c>
      <c r="K1172" s="14" t="s">
        <v>879</v>
      </c>
      <c r="L1172" s="14"/>
      <c r="M1172" s="14">
        <v>1</v>
      </c>
      <c r="N1172" s="15">
        <v>180000</v>
      </c>
      <c r="O1172" s="15">
        <f t="shared" si="45"/>
        <v>180000</v>
      </c>
      <c r="P1172" s="15"/>
      <c r="Q1172" s="14" t="s">
        <v>520</v>
      </c>
      <c r="R1172" s="25">
        <v>45412</v>
      </c>
      <c r="S1172" s="22" t="str">
        <f>TEXT(Table1[[#This Row],[End Date]],"MMMM")</f>
        <v>April</v>
      </c>
      <c r="T1172" s="23" t="str">
        <f>TEXT(Table1[[#This Row],[End Date]],"YYYY")</f>
        <v>2024</v>
      </c>
      <c r="U1172" s="24">
        <f t="shared" ca="1" si="44"/>
        <v>-279</v>
      </c>
      <c r="V1172" s="14" t="str" cm="1">
        <f t="array" aca="1" ref="V1172" ca="1">_xlfn.IFS(Table1[[#This Row],[Agreement Days]]&gt;=0,"Expired",Table1[[#This Row],[Agreement Days]]&gt;=-30,"Expires &lt; 30 Days",Table1[[#This Row],[Agreement Days]]&gt;=-60,"Expires &lt; 60 Days",Table1[[#This Row],[Agreement Days]]&lt;-60,"Valid Contract")</f>
        <v>Valid Contract</v>
      </c>
      <c r="W1172" s="14" t="s">
        <v>19</v>
      </c>
      <c r="X1172" s="14" t="s">
        <v>2354</v>
      </c>
      <c r="Y1172" s="14" t="s">
        <v>2355</v>
      </c>
      <c r="Z1172" s="27">
        <v>788317654</v>
      </c>
      <c r="AA1172" s="17"/>
      <c r="AB1172" s="116"/>
      <c r="AC1172" s="116"/>
    </row>
    <row r="1173" spans="1:29" hidden="1" x14ac:dyDescent="0.3">
      <c r="A1173" s="18" t="s">
        <v>2352</v>
      </c>
      <c r="B1173" s="18" t="s">
        <v>148</v>
      </c>
      <c r="C1173" s="18" t="s">
        <v>2357</v>
      </c>
      <c r="D1173" s="14" t="s">
        <v>735</v>
      </c>
      <c r="E1173" s="18" t="s">
        <v>9</v>
      </c>
      <c r="F1173" s="14" t="s">
        <v>1203</v>
      </c>
      <c r="G1173" s="14" t="s">
        <v>518</v>
      </c>
      <c r="H1173" s="18" t="s">
        <v>5</v>
      </c>
      <c r="I1173" s="14" t="s">
        <v>117</v>
      </c>
      <c r="J1173" s="14">
        <v>3</v>
      </c>
      <c r="K1173" s="14" t="s">
        <v>879</v>
      </c>
      <c r="L1173" s="14"/>
      <c r="M1173" s="14">
        <v>1</v>
      </c>
      <c r="N1173" s="15">
        <v>180000</v>
      </c>
      <c r="O1173" s="15">
        <f t="shared" si="45"/>
        <v>180000</v>
      </c>
      <c r="P1173" s="15"/>
      <c r="Q1173" s="14" t="s">
        <v>520</v>
      </c>
      <c r="R1173" s="25">
        <v>45412</v>
      </c>
      <c r="S1173" s="22" t="str">
        <f>TEXT(Table1[[#This Row],[End Date]],"MMMM")</f>
        <v>April</v>
      </c>
      <c r="T1173" s="23" t="str">
        <f>TEXT(Table1[[#This Row],[End Date]],"YYYY")</f>
        <v>2024</v>
      </c>
      <c r="U1173" s="24">
        <f t="shared" ca="1" si="44"/>
        <v>-279</v>
      </c>
      <c r="V1173" s="14" t="str" cm="1">
        <f t="array" aca="1" ref="V1173" ca="1">_xlfn.IFS(Table1[[#This Row],[Agreement Days]]&gt;=0,"Expired",Table1[[#This Row],[Agreement Days]]&gt;=-30,"Expires &lt; 30 Days",Table1[[#This Row],[Agreement Days]]&gt;=-60,"Expires &lt; 60 Days",Table1[[#This Row],[Agreement Days]]&lt;-60,"Valid Contract")</f>
        <v>Valid Contract</v>
      </c>
      <c r="W1173" s="14" t="s">
        <v>19</v>
      </c>
      <c r="X1173" s="14" t="s">
        <v>2354</v>
      </c>
      <c r="Y1173" s="14" t="s">
        <v>2355</v>
      </c>
      <c r="Z1173" s="27">
        <v>788317654</v>
      </c>
      <c r="AA1173" s="17"/>
      <c r="AB1173" s="116"/>
      <c r="AC1173" s="116"/>
    </row>
    <row r="1174" spans="1:29" hidden="1" x14ac:dyDescent="0.3">
      <c r="A1174" s="18" t="s">
        <v>2352</v>
      </c>
      <c r="B1174" s="18" t="s">
        <v>148</v>
      </c>
      <c r="C1174" s="18" t="s">
        <v>2358</v>
      </c>
      <c r="D1174" s="14" t="s">
        <v>532</v>
      </c>
      <c r="E1174" s="18" t="s">
        <v>9</v>
      </c>
      <c r="F1174" s="14" t="s">
        <v>1203</v>
      </c>
      <c r="G1174" s="14" t="s">
        <v>518</v>
      </c>
      <c r="H1174" s="18" t="s">
        <v>5</v>
      </c>
      <c r="I1174" s="14" t="s">
        <v>117</v>
      </c>
      <c r="J1174" s="14">
        <v>3</v>
      </c>
      <c r="K1174" s="14" t="s">
        <v>879</v>
      </c>
      <c r="L1174" s="14"/>
      <c r="M1174" s="14">
        <v>1</v>
      </c>
      <c r="N1174" s="15">
        <v>180000</v>
      </c>
      <c r="O1174" s="15">
        <f t="shared" si="45"/>
        <v>180000</v>
      </c>
      <c r="P1174" s="15"/>
      <c r="Q1174" s="14" t="s">
        <v>520</v>
      </c>
      <c r="R1174" s="25">
        <v>45412</v>
      </c>
      <c r="S1174" s="22" t="str">
        <f>TEXT(Table1[[#This Row],[End Date]],"MMMM")</f>
        <v>April</v>
      </c>
      <c r="T1174" s="23" t="str">
        <f>TEXT(Table1[[#This Row],[End Date]],"YYYY")</f>
        <v>2024</v>
      </c>
      <c r="U1174" s="24">
        <f t="shared" ca="1" si="44"/>
        <v>-279</v>
      </c>
      <c r="V1174" s="14" t="str" cm="1">
        <f t="array" aca="1" ref="V1174" ca="1">_xlfn.IFS(Table1[[#This Row],[Agreement Days]]&gt;=0,"Expired",Table1[[#This Row],[Agreement Days]]&gt;=-30,"Expires &lt; 30 Days",Table1[[#This Row],[Agreement Days]]&gt;=-60,"Expires &lt; 60 Days",Table1[[#This Row],[Agreement Days]]&lt;-60,"Valid Contract")</f>
        <v>Valid Contract</v>
      </c>
      <c r="W1174" s="14" t="s">
        <v>19</v>
      </c>
      <c r="X1174" s="14" t="s">
        <v>2354</v>
      </c>
      <c r="Y1174" s="14" t="s">
        <v>2355</v>
      </c>
      <c r="Z1174" s="27">
        <v>788317654</v>
      </c>
      <c r="AA1174" s="17"/>
      <c r="AB1174" s="116"/>
      <c r="AC1174" s="116"/>
    </row>
    <row r="1175" spans="1:29" hidden="1" x14ac:dyDescent="0.3">
      <c r="A1175" s="18" t="s">
        <v>2352</v>
      </c>
      <c r="B1175" s="18" t="s">
        <v>148</v>
      </c>
      <c r="C1175" s="18" t="s">
        <v>2359</v>
      </c>
      <c r="D1175" s="14" t="s">
        <v>848</v>
      </c>
      <c r="E1175" s="18" t="s">
        <v>9</v>
      </c>
      <c r="F1175" s="14" t="s">
        <v>1203</v>
      </c>
      <c r="G1175" s="14" t="s">
        <v>518</v>
      </c>
      <c r="H1175" s="18" t="s">
        <v>5</v>
      </c>
      <c r="I1175" s="14" t="s">
        <v>117</v>
      </c>
      <c r="J1175" s="14">
        <v>3</v>
      </c>
      <c r="K1175" s="14" t="s">
        <v>879</v>
      </c>
      <c r="L1175" s="14"/>
      <c r="M1175" s="14">
        <v>1</v>
      </c>
      <c r="N1175" s="15">
        <v>180000</v>
      </c>
      <c r="O1175" s="15">
        <f t="shared" si="45"/>
        <v>180000</v>
      </c>
      <c r="P1175" s="15"/>
      <c r="Q1175" s="14" t="s">
        <v>520</v>
      </c>
      <c r="R1175" s="25">
        <v>45412</v>
      </c>
      <c r="S1175" s="22" t="str">
        <f>TEXT(Table1[[#This Row],[End Date]],"MMMM")</f>
        <v>April</v>
      </c>
      <c r="T1175" s="23" t="str">
        <f>TEXT(Table1[[#This Row],[End Date]],"YYYY")</f>
        <v>2024</v>
      </c>
      <c r="U1175" s="24">
        <f t="shared" ca="1" si="44"/>
        <v>-279</v>
      </c>
      <c r="V1175" s="14" t="str" cm="1">
        <f t="array" aca="1" ref="V1175" ca="1">_xlfn.IFS(Table1[[#This Row],[Agreement Days]]&gt;=0,"Expired",Table1[[#This Row],[Agreement Days]]&gt;=-30,"Expires &lt; 30 Days",Table1[[#This Row],[Agreement Days]]&gt;=-60,"Expires &lt; 60 Days",Table1[[#This Row],[Agreement Days]]&lt;-60,"Valid Contract")</f>
        <v>Valid Contract</v>
      </c>
      <c r="W1175" s="14" t="s">
        <v>19</v>
      </c>
      <c r="X1175" s="14" t="s">
        <v>2354</v>
      </c>
      <c r="Y1175" s="14" t="s">
        <v>2355</v>
      </c>
      <c r="Z1175" s="27">
        <v>788317654</v>
      </c>
      <c r="AA1175" s="17"/>
      <c r="AB1175" s="116"/>
      <c r="AC1175" s="116"/>
    </row>
    <row r="1176" spans="1:29" hidden="1" x14ac:dyDescent="0.3">
      <c r="A1176" s="18" t="s">
        <v>2352</v>
      </c>
      <c r="B1176" s="18" t="s">
        <v>148</v>
      </c>
      <c r="C1176" s="18" t="s">
        <v>2360</v>
      </c>
      <c r="D1176" s="14" t="s">
        <v>516</v>
      </c>
      <c r="E1176" s="18" t="s">
        <v>9</v>
      </c>
      <c r="F1176" s="14" t="s">
        <v>1203</v>
      </c>
      <c r="G1176" s="14" t="s">
        <v>518</v>
      </c>
      <c r="H1176" s="18" t="s">
        <v>5</v>
      </c>
      <c r="I1176" s="14" t="s">
        <v>117</v>
      </c>
      <c r="J1176" s="14">
        <v>3</v>
      </c>
      <c r="K1176" s="14" t="s">
        <v>879</v>
      </c>
      <c r="L1176" s="14"/>
      <c r="M1176" s="14">
        <v>1</v>
      </c>
      <c r="N1176" s="15">
        <v>180000</v>
      </c>
      <c r="O1176" s="15">
        <f t="shared" si="45"/>
        <v>180000</v>
      </c>
      <c r="P1176" s="15"/>
      <c r="Q1176" s="14" t="s">
        <v>520</v>
      </c>
      <c r="R1176" s="25">
        <v>45412</v>
      </c>
      <c r="S1176" s="22" t="str">
        <f>TEXT(Table1[[#This Row],[End Date]],"MMMM")</f>
        <v>April</v>
      </c>
      <c r="T1176" s="23" t="str">
        <f>TEXT(Table1[[#This Row],[End Date]],"YYYY")</f>
        <v>2024</v>
      </c>
      <c r="U1176" s="24">
        <f t="shared" ca="1" si="44"/>
        <v>-279</v>
      </c>
      <c r="V1176" s="14" t="str" cm="1">
        <f t="array" aca="1" ref="V1176" ca="1">_xlfn.IFS(Table1[[#This Row],[Agreement Days]]&gt;=0,"Expired",Table1[[#This Row],[Agreement Days]]&gt;=-30,"Expires &lt; 30 Days",Table1[[#This Row],[Agreement Days]]&gt;=-60,"Expires &lt; 60 Days",Table1[[#This Row],[Agreement Days]]&lt;-60,"Valid Contract")</f>
        <v>Valid Contract</v>
      </c>
      <c r="W1176" s="14" t="s">
        <v>19</v>
      </c>
      <c r="X1176" s="14" t="s">
        <v>2354</v>
      </c>
      <c r="Y1176" s="14" t="s">
        <v>2355</v>
      </c>
      <c r="Z1176" s="27">
        <v>788317654</v>
      </c>
      <c r="AA1176" s="17"/>
      <c r="AB1176" s="116"/>
      <c r="AC1176" s="116"/>
    </row>
    <row r="1177" spans="1:29" hidden="1" x14ac:dyDescent="0.3">
      <c r="A1177" s="18" t="s">
        <v>2352</v>
      </c>
      <c r="B1177" s="18" t="s">
        <v>148</v>
      </c>
      <c r="C1177" s="18" t="s">
        <v>2361</v>
      </c>
      <c r="D1177" s="14" t="s">
        <v>808</v>
      </c>
      <c r="E1177" s="18" t="s">
        <v>9</v>
      </c>
      <c r="F1177" s="14" t="s">
        <v>1203</v>
      </c>
      <c r="G1177" s="14" t="s">
        <v>518</v>
      </c>
      <c r="H1177" s="18" t="s">
        <v>5</v>
      </c>
      <c r="I1177" s="14" t="s">
        <v>117</v>
      </c>
      <c r="J1177" s="14">
        <v>3</v>
      </c>
      <c r="K1177" s="14" t="s">
        <v>879</v>
      </c>
      <c r="L1177" s="14"/>
      <c r="M1177" s="14">
        <v>1</v>
      </c>
      <c r="N1177" s="15">
        <v>180000</v>
      </c>
      <c r="O1177" s="15">
        <f t="shared" si="45"/>
        <v>180000</v>
      </c>
      <c r="P1177" s="15"/>
      <c r="Q1177" s="14" t="s">
        <v>520</v>
      </c>
      <c r="R1177" s="25">
        <v>45412</v>
      </c>
      <c r="S1177" s="22" t="str">
        <f>TEXT(Table1[[#This Row],[End Date]],"MMMM")</f>
        <v>April</v>
      </c>
      <c r="T1177" s="23" t="str">
        <f>TEXT(Table1[[#This Row],[End Date]],"YYYY")</f>
        <v>2024</v>
      </c>
      <c r="U1177" s="24">
        <f t="shared" ca="1" si="44"/>
        <v>-279</v>
      </c>
      <c r="V1177" s="14" t="str" cm="1">
        <f t="array" aca="1" ref="V1177" ca="1">_xlfn.IFS(Table1[[#This Row],[Agreement Days]]&gt;=0,"Expired",Table1[[#This Row],[Agreement Days]]&gt;=-30,"Expires &lt; 30 Days",Table1[[#This Row],[Agreement Days]]&gt;=-60,"Expires &lt; 60 Days",Table1[[#This Row],[Agreement Days]]&lt;-60,"Valid Contract")</f>
        <v>Valid Contract</v>
      </c>
      <c r="W1177" s="14" t="s">
        <v>19</v>
      </c>
      <c r="X1177" s="14" t="s">
        <v>2354</v>
      </c>
      <c r="Y1177" s="14" t="s">
        <v>2355</v>
      </c>
      <c r="Z1177" s="27">
        <v>788317654</v>
      </c>
      <c r="AA1177" s="17"/>
      <c r="AB1177" s="116"/>
      <c r="AC1177" s="116"/>
    </row>
    <row r="1178" spans="1:29" hidden="1" x14ac:dyDescent="0.3">
      <c r="A1178" s="18" t="s">
        <v>2352</v>
      </c>
      <c r="B1178" s="18" t="s">
        <v>148</v>
      </c>
      <c r="C1178" s="18" t="s">
        <v>2362</v>
      </c>
      <c r="D1178" s="14" t="s">
        <v>545</v>
      </c>
      <c r="E1178" s="18" t="s">
        <v>9</v>
      </c>
      <c r="F1178" s="14" t="s">
        <v>1203</v>
      </c>
      <c r="G1178" s="14" t="s">
        <v>518</v>
      </c>
      <c r="H1178" s="18" t="s">
        <v>5</v>
      </c>
      <c r="I1178" s="14" t="s">
        <v>117</v>
      </c>
      <c r="J1178" s="14">
        <v>3</v>
      </c>
      <c r="K1178" s="14" t="s">
        <v>879</v>
      </c>
      <c r="L1178" s="14"/>
      <c r="M1178" s="14">
        <v>1</v>
      </c>
      <c r="N1178" s="15">
        <v>180000</v>
      </c>
      <c r="O1178" s="15">
        <f t="shared" si="45"/>
        <v>180000</v>
      </c>
      <c r="P1178" s="15"/>
      <c r="Q1178" s="14" t="s">
        <v>520</v>
      </c>
      <c r="R1178" s="25">
        <v>45412</v>
      </c>
      <c r="S1178" s="22" t="str">
        <f>TEXT(Table1[[#This Row],[End Date]],"MMMM")</f>
        <v>April</v>
      </c>
      <c r="T1178" s="23" t="str">
        <f>TEXT(Table1[[#This Row],[End Date]],"YYYY")</f>
        <v>2024</v>
      </c>
      <c r="U1178" s="24">
        <f t="shared" ca="1" si="44"/>
        <v>-279</v>
      </c>
      <c r="V1178" s="14" t="str" cm="1">
        <f t="array" aca="1" ref="V1178" ca="1">_xlfn.IFS(Table1[[#This Row],[Agreement Days]]&gt;=0,"Expired",Table1[[#This Row],[Agreement Days]]&gt;=-30,"Expires &lt; 30 Days",Table1[[#This Row],[Agreement Days]]&gt;=-60,"Expires &lt; 60 Days",Table1[[#This Row],[Agreement Days]]&lt;-60,"Valid Contract")</f>
        <v>Valid Contract</v>
      </c>
      <c r="W1178" s="14" t="s">
        <v>19</v>
      </c>
      <c r="X1178" s="14" t="s">
        <v>2354</v>
      </c>
      <c r="Y1178" s="14" t="s">
        <v>2355</v>
      </c>
      <c r="Z1178" s="27">
        <v>788317654</v>
      </c>
      <c r="AA1178" s="17"/>
      <c r="AB1178" s="116"/>
      <c r="AC1178" s="116"/>
    </row>
    <row r="1179" spans="1:29" hidden="1" x14ac:dyDescent="0.3">
      <c r="A1179" s="18" t="s">
        <v>2352</v>
      </c>
      <c r="B1179" s="18" t="s">
        <v>148</v>
      </c>
      <c r="C1179" s="18" t="s">
        <v>2363</v>
      </c>
      <c r="D1179" s="14" t="s">
        <v>540</v>
      </c>
      <c r="E1179" s="18" t="s">
        <v>9</v>
      </c>
      <c r="F1179" s="14" t="s">
        <v>1203</v>
      </c>
      <c r="G1179" s="14" t="s">
        <v>518</v>
      </c>
      <c r="H1179" s="18" t="s">
        <v>5</v>
      </c>
      <c r="I1179" s="14" t="s">
        <v>117</v>
      </c>
      <c r="J1179" s="14">
        <v>3</v>
      </c>
      <c r="K1179" s="14" t="s">
        <v>879</v>
      </c>
      <c r="L1179" s="14"/>
      <c r="M1179" s="14">
        <v>1</v>
      </c>
      <c r="N1179" s="15">
        <v>180000</v>
      </c>
      <c r="O1179" s="15">
        <f t="shared" si="45"/>
        <v>180000</v>
      </c>
      <c r="P1179" s="15"/>
      <c r="Q1179" s="14" t="s">
        <v>520</v>
      </c>
      <c r="R1179" s="25">
        <v>45412</v>
      </c>
      <c r="S1179" s="22" t="str">
        <f>TEXT(Table1[[#This Row],[End Date]],"MMMM")</f>
        <v>April</v>
      </c>
      <c r="T1179" s="23" t="str">
        <f>TEXT(Table1[[#This Row],[End Date]],"YYYY")</f>
        <v>2024</v>
      </c>
      <c r="U1179" s="24">
        <f t="shared" ca="1" si="44"/>
        <v>-279</v>
      </c>
      <c r="V1179" s="14" t="str" cm="1">
        <f t="array" aca="1" ref="V1179" ca="1">_xlfn.IFS(Table1[[#This Row],[Agreement Days]]&gt;=0,"Expired",Table1[[#This Row],[Agreement Days]]&gt;=-30,"Expires &lt; 30 Days",Table1[[#This Row],[Agreement Days]]&gt;=-60,"Expires &lt; 60 Days",Table1[[#This Row],[Agreement Days]]&lt;-60,"Valid Contract")</f>
        <v>Valid Contract</v>
      </c>
      <c r="W1179" s="14" t="s">
        <v>19</v>
      </c>
      <c r="X1179" s="14" t="s">
        <v>2354</v>
      </c>
      <c r="Y1179" s="14" t="s">
        <v>2355</v>
      </c>
      <c r="Z1179" s="27">
        <v>788317654</v>
      </c>
      <c r="AA1179" s="17"/>
      <c r="AB1179" s="116"/>
      <c r="AC1179" s="116"/>
    </row>
    <row r="1180" spans="1:29" hidden="1" x14ac:dyDescent="0.3">
      <c r="A1180" s="18" t="s">
        <v>2352</v>
      </c>
      <c r="B1180" s="18" t="s">
        <v>148</v>
      </c>
      <c r="C1180" s="18" t="s">
        <v>2364</v>
      </c>
      <c r="D1180" s="14" t="s">
        <v>616</v>
      </c>
      <c r="E1180" s="18" t="s">
        <v>9</v>
      </c>
      <c r="F1180" s="14" t="s">
        <v>1203</v>
      </c>
      <c r="G1180" s="14" t="s">
        <v>518</v>
      </c>
      <c r="H1180" s="18" t="s">
        <v>5</v>
      </c>
      <c r="I1180" s="14" t="s">
        <v>117</v>
      </c>
      <c r="J1180" s="14">
        <v>3</v>
      </c>
      <c r="K1180" s="14" t="s">
        <v>879</v>
      </c>
      <c r="L1180" s="14"/>
      <c r="M1180" s="14">
        <v>1</v>
      </c>
      <c r="N1180" s="15">
        <v>180000</v>
      </c>
      <c r="O1180" s="15">
        <f t="shared" si="45"/>
        <v>180000</v>
      </c>
      <c r="P1180" s="15"/>
      <c r="Q1180" s="14" t="s">
        <v>520</v>
      </c>
      <c r="R1180" s="25">
        <v>45412</v>
      </c>
      <c r="S1180" s="22" t="str">
        <f>TEXT(Table1[[#This Row],[End Date]],"MMMM")</f>
        <v>April</v>
      </c>
      <c r="T1180" s="23" t="str">
        <f>TEXT(Table1[[#This Row],[End Date]],"YYYY")</f>
        <v>2024</v>
      </c>
      <c r="U1180" s="24">
        <f t="shared" ca="1" si="44"/>
        <v>-279</v>
      </c>
      <c r="V1180" s="14" t="str" cm="1">
        <f t="array" aca="1" ref="V1180" ca="1">_xlfn.IFS(Table1[[#This Row],[Agreement Days]]&gt;=0,"Expired",Table1[[#This Row],[Agreement Days]]&gt;=-30,"Expires &lt; 30 Days",Table1[[#This Row],[Agreement Days]]&gt;=-60,"Expires &lt; 60 Days",Table1[[#This Row],[Agreement Days]]&lt;-60,"Valid Contract")</f>
        <v>Valid Contract</v>
      </c>
      <c r="W1180" s="14" t="s">
        <v>19</v>
      </c>
      <c r="X1180" s="14" t="s">
        <v>2354</v>
      </c>
      <c r="Y1180" s="14" t="s">
        <v>2355</v>
      </c>
      <c r="Z1180" s="27">
        <v>788317654</v>
      </c>
      <c r="AA1180" s="17"/>
      <c r="AB1180" s="116"/>
      <c r="AC1180" s="116"/>
    </row>
    <row r="1181" spans="1:29" hidden="1" x14ac:dyDescent="0.3">
      <c r="A1181" s="18" t="s">
        <v>2352</v>
      </c>
      <c r="B1181" s="18" t="s">
        <v>148</v>
      </c>
      <c r="C1181" s="18" t="s">
        <v>2365</v>
      </c>
      <c r="D1181" s="14" t="s">
        <v>619</v>
      </c>
      <c r="E1181" s="18" t="s">
        <v>9</v>
      </c>
      <c r="F1181" s="14" t="s">
        <v>1203</v>
      </c>
      <c r="G1181" s="14" t="s">
        <v>518</v>
      </c>
      <c r="H1181" s="18" t="s">
        <v>5</v>
      </c>
      <c r="I1181" s="14" t="s">
        <v>117</v>
      </c>
      <c r="J1181" s="14">
        <v>3</v>
      </c>
      <c r="K1181" s="14" t="s">
        <v>879</v>
      </c>
      <c r="L1181" s="14"/>
      <c r="M1181" s="14">
        <v>1</v>
      </c>
      <c r="N1181" s="15">
        <v>180000</v>
      </c>
      <c r="O1181" s="15">
        <f t="shared" si="45"/>
        <v>180000</v>
      </c>
      <c r="P1181" s="15"/>
      <c r="Q1181" s="14" t="s">
        <v>520</v>
      </c>
      <c r="R1181" s="25">
        <v>45412</v>
      </c>
      <c r="S1181" s="22" t="str">
        <f>TEXT(Table1[[#This Row],[End Date]],"MMMM")</f>
        <v>April</v>
      </c>
      <c r="T1181" s="23" t="str">
        <f>TEXT(Table1[[#This Row],[End Date]],"YYYY")</f>
        <v>2024</v>
      </c>
      <c r="U1181" s="24">
        <f t="shared" ca="1" si="44"/>
        <v>-279</v>
      </c>
      <c r="V1181" s="14" t="str" cm="1">
        <f t="array" aca="1" ref="V1181" ca="1">_xlfn.IFS(Table1[[#This Row],[Agreement Days]]&gt;=0,"Expired",Table1[[#This Row],[Agreement Days]]&gt;=-30,"Expires &lt; 30 Days",Table1[[#This Row],[Agreement Days]]&gt;=-60,"Expires &lt; 60 Days",Table1[[#This Row],[Agreement Days]]&lt;-60,"Valid Contract")</f>
        <v>Valid Contract</v>
      </c>
      <c r="W1181" s="14" t="s">
        <v>19</v>
      </c>
      <c r="X1181" s="14" t="s">
        <v>2354</v>
      </c>
      <c r="Y1181" s="14" t="s">
        <v>2355</v>
      </c>
      <c r="Z1181" s="27">
        <v>788317654</v>
      </c>
      <c r="AA1181" s="17"/>
      <c r="AB1181" s="116"/>
      <c r="AC1181" s="116"/>
    </row>
    <row r="1182" spans="1:29" hidden="1" x14ac:dyDescent="0.3">
      <c r="A1182" s="18" t="s">
        <v>2352</v>
      </c>
      <c r="B1182" s="18" t="s">
        <v>148</v>
      </c>
      <c r="C1182" s="18" t="s">
        <v>2366</v>
      </c>
      <c r="D1182" s="14" t="s">
        <v>545</v>
      </c>
      <c r="E1182" s="18" t="s">
        <v>9</v>
      </c>
      <c r="F1182" s="14" t="s">
        <v>1203</v>
      </c>
      <c r="G1182" s="14" t="s">
        <v>518</v>
      </c>
      <c r="H1182" s="18" t="s">
        <v>5</v>
      </c>
      <c r="I1182" s="14" t="s">
        <v>117</v>
      </c>
      <c r="J1182" s="14">
        <v>3</v>
      </c>
      <c r="K1182" s="14" t="s">
        <v>879</v>
      </c>
      <c r="L1182" s="14"/>
      <c r="M1182" s="14">
        <v>1</v>
      </c>
      <c r="N1182" s="15">
        <v>180000</v>
      </c>
      <c r="O1182" s="15">
        <f t="shared" si="45"/>
        <v>180000</v>
      </c>
      <c r="P1182" s="15"/>
      <c r="Q1182" s="14" t="s">
        <v>520</v>
      </c>
      <c r="R1182" s="25">
        <v>45412</v>
      </c>
      <c r="S1182" s="22" t="str">
        <f>TEXT(Table1[[#This Row],[End Date]],"MMMM")</f>
        <v>April</v>
      </c>
      <c r="T1182" s="23" t="str">
        <f>TEXT(Table1[[#This Row],[End Date]],"YYYY")</f>
        <v>2024</v>
      </c>
      <c r="U1182" s="24">
        <f t="shared" ca="1" si="44"/>
        <v>-279</v>
      </c>
      <c r="V1182" s="14" t="str" cm="1">
        <f t="array" aca="1" ref="V1182" ca="1">_xlfn.IFS(Table1[[#This Row],[Agreement Days]]&gt;=0,"Expired",Table1[[#This Row],[Agreement Days]]&gt;=-30,"Expires &lt; 30 Days",Table1[[#This Row],[Agreement Days]]&gt;=-60,"Expires &lt; 60 Days",Table1[[#This Row],[Agreement Days]]&lt;-60,"Valid Contract")</f>
        <v>Valid Contract</v>
      </c>
      <c r="W1182" s="14" t="s">
        <v>19</v>
      </c>
      <c r="X1182" s="14" t="s">
        <v>2354</v>
      </c>
      <c r="Y1182" s="14" t="s">
        <v>2355</v>
      </c>
      <c r="Z1182" s="27">
        <v>788317654</v>
      </c>
      <c r="AA1182" s="17"/>
      <c r="AB1182" s="116"/>
      <c r="AC1182" s="116"/>
    </row>
    <row r="1183" spans="1:29" hidden="1" x14ac:dyDescent="0.3">
      <c r="A1183" s="18" t="s">
        <v>2352</v>
      </c>
      <c r="B1183" s="18" t="s">
        <v>148</v>
      </c>
      <c r="C1183" s="18" t="s">
        <v>2367</v>
      </c>
      <c r="D1183" s="14" t="s">
        <v>761</v>
      </c>
      <c r="E1183" s="18" t="s">
        <v>9</v>
      </c>
      <c r="F1183" s="14" t="s">
        <v>1203</v>
      </c>
      <c r="G1183" s="14" t="s">
        <v>518</v>
      </c>
      <c r="H1183" s="18" t="s">
        <v>5</v>
      </c>
      <c r="I1183" s="14" t="s">
        <v>117</v>
      </c>
      <c r="J1183" s="14">
        <v>3</v>
      </c>
      <c r="K1183" s="14" t="s">
        <v>879</v>
      </c>
      <c r="L1183" s="14"/>
      <c r="M1183" s="14">
        <v>1</v>
      </c>
      <c r="N1183" s="15">
        <v>180000</v>
      </c>
      <c r="O1183" s="15">
        <f t="shared" si="45"/>
        <v>180000</v>
      </c>
      <c r="P1183" s="15"/>
      <c r="Q1183" s="14" t="s">
        <v>520</v>
      </c>
      <c r="R1183" s="25">
        <v>45412</v>
      </c>
      <c r="S1183" s="22" t="str">
        <f>TEXT(Table1[[#This Row],[End Date]],"MMMM")</f>
        <v>April</v>
      </c>
      <c r="T1183" s="23" t="str">
        <f>TEXT(Table1[[#This Row],[End Date]],"YYYY")</f>
        <v>2024</v>
      </c>
      <c r="U1183" s="24">
        <f t="shared" ca="1" si="44"/>
        <v>-279</v>
      </c>
      <c r="V1183" s="14" t="str" cm="1">
        <f t="array" aca="1" ref="V1183" ca="1">_xlfn.IFS(Table1[[#This Row],[Agreement Days]]&gt;=0,"Expired",Table1[[#This Row],[Agreement Days]]&gt;=-30,"Expires &lt; 30 Days",Table1[[#This Row],[Agreement Days]]&gt;=-60,"Expires &lt; 60 Days",Table1[[#This Row],[Agreement Days]]&lt;-60,"Valid Contract")</f>
        <v>Valid Contract</v>
      </c>
      <c r="W1183" s="14" t="s">
        <v>19</v>
      </c>
      <c r="X1183" s="14" t="s">
        <v>2354</v>
      </c>
      <c r="Y1183" s="14" t="s">
        <v>2355</v>
      </c>
      <c r="Z1183" s="27">
        <v>788317654</v>
      </c>
      <c r="AA1183" s="17"/>
      <c r="AB1183" s="116"/>
      <c r="AC1183" s="116"/>
    </row>
    <row r="1184" spans="1:29" hidden="1" x14ac:dyDescent="0.3">
      <c r="A1184" s="18" t="s">
        <v>2352</v>
      </c>
      <c r="B1184" s="18" t="s">
        <v>148</v>
      </c>
      <c r="C1184" s="18" t="s">
        <v>2368</v>
      </c>
      <c r="D1184" s="14" t="s">
        <v>653</v>
      </c>
      <c r="E1184" s="18" t="s">
        <v>9</v>
      </c>
      <c r="F1184" s="14" t="s">
        <v>1203</v>
      </c>
      <c r="G1184" s="14" t="s">
        <v>518</v>
      </c>
      <c r="H1184" s="18" t="s">
        <v>5</v>
      </c>
      <c r="I1184" s="14" t="s">
        <v>117</v>
      </c>
      <c r="J1184" s="14">
        <v>3</v>
      </c>
      <c r="K1184" s="14" t="s">
        <v>879</v>
      </c>
      <c r="L1184" s="14"/>
      <c r="M1184" s="14">
        <v>1</v>
      </c>
      <c r="N1184" s="15">
        <v>180000</v>
      </c>
      <c r="O1184" s="15">
        <f t="shared" si="45"/>
        <v>180000</v>
      </c>
      <c r="P1184" s="15"/>
      <c r="Q1184" s="14" t="s">
        <v>520</v>
      </c>
      <c r="R1184" s="25">
        <v>45412</v>
      </c>
      <c r="S1184" s="22" t="str">
        <f>TEXT(Table1[[#This Row],[End Date]],"MMMM")</f>
        <v>April</v>
      </c>
      <c r="T1184" s="23" t="str">
        <f>TEXT(Table1[[#This Row],[End Date]],"YYYY")</f>
        <v>2024</v>
      </c>
      <c r="U1184" s="24">
        <f t="shared" ca="1" si="44"/>
        <v>-279</v>
      </c>
      <c r="V1184" s="14" t="str" cm="1">
        <f t="array" aca="1" ref="V1184" ca="1">_xlfn.IFS(Table1[[#This Row],[Agreement Days]]&gt;=0,"Expired",Table1[[#This Row],[Agreement Days]]&gt;=-30,"Expires &lt; 30 Days",Table1[[#This Row],[Agreement Days]]&gt;=-60,"Expires &lt; 60 Days",Table1[[#This Row],[Agreement Days]]&lt;-60,"Valid Contract")</f>
        <v>Valid Contract</v>
      </c>
      <c r="W1184" s="14" t="s">
        <v>19</v>
      </c>
      <c r="X1184" s="14" t="s">
        <v>2354</v>
      </c>
      <c r="Y1184" s="14" t="s">
        <v>2355</v>
      </c>
      <c r="Z1184" s="27">
        <v>788317654</v>
      </c>
      <c r="AA1184" s="17"/>
      <c r="AB1184" s="116"/>
      <c r="AC1184" s="116"/>
    </row>
    <row r="1185" spans="1:29" hidden="1" x14ac:dyDescent="0.3">
      <c r="A1185" s="18" t="s">
        <v>2352</v>
      </c>
      <c r="B1185" s="18" t="s">
        <v>148</v>
      </c>
      <c r="C1185" s="18" t="s">
        <v>2369</v>
      </c>
      <c r="D1185" s="14" t="s">
        <v>875</v>
      </c>
      <c r="E1185" s="18" t="s">
        <v>9</v>
      </c>
      <c r="F1185" s="14" t="s">
        <v>1203</v>
      </c>
      <c r="G1185" s="14" t="s">
        <v>518</v>
      </c>
      <c r="H1185" s="18" t="s">
        <v>5</v>
      </c>
      <c r="I1185" s="14" t="s">
        <v>117</v>
      </c>
      <c r="J1185" s="14">
        <v>3</v>
      </c>
      <c r="K1185" s="14" t="s">
        <v>879</v>
      </c>
      <c r="L1185" s="14"/>
      <c r="M1185" s="14">
        <v>1</v>
      </c>
      <c r="N1185" s="15">
        <v>180000</v>
      </c>
      <c r="O1185" s="15">
        <f t="shared" si="45"/>
        <v>180000</v>
      </c>
      <c r="P1185" s="15"/>
      <c r="Q1185" s="14" t="s">
        <v>520</v>
      </c>
      <c r="R1185" s="25">
        <v>45412</v>
      </c>
      <c r="S1185" s="22" t="str">
        <f>TEXT(Table1[[#This Row],[End Date]],"MMMM")</f>
        <v>April</v>
      </c>
      <c r="T1185" s="23" t="str">
        <f>TEXT(Table1[[#This Row],[End Date]],"YYYY")</f>
        <v>2024</v>
      </c>
      <c r="U1185" s="24">
        <f t="shared" ca="1" si="44"/>
        <v>-279</v>
      </c>
      <c r="V1185" s="14" t="str" cm="1">
        <f t="array" aca="1" ref="V1185" ca="1">_xlfn.IFS(Table1[[#This Row],[Agreement Days]]&gt;=0,"Expired",Table1[[#This Row],[Agreement Days]]&gt;=-30,"Expires &lt; 30 Days",Table1[[#This Row],[Agreement Days]]&gt;=-60,"Expires &lt; 60 Days",Table1[[#This Row],[Agreement Days]]&lt;-60,"Valid Contract")</f>
        <v>Valid Contract</v>
      </c>
      <c r="W1185" s="14" t="s">
        <v>19</v>
      </c>
      <c r="X1185" s="14" t="s">
        <v>2354</v>
      </c>
      <c r="Y1185" s="14" t="s">
        <v>2355</v>
      </c>
      <c r="Z1185" s="27">
        <v>788317654</v>
      </c>
      <c r="AA1185" s="17"/>
      <c r="AB1185" s="116"/>
      <c r="AC1185" s="116"/>
    </row>
    <row r="1186" spans="1:29" hidden="1" x14ac:dyDescent="0.3">
      <c r="A1186" s="18" t="s">
        <v>2352</v>
      </c>
      <c r="B1186" s="18" t="s">
        <v>148</v>
      </c>
      <c r="C1186" s="18" t="s">
        <v>2370</v>
      </c>
      <c r="D1186" s="14" t="s">
        <v>946</v>
      </c>
      <c r="E1186" s="18" t="s">
        <v>9</v>
      </c>
      <c r="F1186" s="14" t="s">
        <v>1203</v>
      </c>
      <c r="G1186" s="14" t="s">
        <v>518</v>
      </c>
      <c r="H1186" s="18" t="s">
        <v>5</v>
      </c>
      <c r="I1186" s="14" t="s">
        <v>117</v>
      </c>
      <c r="J1186" s="14">
        <v>3</v>
      </c>
      <c r="K1186" s="14" t="s">
        <v>879</v>
      </c>
      <c r="L1186" s="14"/>
      <c r="M1186" s="14">
        <v>1</v>
      </c>
      <c r="N1186" s="15">
        <v>180000</v>
      </c>
      <c r="O1186" s="15">
        <f t="shared" si="45"/>
        <v>180000</v>
      </c>
      <c r="P1186" s="15"/>
      <c r="Q1186" s="14" t="s">
        <v>520</v>
      </c>
      <c r="R1186" s="25">
        <v>45412</v>
      </c>
      <c r="S1186" s="22" t="str">
        <f>TEXT(Table1[[#This Row],[End Date]],"MMMM")</f>
        <v>April</v>
      </c>
      <c r="T1186" s="23" t="str">
        <f>TEXT(Table1[[#This Row],[End Date]],"YYYY")</f>
        <v>2024</v>
      </c>
      <c r="U1186" s="24">
        <f t="shared" ca="1" si="44"/>
        <v>-279</v>
      </c>
      <c r="V1186" s="14" t="str" cm="1">
        <f t="array" aca="1" ref="V1186" ca="1">_xlfn.IFS(Table1[[#This Row],[Agreement Days]]&gt;=0,"Expired",Table1[[#This Row],[Agreement Days]]&gt;=-30,"Expires &lt; 30 Days",Table1[[#This Row],[Agreement Days]]&gt;=-60,"Expires &lt; 60 Days",Table1[[#This Row],[Agreement Days]]&lt;-60,"Valid Contract")</f>
        <v>Valid Contract</v>
      </c>
      <c r="W1186" s="14" t="s">
        <v>19</v>
      </c>
      <c r="X1186" s="14" t="s">
        <v>2354</v>
      </c>
      <c r="Y1186" s="14" t="s">
        <v>2355</v>
      </c>
      <c r="Z1186" s="27">
        <v>788317654</v>
      </c>
      <c r="AA1186" s="17"/>
      <c r="AB1186" s="116"/>
      <c r="AC1186" s="116"/>
    </row>
    <row r="1187" spans="1:29" hidden="1" x14ac:dyDescent="0.3">
      <c r="A1187" s="18" t="s">
        <v>2352</v>
      </c>
      <c r="B1187" s="18" t="s">
        <v>148</v>
      </c>
      <c r="C1187" s="18" t="s">
        <v>2371</v>
      </c>
      <c r="D1187" s="14" t="s">
        <v>739</v>
      </c>
      <c r="E1187" s="18" t="s">
        <v>9</v>
      </c>
      <c r="F1187" s="14" t="s">
        <v>1203</v>
      </c>
      <c r="G1187" s="14" t="s">
        <v>518</v>
      </c>
      <c r="H1187" s="18" t="s">
        <v>5</v>
      </c>
      <c r="I1187" s="14" t="s">
        <v>117</v>
      </c>
      <c r="J1187" s="14">
        <v>3</v>
      </c>
      <c r="K1187" s="14" t="s">
        <v>879</v>
      </c>
      <c r="L1187" s="14"/>
      <c r="M1187" s="14">
        <v>1</v>
      </c>
      <c r="N1187" s="15">
        <v>180000</v>
      </c>
      <c r="O1187" s="15">
        <f t="shared" si="45"/>
        <v>180000</v>
      </c>
      <c r="P1187" s="15"/>
      <c r="Q1187" s="14" t="s">
        <v>520</v>
      </c>
      <c r="R1187" s="25">
        <v>45412</v>
      </c>
      <c r="S1187" s="22" t="str">
        <f>TEXT(Table1[[#This Row],[End Date]],"MMMM")</f>
        <v>April</v>
      </c>
      <c r="T1187" s="23" t="str">
        <f>TEXT(Table1[[#This Row],[End Date]],"YYYY")</f>
        <v>2024</v>
      </c>
      <c r="U1187" s="24">
        <f t="shared" ca="1" si="44"/>
        <v>-279</v>
      </c>
      <c r="V1187" s="14" t="str" cm="1">
        <f t="array" aca="1" ref="V1187" ca="1">_xlfn.IFS(Table1[[#This Row],[Agreement Days]]&gt;=0,"Expired",Table1[[#This Row],[Agreement Days]]&gt;=-30,"Expires &lt; 30 Days",Table1[[#This Row],[Agreement Days]]&gt;=-60,"Expires &lt; 60 Days",Table1[[#This Row],[Agreement Days]]&lt;-60,"Valid Contract")</f>
        <v>Valid Contract</v>
      </c>
      <c r="W1187" s="14" t="s">
        <v>19</v>
      </c>
      <c r="X1187" s="14" t="s">
        <v>2354</v>
      </c>
      <c r="Y1187" s="14" t="s">
        <v>2355</v>
      </c>
      <c r="Z1187" s="27">
        <v>788317654</v>
      </c>
      <c r="AA1187" s="17"/>
      <c r="AB1187" s="116"/>
      <c r="AC1187" s="116"/>
    </row>
    <row r="1188" spans="1:29" hidden="1" x14ac:dyDescent="0.3">
      <c r="A1188" s="18" t="s">
        <v>2352</v>
      </c>
      <c r="B1188" s="18" t="s">
        <v>148</v>
      </c>
      <c r="C1188" s="18" t="s">
        <v>2372</v>
      </c>
      <c r="D1188" s="14" t="s">
        <v>653</v>
      </c>
      <c r="E1188" s="18" t="s">
        <v>9</v>
      </c>
      <c r="F1188" s="14" t="s">
        <v>1203</v>
      </c>
      <c r="G1188" s="14" t="s">
        <v>518</v>
      </c>
      <c r="H1188" s="18" t="s">
        <v>5</v>
      </c>
      <c r="I1188" s="14" t="s">
        <v>117</v>
      </c>
      <c r="J1188" s="14">
        <v>3</v>
      </c>
      <c r="K1188" s="14" t="s">
        <v>879</v>
      </c>
      <c r="L1188" s="14"/>
      <c r="M1188" s="14">
        <v>1</v>
      </c>
      <c r="N1188" s="15">
        <v>180000</v>
      </c>
      <c r="O1188" s="15">
        <f t="shared" si="45"/>
        <v>180000</v>
      </c>
      <c r="P1188" s="15"/>
      <c r="Q1188" s="14" t="s">
        <v>520</v>
      </c>
      <c r="R1188" s="25">
        <v>45412</v>
      </c>
      <c r="S1188" s="22" t="str">
        <f>TEXT(Table1[[#This Row],[End Date]],"MMMM")</f>
        <v>April</v>
      </c>
      <c r="T1188" s="23" t="str">
        <f>TEXT(Table1[[#This Row],[End Date]],"YYYY")</f>
        <v>2024</v>
      </c>
      <c r="U1188" s="24">
        <f t="shared" ca="1" si="44"/>
        <v>-279</v>
      </c>
      <c r="V1188" s="14" t="str" cm="1">
        <f t="array" aca="1" ref="V1188" ca="1">_xlfn.IFS(Table1[[#This Row],[Agreement Days]]&gt;=0,"Expired",Table1[[#This Row],[Agreement Days]]&gt;=-30,"Expires &lt; 30 Days",Table1[[#This Row],[Agreement Days]]&gt;=-60,"Expires &lt; 60 Days",Table1[[#This Row],[Agreement Days]]&lt;-60,"Valid Contract")</f>
        <v>Valid Contract</v>
      </c>
      <c r="W1188" s="14" t="s">
        <v>19</v>
      </c>
      <c r="X1188" s="14" t="s">
        <v>2354</v>
      </c>
      <c r="Y1188" s="14" t="s">
        <v>2355</v>
      </c>
      <c r="Z1188" s="27">
        <v>788317654</v>
      </c>
      <c r="AA1188" s="17"/>
      <c r="AB1188" s="116"/>
      <c r="AC1188" s="116"/>
    </row>
    <row r="1189" spans="1:29" hidden="1" x14ac:dyDescent="0.3">
      <c r="A1189" s="18" t="s">
        <v>2352</v>
      </c>
      <c r="B1189" s="18" t="s">
        <v>148</v>
      </c>
      <c r="C1189" s="18" t="s">
        <v>2373</v>
      </c>
      <c r="D1189" s="14" t="s">
        <v>545</v>
      </c>
      <c r="E1189" s="18" t="s">
        <v>9</v>
      </c>
      <c r="F1189" s="14" t="s">
        <v>1203</v>
      </c>
      <c r="G1189" s="14" t="s">
        <v>518</v>
      </c>
      <c r="H1189" s="18" t="s">
        <v>5</v>
      </c>
      <c r="I1189" s="14" t="s">
        <v>117</v>
      </c>
      <c r="J1189" s="14">
        <v>3</v>
      </c>
      <c r="K1189" s="14" t="s">
        <v>879</v>
      </c>
      <c r="L1189" s="14"/>
      <c r="M1189" s="14">
        <v>1</v>
      </c>
      <c r="N1189" s="15">
        <v>180000</v>
      </c>
      <c r="O1189" s="15">
        <f t="shared" si="45"/>
        <v>180000</v>
      </c>
      <c r="P1189" s="15"/>
      <c r="Q1189" s="14" t="s">
        <v>520</v>
      </c>
      <c r="R1189" s="25">
        <v>45412</v>
      </c>
      <c r="S1189" s="22" t="str">
        <f>TEXT(Table1[[#This Row],[End Date]],"MMMM")</f>
        <v>April</v>
      </c>
      <c r="T1189" s="23" t="str">
        <f>TEXT(Table1[[#This Row],[End Date]],"YYYY")</f>
        <v>2024</v>
      </c>
      <c r="U1189" s="24">
        <f t="shared" ca="1" si="44"/>
        <v>-279</v>
      </c>
      <c r="V1189" s="14" t="str" cm="1">
        <f t="array" aca="1" ref="V1189" ca="1">_xlfn.IFS(Table1[[#This Row],[Agreement Days]]&gt;=0,"Expired",Table1[[#This Row],[Agreement Days]]&gt;=-30,"Expires &lt; 30 Days",Table1[[#This Row],[Agreement Days]]&gt;=-60,"Expires &lt; 60 Days",Table1[[#This Row],[Agreement Days]]&lt;-60,"Valid Contract")</f>
        <v>Valid Contract</v>
      </c>
      <c r="W1189" s="14" t="s">
        <v>19</v>
      </c>
      <c r="X1189" s="14" t="s">
        <v>2354</v>
      </c>
      <c r="Y1189" s="14" t="s">
        <v>2355</v>
      </c>
      <c r="Z1189" s="27">
        <v>788317654</v>
      </c>
      <c r="AA1189" s="17"/>
      <c r="AB1189" s="116"/>
      <c r="AC1189" s="116"/>
    </row>
    <row r="1190" spans="1:29" hidden="1" x14ac:dyDescent="0.3">
      <c r="A1190" s="18" t="s">
        <v>2352</v>
      </c>
      <c r="B1190" s="18" t="s">
        <v>148</v>
      </c>
      <c r="C1190" s="18" t="s">
        <v>2374</v>
      </c>
      <c r="D1190" s="14" t="s">
        <v>735</v>
      </c>
      <c r="E1190" s="18" t="s">
        <v>9</v>
      </c>
      <c r="F1190" s="14" t="s">
        <v>1203</v>
      </c>
      <c r="G1190" s="14" t="s">
        <v>518</v>
      </c>
      <c r="H1190" s="18" t="s">
        <v>5</v>
      </c>
      <c r="I1190" s="14" t="s">
        <v>117</v>
      </c>
      <c r="J1190" s="14">
        <v>3</v>
      </c>
      <c r="K1190" s="14" t="s">
        <v>879</v>
      </c>
      <c r="L1190" s="14"/>
      <c r="M1190" s="14">
        <v>1</v>
      </c>
      <c r="N1190" s="15">
        <v>180000</v>
      </c>
      <c r="O1190" s="15">
        <f t="shared" si="45"/>
        <v>180000</v>
      </c>
      <c r="P1190" s="15"/>
      <c r="Q1190" s="14" t="s">
        <v>520</v>
      </c>
      <c r="R1190" s="25">
        <v>45412</v>
      </c>
      <c r="S1190" s="22" t="str">
        <f>TEXT(Table1[[#This Row],[End Date]],"MMMM")</f>
        <v>April</v>
      </c>
      <c r="T1190" s="23" t="str">
        <f>TEXT(Table1[[#This Row],[End Date]],"YYYY")</f>
        <v>2024</v>
      </c>
      <c r="U1190" s="24">
        <f t="shared" ca="1" si="44"/>
        <v>-279</v>
      </c>
      <c r="V1190" s="14" t="str" cm="1">
        <f t="array" aca="1" ref="V1190" ca="1">_xlfn.IFS(Table1[[#This Row],[Agreement Days]]&gt;=0,"Expired",Table1[[#This Row],[Agreement Days]]&gt;=-30,"Expires &lt; 30 Days",Table1[[#This Row],[Agreement Days]]&gt;=-60,"Expires &lt; 60 Days",Table1[[#This Row],[Agreement Days]]&lt;-60,"Valid Contract")</f>
        <v>Valid Contract</v>
      </c>
      <c r="W1190" s="14" t="s">
        <v>19</v>
      </c>
      <c r="X1190" s="14" t="s">
        <v>2354</v>
      </c>
      <c r="Y1190" s="14" t="s">
        <v>2355</v>
      </c>
      <c r="Z1190" s="27">
        <v>788317654</v>
      </c>
      <c r="AA1190" s="17"/>
      <c r="AB1190" s="116"/>
      <c r="AC1190" s="116"/>
    </row>
    <row r="1191" spans="1:29" hidden="1" x14ac:dyDescent="0.3">
      <c r="A1191" s="18" t="s">
        <v>2352</v>
      </c>
      <c r="B1191" s="18" t="s">
        <v>148</v>
      </c>
      <c r="C1191" s="18" t="s">
        <v>2375</v>
      </c>
      <c r="D1191" s="14" t="s">
        <v>579</v>
      </c>
      <c r="E1191" s="18" t="s">
        <v>9</v>
      </c>
      <c r="F1191" s="14" t="s">
        <v>1203</v>
      </c>
      <c r="G1191" s="14" t="s">
        <v>518</v>
      </c>
      <c r="H1191" s="18" t="s">
        <v>5</v>
      </c>
      <c r="I1191" s="14" t="s">
        <v>117</v>
      </c>
      <c r="J1191" s="14">
        <v>3</v>
      </c>
      <c r="K1191" s="14" t="s">
        <v>879</v>
      </c>
      <c r="L1191" s="14"/>
      <c r="M1191" s="14">
        <v>1</v>
      </c>
      <c r="N1191" s="15">
        <v>180000</v>
      </c>
      <c r="O1191" s="15">
        <f t="shared" si="45"/>
        <v>180000</v>
      </c>
      <c r="P1191" s="15"/>
      <c r="Q1191" s="14" t="s">
        <v>520</v>
      </c>
      <c r="R1191" s="25">
        <v>45412</v>
      </c>
      <c r="S1191" s="22" t="str">
        <f>TEXT(Table1[[#This Row],[End Date]],"MMMM")</f>
        <v>April</v>
      </c>
      <c r="T1191" s="23" t="str">
        <f>TEXT(Table1[[#This Row],[End Date]],"YYYY")</f>
        <v>2024</v>
      </c>
      <c r="U1191" s="24">
        <f t="shared" ca="1" si="44"/>
        <v>-279</v>
      </c>
      <c r="V1191" s="14" t="str" cm="1">
        <f t="array" aca="1" ref="V1191" ca="1">_xlfn.IFS(Table1[[#This Row],[Agreement Days]]&gt;=0,"Expired",Table1[[#This Row],[Agreement Days]]&gt;=-30,"Expires &lt; 30 Days",Table1[[#This Row],[Agreement Days]]&gt;=-60,"Expires &lt; 60 Days",Table1[[#This Row],[Agreement Days]]&lt;-60,"Valid Contract")</f>
        <v>Valid Contract</v>
      </c>
      <c r="W1191" s="14" t="s">
        <v>19</v>
      </c>
      <c r="X1191" s="14" t="s">
        <v>2354</v>
      </c>
      <c r="Y1191" s="14" t="s">
        <v>2355</v>
      </c>
      <c r="Z1191" s="27">
        <v>788317654</v>
      </c>
      <c r="AA1191" s="17"/>
      <c r="AB1191" s="116"/>
      <c r="AC1191" s="116"/>
    </row>
    <row r="1192" spans="1:29" hidden="1" x14ac:dyDescent="0.3">
      <c r="A1192" s="18" t="s">
        <v>2352</v>
      </c>
      <c r="B1192" s="18" t="s">
        <v>148</v>
      </c>
      <c r="C1192" s="18" t="s">
        <v>2376</v>
      </c>
      <c r="D1192" s="14" t="s">
        <v>516</v>
      </c>
      <c r="E1192" s="18" t="s">
        <v>9</v>
      </c>
      <c r="F1192" s="14" t="s">
        <v>1203</v>
      </c>
      <c r="G1192" s="14" t="s">
        <v>518</v>
      </c>
      <c r="H1192" s="18" t="s">
        <v>5</v>
      </c>
      <c r="I1192" s="14" t="s">
        <v>117</v>
      </c>
      <c r="J1192" s="14">
        <v>3</v>
      </c>
      <c r="K1192" s="14" t="s">
        <v>879</v>
      </c>
      <c r="L1192" s="14"/>
      <c r="M1192" s="14">
        <v>1</v>
      </c>
      <c r="N1192" s="15">
        <v>180000</v>
      </c>
      <c r="O1192" s="15">
        <f t="shared" si="45"/>
        <v>180000</v>
      </c>
      <c r="P1192" s="15"/>
      <c r="Q1192" s="14" t="s">
        <v>520</v>
      </c>
      <c r="R1192" s="25">
        <v>45412</v>
      </c>
      <c r="S1192" s="22" t="str">
        <f>TEXT(Table1[[#This Row],[End Date]],"MMMM")</f>
        <v>April</v>
      </c>
      <c r="T1192" s="23" t="str">
        <f>TEXT(Table1[[#This Row],[End Date]],"YYYY")</f>
        <v>2024</v>
      </c>
      <c r="U1192" s="24">
        <f t="shared" ca="1" si="44"/>
        <v>-279</v>
      </c>
      <c r="V1192" s="14" t="str" cm="1">
        <f t="array" aca="1" ref="V1192" ca="1">_xlfn.IFS(Table1[[#This Row],[Agreement Days]]&gt;=0,"Expired",Table1[[#This Row],[Agreement Days]]&gt;=-30,"Expires &lt; 30 Days",Table1[[#This Row],[Agreement Days]]&gt;=-60,"Expires &lt; 60 Days",Table1[[#This Row],[Agreement Days]]&lt;-60,"Valid Contract")</f>
        <v>Valid Contract</v>
      </c>
      <c r="W1192" s="14" t="s">
        <v>19</v>
      </c>
      <c r="X1192" s="14" t="s">
        <v>2354</v>
      </c>
      <c r="Y1192" s="14" t="s">
        <v>2355</v>
      </c>
      <c r="Z1192" s="27">
        <v>788317654</v>
      </c>
      <c r="AA1192" s="17"/>
      <c r="AB1192" s="116"/>
      <c r="AC1192" s="116"/>
    </row>
    <row r="1193" spans="1:29" hidden="1" x14ac:dyDescent="0.3">
      <c r="A1193" s="18" t="s">
        <v>2352</v>
      </c>
      <c r="B1193" s="18" t="s">
        <v>148</v>
      </c>
      <c r="C1193" s="18" t="s">
        <v>2377</v>
      </c>
      <c r="D1193" s="14" t="s">
        <v>545</v>
      </c>
      <c r="E1193" s="18" t="s">
        <v>9</v>
      </c>
      <c r="F1193" s="14" t="s">
        <v>1203</v>
      </c>
      <c r="G1193" s="14" t="s">
        <v>518</v>
      </c>
      <c r="H1193" s="18" t="s">
        <v>5</v>
      </c>
      <c r="I1193" s="14" t="s">
        <v>117</v>
      </c>
      <c r="J1193" s="14">
        <v>3</v>
      </c>
      <c r="K1193" s="14" t="s">
        <v>879</v>
      </c>
      <c r="L1193" s="14"/>
      <c r="M1193" s="14">
        <v>1</v>
      </c>
      <c r="N1193" s="15">
        <v>180000</v>
      </c>
      <c r="O1193" s="15">
        <f t="shared" si="45"/>
        <v>180000</v>
      </c>
      <c r="P1193" s="15"/>
      <c r="Q1193" s="14" t="s">
        <v>520</v>
      </c>
      <c r="R1193" s="25">
        <v>45412</v>
      </c>
      <c r="S1193" s="22" t="str">
        <f>TEXT(Table1[[#This Row],[End Date]],"MMMM")</f>
        <v>April</v>
      </c>
      <c r="T1193" s="23" t="str">
        <f>TEXT(Table1[[#This Row],[End Date]],"YYYY")</f>
        <v>2024</v>
      </c>
      <c r="U1193" s="24">
        <f t="shared" ca="1" si="44"/>
        <v>-279</v>
      </c>
      <c r="V1193" s="14" t="str" cm="1">
        <f t="array" aca="1" ref="V1193" ca="1">_xlfn.IFS(Table1[[#This Row],[Agreement Days]]&gt;=0,"Expired",Table1[[#This Row],[Agreement Days]]&gt;=-30,"Expires &lt; 30 Days",Table1[[#This Row],[Agreement Days]]&gt;=-60,"Expires &lt; 60 Days",Table1[[#This Row],[Agreement Days]]&lt;-60,"Valid Contract")</f>
        <v>Valid Contract</v>
      </c>
      <c r="W1193" s="14" t="s">
        <v>19</v>
      </c>
      <c r="X1193" s="14" t="s">
        <v>2354</v>
      </c>
      <c r="Y1193" s="14" t="s">
        <v>2355</v>
      </c>
      <c r="Z1193" s="27">
        <v>788317654</v>
      </c>
      <c r="AA1193" s="17"/>
      <c r="AB1193" s="116"/>
      <c r="AC1193" s="116"/>
    </row>
    <row r="1194" spans="1:29" hidden="1" x14ac:dyDescent="0.3">
      <c r="A1194" s="18" t="s">
        <v>2352</v>
      </c>
      <c r="B1194" s="18" t="s">
        <v>148</v>
      </c>
      <c r="C1194" s="18" t="s">
        <v>2378</v>
      </c>
      <c r="D1194" s="14" t="s">
        <v>545</v>
      </c>
      <c r="E1194" s="18" t="s">
        <v>9</v>
      </c>
      <c r="F1194" s="14" t="s">
        <v>1203</v>
      </c>
      <c r="G1194" s="14" t="s">
        <v>518</v>
      </c>
      <c r="H1194" s="18" t="s">
        <v>5</v>
      </c>
      <c r="I1194" s="14" t="s">
        <v>117</v>
      </c>
      <c r="J1194" s="14">
        <v>3</v>
      </c>
      <c r="K1194" s="14" t="s">
        <v>879</v>
      </c>
      <c r="L1194" s="14"/>
      <c r="M1194" s="14">
        <v>1</v>
      </c>
      <c r="N1194" s="15">
        <v>180000</v>
      </c>
      <c r="O1194" s="15">
        <f t="shared" si="45"/>
        <v>180000</v>
      </c>
      <c r="P1194" s="15"/>
      <c r="Q1194" s="14" t="s">
        <v>520</v>
      </c>
      <c r="R1194" s="25">
        <v>45412</v>
      </c>
      <c r="S1194" s="22" t="str">
        <f>TEXT(Table1[[#This Row],[End Date]],"MMMM")</f>
        <v>April</v>
      </c>
      <c r="T1194" s="23" t="str">
        <f>TEXT(Table1[[#This Row],[End Date]],"YYYY")</f>
        <v>2024</v>
      </c>
      <c r="U1194" s="24">
        <f t="shared" ca="1" si="44"/>
        <v>-279</v>
      </c>
      <c r="V1194" s="14" t="str" cm="1">
        <f t="array" aca="1" ref="V1194" ca="1">_xlfn.IFS(Table1[[#This Row],[Agreement Days]]&gt;=0,"Expired",Table1[[#This Row],[Agreement Days]]&gt;=-30,"Expires &lt; 30 Days",Table1[[#This Row],[Agreement Days]]&gt;=-60,"Expires &lt; 60 Days",Table1[[#This Row],[Agreement Days]]&lt;-60,"Valid Contract")</f>
        <v>Valid Contract</v>
      </c>
      <c r="W1194" s="14" t="s">
        <v>19</v>
      </c>
      <c r="X1194" s="14" t="s">
        <v>2354</v>
      </c>
      <c r="Y1194" s="14" t="s">
        <v>2355</v>
      </c>
      <c r="Z1194" s="27">
        <v>788317654</v>
      </c>
      <c r="AA1194" s="17"/>
      <c r="AB1194" s="116"/>
      <c r="AC1194" s="116"/>
    </row>
    <row r="1195" spans="1:29" hidden="1" x14ac:dyDescent="0.3">
      <c r="A1195" s="18" t="s">
        <v>2352</v>
      </c>
      <c r="B1195" s="18" t="s">
        <v>148</v>
      </c>
      <c r="C1195" s="18" t="s">
        <v>2379</v>
      </c>
      <c r="D1195" s="14" t="s">
        <v>875</v>
      </c>
      <c r="E1195" s="18" t="s">
        <v>9</v>
      </c>
      <c r="F1195" s="14" t="s">
        <v>1203</v>
      </c>
      <c r="G1195" s="14" t="s">
        <v>518</v>
      </c>
      <c r="H1195" s="18" t="s">
        <v>5</v>
      </c>
      <c r="I1195" s="14" t="s">
        <v>117</v>
      </c>
      <c r="J1195" s="14">
        <v>3</v>
      </c>
      <c r="K1195" s="14" t="s">
        <v>879</v>
      </c>
      <c r="L1195" s="14"/>
      <c r="M1195" s="14">
        <v>1</v>
      </c>
      <c r="N1195" s="15">
        <v>180000</v>
      </c>
      <c r="O1195" s="15">
        <f t="shared" si="45"/>
        <v>180000</v>
      </c>
      <c r="P1195" s="15"/>
      <c r="Q1195" s="14" t="s">
        <v>520</v>
      </c>
      <c r="R1195" s="25">
        <v>45412</v>
      </c>
      <c r="S1195" s="22" t="str">
        <f>TEXT(Table1[[#This Row],[End Date]],"MMMM")</f>
        <v>April</v>
      </c>
      <c r="T1195" s="23" t="str">
        <f>TEXT(Table1[[#This Row],[End Date]],"YYYY")</f>
        <v>2024</v>
      </c>
      <c r="U1195" s="24">
        <f t="shared" ca="1" si="44"/>
        <v>-279</v>
      </c>
      <c r="V1195" s="14" t="str" cm="1">
        <f t="array" aca="1" ref="V1195" ca="1">_xlfn.IFS(Table1[[#This Row],[Agreement Days]]&gt;=0,"Expired",Table1[[#This Row],[Agreement Days]]&gt;=-30,"Expires &lt; 30 Days",Table1[[#This Row],[Agreement Days]]&gt;=-60,"Expires &lt; 60 Days",Table1[[#This Row],[Agreement Days]]&lt;-60,"Valid Contract")</f>
        <v>Valid Contract</v>
      </c>
      <c r="W1195" s="14" t="s">
        <v>19</v>
      </c>
      <c r="X1195" s="14" t="s">
        <v>2354</v>
      </c>
      <c r="Y1195" s="14" t="s">
        <v>2355</v>
      </c>
      <c r="Z1195" s="27">
        <v>788317654</v>
      </c>
      <c r="AA1195" s="17"/>
      <c r="AB1195" s="116"/>
      <c r="AC1195" s="116"/>
    </row>
    <row r="1196" spans="1:29" hidden="1" x14ac:dyDescent="0.3">
      <c r="A1196" s="18" t="s">
        <v>2352</v>
      </c>
      <c r="B1196" s="18" t="s">
        <v>148</v>
      </c>
      <c r="C1196" s="18" t="s">
        <v>2380</v>
      </c>
      <c r="D1196" s="14" t="s">
        <v>739</v>
      </c>
      <c r="E1196" s="18" t="s">
        <v>9</v>
      </c>
      <c r="F1196" s="14" t="s">
        <v>1203</v>
      </c>
      <c r="G1196" s="14" t="s">
        <v>518</v>
      </c>
      <c r="H1196" s="18" t="s">
        <v>5</v>
      </c>
      <c r="I1196" s="14" t="s">
        <v>117</v>
      </c>
      <c r="J1196" s="14">
        <v>3</v>
      </c>
      <c r="K1196" s="14" t="s">
        <v>879</v>
      </c>
      <c r="L1196" s="14"/>
      <c r="M1196" s="14">
        <v>1</v>
      </c>
      <c r="N1196" s="15">
        <v>180000</v>
      </c>
      <c r="O1196" s="15">
        <f t="shared" si="45"/>
        <v>180000</v>
      </c>
      <c r="P1196" s="15"/>
      <c r="Q1196" s="14" t="s">
        <v>520</v>
      </c>
      <c r="R1196" s="25">
        <v>45412</v>
      </c>
      <c r="S1196" s="22" t="str">
        <f>TEXT(Table1[[#This Row],[End Date]],"MMMM")</f>
        <v>April</v>
      </c>
      <c r="T1196" s="23" t="str">
        <f>TEXT(Table1[[#This Row],[End Date]],"YYYY")</f>
        <v>2024</v>
      </c>
      <c r="U1196" s="24">
        <f t="shared" ca="1" si="44"/>
        <v>-279</v>
      </c>
      <c r="V1196" s="14" t="str" cm="1">
        <f t="array" aca="1" ref="V1196" ca="1">_xlfn.IFS(Table1[[#This Row],[Agreement Days]]&gt;=0,"Expired",Table1[[#This Row],[Agreement Days]]&gt;=-30,"Expires &lt; 30 Days",Table1[[#This Row],[Agreement Days]]&gt;=-60,"Expires &lt; 60 Days",Table1[[#This Row],[Agreement Days]]&lt;-60,"Valid Contract")</f>
        <v>Valid Contract</v>
      </c>
      <c r="W1196" s="14" t="s">
        <v>19</v>
      </c>
      <c r="X1196" s="14" t="s">
        <v>2354</v>
      </c>
      <c r="Y1196" s="45" t="s">
        <v>2355</v>
      </c>
      <c r="Z1196" s="27">
        <v>788317654</v>
      </c>
      <c r="AA1196" s="17"/>
      <c r="AB1196" s="116"/>
      <c r="AC1196" s="116"/>
    </row>
    <row r="1197" spans="1:29" hidden="1" x14ac:dyDescent="0.3">
      <c r="A1197" s="18" t="s">
        <v>2352</v>
      </c>
      <c r="B1197" s="18" t="s">
        <v>148</v>
      </c>
      <c r="C1197" s="18" t="s">
        <v>2381</v>
      </c>
      <c r="D1197" s="14" t="s">
        <v>545</v>
      </c>
      <c r="E1197" s="18" t="s">
        <v>9</v>
      </c>
      <c r="F1197" s="14" t="s">
        <v>1203</v>
      </c>
      <c r="G1197" s="14" t="s">
        <v>518</v>
      </c>
      <c r="H1197" s="18" t="s">
        <v>5</v>
      </c>
      <c r="I1197" s="14" t="s">
        <v>117</v>
      </c>
      <c r="J1197" s="14">
        <v>3</v>
      </c>
      <c r="K1197" s="14" t="s">
        <v>879</v>
      </c>
      <c r="L1197" s="14"/>
      <c r="M1197" s="14">
        <v>1</v>
      </c>
      <c r="N1197" s="15">
        <v>180000</v>
      </c>
      <c r="O1197" s="15">
        <f t="shared" si="45"/>
        <v>180000</v>
      </c>
      <c r="P1197" s="15"/>
      <c r="Q1197" s="14" t="s">
        <v>520</v>
      </c>
      <c r="R1197" s="25">
        <v>45412</v>
      </c>
      <c r="S1197" s="22" t="str">
        <f>TEXT(Table1[[#This Row],[End Date]],"MMMM")</f>
        <v>April</v>
      </c>
      <c r="T1197" s="23" t="str">
        <f>TEXT(Table1[[#This Row],[End Date]],"YYYY")</f>
        <v>2024</v>
      </c>
      <c r="U1197" s="24">
        <f t="shared" ca="1" si="44"/>
        <v>-279</v>
      </c>
      <c r="V1197" s="14" t="str" cm="1">
        <f t="array" aca="1" ref="V1197" ca="1">_xlfn.IFS(Table1[[#This Row],[Agreement Days]]&gt;=0,"Expired",Table1[[#This Row],[Agreement Days]]&gt;=-30,"Expires &lt; 30 Days",Table1[[#This Row],[Agreement Days]]&gt;=-60,"Expires &lt; 60 Days",Table1[[#This Row],[Agreement Days]]&lt;-60,"Valid Contract")</f>
        <v>Valid Contract</v>
      </c>
      <c r="W1197" s="14" t="s">
        <v>19</v>
      </c>
      <c r="X1197" s="14" t="s">
        <v>2354</v>
      </c>
      <c r="Y1197" s="14" t="s">
        <v>2355</v>
      </c>
      <c r="Z1197" s="27">
        <v>788317654</v>
      </c>
      <c r="AA1197" s="17"/>
      <c r="AB1197" s="116"/>
      <c r="AC1197" s="116"/>
    </row>
    <row r="1198" spans="1:29" hidden="1" x14ac:dyDescent="0.3">
      <c r="A1198" s="18" t="s">
        <v>2352</v>
      </c>
      <c r="B1198" s="18" t="s">
        <v>148</v>
      </c>
      <c r="C1198" s="18" t="s">
        <v>2382</v>
      </c>
      <c r="D1198" s="14" t="s">
        <v>545</v>
      </c>
      <c r="E1198" s="18" t="s">
        <v>9</v>
      </c>
      <c r="F1198" s="14" t="s">
        <v>1203</v>
      </c>
      <c r="G1198" s="14" t="s">
        <v>518</v>
      </c>
      <c r="H1198" s="18" t="s">
        <v>5</v>
      </c>
      <c r="I1198" s="14" t="s">
        <v>117</v>
      </c>
      <c r="J1198" s="14">
        <v>3</v>
      </c>
      <c r="K1198" s="14" t="s">
        <v>879</v>
      </c>
      <c r="L1198" s="14"/>
      <c r="M1198" s="14">
        <v>1</v>
      </c>
      <c r="N1198" s="15">
        <v>180000</v>
      </c>
      <c r="O1198" s="15">
        <f t="shared" si="45"/>
        <v>180000</v>
      </c>
      <c r="P1198" s="15"/>
      <c r="Q1198" s="14" t="s">
        <v>520</v>
      </c>
      <c r="R1198" s="25">
        <v>45412</v>
      </c>
      <c r="S1198" s="22" t="str">
        <f>TEXT(Table1[[#This Row],[End Date]],"MMMM")</f>
        <v>April</v>
      </c>
      <c r="T1198" s="23" t="str">
        <f>TEXT(Table1[[#This Row],[End Date]],"YYYY")</f>
        <v>2024</v>
      </c>
      <c r="U1198" s="24">
        <f t="shared" ca="1" si="44"/>
        <v>-279</v>
      </c>
      <c r="V1198" s="14" t="str" cm="1">
        <f t="array" aca="1" ref="V1198" ca="1">_xlfn.IFS(Table1[[#This Row],[Agreement Days]]&gt;=0,"Expired",Table1[[#This Row],[Agreement Days]]&gt;=-30,"Expires &lt; 30 Days",Table1[[#This Row],[Agreement Days]]&gt;=-60,"Expires &lt; 60 Days",Table1[[#This Row],[Agreement Days]]&lt;-60,"Valid Contract")</f>
        <v>Valid Contract</v>
      </c>
      <c r="W1198" s="14" t="s">
        <v>19</v>
      </c>
      <c r="X1198" s="14" t="s">
        <v>2354</v>
      </c>
      <c r="Y1198" s="14" t="s">
        <v>2355</v>
      </c>
      <c r="Z1198" s="27">
        <v>788317654</v>
      </c>
      <c r="AA1198" s="17"/>
      <c r="AB1198" s="116"/>
      <c r="AC1198" s="116"/>
    </row>
    <row r="1199" spans="1:29" hidden="1" x14ac:dyDescent="0.3">
      <c r="A1199" s="18" t="s">
        <v>2352</v>
      </c>
      <c r="B1199" s="18" t="s">
        <v>148</v>
      </c>
      <c r="C1199" s="18" t="s">
        <v>2383</v>
      </c>
      <c r="D1199" s="14" t="s">
        <v>873</v>
      </c>
      <c r="E1199" s="18" t="s">
        <v>9</v>
      </c>
      <c r="F1199" s="14" t="s">
        <v>1203</v>
      </c>
      <c r="G1199" s="14" t="s">
        <v>518</v>
      </c>
      <c r="H1199" s="18" t="s">
        <v>5</v>
      </c>
      <c r="I1199" s="14" t="s">
        <v>117</v>
      </c>
      <c r="J1199" s="14">
        <v>3</v>
      </c>
      <c r="K1199" s="14" t="s">
        <v>879</v>
      </c>
      <c r="L1199" s="14"/>
      <c r="M1199" s="14">
        <v>1</v>
      </c>
      <c r="N1199" s="15">
        <v>180000</v>
      </c>
      <c r="O1199" s="15">
        <f t="shared" si="45"/>
        <v>180000</v>
      </c>
      <c r="P1199" s="15"/>
      <c r="Q1199" s="14" t="s">
        <v>520</v>
      </c>
      <c r="R1199" s="25">
        <v>45412</v>
      </c>
      <c r="S1199" s="22" t="str">
        <f>TEXT(Table1[[#This Row],[End Date]],"MMMM")</f>
        <v>April</v>
      </c>
      <c r="T1199" s="23" t="str">
        <f>TEXT(Table1[[#This Row],[End Date]],"YYYY")</f>
        <v>2024</v>
      </c>
      <c r="U1199" s="24">
        <f t="shared" ca="1" si="44"/>
        <v>-279</v>
      </c>
      <c r="V1199" s="14" t="str" cm="1">
        <f t="array" aca="1" ref="V1199" ca="1">_xlfn.IFS(Table1[[#This Row],[Agreement Days]]&gt;=0,"Expired",Table1[[#This Row],[Agreement Days]]&gt;=-30,"Expires &lt; 30 Days",Table1[[#This Row],[Agreement Days]]&gt;=-60,"Expires &lt; 60 Days",Table1[[#This Row],[Agreement Days]]&lt;-60,"Valid Contract")</f>
        <v>Valid Contract</v>
      </c>
      <c r="W1199" s="14" t="s">
        <v>19</v>
      </c>
      <c r="X1199" s="14" t="s">
        <v>2354</v>
      </c>
      <c r="Y1199" s="14" t="s">
        <v>2355</v>
      </c>
      <c r="Z1199" s="27">
        <v>788317654</v>
      </c>
      <c r="AA1199" s="17"/>
      <c r="AB1199" s="116"/>
      <c r="AC1199" s="116"/>
    </row>
    <row r="1200" spans="1:29" hidden="1" x14ac:dyDescent="0.3">
      <c r="A1200" s="18" t="s">
        <v>2352</v>
      </c>
      <c r="B1200" s="18" t="s">
        <v>148</v>
      </c>
      <c r="C1200" s="18" t="s">
        <v>2384</v>
      </c>
      <c r="D1200" s="14" t="s">
        <v>545</v>
      </c>
      <c r="E1200" s="18" t="s">
        <v>9</v>
      </c>
      <c r="F1200" s="14" t="s">
        <v>1203</v>
      </c>
      <c r="G1200" s="14" t="s">
        <v>518</v>
      </c>
      <c r="H1200" s="18" t="s">
        <v>5</v>
      </c>
      <c r="I1200" s="14" t="s">
        <v>117</v>
      </c>
      <c r="J1200" s="14">
        <v>10</v>
      </c>
      <c r="K1200" s="14" t="s">
        <v>884</v>
      </c>
      <c r="L1200" s="14"/>
      <c r="M1200" s="14">
        <v>1</v>
      </c>
      <c r="N1200" s="15">
        <v>510000</v>
      </c>
      <c r="O1200" s="15">
        <f t="shared" si="45"/>
        <v>510000</v>
      </c>
      <c r="P1200" s="15"/>
      <c r="Q1200" s="14" t="s">
        <v>520</v>
      </c>
      <c r="R1200" s="25">
        <v>45412</v>
      </c>
      <c r="S1200" s="22" t="str">
        <f>TEXT(Table1[[#This Row],[End Date]],"MMMM")</f>
        <v>April</v>
      </c>
      <c r="T1200" s="23" t="str">
        <f>TEXT(Table1[[#This Row],[End Date]],"YYYY")</f>
        <v>2024</v>
      </c>
      <c r="U1200" s="24">
        <f t="shared" ca="1" si="44"/>
        <v>-279</v>
      </c>
      <c r="V1200" s="14" t="str" cm="1">
        <f t="array" aca="1" ref="V1200" ca="1">_xlfn.IFS(Table1[[#This Row],[Agreement Days]]&gt;=0,"Expired",Table1[[#This Row],[Agreement Days]]&gt;=-30,"Expires &lt; 30 Days",Table1[[#This Row],[Agreement Days]]&gt;=-60,"Expires &lt; 60 Days",Table1[[#This Row],[Agreement Days]]&lt;-60,"Valid Contract")</f>
        <v>Valid Contract</v>
      </c>
      <c r="W1200" s="14" t="s">
        <v>19</v>
      </c>
      <c r="X1200" s="14" t="s">
        <v>2354</v>
      </c>
      <c r="Y1200" s="14" t="s">
        <v>2355</v>
      </c>
      <c r="Z1200" s="27">
        <v>788317654</v>
      </c>
      <c r="AA1200" s="17"/>
      <c r="AB1200" s="116"/>
      <c r="AC1200" s="116"/>
    </row>
    <row r="1201" spans="1:29" hidden="1" x14ac:dyDescent="0.3">
      <c r="A1201" s="18" t="s">
        <v>2352</v>
      </c>
      <c r="B1201" s="18" t="s">
        <v>148</v>
      </c>
      <c r="C1201" s="18" t="s">
        <v>2353</v>
      </c>
      <c r="D1201" s="14" t="s">
        <v>545</v>
      </c>
      <c r="E1201" s="18" t="s">
        <v>9</v>
      </c>
      <c r="F1201" s="14" t="s">
        <v>1203</v>
      </c>
      <c r="G1201" s="14" t="s">
        <v>518</v>
      </c>
      <c r="H1201" s="18" t="s">
        <v>5</v>
      </c>
      <c r="I1201" s="14" t="s">
        <v>117</v>
      </c>
      <c r="J1201" s="14">
        <v>20</v>
      </c>
      <c r="K1201" s="14" t="s">
        <v>654</v>
      </c>
      <c r="L1201" s="14"/>
      <c r="M1201" s="14">
        <v>1</v>
      </c>
      <c r="N1201" s="15">
        <v>900000</v>
      </c>
      <c r="O1201" s="15">
        <f t="shared" si="45"/>
        <v>900000</v>
      </c>
      <c r="P1201" s="15"/>
      <c r="Q1201" s="14" t="s">
        <v>520</v>
      </c>
      <c r="R1201" s="25">
        <v>45412</v>
      </c>
      <c r="S1201" s="22" t="str">
        <f>TEXT(Table1[[#This Row],[End Date]],"MMMM")</f>
        <v>April</v>
      </c>
      <c r="T1201" s="23" t="str">
        <f>TEXT(Table1[[#This Row],[End Date]],"YYYY")</f>
        <v>2024</v>
      </c>
      <c r="U1201" s="24">
        <f t="shared" ca="1" si="44"/>
        <v>-279</v>
      </c>
      <c r="V1201" s="14" t="str" cm="1">
        <f t="array" aca="1" ref="V1201" ca="1">_xlfn.IFS(Table1[[#This Row],[Agreement Days]]&gt;=0,"Expired",Table1[[#This Row],[Agreement Days]]&gt;=-30,"Expires &lt; 30 Days",Table1[[#This Row],[Agreement Days]]&gt;=-60,"Expires &lt; 60 Days",Table1[[#This Row],[Agreement Days]]&lt;-60,"Valid Contract")</f>
        <v>Valid Contract</v>
      </c>
      <c r="W1201" s="14" t="s">
        <v>19</v>
      </c>
      <c r="X1201" s="14" t="s">
        <v>2354</v>
      </c>
      <c r="Y1201" s="14" t="s">
        <v>2355</v>
      </c>
      <c r="Z1201" s="27">
        <v>788317654</v>
      </c>
      <c r="AA1201" s="17"/>
      <c r="AB1201" s="116"/>
      <c r="AC1201" s="116"/>
    </row>
    <row r="1202" spans="1:29" hidden="1" x14ac:dyDescent="0.3">
      <c r="A1202" s="18" t="s">
        <v>2352</v>
      </c>
      <c r="B1202" s="18" t="s">
        <v>148</v>
      </c>
      <c r="C1202" s="18" t="s">
        <v>2385</v>
      </c>
      <c r="D1202" s="14" t="s">
        <v>545</v>
      </c>
      <c r="E1202" s="18" t="s">
        <v>9</v>
      </c>
      <c r="F1202" s="14" t="s">
        <v>1203</v>
      </c>
      <c r="G1202" s="14" t="s">
        <v>518</v>
      </c>
      <c r="H1202" s="18" t="s">
        <v>5</v>
      </c>
      <c r="I1202" s="14" t="s">
        <v>117</v>
      </c>
      <c r="J1202" s="14">
        <v>30</v>
      </c>
      <c r="K1202" s="14" t="s">
        <v>2386</v>
      </c>
      <c r="L1202" s="14"/>
      <c r="M1202" s="14">
        <v>1</v>
      </c>
      <c r="N1202" s="15">
        <v>1260000</v>
      </c>
      <c r="O1202" s="15">
        <f t="shared" si="45"/>
        <v>1260000</v>
      </c>
      <c r="P1202" s="15"/>
      <c r="Q1202" s="14" t="s">
        <v>520</v>
      </c>
      <c r="R1202" s="25">
        <v>45412</v>
      </c>
      <c r="S1202" s="22" t="str">
        <f>TEXT(Table1[[#This Row],[End Date]],"MMMM")</f>
        <v>April</v>
      </c>
      <c r="T1202" s="23" t="str">
        <f>TEXT(Table1[[#This Row],[End Date]],"YYYY")</f>
        <v>2024</v>
      </c>
      <c r="U1202" s="24">
        <f t="shared" ca="1" si="44"/>
        <v>-279</v>
      </c>
      <c r="V1202" s="14" t="str" cm="1">
        <f t="array" aca="1" ref="V1202" ca="1">_xlfn.IFS(Table1[[#This Row],[Agreement Days]]&gt;=0,"Expired",Table1[[#This Row],[Agreement Days]]&gt;=-30,"Expires &lt; 30 Days",Table1[[#This Row],[Agreement Days]]&gt;=-60,"Expires &lt; 60 Days",Table1[[#This Row],[Agreement Days]]&lt;-60,"Valid Contract")</f>
        <v>Valid Contract</v>
      </c>
      <c r="W1202" s="14" t="s">
        <v>19</v>
      </c>
      <c r="X1202" s="14" t="s">
        <v>2354</v>
      </c>
      <c r="Y1202" s="14" t="s">
        <v>2355</v>
      </c>
      <c r="Z1202" s="27">
        <v>788317654</v>
      </c>
      <c r="AA1202" s="17"/>
      <c r="AB1202" s="116"/>
      <c r="AC1202" s="116"/>
    </row>
    <row r="1203" spans="1:29" hidden="1" x14ac:dyDescent="0.3">
      <c r="A1203" s="18" t="s">
        <v>2352</v>
      </c>
      <c r="B1203" s="18" t="s">
        <v>148</v>
      </c>
      <c r="C1203" s="18" t="s">
        <v>2387</v>
      </c>
      <c r="D1203" s="14" t="s">
        <v>545</v>
      </c>
      <c r="E1203" s="18" t="s">
        <v>9</v>
      </c>
      <c r="F1203" s="14" t="s">
        <v>1203</v>
      </c>
      <c r="G1203" s="14" t="s">
        <v>518</v>
      </c>
      <c r="H1203" s="18" t="s">
        <v>5</v>
      </c>
      <c r="I1203" s="14" t="s">
        <v>116</v>
      </c>
      <c r="J1203" s="14"/>
      <c r="K1203" s="14" t="s">
        <v>533</v>
      </c>
      <c r="L1203" s="14">
        <v>19</v>
      </c>
      <c r="M1203" s="14">
        <v>1</v>
      </c>
      <c r="N1203" s="15">
        <v>999701.69491525425</v>
      </c>
      <c r="O1203" s="15">
        <f t="shared" si="45"/>
        <v>999701.69491525425</v>
      </c>
      <c r="P1203" s="15"/>
      <c r="Q1203" s="14" t="s">
        <v>520</v>
      </c>
      <c r="R1203" s="25">
        <v>45412</v>
      </c>
      <c r="S1203" s="22" t="str">
        <f>TEXT(Table1[[#This Row],[End Date]],"MMMM")</f>
        <v>April</v>
      </c>
      <c r="T1203" s="23" t="str">
        <f>TEXT(Table1[[#This Row],[End Date]],"YYYY")</f>
        <v>2024</v>
      </c>
      <c r="U1203" s="24">
        <f t="shared" ca="1" si="44"/>
        <v>-279</v>
      </c>
      <c r="V1203" s="14" t="str" cm="1">
        <f t="array" aca="1" ref="V1203" ca="1">_xlfn.IFS(Table1[[#This Row],[Agreement Days]]&gt;=0,"Expired",Table1[[#This Row],[Agreement Days]]&gt;=-30,"Expires &lt; 30 Days",Table1[[#This Row],[Agreement Days]]&gt;=-60,"Expires &lt; 60 Days",Table1[[#This Row],[Agreement Days]]&lt;-60,"Valid Contract")</f>
        <v>Valid Contract</v>
      </c>
      <c r="W1203" s="14" t="s">
        <v>19</v>
      </c>
      <c r="X1203" s="14" t="s">
        <v>2354</v>
      </c>
      <c r="Y1203" s="14" t="s">
        <v>2355</v>
      </c>
      <c r="Z1203" s="27">
        <v>788317654</v>
      </c>
      <c r="AA1203" s="17"/>
      <c r="AB1203" s="116"/>
      <c r="AC1203" s="116"/>
    </row>
    <row r="1204" spans="1:29" hidden="1" x14ac:dyDescent="0.3">
      <c r="A1204" s="18" t="s">
        <v>2388</v>
      </c>
      <c r="B1204" s="18" t="s">
        <v>340</v>
      </c>
      <c r="C1204" s="18" t="s">
        <v>2389</v>
      </c>
      <c r="D1204" s="14" t="s">
        <v>542</v>
      </c>
      <c r="E1204" s="18" t="s">
        <v>9</v>
      </c>
      <c r="F1204" s="14" t="s">
        <v>517</v>
      </c>
      <c r="G1204" s="14" t="s">
        <v>546</v>
      </c>
      <c r="H1204" s="18" t="s">
        <v>5</v>
      </c>
      <c r="I1204" s="14" t="s">
        <v>117</v>
      </c>
      <c r="J1204" s="14">
        <v>5</v>
      </c>
      <c r="K1204" s="14" t="s">
        <v>519</v>
      </c>
      <c r="L1204" s="14"/>
      <c r="M1204" s="14">
        <v>1</v>
      </c>
      <c r="N1204" s="15">
        <v>270000</v>
      </c>
      <c r="O1204" s="15">
        <f t="shared" si="45"/>
        <v>270000</v>
      </c>
      <c r="P1204" s="15"/>
      <c r="Q1204" s="14" t="s">
        <v>520</v>
      </c>
      <c r="R1204" s="21">
        <v>45413</v>
      </c>
      <c r="S1204" s="22" t="str">
        <f>TEXT(Table1[[#This Row],[End Date]],"MMMM")</f>
        <v>May</v>
      </c>
      <c r="T1204" s="23" t="str">
        <f>TEXT(Table1[[#This Row],[End Date]],"YYYY")</f>
        <v>2024</v>
      </c>
      <c r="U1204" s="24">
        <f t="shared" ca="1" si="44"/>
        <v>-280</v>
      </c>
      <c r="V1204" s="14" t="str" cm="1">
        <f t="array" aca="1" ref="V1204" ca="1">_xlfn.IFS(Table1[[#This Row],[Agreement Days]]&gt;=0,"Expired",Table1[[#This Row],[Agreement Days]]&gt;=-30,"Expires &lt; 30 Days",Table1[[#This Row],[Agreement Days]]&gt;=-60,"Expires &lt; 60 Days",Table1[[#This Row],[Agreement Days]]&lt;-60,"Valid Contract")</f>
        <v>Valid Contract</v>
      </c>
      <c r="W1204" s="14" t="s">
        <v>19</v>
      </c>
      <c r="X1204" s="14" t="s">
        <v>2390</v>
      </c>
      <c r="Y1204" s="14" t="s">
        <v>2391</v>
      </c>
      <c r="Z1204" s="17">
        <v>783137224</v>
      </c>
      <c r="AA1204" s="17"/>
      <c r="AB1204" s="116"/>
      <c r="AC1204" s="116"/>
    </row>
    <row r="1205" spans="1:29" hidden="1" x14ac:dyDescent="0.3">
      <c r="A1205" s="18" t="s">
        <v>2388</v>
      </c>
      <c r="B1205" s="18" t="s">
        <v>340</v>
      </c>
      <c r="C1205" s="18" t="s">
        <v>2389</v>
      </c>
      <c r="D1205" s="14" t="s">
        <v>542</v>
      </c>
      <c r="E1205" s="18" t="s">
        <v>9</v>
      </c>
      <c r="F1205" s="14" t="s">
        <v>517</v>
      </c>
      <c r="G1205" s="14" t="s">
        <v>546</v>
      </c>
      <c r="H1205" s="18" t="s">
        <v>2</v>
      </c>
      <c r="I1205" s="14" t="s">
        <v>120</v>
      </c>
      <c r="J1205" s="14"/>
      <c r="K1205" s="14" t="s">
        <v>649</v>
      </c>
      <c r="L1205" s="14"/>
      <c r="M1205" s="14">
        <v>1</v>
      </c>
      <c r="N1205" s="15">
        <v>258044</v>
      </c>
      <c r="O1205" s="15">
        <f t="shared" si="45"/>
        <v>258044</v>
      </c>
      <c r="P1205" s="15"/>
      <c r="Q1205" s="14" t="s">
        <v>520</v>
      </c>
      <c r="R1205" s="21">
        <v>45413</v>
      </c>
      <c r="S1205" s="22" t="str">
        <f>TEXT(Table1[[#This Row],[End Date]],"MMMM")</f>
        <v>May</v>
      </c>
      <c r="T1205" s="23" t="str">
        <f>TEXT(Table1[[#This Row],[End Date]],"YYYY")</f>
        <v>2024</v>
      </c>
      <c r="U1205" s="24">
        <f t="shared" ca="1" si="44"/>
        <v>-280</v>
      </c>
      <c r="V1205" s="14" t="str" cm="1">
        <f t="array" aca="1" ref="V1205" ca="1">_xlfn.IFS(Table1[[#This Row],[Agreement Days]]&gt;=0,"Expired",Table1[[#This Row],[Agreement Days]]&gt;=-30,"Expires &lt; 30 Days",Table1[[#This Row],[Agreement Days]]&gt;=-60,"Expires &lt; 60 Days",Table1[[#This Row],[Agreement Days]]&lt;-60,"Valid Contract")</f>
        <v>Valid Contract</v>
      </c>
      <c r="W1205" s="14" t="s">
        <v>19</v>
      </c>
      <c r="X1205" s="14" t="s">
        <v>742</v>
      </c>
      <c r="Y1205" s="14" t="s">
        <v>2391</v>
      </c>
      <c r="Z1205" s="17">
        <v>783137224</v>
      </c>
      <c r="AA1205" s="17"/>
      <c r="AB1205" s="116"/>
      <c r="AC1205" s="116"/>
    </row>
    <row r="1206" spans="1:29" hidden="1" x14ac:dyDescent="0.3">
      <c r="A1206" s="18" t="s">
        <v>2388</v>
      </c>
      <c r="B1206" s="18" t="s">
        <v>340</v>
      </c>
      <c r="C1206" s="18" t="s">
        <v>2389</v>
      </c>
      <c r="D1206" s="14" t="s">
        <v>542</v>
      </c>
      <c r="E1206" s="18" t="s">
        <v>9</v>
      </c>
      <c r="F1206" s="14" t="s">
        <v>517</v>
      </c>
      <c r="G1206" s="14" t="s">
        <v>546</v>
      </c>
      <c r="H1206" s="18" t="s">
        <v>4</v>
      </c>
      <c r="I1206" s="14" t="s">
        <v>118</v>
      </c>
      <c r="J1206" s="14"/>
      <c r="K1206" s="14" t="s">
        <v>594</v>
      </c>
      <c r="L1206" s="14"/>
      <c r="M1206" s="14">
        <v>1</v>
      </c>
      <c r="N1206" s="15">
        <v>86130</v>
      </c>
      <c r="O1206" s="15">
        <f t="shared" si="45"/>
        <v>86130</v>
      </c>
      <c r="P1206" s="15"/>
      <c r="Q1206" s="14" t="s">
        <v>520</v>
      </c>
      <c r="R1206" s="21">
        <v>45413</v>
      </c>
      <c r="S1206" s="22" t="str">
        <f>TEXT(Table1[[#This Row],[End Date]],"MMMM")</f>
        <v>May</v>
      </c>
      <c r="T1206" s="23" t="str">
        <f>TEXT(Table1[[#This Row],[End Date]],"YYYY")</f>
        <v>2024</v>
      </c>
      <c r="U1206" s="24">
        <f t="shared" ca="1" si="44"/>
        <v>-280</v>
      </c>
      <c r="V1206" s="14" t="str" cm="1">
        <f t="array" aca="1" ref="V1206" ca="1">_xlfn.IFS(Table1[[#This Row],[Agreement Days]]&gt;=0,"Expired",Table1[[#This Row],[Agreement Days]]&gt;=-30,"Expires &lt; 30 Days",Table1[[#This Row],[Agreement Days]]&gt;=-60,"Expires &lt; 60 Days",Table1[[#This Row],[Agreement Days]]&lt;-60,"Valid Contract")</f>
        <v>Valid Contract</v>
      </c>
      <c r="W1206" s="14" t="s">
        <v>19</v>
      </c>
      <c r="X1206" s="14" t="s">
        <v>742</v>
      </c>
      <c r="Y1206" s="14" t="s">
        <v>2391</v>
      </c>
      <c r="Z1206" s="17">
        <v>783137224</v>
      </c>
      <c r="AA1206" s="17"/>
      <c r="AB1206" s="116"/>
      <c r="AC1206" s="116"/>
    </row>
    <row r="1207" spans="1:29" hidden="1" x14ac:dyDescent="0.3">
      <c r="A1207" s="18" t="s">
        <v>1476</v>
      </c>
      <c r="B1207" s="18" t="s">
        <v>292</v>
      </c>
      <c r="C1207" s="18" t="s">
        <v>1477</v>
      </c>
      <c r="D1207" s="14" t="s">
        <v>735</v>
      </c>
      <c r="E1207" s="18" t="s">
        <v>9</v>
      </c>
      <c r="F1207" s="14" t="s">
        <v>517</v>
      </c>
      <c r="G1207" s="14" t="s">
        <v>518</v>
      </c>
      <c r="H1207" s="18" t="s">
        <v>5</v>
      </c>
      <c r="I1207" s="14" t="s">
        <v>117</v>
      </c>
      <c r="J1207" s="14">
        <v>15</v>
      </c>
      <c r="K1207" s="14" t="s">
        <v>2392</v>
      </c>
      <c r="L1207" s="14"/>
      <c r="M1207" s="14">
        <v>1</v>
      </c>
      <c r="N1207" s="15">
        <v>720000</v>
      </c>
      <c r="O1207" s="15">
        <f t="shared" si="45"/>
        <v>720000</v>
      </c>
      <c r="P1207" s="15"/>
      <c r="Q1207" s="14" t="s">
        <v>520</v>
      </c>
      <c r="R1207" s="25">
        <v>45414</v>
      </c>
      <c r="S1207" s="22" t="str">
        <f>TEXT(Table1[[#This Row],[End Date]],"MMMM")</f>
        <v>May</v>
      </c>
      <c r="T1207" s="23" t="str">
        <f>TEXT(Table1[[#This Row],[End Date]],"YYYY")</f>
        <v>2024</v>
      </c>
      <c r="U1207" s="24">
        <f t="shared" ca="1" si="44"/>
        <v>-281</v>
      </c>
      <c r="V1207" s="14" t="str" cm="1">
        <f t="array" aca="1" ref="V1207" ca="1">_xlfn.IFS(Table1[[#This Row],[Agreement Days]]&gt;=0,"Expired",Table1[[#This Row],[Agreement Days]]&gt;=-30,"Expires &lt; 30 Days",Table1[[#This Row],[Agreement Days]]&gt;=-60,"Expires &lt; 60 Days",Table1[[#This Row],[Agreement Days]]&lt;-60,"Valid Contract")</f>
        <v>Valid Contract</v>
      </c>
      <c r="W1207" s="14" t="s">
        <v>19</v>
      </c>
      <c r="X1207" s="14" t="s">
        <v>1478</v>
      </c>
      <c r="Y1207" s="14" t="s">
        <v>1479</v>
      </c>
      <c r="Z1207" s="17">
        <v>788512166</v>
      </c>
      <c r="AA1207" s="17"/>
      <c r="AB1207" s="116"/>
      <c r="AC1207" s="116"/>
    </row>
    <row r="1208" spans="1:29" x14ac:dyDescent="0.3">
      <c r="A1208" s="18" t="s">
        <v>2393</v>
      </c>
      <c r="B1208" s="18" t="s">
        <v>250</v>
      </c>
      <c r="C1208" s="18" t="s">
        <v>2394</v>
      </c>
      <c r="D1208" s="14" t="s">
        <v>545</v>
      </c>
      <c r="E1208" s="18" t="s">
        <v>10</v>
      </c>
      <c r="F1208" s="14" t="s">
        <v>527</v>
      </c>
      <c r="G1208" s="14" t="s">
        <v>518</v>
      </c>
      <c r="H1208" s="18" t="s">
        <v>2</v>
      </c>
      <c r="I1208" s="14" t="s">
        <v>134</v>
      </c>
      <c r="J1208" s="14">
        <v>100</v>
      </c>
      <c r="K1208" s="14" t="s">
        <v>1573</v>
      </c>
      <c r="L1208" s="14"/>
      <c r="M1208" s="14">
        <v>1</v>
      </c>
      <c r="N1208" s="15">
        <v>1800000</v>
      </c>
      <c r="O1208" s="15">
        <f t="shared" si="45"/>
        <v>1800000</v>
      </c>
      <c r="P1208" s="15"/>
      <c r="Q1208" s="14" t="s">
        <v>520</v>
      </c>
      <c r="R1208" s="25">
        <v>45414</v>
      </c>
      <c r="S1208" s="22" t="str">
        <f>TEXT(Table1[[#This Row],[End Date]],"MMMM")</f>
        <v>May</v>
      </c>
      <c r="T1208" s="23" t="str">
        <f>TEXT(Table1[[#This Row],[End Date]],"YYYY")</f>
        <v>2024</v>
      </c>
      <c r="U1208" s="24">
        <f t="shared" ca="1" si="44"/>
        <v>-281</v>
      </c>
      <c r="V1208" s="14" t="str" cm="1">
        <f t="array" aca="1" ref="V1208" ca="1">_xlfn.IFS(Table1[[#This Row],[Agreement Days]]&gt;=0,"Expired",Table1[[#This Row],[Agreement Days]]&gt;=-30,"Expires &lt; 30 Days",Table1[[#This Row],[Agreement Days]]&gt;=-60,"Expires &lt; 60 Days",Table1[[#This Row],[Agreement Days]]&lt;-60,"Valid Contract")</f>
        <v>Valid Contract</v>
      </c>
      <c r="W1208" s="14" t="s">
        <v>12</v>
      </c>
      <c r="X1208" s="14" t="s">
        <v>2395</v>
      </c>
      <c r="Y1208" s="16" t="s">
        <v>2396</v>
      </c>
      <c r="Z1208" s="27" t="s">
        <v>2397</v>
      </c>
      <c r="AA1208" s="17"/>
      <c r="AB1208" s="116"/>
      <c r="AC1208" s="116"/>
    </row>
    <row r="1209" spans="1:29" hidden="1" x14ac:dyDescent="0.3">
      <c r="A1209" s="18" t="s">
        <v>1362</v>
      </c>
      <c r="B1209" s="18" t="s">
        <v>293</v>
      </c>
      <c r="C1209" s="18" t="s">
        <v>293</v>
      </c>
      <c r="D1209" s="14" t="s">
        <v>545</v>
      </c>
      <c r="E1209" s="18" t="s">
        <v>9</v>
      </c>
      <c r="F1209" s="14" t="s">
        <v>517</v>
      </c>
      <c r="G1209" s="14" t="s">
        <v>518</v>
      </c>
      <c r="H1209" s="18" t="s">
        <v>4</v>
      </c>
      <c r="I1209" s="14" t="s">
        <v>118</v>
      </c>
      <c r="J1209" s="14"/>
      <c r="K1209" s="14" t="s">
        <v>650</v>
      </c>
      <c r="L1209" s="14"/>
      <c r="M1209" s="14">
        <v>1</v>
      </c>
      <c r="N1209" s="15">
        <v>369325.42</v>
      </c>
      <c r="O1209" s="15">
        <f t="shared" si="45"/>
        <v>369325.42</v>
      </c>
      <c r="P1209" s="15"/>
      <c r="Q1209" s="14" t="s">
        <v>520</v>
      </c>
      <c r="R1209" s="32">
        <v>45415</v>
      </c>
      <c r="S1209" s="22" t="str">
        <f>TEXT(Table1[[#This Row],[End Date]],"MMMM")</f>
        <v>May</v>
      </c>
      <c r="T1209" s="22" t="str">
        <f>TEXT(Table1[[#This Row],[End Date]],"YYYY")</f>
        <v>2024</v>
      </c>
      <c r="U1209" s="24">
        <f t="shared" ca="1" si="44"/>
        <v>-282</v>
      </c>
      <c r="V1209" s="14" t="str" cm="1">
        <f t="array" aca="1" ref="V1209" ca="1">_xlfn.IFS(Table1[[#This Row],[Agreement Days]]&gt;=0,"Expired",Table1[[#This Row],[Agreement Days]]&gt;=-30,"Expires &lt; 30 Days",Table1[[#This Row],[Agreement Days]]&gt;=-60,"Expires &lt; 60 Days",Table1[[#This Row],[Agreement Days]]&lt;-60,"Valid Contract")</f>
        <v>Valid Contract</v>
      </c>
      <c r="W1209" s="14" t="s">
        <v>20</v>
      </c>
      <c r="X1209" s="14" t="s">
        <v>1363</v>
      </c>
      <c r="Y1209" s="16" t="s">
        <v>1364</v>
      </c>
      <c r="Z1209" s="17" t="s">
        <v>1365</v>
      </c>
      <c r="AA1209" s="19" t="s">
        <v>2398</v>
      </c>
      <c r="AB1209" s="116"/>
      <c r="AC1209" s="116"/>
    </row>
    <row r="1210" spans="1:29" x14ac:dyDescent="0.3">
      <c r="A1210" s="18" t="s">
        <v>1742</v>
      </c>
      <c r="B1210" s="18" t="s">
        <v>180</v>
      </c>
      <c r="C1210" s="18" t="s">
        <v>2399</v>
      </c>
      <c r="D1210" s="14" t="s">
        <v>653</v>
      </c>
      <c r="E1210" s="18" t="s">
        <v>9</v>
      </c>
      <c r="F1210" s="14" t="s">
        <v>517</v>
      </c>
      <c r="G1210" s="14" t="s">
        <v>518</v>
      </c>
      <c r="H1210" s="18" t="s">
        <v>5</v>
      </c>
      <c r="I1210" s="14" t="s">
        <v>117</v>
      </c>
      <c r="J1210" s="14">
        <v>80</v>
      </c>
      <c r="K1210" s="14" t="s">
        <v>2400</v>
      </c>
      <c r="L1210" s="14"/>
      <c r="M1210" s="14">
        <v>1</v>
      </c>
      <c r="N1210" s="15">
        <f>2595500</f>
        <v>2595500</v>
      </c>
      <c r="O1210" s="15">
        <f t="shared" si="45"/>
        <v>2595500</v>
      </c>
      <c r="P1210" s="15"/>
      <c r="Q1210" s="14" t="s">
        <v>520</v>
      </c>
      <c r="R1210" s="25">
        <v>45415</v>
      </c>
      <c r="S1210" s="22" t="str">
        <f>TEXT(Table1[[#This Row],[End Date]],"MMMM")</f>
        <v>May</v>
      </c>
      <c r="T1210" s="23" t="str">
        <f>TEXT(Table1[[#This Row],[End Date]],"YYYY")</f>
        <v>2024</v>
      </c>
      <c r="U1210" s="24">
        <f t="shared" ca="1" si="44"/>
        <v>-282</v>
      </c>
      <c r="V1210" s="14" t="str" cm="1">
        <f t="array" aca="1" ref="V1210" ca="1">_xlfn.IFS(Table1[[#This Row],[Agreement Days]]&gt;=0,"Expired",Table1[[#This Row],[Agreement Days]]&gt;=-30,"Expires &lt; 30 Days",Table1[[#This Row],[Agreement Days]]&gt;=-60,"Expires &lt; 60 Days",Table1[[#This Row],[Agreement Days]]&lt;-60,"Valid Contract")</f>
        <v>Valid Contract</v>
      </c>
      <c r="W1210" s="14" t="s">
        <v>12</v>
      </c>
      <c r="X1210" s="14" t="s">
        <v>1744</v>
      </c>
      <c r="Y1210" s="16" t="s">
        <v>1745</v>
      </c>
      <c r="Z1210" s="27" t="s">
        <v>1746</v>
      </c>
      <c r="AA1210" s="17"/>
      <c r="AB1210" s="116"/>
      <c r="AC1210" s="116"/>
    </row>
    <row r="1211" spans="1:29" x14ac:dyDescent="0.3">
      <c r="A1211" s="18" t="s">
        <v>1742</v>
      </c>
      <c r="B1211" s="18" t="s">
        <v>180</v>
      </c>
      <c r="C1211" s="18" t="s">
        <v>968</v>
      </c>
      <c r="D1211" s="14" t="s">
        <v>653</v>
      </c>
      <c r="E1211" s="18" t="s">
        <v>9</v>
      </c>
      <c r="F1211" s="14" t="s">
        <v>517</v>
      </c>
      <c r="G1211" s="14" t="s">
        <v>518</v>
      </c>
      <c r="H1211" s="18" t="s">
        <v>2</v>
      </c>
      <c r="I1211" s="14" t="s">
        <v>120</v>
      </c>
      <c r="J1211" s="14"/>
      <c r="K1211" s="14" t="s">
        <v>970</v>
      </c>
      <c r="L1211" s="14"/>
      <c r="M1211" s="14">
        <v>1</v>
      </c>
      <c r="N1211" s="15">
        <f>304493/1.18</f>
        <v>258044.9152542373</v>
      </c>
      <c r="O1211" s="15">
        <f t="shared" si="45"/>
        <v>258044.9152542373</v>
      </c>
      <c r="P1211" s="15"/>
      <c r="Q1211" s="14" t="s">
        <v>520</v>
      </c>
      <c r="R1211" s="25">
        <v>45415</v>
      </c>
      <c r="S1211" s="22" t="str">
        <f>TEXT(Table1[[#This Row],[End Date]],"MMMM")</f>
        <v>May</v>
      </c>
      <c r="T1211" s="23" t="str">
        <f>TEXT(Table1[[#This Row],[End Date]],"YYYY")</f>
        <v>2024</v>
      </c>
      <c r="U1211" s="24">
        <f t="shared" ca="1" si="44"/>
        <v>-282</v>
      </c>
      <c r="V1211" s="14" t="str" cm="1">
        <f t="array" aca="1" ref="V1211" ca="1">_xlfn.IFS(Table1[[#This Row],[Agreement Days]]&gt;=0,"Expired",Table1[[#This Row],[Agreement Days]]&gt;=-30,"Expires &lt; 30 Days",Table1[[#This Row],[Agreement Days]]&gt;=-60,"Expires &lt; 60 Days",Table1[[#This Row],[Agreement Days]]&lt;-60,"Valid Contract")</f>
        <v>Valid Contract</v>
      </c>
      <c r="W1211" s="14" t="s">
        <v>12</v>
      </c>
      <c r="X1211" s="14" t="s">
        <v>1744</v>
      </c>
      <c r="Y1211" s="16" t="s">
        <v>1745</v>
      </c>
      <c r="Z1211" s="27" t="s">
        <v>1746</v>
      </c>
      <c r="AA1211" s="17"/>
      <c r="AB1211" s="116"/>
      <c r="AC1211" s="116"/>
    </row>
    <row r="1212" spans="1:29" x14ac:dyDescent="0.3">
      <c r="A1212" s="18" t="s">
        <v>1742</v>
      </c>
      <c r="B1212" s="18" t="s">
        <v>180</v>
      </c>
      <c r="C1212" s="18" t="s">
        <v>2401</v>
      </c>
      <c r="D1212" s="14" t="s">
        <v>653</v>
      </c>
      <c r="E1212" s="18" t="s">
        <v>9</v>
      </c>
      <c r="F1212" s="14" t="s">
        <v>517</v>
      </c>
      <c r="G1212" s="14" t="s">
        <v>518</v>
      </c>
      <c r="H1212" s="18" t="s">
        <v>3</v>
      </c>
      <c r="I1212" s="14" t="s">
        <v>116</v>
      </c>
      <c r="J1212" s="14"/>
      <c r="K1212" s="14" t="s">
        <v>533</v>
      </c>
      <c r="L1212" s="14">
        <v>11</v>
      </c>
      <c r="M1212" s="14">
        <v>1</v>
      </c>
      <c r="N1212" s="15">
        <f>1000000/1.18</f>
        <v>847457.62711864407</v>
      </c>
      <c r="O1212" s="15">
        <f t="shared" si="45"/>
        <v>847457.62711864407</v>
      </c>
      <c r="P1212" s="15"/>
      <c r="Q1212" s="14" t="s">
        <v>520</v>
      </c>
      <c r="R1212" s="25">
        <v>45415</v>
      </c>
      <c r="S1212" s="22" t="str">
        <f>TEXT(Table1[[#This Row],[End Date]],"MMMM")</f>
        <v>May</v>
      </c>
      <c r="T1212" s="23" t="str">
        <f>TEXT(Table1[[#This Row],[End Date]],"YYYY")</f>
        <v>2024</v>
      </c>
      <c r="U1212" s="24">
        <f t="shared" ca="1" si="44"/>
        <v>-282</v>
      </c>
      <c r="V1212" s="14" t="str" cm="1">
        <f t="array" aca="1" ref="V1212" ca="1">_xlfn.IFS(Table1[[#This Row],[Agreement Days]]&gt;=0,"Expired",Table1[[#This Row],[Agreement Days]]&gt;=-30,"Expires &lt; 30 Days",Table1[[#This Row],[Agreement Days]]&gt;=-60,"Expires &lt; 60 Days",Table1[[#This Row],[Agreement Days]]&lt;-60,"Valid Contract")</f>
        <v>Valid Contract</v>
      </c>
      <c r="W1212" s="14" t="s">
        <v>12</v>
      </c>
      <c r="X1212" s="14" t="s">
        <v>1744</v>
      </c>
      <c r="Y1212" s="16" t="s">
        <v>1745</v>
      </c>
      <c r="Z1212" s="27" t="s">
        <v>1746</v>
      </c>
      <c r="AA1212" s="17"/>
      <c r="AB1212" s="116"/>
      <c r="AC1212" s="116"/>
    </row>
    <row r="1213" spans="1:29" x14ac:dyDescent="0.3">
      <c r="A1213" s="18" t="s">
        <v>1742</v>
      </c>
      <c r="B1213" s="18" t="s">
        <v>180</v>
      </c>
      <c r="C1213" s="18" t="s">
        <v>2401</v>
      </c>
      <c r="D1213" s="14" t="s">
        <v>653</v>
      </c>
      <c r="E1213" s="18" t="s">
        <v>9</v>
      </c>
      <c r="F1213" s="14" t="s">
        <v>517</v>
      </c>
      <c r="G1213" s="14" t="s">
        <v>518</v>
      </c>
      <c r="H1213" s="18" t="s">
        <v>3</v>
      </c>
      <c r="I1213" s="14" t="s">
        <v>116</v>
      </c>
      <c r="J1213" s="14"/>
      <c r="K1213" s="14" t="s">
        <v>533</v>
      </c>
      <c r="L1213" s="14">
        <v>11</v>
      </c>
      <c r="M1213" s="14">
        <v>1</v>
      </c>
      <c r="N1213" s="15">
        <f>1000000/1.18</f>
        <v>847457.62711864407</v>
      </c>
      <c r="O1213" s="15">
        <f t="shared" si="45"/>
        <v>847457.62711864407</v>
      </c>
      <c r="P1213" s="15"/>
      <c r="Q1213" s="14" t="s">
        <v>520</v>
      </c>
      <c r="R1213" s="25">
        <v>45415</v>
      </c>
      <c r="S1213" s="22" t="str">
        <f>TEXT(Table1[[#This Row],[End Date]],"MMMM")</f>
        <v>May</v>
      </c>
      <c r="T1213" s="23" t="str">
        <f>TEXT(Table1[[#This Row],[End Date]],"YYYY")</f>
        <v>2024</v>
      </c>
      <c r="U1213" s="24">
        <f t="shared" ca="1" si="44"/>
        <v>-282</v>
      </c>
      <c r="V1213" s="14" t="str" cm="1">
        <f t="array" aca="1" ref="V1213" ca="1">_xlfn.IFS(Table1[[#This Row],[Agreement Days]]&gt;=0,"Expired",Table1[[#This Row],[Agreement Days]]&gt;=-30,"Expires &lt; 30 Days",Table1[[#This Row],[Agreement Days]]&gt;=-60,"Expires &lt; 60 Days",Table1[[#This Row],[Agreement Days]]&lt;-60,"Valid Contract")</f>
        <v>Valid Contract</v>
      </c>
      <c r="W1213" s="14" t="s">
        <v>12</v>
      </c>
      <c r="X1213" s="14" t="s">
        <v>1744</v>
      </c>
      <c r="Y1213" s="16" t="s">
        <v>1745</v>
      </c>
      <c r="Z1213" s="27" t="s">
        <v>1746</v>
      </c>
      <c r="AA1213" s="17"/>
      <c r="AB1213" s="116"/>
      <c r="AC1213" s="116"/>
    </row>
    <row r="1214" spans="1:29" hidden="1" x14ac:dyDescent="0.3">
      <c r="A1214" s="18" t="s">
        <v>1233</v>
      </c>
      <c r="B1214" s="18" t="s">
        <v>149</v>
      </c>
      <c r="C1214" s="18" t="s">
        <v>2402</v>
      </c>
      <c r="D1214" s="14" t="s">
        <v>545</v>
      </c>
      <c r="E1214" s="18" t="s">
        <v>9</v>
      </c>
      <c r="F1214" s="14" t="s">
        <v>688</v>
      </c>
      <c r="G1214" s="14" t="s">
        <v>546</v>
      </c>
      <c r="H1214" s="18" t="s">
        <v>5</v>
      </c>
      <c r="I1214" s="14" t="s">
        <v>117</v>
      </c>
      <c r="J1214" s="14">
        <v>5</v>
      </c>
      <c r="K1214" s="18" t="s">
        <v>519</v>
      </c>
      <c r="L1214" s="18"/>
      <c r="M1214" s="14">
        <v>1</v>
      </c>
      <c r="N1214" s="15">
        <v>270000</v>
      </c>
      <c r="O1214" s="15">
        <f t="shared" si="45"/>
        <v>270000</v>
      </c>
      <c r="P1214" s="15"/>
      <c r="Q1214" s="14" t="s">
        <v>520</v>
      </c>
      <c r="R1214" s="25">
        <v>45418</v>
      </c>
      <c r="S1214" s="34" t="str">
        <f>TEXT(Table1[[#This Row],[End Date]],"MMMM")</f>
        <v>May</v>
      </c>
      <c r="T1214" s="34" t="str">
        <f>TEXT(Table1[[#This Row],[End Date]],"YYYY")</f>
        <v>2024</v>
      </c>
      <c r="U1214" s="24">
        <f t="shared" ca="1" si="44"/>
        <v>-285</v>
      </c>
      <c r="V1214" s="14" t="str" cm="1">
        <f t="array" aca="1" ref="V1214" ca="1">_xlfn.IFS(Table1[[#This Row],[Agreement Days]]&gt;=0,"Expired",Table1[[#This Row],[Agreement Days]]&gt;=-30,"Expires &lt; 30 Days",Table1[[#This Row],[Agreement Days]]&gt;=-60,"Expires &lt; 60 Days",Table1[[#This Row],[Agreement Days]]&lt;-60,"Valid Contract")</f>
        <v>Valid Contract</v>
      </c>
      <c r="W1214" s="18" t="s">
        <v>21</v>
      </c>
      <c r="X1214" s="18" t="s">
        <v>1236</v>
      </c>
      <c r="Y1214" s="42" t="s">
        <v>1237</v>
      </c>
      <c r="Z1214" s="27">
        <v>788512162</v>
      </c>
      <c r="AA1214" s="27"/>
      <c r="AB1214" s="116"/>
      <c r="AC1214" s="116"/>
    </row>
    <row r="1215" spans="1:29" hidden="1" x14ac:dyDescent="0.3">
      <c r="A1215" s="18" t="s">
        <v>1233</v>
      </c>
      <c r="B1215" s="18" t="s">
        <v>149</v>
      </c>
      <c r="C1215" s="18" t="s">
        <v>1239</v>
      </c>
      <c r="D1215" s="14" t="s">
        <v>808</v>
      </c>
      <c r="E1215" s="18" t="s">
        <v>9</v>
      </c>
      <c r="F1215" s="14" t="s">
        <v>688</v>
      </c>
      <c r="G1215" s="14" t="s">
        <v>546</v>
      </c>
      <c r="H1215" s="18" t="s">
        <v>5</v>
      </c>
      <c r="I1215" s="14" t="s">
        <v>117</v>
      </c>
      <c r="J1215" s="14">
        <v>5</v>
      </c>
      <c r="K1215" s="18" t="s">
        <v>519</v>
      </c>
      <c r="L1215" s="18"/>
      <c r="M1215" s="14">
        <v>1</v>
      </c>
      <c r="N1215" s="15">
        <v>270000</v>
      </c>
      <c r="O1215" s="15">
        <f t="shared" si="45"/>
        <v>270000</v>
      </c>
      <c r="P1215" s="15"/>
      <c r="Q1215" s="14" t="s">
        <v>520</v>
      </c>
      <c r="R1215" s="25">
        <v>45418</v>
      </c>
      <c r="S1215" s="34" t="str">
        <f>TEXT(Table1[[#This Row],[End Date]],"MMMM")</f>
        <v>May</v>
      </c>
      <c r="T1215" s="34" t="str">
        <f>TEXT(Table1[[#This Row],[End Date]],"YYYY")</f>
        <v>2024</v>
      </c>
      <c r="U1215" s="24">
        <f t="shared" ca="1" si="44"/>
        <v>-285</v>
      </c>
      <c r="V1215" s="14" t="str" cm="1">
        <f t="array" aca="1" ref="V1215" ca="1">_xlfn.IFS(Table1[[#This Row],[Agreement Days]]&gt;=0,"Expired",Table1[[#This Row],[Agreement Days]]&gt;=-30,"Expires &lt; 30 Days",Table1[[#This Row],[Agreement Days]]&gt;=-60,"Expires &lt; 60 Days",Table1[[#This Row],[Agreement Days]]&lt;-60,"Valid Contract")</f>
        <v>Valid Contract</v>
      </c>
      <c r="W1215" s="18" t="s">
        <v>21</v>
      </c>
      <c r="X1215" s="18" t="s">
        <v>1236</v>
      </c>
      <c r="Y1215" s="42" t="s">
        <v>1237</v>
      </c>
      <c r="Z1215" s="27">
        <v>788512162</v>
      </c>
      <c r="AA1215" s="27"/>
      <c r="AB1215" s="116"/>
      <c r="AC1215" s="116"/>
    </row>
    <row r="1216" spans="1:29" hidden="1" x14ac:dyDescent="0.3">
      <c r="A1216" s="18" t="s">
        <v>1233</v>
      </c>
      <c r="B1216" s="18" t="s">
        <v>149</v>
      </c>
      <c r="C1216" s="18" t="s">
        <v>1240</v>
      </c>
      <c r="D1216" s="14" t="s">
        <v>616</v>
      </c>
      <c r="E1216" s="18" t="s">
        <v>9</v>
      </c>
      <c r="F1216" s="14" t="s">
        <v>688</v>
      </c>
      <c r="G1216" s="14" t="s">
        <v>546</v>
      </c>
      <c r="H1216" s="18" t="s">
        <v>5</v>
      </c>
      <c r="I1216" s="14" t="s">
        <v>117</v>
      </c>
      <c r="J1216" s="14">
        <v>5</v>
      </c>
      <c r="K1216" s="18" t="s">
        <v>519</v>
      </c>
      <c r="L1216" s="18"/>
      <c r="M1216" s="14">
        <v>1</v>
      </c>
      <c r="N1216" s="15">
        <v>270000</v>
      </c>
      <c r="O1216" s="15">
        <f t="shared" si="45"/>
        <v>270000</v>
      </c>
      <c r="P1216" s="15"/>
      <c r="Q1216" s="14" t="s">
        <v>520</v>
      </c>
      <c r="R1216" s="25">
        <v>45418</v>
      </c>
      <c r="S1216" s="34" t="str">
        <f>TEXT(Table1[[#This Row],[End Date]],"MMMM")</f>
        <v>May</v>
      </c>
      <c r="T1216" s="34" t="str">
        <f>TEXT(Table1[[#This Row],[End Date]],"YYYY")</f>
        <v>2024</v>
      </c>
      <c r="U1216" s="24">
        <f t="shared" ca="1" si="44"/>
        <v>-285</v>
      </c>
      <c r="V1216" s="14" t="str" cm="1">
        <f t="array" aca="1" ref="V1216" ca="1">_xlfn.IFS(Table1[[#This Row],[Agreement Days]]&gt;=0,"Expired",Table1[[#This Row],[Agreement Days]]&gt;=-30,"Expires &lt; 30 Days",Table1[[#This Row],[Agreement Days]]&gt;=-60,"Expires &lt; 60 Days",Table1[[#This Row],[Agreement Days]]&lt;-60,"Valid Contract")</f>
        <v>Valid Contract</v>
      </c>
      <c r="W1216" s="18" t="s">
        <v>21</v>
      </c>
      <c r="X1216" s="18" t="s">
        <v>1236</v>
      </c>
      <c r="Y1216" s="42" t="s">
        <v>1237</v>
      </c>
      <c r="Z1216" s="27">
        <v>788512162</v>
      </c>
      <c r="AA1216" s="27"/>
      <c r="AB1216" s="116"/>
      <c r="AC1216" s="116"/>
    </row>
    <row r="1217" spans="1:29" hidden="1" x14ac:dyDescent="0.3">
      <c r="A1217" s="18" t="s">
        <v>1233</v>
      </c>
      <c r="B1217" s="18" t="s">
        <v>149</v>
      </c>
      <c r="C1217" s="18" t="s">
        <v>1242</v>
      </c>
      <c r="D1217" s="14" t="s">
        <v>735</v>
      </c>
      <c r="E1217" s="18" t="s">
        <v>9</v>
      </c>
      <c r="F1217" s="14" t="s">
        <v>688</v>
      </c>
      <c r="G1217" s="14" t="s">
        <v>546</v>
      </c>
      <c r="H1217" s="18" t="s">
        <v>5</v>
      </c>
      <c r="I1217" s="14" t="s">
        <v>117</v>
      </c>
      <c r="J1217" s="14">
        <v>5</v>
      </c>
      <c r="K1217" s="18" t="s">
        <v>519</v>
      </c>
      <c r="L1217" s="18"/>
      <c r="M1217" s="14">
        <v>1</v>
      </c>
      <c r="N1217" s="15">
        <v>270000</v>
      </c>
      <c r="O1217" s="15">
        <f t="shared" si="45"/>
        <v>270000</v>
      </c>
      <c r="P1217" s="15"/>
      <c r="Q1217" s="14" t="s">
        <v>520</v>
      </c>
      <c r="R1217" s="25">
        <v>45418</v>
      </c>
      <c r="S1217" s="34" t="str">
        <f>TEXT(Table1[[#This Row],[End Date]],"MMMM")</f>
        <v>May</v>
      </c>
      <c r="T1217" s="34" t="str">
        <f>TEXT(Table1[[#This Row],[End Date]],"YYYY")</f>
        <v>2024</v>
      </c>
      <c r="U1217" s="24">
        <f t="shared" ca="1" si="44"/>
        <v>-285</v>
      </c>
      <c r="V1217" s="14" t="str" cm="1">
        <f t="array" aca="1" ref="V1217" ca="1">_xlfn.IFS(Table1[[#This Row],[Agreement Days]]&gt;=0,"Expired",Table1[[#This Row],[Agreement Days]]&gt;=-30,"Expires &lt; 30 Days",Table1[[#This Row],[Agreement Days]]&gt;=-60,"Expires &lt; 60 Days",Table1[[#This Row],[Agreement Days]]&lt;-60,"Valid Contract")</f>
        <v>Valid Contract</v>
      </c>
      <c r="W1217" s="18" t="s">
        <v>21</v>
      </c>
      <c r="X1217" s="18" t="s">
        <v>1236</v>
      </c>
      <c r="Y1217" s="42" t="s">
        <v>1237</v>
      </c>
      <c r="Z1217" s="27">
        <v>788512162</v>
      </c>
      <c r="AA1217" s="27"/>
      <c r="AB1217" s="116"/>
      <c r="AC1217" s="116"/>
    </row>
    <row r="1218" spans="1:29" hidden="1" x14ac:dyDescent="0.3">
      <c r="A1218" s="18" t="s">
        <v>1233</v>
      </c>
      <c r="B1218" s="18" t="s">
        <v>149</v>
      </c>
      <c r="C1218" s="18" t="s">
        <v>1244</v>
      </c>
      <c r="D1218" s="14" t="s">
        <v>516</v>
      </c>
      <c r="E1218" s="18" t="s">
        <v>9</v>
      </c>
      <c r="F1218" s="14" t="s">
        <v>688</v>
      </c>
      <c r="G1218" s="14" t="s">
        <v>546</v>
      </c>
      <c r="H1218" s="18" t="s">
        <v>5</v>
      </c>
      <c r="I1218" s="14" t="s">
        <v>117</v>
      </c>
      <c r="J1218" s="14">
        <v>5</v>
      </c>
      <c r="K1218" s="18" t="s">
        <v>519</v>
      </c>
      <c r="L1218" s="18"/>
      <c r="M1218" s="14">
        <v>1</v>
      </c>
      <c r="N1218" s="15">
        <v>270000</v>
      </c>
      <c r="O1218" s="15">
        <f t="shared" si="45"/>
        <v>270000</v>
      </c>
      <c r="P1218" s="15"/>
      <c r="Q1218" s="14" t="s">
        <v>520</v>
      </c>
      <c r="R1218" s="25">
        <v>45418</v>
      </c>
      <c r="S1218" s="34" t="str">
        <f>TEXT(Table1[[#This Row],[End Date]],"MMMM")</f>
        <v>May</v>
      </c>
      <c r="T1218" s="34" t="str">
        <f>TEXT(Table1[[#This Row],[End Date]],"YYYY")</f>
        <v>2024</v>
      </c>
      <c r="U1218" s="24">
        <f t="shared" ca="1" si="44"/>
        <v>-285</v>
      </c>
      <c r="V1218" s="14" t="str" cm="1">
        <f t="array" aca="1" ref="V1218" ca="1">_xlfn.IFS(Table1[[#This Row],[Agreement Days]]&gt;=0,"Expired",Table1[[#This Row],[Agreement Days]]&gt;=-30,"Expires &lt; 30 Days",Table1[[#This Row],[Agreement Days]]&gt;=-60,"Expires &lt; 60 Days",Table1[[#This Row],[Agreement Days]]&lt;-60,"Valid Contract")</f>
        <v>Valid Contract</v>
      </c>
      <c r="W1218" s="18" t="s">
        <v>21</v>
      </c>
      <c r="X1218" s="18" t="s">
        <v>1236</v>
      </c>
      <c r="Y1218" s="42" t="s">
        <v>1237</v>
      </c>
      <c r="Z1218" s="27">
        <v>788512162</v>
      </c>
      <c r="AA1218" s="27"/>
      <c r="AB1218" s="116"/>
      <c r="AC1218" s="116"/>
    </row>
    <row r="1219" spans="1:29" hidden="1" x14ac:dyDescent="0.3">
      <c r="A1219" s="18" t="s">
        <v>1233</v>
      </c>
      <c r="B1219" s="18" t="s">
        <v>149</v>
      </c>
      <c r="C1219" s="18" t="s">
        <v>1238</v>
      </c>
      <c r="D1219" s="14" t="s">
        <v>540</v>
      </c>
      <c r="E1219" s="18" t="s">
        <v>9</v>
      </c>
      <c r="F1219" s="14" t="s">
        <v>688</v>
      </c>
      <c r="G1219" s="14" t="s">
        <v>546</v>
      </c>
      <c r="H1219" s="18" t="s">
        <v>5</v>
      </c>
      <c r="I1219" s="14" t="s">
        <v>117</v>
      </c>
      <c r="J1219" s="14">
        <v>10</v>
      </c>
      <c r="K1219" s="18" t="s">
        <v>547</v>
      </c>
      <c r="L1219" s="18"/>
      <c r="M1219" s="14">
        <v>1</v>
      </c>
      <c r="N1219" s="15">
        <v>510000</v>
      </c>
      <c r="O1219" s="15">
        <f t="shared" si="45"/>
        <v>510000</v>
      </c>
      <c r="P1219" s="15"/>
      <c r="Q1219" s="14" t="s">
        <v>520</v>
      </c>
      <c r="R1219" s="25">
        <v>45418</v>
      </c>
      <c r="S1219" s="34" t="str">
        <f>TEXT(Table1[[#This Row],[End Date]],"MMMM")</f>
        <v>May</v>
      </c>
      <c r="T1219" s="34" t="str">
        <f>TEXT(Table1[[#This Row],[End Date]],"YYYY")</f>
        <v>2024</v>
      </c>
      <c r="U1219" s="24">
        <f t="shared" ca="1" si="44"/>
        <v>-285</v>
      </c>
      <c r="V1219" s="14" t="str" cm="1">
        <f t="array" aca="1" ref="V1219" ca="1">_xlfn.IFS(Table1[[#This Row],[Agreement Days]]&gt;=0,"Expired",Table1[[#This Row],[Agreement Days]]&gt;=-30,"Expires &lt; 30 Days",Table1[[#This Row],[Agreement Days]]&gt;=-60,"Expires &lt; 60 Days",Table1[[#This Row],[Agreement Days]]&lt;-60,"Valid Contract")</f>
        <v>Valid Contract</v>
      </c>
      <c r="W1219" s="18" t="s">
        <v>21</v>
      </c>
      <c r="X1219" s="18" t="s">
        <v>1236</v>
      </c>
      <c r="Y1219" s="42" t="s">
        <v>1237</v>
      </c>
      <c r="Z1219" s="27">
        <v>788512162</v>
      </c>
      <c r="AA1219" s="27"/>
      <c r="AB1219" s="116"/>
      <c r="AC1219" s="116"/>
    </row>
    <row r="1220" spans="1:29" hidden="1" x14ac:dyDescent="0.3">
      <c r="A1220" s="18" t="s">
        <v>1233</v>
      </c>
      <c r="B1220" s="18" t="s">
        <v>149</v>
      </c>
      <c r="C1220" s="18" t="s">
        <v>1234</v>
      </c>
      <c r="D1220" s="14" t="s">
        <v>545</v>
      </c>
      <c r="E1220" s="18" t="s">
        <v>9</v>
      </c>
      <c r="F1220" s="14" t="s">
        <v>688</v>
      </c>
      <c r="G1220" s="14" t="s">
        <v>546</v>
      </c>
      <c r="H1220" s="18" t="s">
        <v>5</v>
      </c>
      <c r="I1220" s="14" t="s">
        <v>117</v>
      </c>
      <c r="J1220" s="14">
        <v>50</v>
      </c>
      <c r="K1220" s="18" t="s">
        <v>673</v>
      </c>
      <c r="L1220" s="18"/>
      <c r="M1220" s="14">
        <v>1</v>
      </c>
      <c r="N1220" s="15">
        <f>2124000/1.18</f>
        <v>1800000</v>
      </c>
      <c r="O1220" s="15">
        <f t="shared" si="45"/>
        <v>1800000</v>
      </c>
      <c r="P1220" s="15"/>
      <c r="Q1220" s="14" t="s">
        <v>520</v>
      </c>
      <c r="R1220" s="25">
        <v>45418</v>
      </c>
      <c r="S1220" s="34" t="str">
        <f>TEXT(Table1[[#This Row],[End Date]],"MMMM")</f>
        <v>May</v>
      </c>
      <c r="T1220" s="34" t="str">
        <f>TEXT(Table1[[#This Row],[End Date]],"YYYY")</f>
        <v>2024</v>
      </c>
      <c r="U1220" s="24">
        <f t="shared" ca="1" si="44"/>
        <v>-285</v>
      </c>
      <c r="V1220" s="14" t="str" cm="1">
        <f t="array" aca="1" ref="V1220" ca="1">_xlfn.IFS(Table1[[#This Row],[Agreement Days]]&gt;=0,"Expired",Table1[[#This Row],[Agreement Days]]&gt;=-30,"Expires &lt; 30 Days",Table1[[#This Row],[Agreement Days]]&gt;=-60,"Expires &lt; 60 Days",Table1[[#This Row],[Agreement Days]]&lt;-60,"Valid Contract")</f>
        <v>Valid Contract</v>
      </c>
      <c r="W1220" s="18" t="s">
        <v>21</v>
      </c>
      <c r="X1220" s="18" t="s">
        <v>1236</v>
      </c>
      <c r="Y1220" s="42" t="s">
        <v>1237</v>
      </c>
      <c r="Z1220" s="27">
        <v>788512162</v>
      </c>
      <c r="AA1220" s="27"/>
      <c r="AB1220" s="116"/>
      <c r="AC1220" s="116"/>
    </row>
    <row r="1221" spans="1:29" hidden="1" x14ac:dyDescent="0.3">
      <c r="A1221" s="18" t="s">
        <v>1233</v>
      </c>
      <c r="B1221" s="18" t="s">
        <v>149</v>
      </c>
      <c r="C1221" s="18" t="s">
        <v>2403</v>
      </c>
      <c r="D1221" s="14" t="s">
        <v>653</v>
      </c>
      <c r="E1221" s="18" t="s">
        <v>9</v>
      </c>
      <c r="F1221" s="14" t="s">
        <v>688</v>
      </c>
      <c r="G1221" s="14" t="s">
        <v>546</v>
      </c>
      <c r="H1221" s="18" t="s">
        <v>5</v>
      </c>
      <c r="I1221" s="14" t="s">
        <v>117</v>
      </c>
      <c r="J1221" s="14">
        <v>60</v>
      </c>
      <c r="K1221" s="18" t="s">
        <v>2404</v>
      </c>
      <c r="L1221" s="18"/>
      <c r="M1221" s="14">
        <v>1</v>
      </c>
      <c r="N1221" s="15">
        <v>2463840</v>
      </c>
      <c r="O1221" s="15">
        <f t="shared" si="45"/>
        <v>2463840</v>
      </c>
      <c r="P1221" s="15"/>
      <c r="Q1221" s="14" t="s">
        <v>520</v>
      </c>
      <c r="R1221" s="25">
        <v>45418</v>
      </c>
      <c r="S1221" s="34" t="str">
        <f>TEXT(Table1[[#This Row],[End Date]],"MMMM")</f>
        <v>May</v>
      </c>
      <c r="T1221" s="34" t="str">
        <f>TEXT(Table1[[#This Row],[End Date]],"YYYY")</f>
        <v>2024</v>
      </c>
      <c r="U1221" s="24">
        <f t="shared" ca="1" si="44"/>
        <v>-285</v>
      </c>
      <c r="V1221" s="14" t="str" cm="1">
        <f t="array" aca="1" ref="V1221" ca="1">_xlfn.IFS(Table1[[#This Row],[Agreement Days]]&gt;=0,"Expired",Table1[[#This Row],[Agreement Days]]&gt;=-30,"Expires &lt; 30 Days",Table1[[#This Row],[Agreement Days]]&gt;=-60,"Expires &lt; 60 Days",Table1[[#This Row],[Agreement Days]]&lt;-60,"Valid Contract")</f>
        <v>Valid Contract</v>
      </c>
      <c r="W1221" s="18" t="s">
        <v>21</v>
      </c>
      <c r="X1221" s="18" t="s">
        <v>1236</v>
      </c>
      <c r="Y1221" s="42" t="s">
        <v>1237</v>
      </c>
      <c r="Z1221" s="27">
        <v>788512162</v>
      </c>
      <c r="AA1221" s="27"/>
      <c r="AB1221" s="116"/>
      <c r="AC1221" s="116"/>
    </row>
    <row r="1222" spans="1:29" hidden="1" x14ac:dyDescent="0.3">
      <c r="A1222" s="18" t="s">
        <v>2405</v>
      </c>
      <c r="B1222" s="18" t="s">
        <v>345</v>
      </c>
      <c r="C1222" s="18" t="s">
        <v>544</v>
      </c>
      <c r="D1222" s="14" t="s">
        <v>545</v>
      </c>
      <c r="E1222" s="18" t="s">
        <v>10</v>
      </c>
      <c r="F1222" s="20" t="s">
        <v>1536</v>
      </c>
      <c r="G1222" s="20" t="s">
        <v>518</v>
      </c>
      <c r="H1222" s="18" t="s">
        <v>2</v>
      </c>
      <c r="I1222" s="14" t="s">
        <v>134</v>
      </c>
      <c r="J1222" s="14">
        <v>10</v>
      </c>
      <c r="K1222" s="14" t="s">
        <v>1656</v>
      </c>
      <c r="L1222" s="14"/>
      <c r="M1222" s="14">
        <v>1</v>
      </c>
      <c r="N1222" s="15">
        <v>570000</v>
      </c>
      <c r="O1222" s="15">
        <f t="shared" si="45"/>
        <v>570000</v>
      </c>
      <c r="P1222" s="15"/>
      <c r="Q1222" s="14" t="s">
        <v>520</v>
      </c>
      <c r="R1222" s="25">
        <v>45421</v>
      </c>
      <c r="S1222" s="22" t="str">
        <f>TEXT(Table1[[#This Row],[End Date]],"MMMM")</f>
        <v>May</v>
      </c>
      <c r="T1222" s="23" t="str">
        <f>TEXT(Table1[[#This Row],[End Date]],"YYYY")</f>
        <v>2024</v>
      </c>
      <c r="U1222" s="24">
        <f t="shared" ca="1" si="44"/>
        <v>-288</v>
      </c>
      <c r="V1222" s="14" t="str" cm="1">
        <f t="array" aca="1" ref="V1222" ca="1">_xlfn.IFS(Table1[[#This Row],[Agreement Days]]&gt;=0,"Expired",Table1[[#This Row],[Agreement Days]]&gt;=-30,"Expires &lt; 30 Days",Table1[[#This Row],[Agreement Days]]&gt;=-60,"Expires &lt; 60 Days",Table1[[#This Row],[Agreement Days]]&lt;-60,"Valid Contract")</f>
        <v>Valid Contract</v>
      </c>
      <c r="W1222" s="14" t="s">
        <v>18</v>
      </c>
      <c r="X1222" s="18" t="s">
        <v>2406</v>
      </c>
      <c r="Y1222" s="45" t="s">
        <v>2407</v>
      </c>
      <c r="Z1222" s="27" t="s">
        <v>2408</v>
      </c>
      <c r="AA1222" s="19"/>
      <c r="AB1222" s="116"/>
      <c r="AC1222" s="116"/>
    </row>
    <row r="1223" spans="1:29" x14ac:dyDescent="0.3">
      <c r="A1223" s="18" t="s">
        <v>2409</v>
      </c>
      <c r="B1223" s="18" t="s">
        <v>129</v>
      </c>
      <c r="C1223" s="18" t="s">
        <v>752</v>
      </c>
      <c r="D1223" s="14" t="s">
        <v>545</v>
      </c>
      <c r="E1223" s="18" t="s">
        <v>10</v>
      </c>
      <c r="F1223" s="14" t="s">
        <v>527</v>
      </c>
      <c r="G1223" s="14" t="s">
        <v>546</v>
      </c>
      <c r="H1223" s="18" t="s">
        <v>2</v>
      </c>
      <c r="I1223" s="14" t="s">
        <v>123</v>
      </c>
      <c r="J1223" s="14"/>
      <c r="K1223" s="14" t="s">
        <v>2410</v>
      </c>
      <c r="L1223" s="14"/>
      <c r="M1223" s="14">
        <v>1</v>
      </c>
      <c r="N1223" s="15">
        <f>591888/1.18</f>
        <v>501600</v>
      </c>
      <c r="O1223" s="15">
        <f t="shared" si="45"/>
        <v>501600</v>
      </c>
      <c r="P1223" s="15"/>
      <c r="Q1223" s="14" t="s">
        <v>520</v>
      </c>
      <c r="R1223" s="25">
        <v>45435</v>
      </c>
      <c r="S1223" s="22" t="str">
        <f>TEXT(Table1[[#This Row],[End Date]],"MMMM")</f>
        <v>May</v>
      </c>
      <c r="T1223" s="23" t="str">
        <f>TEXT(Table1[[#This Row],[End Date]],"YYYY")</f>
        <v>2024</v>
      </c>
      <c r="U1223" s="24">
        <f t="shared" ref="U1223:U1286" ca="1" si="46">TODAY()-R1223</f>
        <v>-302</v>
      </c>
      <c r="V1223" s="14" t="str" cm="1">
        <f t="array" aca="1" ref="V1223" ca="1">_xlfn.IFS(Table1[[#This Row],[Agreement Days]]&gt;=0,"Expired",Table1[[#This Row],[Agreement Days]]&gt;=-30,"Expires &lt; 30 Days",Table1[[#This Row],[Agreement Days]]&gt;=-60,"Expires &lt; 60 Days",Table1[[#This Row],[Agreement Days]]&lt;-60,"Valid Contract")</f>
        <v>Valid Contract</v>
      </c>
      <c r="W1223" s="14" t="s">
        <v>12</v>
      </c>
      <c r="X1223" s="14" t="s">
        <v>2411</v>
      </c>
      <c r="Y1223" s="16" t="s">
        <v>2412</v>
      </c>
      <c r="Z1223" s="27" t="s">
        <v>2413</v>
      </c>
      <c r="AA1223" s="17"/>
      <c r="AB1223" s="116"/>
      <c r="AC1223" s="116"/>
    </row>
    <row r="1224" spans="1:29" hidden="1" x14ac:dyDescent="0.3">
      <c r="A1224" s="18" t="s">
        <v>1950</v>
      </c>
      <c r="B1224" s="18" t="s">
        <v>201</v>
      </c>
      <c r="C1224" s="18" t="s">
        <v>201</v>
      </c>
      <c r="D1224" s="14" t="s">
        <v>545</v>
      </c>
      <c r="E1224" s="18" t="s">
        <v>9</v>
      </c>
      <c r="F1224" s="20" t="s">
        <v>517</v>
      </c>
      <c r="G1224" s="20" t="s">
        <v>518</v>
      </c>
      <c r="H1224" s="18" t="s">
        <v>5</v>
      </c>
      <c r="I1224" s="14" t="s">
        <v>115</v>
      </c>
      <c r="J1224" s="14"/>
      <c r="K1224" s="18" t="s">
        <v>573</v>
      </c>
      <c r="L1224" s="14"/>
      <c r="M1224" s="14">
        <v>1</v>
      </c>
      <c r="N1224" s="15">
        <f>23000/1.18</f>
        <v>19491.525423728814</v>
      </c>
      <c r="O1224" s="15">
        <f t="shared" si="45"/>
        <v>19491.525423728814</v>
      </c>
      <c r="P1224" s="15"/>
      <c r="Q1224" s="14" t="s">
        <v>520</v>
      </c>
      <c r="R1224" s="25">
        <v>45442</v>
      </c>
      <c r="S1224" s="22" t="str">
        <f>TEXT(Table1[[#This Row],[End Date]],"MMMM")</f>
        <v>May</v>
      </c>
      <c r="T1224" s="23" t="str">
        <f>TEXT(Table1[[#This Row],[End Date]],"YYYY")</f>
        <v>2024</v>
      </c>
      <c r="U1224" s="24">
        <f t="shared" ca="1" si="46"/>
        <v>-309</v>
      </c>
      <c r="V1224" s="14" t="str" cm="1">
        <f t="array" aca="1" ref="V1224" ca="1">_xlfn.IFS(Table1[[#This Row],[Agreement Days]]&gt;=0,"Expired",Table1[[#This Row],[Agreement Days]]&gt;=-30,"Expires &lt; 30 Days",Table1[[#This Row],[Agreement Days]]&gt;=-60,"Expires &lt; 60 Days",Table1[[#This Row],[Agreement Days]]&lt;-60,"Valid Contract")</f>
        <v>Valid Contract</v>
      </c>
      <c r="W1224" s="14" t="s">
        <v>20</v>
      </c>
      <c r="X1224" s="26" t="s">
        <v>1951</v>
      </c>
      <c r="Y1224" s="45" t="s">
        <v>1952</v>
      </c>
      <c r="Z1224" s="27" t="s">
        <v>2414</v>
      </c>
      <c r="AA1224" s="19"/>
      <c r="AB1224" s="116"/>
      <c r="AC1224" s="116"/>
    </row>
    <row r="1225" spans="1:29" hidden="1" x14ac:dyDescent="0.3">
      <c r="A1225" s="18" t="s">
        <v>1950</v>
      </c>
      <c r="B1225" s="18" t="s">
        <v>201</v>
      </c>
      <c r="C1225" s="18" t="s">
        <v>201</v>
      </c>
      <c r="D1225" s="14" t="s">
        <v>545</v>
      </c>
      <c r="E1225" s="18" t="s">
        <v>9</v>
      </c>
      <c r="F1225" s="14" t="s">
        <v>517</v>
      </c>
      <c r="G1225" s="14" t="s">
        <v>518</v>
      </c>
      <c r="H1225" s="18" t="s">
        <v>5</v>
      </c>
      <c r="I1225" s="14" t="s">
        <v>115</v>
      </c>
      <c r="J1225" s="14"/>
      <c r="K1225" s="18" t="s">
        <v>643</v>
      </c>
      <c r="L1225" s="14"/>
      <c r="M1225" s="14">
        <v>2</v>
      </c>
      <c r="N1225" s="15">
        <v>28305.08</v>
      </c>
      <c r="O1225" s="15">
        <f t="shared" si="45"/>
        <v>56610.16</v>
      </c>
      <c r="P1225" s="15"/>
      <c r="Q1225" s="14" t="s">
        <v>520</v>
      </c>
      <c r="R1225" s="25">
        <v>45442</v>
      </c>
      <c r="S1225" s="22" t="str">
        <f>TEXT(Table1[[#This Row],[End Date]],"MMMM")</f>
        <v>May</v>
      </c>
      <c r="T1225" s="23" t="str">
        <f>TEXT(Table1[[#This Row],[End Date]],"YYYY")</f>
        <v>2024</v>
      </c>
      <c r="U1225" s="24">
        <f t="shared" ca="1" si="46"/>
        <v>-309</v>
      </c>
      <c r="V1225" s="14" t="str" cm="1">
        <f t="array" aca="1" ref="V1225" ca="1">_xlfn.IFS(Table1[[#This Row],[Agreement Days]]&gt;=0,"Expired",Table1[[#This Row],[Agreement Days]]&gt;=-30,"Expires &lt; 30 Days",Table1[[#This Row],[Agreement Days]]&gt;=-60,"Expires &lt; 60 Days",Table1[[#This Row],[Agreement Days]]&lt;-60,"Valid Contract")</f>
        <v>Valid Contract</v>
      </c>
      <c r="W1225" s="14" t="s">
        <v>20</v>
      </c>
      <c r="X1225" s="26" t="s">
        <v>1951</v>
      </c>
      <c r="Y1225" s="45" t="s">
        <v>1952</v>
      </c>
      <c r="Z1225" s="27" t="s">
        <v>2414</v>
      </c>
      <c r="AA1225" s="19"/>
      <c r="AB1225" s="116"/>
      <c r="AC1225" s="116"/>
    </row>
    <row r="1226" spans="1:29" hidden="1" x14ac:dyDescent="0.3">
      <c r="A1226" s="18" t="s">
        <v>1950</v>
      </c>
      <c r="B1226" s="18" t="s">
        <v>201</v>
      </c>
      <c r="C1226" s="18" t="s">
        <v>201</v>
      </c>
      <c r="D1226" s="14" t="s">
        <v>545</v>
      </c>
      <c r="E1226" s="18" t="s">
        <v>9</v>
      </c>
      <c r="F1226" s="14" t="s">
        <v>517</v>
      </c>
      <c r="G1226" s="14" t="s">
        <v>518</v>
      </c>
      <c r="H1226" s="18" t="s">
        <v>5</v>
      </c>
      <c r="I1226" s="14" t="s">
        <v>115</v>
      </c>
      <c r="J1226" s="14"/>
      <c r="K1226" s="18" t="s">
        <v>657</v>
      </c>
      <c r="L1226" s="14"/>
      <c r="M1226" s="14">
        <v>8</v>
      </c>
      <c r="N1226" s="15">
        <v>45338.98</v>
      </c>
      <c r="O1226" s="15">
        <f t="shared" si="45"/>
        <v>362711.84</v>
      </c>
      <c r="P1226" s="15"/>
      <c r="Q1226" s="14" t="s">
        <v>520</v>
      </c>
      <c r="R1226" s="25">
        <v>45442</v>
      </c>
      <c r="S1226" s="22" t="str">
        <f>TEXT(Table1[[#This Row],[End Date]],"MMMM")</f>
        <v>May</v>
      </c>
      <c r="T1226" s="23" t="str">
        <f>TEXT(Table1[[#This Row],[End Date]],"YYYY")</f>
        <v>2024</v>
      </c>
      <c r="U1226" s="24">
        <f t="shared" ca="1" si="46"/>
        <v>-309</v>
      </c>
      <c r="V1226" s="14" t="str" cm="1">
        <f t="array" aca="1" ref="V1226" ca="1">_xlfn.IFS(Table1[[#This Row],[Agreement Days]]&gt;=0,"Expired",Table1[[#This Row],[Agreement Days]]&gt;=-30,"Expires &lt; 30 Days",Table1[[#This Row],[Agreement Days]]&gt;=-60,"Expires &lt; 60 Days",Table1[[#This Row],[Agreement Days]]&lt;-60,"Valid Contract")</f>
        <v>Valid Contract</v>
      </c>
      <c r="W1226" s="14" t="s">
        <v>20</v>
      </c>
      <c r="X1226" s="26" t="s">
        <v>1951</v>
      </c>
      <c r="Y1226" s="45" t="s">
        <v>1952</v>
      </c>
      <c r="Z1226" s="27" t="s">
        <v>2414</v>
      </c>
      <c r="AA1226" s="19"/>
      <c r="AB1226" s="116"/>
      <c r="AC1226" s="116"/>
    </row>
    <row r="1227" spans="1:29" hidden="1" x14ac:dyDescent="0.3">
      <c r="A1227" s="18" t="s">
        <v>1950</v>
      </c>
      <c r="B1227" s="18" t="s">
        <v>201</v>
      </c>
      <c r="C1227" s="18" t="s">
        <v>201</v>
      </c>
      <c r="D1227" s="14" t="s">
        <v>545</v>
      </c>
      <c r="E1227" s="18" t="s">
        <v>9</v>
      </c>
      <c r="F1227" s="14" t="s">
        <v>517</v>
      </c>
      <c r="G1227" s="14" t="s">
        <v>518</v>
      </c>
      <c r="H1227" s="18" t="s">
        <v>5</v>
      </c>
      <c r="I1227" s="14" t="s">
        <v>115</v>
      </c>
      <c r="J1227" s="14"/>
      <c r="K1227" s="18" t="s">
        <v>651</v>
      </c>
      <c r="L1227" s="14"/>
      <c r="M1227" s="14">
        <v>22</v>
      </c>
      <c r="N1227" s="15">
        <f>96000/1.18</f>
        <v>81355.932203389835</v>
      </c>
      <c r="O1227" s="15">
        <f t="shared" si="45"/>
        <v>1789830.5084745763</v>
      </c>
      <c r="P1227" s="15"/>
      <c r="Q1227" s="14" t="s">
        <v>520</v>
      </c>
      <c r="R1227" s="25">
        <v>45442</v>
      </c>
      <c r="S1227" s="22" t="str">
        <f>TEXT(Table1[[#This Row],[End Date]],"MMMM")</f>
        <v>May</v>
      </c>
      <c r="T1227" s="23" t="str">
        <f>TEXT(Table1[[#This Row],[End Date]],"YYYY")</f>
        <v>2024</v>
      </c>
      <c r="U1227" s="24">
        <f t="shared" ca="1" si="46"/>
        <v>-309</v>
      </c>
      <c r="V1227" s="14" t="str" cm="1">
        <f t="array" aca="1" ref="V1227" ca="1">_xlfn.IFS(Table1[[#This Row],[Agreement Days]]&gt;=0,"Expired",Table1[[#This Row],[Agreement Days]]&gt;=-30,"Expires &lt; 30 Days",Table1[[#This Row],[Agreement Days]]&gt;=-60,"Expires &lt; 60 Days",Table1[[#This Row],[Agreement Days]]&lt;-60,"Valid Contract")</f>
        <v>Valid Contract</v>
      </c>
      <c r="W1227" s="14" t="s">
        <v>20</v>
      </c>
      <c r="X1227" s="18" t="s">
        <v>1951</v>
      </c>
      <c r="Y1227" s="45" t="s">
        <v>1952</v>
      </c>
      <c r="Z1227" s="27" t="s">
        <v>2414</v>
      </c>
      <c r="AA1227" s="19"/>
      <c r="AB1227" s="116"/>
      <c r="AC1227" s="116"/>
    </row>
    <row r="1228" spans="1:29" x14ac:dyDescent="0.3">
      <c r="A1228" s="18" t="s">
        <v>2415</v>
      </c>
      <c r="B1228" s="18" t="s">
        <v>119</v>
      </c>
      <c r="C1228" s="18" t="s">
        <v>2416</v>
      </c>
      <c r="D1228" s="14" t="s">
        <v>1499</v>
      </c>
      <c r="E1228" s="18" t="s">
        <v>9</v>
      </c>
      <c r="F1228" s="14" t="s">
        <v>601</v>
      </c>
      <c r="G1228" s="14" t="s">
        <v>546</v>
      </c>
      <c r="H1228" s="18" t="s">
        <v>2</v>
      </c>
      <c r="I1228" s="14" t="s">
        <v>121</v>
      </c>
      <c r="J1228" s="20">
        <v>1</v>
      </c>
      <c r="K1228" s="14" t="s">
        <v>2417</v>
      </c>
      <c r="L1228" s="14"/>
      <c r="M1228" s="14">
        <v>1</v>
      </c>
      <c r="N1228" s="15">
        <v>1030928</v>
      </c>
      <c r="O1228" s="15">
        <f t="shared" si="45"/>
        <v>1030928</v>
      </c>
      <c r="P1228" s="15"/>
      <c r="Q1228" s="14" t="s">
        <v>520</v>
      </c>
      <c r="R1228" s="21">
        <v>45443</v>
      </c>
      <c r="S1228" s="22" t="str">
        <f>TEXT(Table1[[#This Row],[End Date]],"MMMM")</f>
        <v>May</v>
      </c>
      <c r="T1228" s="23" t="str">
        <f>TEXT(Table1[[#This Row],[End Date]],"YYYY")</f>
        <v>2024</v>
      </c>
      <c r="U1228" s="24">
        <f t="shared" ca="1" si="46"/>
        <v>-310</v>
      </c>
      <c r="V1228" s="14" t="str" cm="1">
        <f t="array" aca="1" ref="V1228" ca="1">_xlfn.IFS(Table1[[#This Row],[Agreement Days]]&gt;=0,"Expired",Table1[[#This Row],[Agreement Days]]&gt;=-30,"Expires &lt; 30 Days",Table1[[#This Row],[Agreement Days]]&gt;=-60,"Expires &lt; 60 Days",Table1[[#This Row],[Agreement Days]]&lt;-60,"Valid Contract")</f>
        <v>Valid Contract</v>
      </c>
      <c r="W1228" s="14" t="s">
        <v>12</v>
      </c>
      <c r="X1228" s="14" t="s">
        <v>603</v>
      </c>
      <c r="Y1228" s="16" t="s">
        <v>604</v>
      </c>
      <c r="Z1228" s="17" t="s">
        <v>605</v>
      </c>
      <c r="AA1228" s="17"/>
      <c r="AB1228" s="116"/>
      <c r="AC1228" s="116"/>
    </row>
    <row r="1229" spans="1:29" x14ac:dyDescent="0.3">
      <c r="A1229" s="18" t="s">
        <v>2415</v>
      </c>
      <c r="B1229" s="18" t="s">
        <v>119</v>
      </c>
      <c r="C1229" s="18" t="s">
        <v>2418</v>
      </c>
      <c r="D1229" s="14" t="s">
        <v>1499</v>
      </c>
      <c r="E1229" s="18" t="s">
        <v>9</v>
      </c>
      <c r="F1229" s="14" t="s">
        <v>601</v>
      </c>
      <c r="G1229" s="14" t="s">
        <v>546</v>
      </c>
      <c r="H1229" s="18" t="s">
        <v>2</v>
      </c>
      <c r="I1229" s="14" t="s">
        <v>121</v>
      </c>
      <c r="J1229" s="20">
        <v>3</v>
      </c>
      <c r="K1229" s="14" t="s">
        <v>2419</v>
      </c>
      <c r="L1229" s="14"/>
      <c r="M1229" s="14">
        <v>1</v>
      </c>
      <c r="N1229" s="15">
        <v>2947241</v>
      </c>
      <c r="O1229" s="15">
        <f t="shared" si="45"/>
        <v>2947241</v>
      </c>
      <c r="P1229" s="15"/>
      <c r="Q1229" s="14" t="s">
        <v>520</v>
      </c>
      <c r="R1229" s="21">
        <v>45443</v>
      </c>
      <c r="S1229" s="22" t="str">
        <f>TEXT(Table1[[#This Row],[End Date]],"MMMM")</f>
        <v>May</v>
      </c>
      <c r="T1229" s="23" t="str">
        <f>TEXT(Table1[[#This Row],[End Date]],"YYYY")</f>
        <v>2024</v>
      </c>
      <c r="U1229" s="24">
        <f t="shared" ca="1" si="46"/>
        <v>-310</v>
      </c>
      <c r="V1229" s="14" t="str" cm="1">
        <f t="array" aca="1" ref="V1229" ca="1">_xlfn.IFS(Table1[[#This Row],[Agreement Days]]&gt;=0,"Expired",Table1[[#This Row],[Agreement Days]]&gt;=-30,"Expires &lt; 30 Days",Table1[[#This Row],[Agreement Days]]&gt;=-60,"Expires &lt; 60 Days",Table1[[#This Row],[Agreement Days]]&lt;-60,"Valid Contract")</f>
        <v>Valid Contract</v>
      </c>
      <c r="W1229" s="14" t="s">
        <v>12</v>
      </c>
      <c r="X1229" s="14" t="s">
        <v>603</v>
      </c>
      <c r="Y1229" s="16" t="s">
        <v>604</v>
      </c>
      <c r="Z1229" s="17" t="s">
        <v>605</v>
      </c>
      <c r="AA1229" s="17"/>
      <c r="AB1229" s="116"/>
      <c r="AC1229" s="116"/>
    </row>
    <row r="1230" spans="1:29" x14ac:dyDescent="0.3">
      <c r="A1230" s="18" t="s">
        <v>2415</v>
      </c>
      <c r="B1230" s="18" t="s">
        <v>119</v>
      </c>
      <c r="C1230" s="18" t="s">
        <v>2420</v>
      </c>
      <c r="D1230" s="14" t="s">
        <v>1499</v>
      </c>
      <c r="E1230" s="18" t="s">
        <v>9</v>
      </c>
      <c r="F1230" s="14" t="s">
        <v>601</v>
      </c>
      <c r="G1230" s="14" t="s">
        <v>546</v>
      </c>
      <c r="H1230" s="18" t="s">
        <v>2</v>
      </c>
      <c r="I1230" s="14" t="s">
        <v>121</v>
      </c>
      <c r="J1230" s="20">
        <v>3</v>
      </c>
      <c r="K1230" s="14" t="s">
        <v>2419</v>
      </c>
      <c r="L1230" s="14"/>
      <c r="M1230" s="14">
        <v>1</v>
      </c>
      <c r="N1230" s="15">
        <v>2947241</v>
      </c>
      <c r="O1230" s="15">
        <f t="shared" ref="O1230:O1293" si="47">N1230*M1230</f>
        <v>2947241</v>
      </c>
      <c r="P1230" s="15"/>
      <c r="Q1230" s="14" t="s">
        <v>520</v>
      </c>
      <c r="R1230" s="21">
        <v>45443</v>
      </c>
      <c r="S1230" s="22" t="str">
        <f>TEXT(Table1[[#This Row],[End Date]],"MMMM")</f>
        <v>May</v>
      </c>
      <c r="T1230" s="23" t="str">
        <f>TEXT(Table1[[#This Row],[End Date]],"YYYY")</f>
        <v>2024</v>
      </c>
      <c r="U1230" s="24">
        <f t="shared" ca="1" si="46"/>
        <v>-310</v>
      </c>
      <c r="V1230" s="14" t="str" cm="1">
        <f t="array" aca="1" ref="V1230" ca="1">_xlfn.IFS(Table1[[#This Row],[Agreement Days]]&gt;=0,"Expired",Table1[[#This Row],[Agreement Days]]&gt;=-30,"Expires &lt; 30 Days",Table1[[#This Row],[Agreement Days]]&gt;=-60,"Expires &lt; 60 Days",Table1[[#This Row],[Agreement Days]]&lt;-60,"Valid Contract")</f>
        <v>Valid Contract</v>
      </c>
      <c r="W1230" s="14" t="s">
        <v>12</v>
      </c>
      <c r="X1230" s="14" t="s">
        <v>603</v>
      </c>
      <c r="Y1230" s="16" t="s">
        <v>604</v>
      </c>
      <c r="Z1230" s="17" t="s">
        <v>605</v>
      </c>
      <c r="AA1230" s="17"/>
      <c r="AB1230" s="116"/>
      <c r="AC1230" s="116"/>
    </row>
    <row r="1231" spans="1:29" x14ac:dyDescent="0.3">
      <c r="A1231" s="18" t="s">
        <v>2415</v>
      </c>
      <c r="B1231" s="18" t="s">
        <v>119</v>
      </c>
      <c r="C1231" s="18" t="s">
        <v>2421</v>
      </c>
      <c r="D1231" s="14" t="s">
        <v>1499</v>
      </c>
      <c r="E1231" s="18" t="s">
        <v>9</v>
      </c>
      <c r="F1231" s="14" t="s">
        <v>601</v>
      </c>
      <c r="G1231" s="14" t="s">
        <v>546</v>
      </c>
      <c r="H1231" s="18" t="s">
        <v>2</v>
      </c>
      <c r="I1231" s="14" t="s">
        <v>121</v>
      </c>
      <c r="J1231" s="20">
        <v>3</v>
      </c>
      <c r="K1231" s="14" t="s">
        <v>2419</v>
      </c>
      <c r="L1231" s="14"/>
      <c r="M1231" s="14">
        <v>1</v>
      </c>
      <c r="N1231" s="15">
        <v>2947241</v>
      </c>
      <c r="O1231" s="15">
        <f t="shared" si="47"/>
        <v>2947241</v>
      </c>
      <c r="P1231" s="15"/>
      <c r="Q1231" s="14" t="s">
        <v>520</v>
      </c>
      <c r="R1231" s="21">
        <v>45443</v>
      </c>
      <c r="S1231" s="22" t="str">
        <f>TEXT(Table1[[#This Row],[End Date]],"MMMM")</f>
        <v>May</v>
      </c>
      <c r="T1231" s="23" t="str">
        <f>TEXT(Table1[[#This Row],[End Date]],"YYYY")</f>
        <v>2024</v>
      </c>
      <c r="U1231" s="24">
        <f t="shared" ca="1" si="46"/>
        <v>-310</v>
      </c>
      <c r="V1231" s="14" t="str" cm="1">
        <f t="array" aca="1" ref="V1231" ca="1">_xlfn.IFS(Table1[[#This Row],[Agreement Days]]&gt;=0,"Expired",Table1[[#This Row],[Agreement Days]]&gt;=-30,"Expires &lt; 30 Days",Table1[[#This Row],[Agreement Days]]&gt;=-60,"Expires &lt; 60 Days",Table1[[#This Row],[Agreement Days]]&lt;-60,"Valid Contract")</f>
        <v>Valid Contract</v>
      </c>
      <c r="W1231" s="14" t="s">
        <v>12</v>
      </c>
      <c r="X1231" s="14" t="s">
        <v>603</v>
      </c>
      <c r="Y1231" s="16" t="s">
        <v>604</v>
      </c>
      <c r="Z1231" s="17" t="s">
        <v>605</v>
      </c>
      <c r="AA1231" s="17"/>
      <c r="AB1231" s="98"/>
      <c r="AC1231" s="98"/>
    </row>
    <row r="1232" spans="1:29" x14ac:dyDescent="0.3">
      <c r="A1232" s="18" t="s">
        <v>2415</v>
      </c>
      <c r="B1232" s="18" t="s">
        <v>119</v>
      </c>
      <c r="C1232" s="18" t="s">
        <v>2422</v>
      </c>
      <c r="D1232" s="14" t="s">
        <v>1499</v>
      </c>
      <c r="E1232" s="18" t="s">
        <v>9</v>
      </c>
      <c r="F1232" s="14" t="s">
        <v>601</v>
      </c>
      <c r="G1232" s="14" t="s">
        <v>546</v>
      </c>
      <c r="H1232" s="18" t="s">
        <v>2</v>
      </c>
      <c r="I1232" s="14" t="s">
        <v>121</v>
      </c>
      <c r="J1232" s="20">
        <v>3</v>
      </c>
      <c r="K1232" s="14" t="s">
        <v>2419</v>
      </c>
      <c r="L1232" s="14"/>
      <c r="M1232" s="14">
        <v>1</v>
      </c>
      <c r="N1232" s="15">
        <v>2947241</v>
      </c>
      <c r="O1232" s="15">
        <f t="shared" si="47"/>
        <v>2947241</v>
      </c>
      <c r="P1232" s="15"/>
      <c r="Q1232" s="14" t="s">
        <v>520</v>
      </c>
      <c r="R1232" s="21">
        <v>45443</v>
      </c>
      <c r="S1232" s="22" t="str">
        <f>TEXT(Table1[[#This Row],[End Date]],"MMMM")</f>
        <v>May</v>
      </c>
      <c r="T1232" s="23" t="str">
        <f>TEXT(Table1[[#This Row],[End Date]],"YYYY")</f>
        <v>2024</v>
      </c>
      <c r="U1232" s="24">
        <f t="shared" ca="1" si="46"/>
        <v>-310</v>
      </c>
      <c r="V1232" s="14" t="str" cm="1">
        <f t="array" aca="1" ref="V1232" ca="1">_xlfn.IFS(Table1[[#This Row],[Agreement Days]]&gt;=0,"Expired",Table1[[#This Row],[Agreement Days]]&gt;=-30,"Expires &lt; 30 Days",Table1[[#This Row],[Agreement Days]]&gt;=-60,"Expires &lt; 60 Days",Table1[[#This Row],[Agreement Days]]&lt;-60,"Valid Contract")</f>
        <v>Valid Contract</v>
      </c>
      <c r="W1232" s="14" t="s">
        <v>12</v>
      </c>
      <c r="X1232" s="14" t="s">
        <v>603</v>
      </c>
      <c r="Y1232" s="16" t="s">
        <v>604</v>
      </c>
      <c r="Z1232" s="17" t="s">
        <v>605</v>
      </c>
      <c r="AA1232" s="17"/>
      <c r="AB1232" s="98"/>
      <c r="AC1232" s="98"/>
    </row>
    <row r="1233" spans="1:29" x14ac:dyDescent="0.3">
      <c r="A1233" s="18" t="s">
        <v>2415</v>
      </c>
      <c r="B1233" s="18" t="s">
        <v>119</v>
      </c>
      <c r="C1233" s="18" t="s">
        <v>2423</v>
      </c>
      <c r="D1233" s="14" t="s">
        <v>1499</v>
      </c>
      <c r="E1233" s="18" t="s">
        <v>9</v>
      </c>
      <c r="F1233" s="14" t="s">
        <v>601</v>
      </c>
      <c r="G1233" s="14" t="s">
        <v>546</v>
      </c>
      <c r="H1233" s="18" t="s">
        <v>2</v>
      </c>
      <c r="I1233" s="14" t="s">
        <v>121</v>
      </c>
      <c r="J1233" s="20">
        <v>3</v>
      </c>
      <c r="K1233" s="14" t="s">
        <v>2419</v>
      </c>
      <c r="L1233" s="14"/>
      <c r="M1233" s="14">
        <v>1</v>
      </c>
      <c r="N1233" s="15">
        <v>2947241</v>
      </c>
      <c r="O1233" s="15">
        <f t="shared" si="47"/>
        <v>2947241</v>
      </c>
      <c r="P1233" s="15"/>
      <c r="Q1233" s="14" t="s">
        <v>520</v>
      </c>
      <c r="R1233" s="21">
        <v>45443</v>
      </c>
      <c r="S1233" s="22" t="str">
        <f>TEXT(Table1[[#This Row],[End Date]],"MMMM")</f>
        <v>May</v>
      </c>
      <c r="T1233" s="23" t="str">
        <f>TEXT(Table1[[#This Row],[End Date]],"YYYY")</f>
        <v>2024</v>
      </c>
      <c r="U1233" s="24">
        <f t="shared" ca="1" si="46"/>
        <v>-310</v>
      </c>
      <c r="V1233" s="14" t="str" cm="1">
        <f t="array" aca="1" ref="V1233" ca="1">_xlfn.IFS(Table1[[#This Row],[Agreement Days]]&gt;=0,"Expired",Table1[[#This Row],[Agreement Days]]&gt;=-30,"Expires &lt; 30 Days",Table1[[#This Row],[Agreement Days]]&gt;=-60,"Expires &lt; 60 Days",Table1[[#This Row],[Agreement Days]]&lt;-60,"Valid Contract")</f>
        <v>Valid Contract</v>
      </c>
      <c r="W1233" s="14" t="s">
        <v>12</v>
      </c>
      <c r="X1233" s="14" t="s">
        <v>603</v>
      </c>
      <c r="Y1233" s="16" t="s">
        <v>604</v>
      </c>
      <c r="Z1233" s="17" t="s">
        <v>605</v>
      </c>
      <c r="AA1233" s="17"/>
      <c r="AB1233" s="98"/>
      <c r="AC1233" s="98"/>
    </row>
    <row r="1234" spans="1:29" x14ac:dyDescent="0.3">
      <c r="A1234" s="18" t="s">
        <v>2415</v>
      </c>
      <c r="B1234" s="18" t="s">
        <v>119</v>
      </c>
      <c r="C1234" s="18" t="s">
        <v>2424</v>
      </c>
      <c r="D1234" s="14" t="s">
        <v>1499</v>
      </c>
      <c r="E1234" s="18" t="s">
        <v>9</v>
      </c>
      <c r="F1234" s="14" t="s">
        <v>601</v>
      </c>
      <c r="G1234" s="14" t="s">
        <v>546</v>
      </c>
      <c r="H1234" s="18" t="s">
        <v>2</v>
      </c>
      <c r="I1234" s="14" t="s">
        <v>121</v>
      </c>
      <c r="J1234" s="20">
        <v>3</v>
      </c>
      <c r="K1234" s="14" t="s">
        <v>2419</v>
      </c>
      <c r="L1234" s="14"/>
      <c r="M1234" s="14">
        <v>1</v>
      </c>
      <c r="N1234" s="15">
        <v>2947241</v>
      </c>
      <c r="O1234" s="15">
        <f t="shared" si="47"/>
        <v>2947241</v>
      </c>
      <c r="P1234" s="15"/>
      <c r="Q1234" s="14" t="s">
        <v>520</v>
      </c>
      <c r="R1234" s="21">
        <v>45443</v>
      </c>
      <c r="S1234" s="22" t="str">
        <f>TEXT(Table1[[#This Row],[End Date]],"MMMM")</f>
        <v>May</v>
      </c>
      <c r="T1234" s="23" t="str">
        <f>TEXT(Table1[[#This Row],[End Date]],"YYYY")</f>
        <v>2024</v>
      </c>
      <c r="U1234" s="24">
        <f t="shared" ca="1" si="46"/>
        <v>-310</v>
      </c>
      <c r="V1234" s="14" t="str" cm="1">
        <f t="array" aca="1" ref="V1234" ca="1">_xlfn.IFS(Table1[[#This Row],[Agreement Days]]&gt;=0,"Expired",Table1[[#This Row],[Agreement Days]]&gt;=-30,"Expires &lt; 30 Days",Table1[[#This Row],[Agreement Days]]&gt;=-60,"Expires &lt; 60 Days",Table1[[#This Row],[Agreement Days]]&lt;-60,"Valid Contract")</f>
        <v>Valid Contract</v>
      </c>
      <c r="W1234" s="14" t="s">
        <v>12</v>
      </c>
      <c r="X1234" s="14" t="s">
        <v>603</v>
      </c>
      <c r="Y1234" s="16" t="s">
        <v>604</v>
      </c>
      <c r="Z1234" s="17" t="s">
        <v>605</v>
      </c>
      <c r="AA1234" s="17"/>
      <c r="AB1234" s="98"/>
      <c r="AC1234" s="98"/>
    </row>
    <row r="1235" spans="1:29" x14ac:dyDescent="0.3">
      <c r="A1235" s="18" t="s">
        <v>2415</v>
      </c>
      <c r="B1235" s="18" t="s">
        <v>119</v>
      </c>
      <c r="C1235" s="18" t="s">
        <v>2425</v>
      </c>
      <c r="D1235" s="14" t="s">
        <v>1499</v>
      </c>
      <c r="E1235" s="18" t="s">
        <v>9</v>
      </c>
      <c r="F1235" s="14" t="s">
        <v>601</v>
      </c>
      <c r="G1235" s="14" t="s">
        <v>546</v>
      </c>
      <c r="H1235" s="18" t="s">
        <v>2</v>
      </c>
      <c r="I1235" s="14" t="s">
        <v>121</v>
      </c>
      <c r="J1235" s="20">
        <v>3</v>
      </c>
      <c r="K1235" s="14" t="s">
        <v>2419</v>
      </c>
      <c r="L1235" s="14"/>
      <c r="M1235" s="14">
        <v>1</v>
      </c>
      <c r="N1235" s="15">
        <v>2947241</v>
      </c>
      <c r="O1235" s="15">
        <f t="shared" si="47"/>
        <v>2947241</v>
      </c>
      <c r="P1235" s="15"/>
      <c r="Q1235" s="14" t="s">
        <v>520</v>
      </c>
      <c r="R1235" s="21">
        <v>45443</v>
      </c>
      <c r="S1235" s="22" t="str">
        <f>TEXT(Table1[[#This Row],[End Date]],"MMMM")</f>
        <v>May</v>
      </c>
      <c r="T1235" s="23" t="str">
        <f>TEXT(Table1[[#This Row],[End Date]],"YYYY")</f>
        <v>2024</v>
      </c>
      <c r="U1235" s="24">
        <f t="shared" ca="1" si="46"/>
        <v>-310</v>
      </c>
      <c r="V1235" s="14" t="str" cm="1">
        <f t="array" aca="1" ref="V1235" ca="1">_xlfn.IFS(Table1[[#This Row],[Agreement Days]]&gt;=0,"Expired",Table1[[#This Row],[Agreement Days]]&gt;=-30,"Expires &lt; 30 Days",Table1[[#This Row],[Agreement Days]]&gt;=-60,"Expires &lt; 60 Days",Table1[[#This Row],[Agreement Days]]&lt;-60,"Valid Contract")</f>
        <v>Valid Contract</v>
      </c>
      <c r="W1235" s="14" t="s">
        <v>12</v>
      </c>
      <c r="X1235" s="14" t="s">
        <v>603</v>
      </c>
      <c r="Y1235" s="16" t="s">
        <v>604</v>
      </c>
      <c r="Z1235" s="17" t="s">
        <v>605</v>
      </c>
      <c r="AA1235" s="17"/>
      <c r="AB1235" s="98"/>
      <c r="AC1235" s="98"/>
    </row>
    <row r="1236" spans="1:29" x14ac:dyDescent="0.3">
      <c r="A1236" s="18" t="s">
        <v>598</v>
      </c>
      <c r="B1236" s="18" t="s">
        <v>119</v>
      </c>
      <c r="C1236" s="18" t="s">
        <v>2426</v>
      </c>
      <c r="D1236" s="14" t="s">
        <v>2427</v>
      </c>
      <c r="E1236" s="18" t="s">
        <v>9</v>
      </c>
      <c r="F1236" s="14" t="s">
        <v>601</v>
      </c>
      <c r="G1236" s="14" t="s">
        <v>546</v>
      </c>
      <c r="H1236" s="18" t="s">
        <v>2</v>
      </c>
      <c r="I1236" s="14" t="s">
        <v>121</v>
      </c>
      <c r="J1236" s="20">
        <v>3</v>
      </c>
      <c r="K1236" s="14" t="s">
        <v>2419</v>
      </c>
      <c r="L1236" s="14"/>
      <c r="M1236" s="14">
        <v>1</v>
      </c>
      <c r="N1236" s="15">
        <v>2947241</v>
      </c>
      <c r="O1236" s="15">
        <f t="shared" si="47"/>
        <v>2947241</v>
      </c>
      <c r="P1236" s="15"/>
      <c r="Q1236" s="14" t="s">
        <v>520</v>
      </c>
      <c r="R1236" s="21">
        <v>45443</v>
      </c>
      <c r="S1236" s="22" t="str">
        <f>TEXT(Table1[[#This Row],[End Date]],"MMMM")</f>
        <v>May</v>
      </c>
      <c r="T1236" s="23" t="str">
        <f>TEXT(Table1[[#This Row],[End Date]],"YYYY")</f>
        <v>2024</v>
      </c>
      <c r="U1236" s="24">
        <f t="shared" ca="1" si="46"/>
        <v>-310</v>
      </c>
      <c r="V1236" s="14" t="str" cm="1">
        <f t="array" aca="1" ref="V1236" ca="1">_xlfn.IFS(Table1[[#This Row],[Agreement Days]]&gt;=0,"Expired",Table1[[#This Row],[Agreement Days]]&gt;=-30,"Expires &lt; 30 Days",Table1[[#This Row],[Agreement Days]]&gt;=-60,"Expires &lt; 60 Days",Table1[[#This Row],[Agreement Days]]&lt;-60,"Valid Contract")</f>
        <v>Valid Contract</v>
      </c>
      <c r="W1236" s="14" t="s">
        <v>12</v>
      </c>
      <c r="X1236" s="14" t="s">
        <v>603</v>
      </c>
      <c r="Y1236" s="16" t="s">
        <v>604</v>
      </c>
      <c r="Z1236" s="17" t="s">
        <v>605</v>
      </c>
      <c r="AA1236" s="17"/>
      <c r="AB1236" s="98"/>
      <c r="AC1236" s="98"/>
    </row>
    <row r="1237" spans="1:29" x14ac:dyDescent="0.3">
      <c r="A1237" s="18" t="s">
        <v>598</v>
      </c>
      <c r="B1237" s="18" t="s">
        <v>119</v>
      </c>
      <c r="C1237" s="18" t="s">
        <v>2428</v>
      </c>
      <c r="D1237" s="14" t="s">
        <v>2427</v>
      </c>
      <c r="E1237" s="18" t="s">
        <v>9</v>
      </c>
      <c r="F1237" s="14" t="s">
        <v>601</v>
      </c>
      <c r="G1237" s="14" t="s">
        <v>546</v>
      </c>
      <c r="H1237" s="18" t="s">
        <v>2</v>
      </c>
      <c r="I1237" s="14" t="s">
        <v>121</v>
      </c>
      <c r="J1237" s="20">
        <v>3</v>
      </c>
      <c r="K1237" s="14" t="s">
        <v>2419</v>
      </c>
      <c r="L1237" s="14"/>
      <c r="M1237" s="14">
        <v>1</v>
      </c>
      <c r="N1237" s="15">
        <f>N1236</f>
        <v>2947241</v>
      </c>
      <c r="O1237" s="15">
        <f t="shared" si="47"/>
        <v>2947241</v>
      </c>
      <c r="P1237" s="15"/>
      <c r="Q1237" s="14" t="s">
        <v>520</v>
      </c>
      <c r="R1237" s="21">
        <v>45443</v>
      </c>
      <c r="S1237" s="22" t="str">
        <f>TEXT(Table1[[#This Row],[End Date]],"MMMM")</f>
        <v>May</v>
      </c>
      <c r="T1237" s="23" t="str">
        <f>TEXT(Table1[[#This Row],[End Date]],"YYYY")</f>
        <v>2024</v>
      </c>
      <c r="U1237" s="24">
        <f t="shared" ca="1" si="46"/>
        <v>-310</v>
      </c>
      <c r="V1237" s="14" t="str" cm="1">
        <f t="array" aca="1" ref="V1237" ca="1">_xlfn.IFS(Table1[[#This Row],[Agreement Days]]&gt;=0,"Expired",Table1[[#This Row],[Agreement Days]]&gt;=-30,"Expires &lt; 30 Days",Table1[[#This Row],[Agreement Days]]&gt;=-60,"Expires &lt; 60 Days",Table1[[#This Row],[Agreement Days]]&lt;-60,"Valid Contract")</f>
        <v>Valid Contract</v>
      </c>
      <c r="W1237" s="14" t="s">
        <v>12</v>
      </c>
      <c r="X1237" s="14" t="s">
        <v>603</v>
      </c>
      <c r="Y1237" s="16" t="s">
        <v>604</v>
      </c>
      <c r="Z1237" s="17" t="s">
        <v>605</v>
      </c>
      <c r="AA1237" s="17"/>
      <c r="AB1237" s="116"/>
      <c r="AC1237" s="116"/>
    </row>
    <row r="1238" spans="1:29" x14ac:dyDescent="0.3">
      <c r="A1238" s="18" t="s">
        <v>598</v>
      </c>
      <c r="B1238" s="18" t="s">
        <v>119</v>
      </c>
      <c r="C1238" s="18" t="s">
        <v>2429</v>
      </c>
      <c r="D1238" s="14" t="s">
        <v>2427</v>
      </c>
      <c r="E1238" s="18" t="s">
        <v>9</v>
      </c>
      <c r="F1238" s="14" t="s">
        <v>601</v>
      </c>
      <c r="G1238" s="14" t="s">
        <v>546</v>
      </c>
      <c r="H1238" s="18" t="s">
        <v>2</v>
      </c>
      <c r="I1238" s="14" t="s">
        <v>121</v>
      </c>
      <c r="J1238" s="20">
        <v>3</v>
      </c>
      <c r="K1238" s="14" t="s">
        <v>2419</v>
      </c>
      <c r="L1238" s="14"/>
      <c r="M1238" s="14">
        <v>1</v>
      </c>
      <c r="N1238" s="15">
        <f>N1237</f>
        <v>2947241</v>
      </c>
      <c r="O1238" s="15">
        <f t="shared" si="47"/>
        <v>2947241</v>
      </c>
      <c r="P1238" s="15"/>
      <c r="Q1238" s="14" t="s">
        <v>520</v>
      </c>
      <c r="R1238" s="21">
        <v>45443</v>
      </c>
      <c r="S1238" s="22" t="str">
        <f>TEXT(Table1[[#This Row],[End Date]],"MMMM")</f>
        <v>May</v>
      </c>
      <c r="T1238" s="23" t="str">
        <f>TEXT(Table1[[#This Row],[End Date]],"YYYY")</f>
        <v>2024</v>
      </c>
      <c r="U1238" s="24">
        <f t="shared" ca="1" si="46"/>
        <v>-310</v>
      </c>
      <c r="V1238" s="14" t="str" cm="1">
        <f t="array" aca="1" ref="V1238" ca="1">_xlfn.IFS(Table1[[#This Row],[Agreement Days]]&gt;=0,"Expired",Table1[[#This Row],[Agreement Days]]&gt;=-30,"Expires &lt; 30 Days",Table1[[#This Row],[Agreement Days]]&gt;=-60,"Expires &lt; 60 Days",Table1[[#This Row],[Agreement Days]]&lt;-60,"Valid Contract")</f>
        <v>Valid Contract</v>
      </c>
      <c r="W1238" s="14" t="s">
        <v>12</v>
      </c>
      <c r="X1238" s="14" t="s">
        <v>603</v>
      </c>
      <c r="Y1238" s="16" t="s">
        <v>604</v>
      </c>
      <c r="Z1238" s="17" t="s">
        <v>605</v>
      </c>
      <c r="AA1238" s="17"/>
      <c r="AB1238" s="116"/>
      <c r="AC1238" s="116"/>
    </row>
    <row r="1239" spans="1:29" x14ac:dyDescent="0.3">
      <c r="A1239" s="18" t="s">
        <v>598</v>
      </c>
      <c r="B1239" s="18" t="s">
        <v>119</v>
      </c>
      <c r="C1239" s="18" t="s">
        <v>2430</v>
      </c>
      <c r="D1239" s="14" t="s">
        <v>2427</v>
      </c>
      <c r="E1239" s="18" t="s">
        <v>9</v>
      </c>
      <c r="F1239" s="14" t="s">
        <v>601</v>
      </c>
      <c r="G1239" s="14" t="s">
        <v>546</v>
      </c>
      <c r="H1239" s="18" t="s">
        <v>2</v>
      </c>
      <c r="I1239" s="14" t="s">
        <v>121</v>
      </c>
      <c r="J1239" s="20">
        <v>3</v>
      </c>
      <c r="K1239" s="14" t="s">
        <v>2419</v>
      </c>
      <c r="L1239" s="14"/>
      <c r="M1239" s="14">
        <v>1</v>
      </c>
      <c r="N1239" s="15">
        <f>N1237</f>
        <v>2947241</v>
      </c>
      <c r="O1239" s="15">
        <f t="shared" si="47"/>
        <v>2947241</v>
      </c>
      <c r="P1239" s="15"/>
      <c r="Q1239" s="14" t="s">
        <v>520</v>
      </c>
      <c r="R1239" s="21">
        <v>45443</v>
      </c>
      <c r="S1239" s="22" t="str">
        <f>TEXT(Table1[[#This Row],[End Date]],"MMMM")</f>
        <v>May</v>
      </c>
      <c r="T1239" s="23" t="str">
        <f>TEXT(Table1[[#This Row],[End Date]],"YYYY")</f>
        <v>2024</v>
      </c>
      <c r="U1239" s="24">
        <f t="shared" ca="1" si="46"/>
        <v>-310</v>
      </c>
      <c r="V1239" s="14" t="str" cm="1">
        <f t="array" aca="1" ref="V1239" ca="1">_xlfn.IFS(Table1[[#This Row],[Agreement Days]]&gt;=0,"Expired",Table1[[#This Row],[Agreement Days]]&gt;=-30,"Expires &lt; 30 Days",Table1[[#This Row],[Agreement Days]]&gt;=-60,"Expires &lt; 60 Days",Table1[[#This Row],[Agreement Days]]&lt;-60,"Valid Contract")</f>
        <v>Valid Contract</v>
      </c>
      <c r="W1239" s="14" t="s">
        <v>12</v>
      </c>
      <c r="X1239" s="14" t="s">
        <v>603</v>
      </c>
      <c r="Y1239" s="16" t="s">
        <v>604</v>
      </c>
      <c r="Z1239" s="17" t="s">
        <v>605</v>
      </c>
      <c r="AA1239" s="17"/>
      <c r="AB1239" s="116"/>
      <c r="AC1239" s="116"/>
    </row>
    <row r="1240" spans="1:29" x14ac:dyDescent="0.3">
      <c r="A1240" s="18" t="s">
        <v>2415</v>
      </c>
      <c r="B1240" s="18" t="s">
        <v>119</v>
      </c>
      <c r="C1240" s="18" t="s">
        <v>2431</v>
      </c>
      <c r="D1240" s="14" t="s">
        <v>1499</v>
      </c>
      <c r="E1240" s="18" t="s">
        <v>9</v>
      </c>
      <c r="F1240" s="14" t="s">
        <v>601</v>
      </c>
      <c r="G1240" s="14" t="s">
        <v>546</v>
      </c>
      <c r="H1240" s="18" t="s">
        <v>2</v>
      </c>
      <c r="I1240" s="14" t="s">
        <v>121</v>
      </c>
      <c r="J1240" s="20">
        <v>4</v>
      </c>
      <c r="K1240" s="14" t="s">
        <v>607</v>
      </c>
      <c r="L1240" s="14"/>
      <c r="M1240" s="14">
        <v>1</v>
      </c>
      <c r="N1240" s="15">
        <v>3784112</v>
      </c>
      <c r="O1240" s="15">
        <f t="shared" si="47"/>
        <v>3784112</v>
      </c>
      <c r="P1240" s="15"/>
      <c r="Q1240" s="14" t="s">
        <v>520</v>
      </c>
      <c r="R1240" s="21">
        <v>45443</v>
      </c>
      <c r="S1240" s="22" t="str">
        <f>TEXT(Table1[[#This Row],[End Date]],"MMMM")</f>
        <v>May</v>
      </c>
      <c r="T1240" s="23" t="str">
        <f>TEXT(Table1[[#This Row],[End Date]],"YYYY")</f>
        <v>2024</v>
      </c>
      <c r="U1240" s="24">
        <f t="shared" ca="1" si="46"/>
        <v>-310</v>
      </c>
      <c r="V1240" s="14" t="str" cm="1">
        <f t="array" aca="1" ref="V1240" ca="1">_xlfn.IFS(Table1[[#This Row],[Agreement Days]]&gt;=0,"Expired",Table1[[#This Row],[Agreement Days]]&gt;=-30,"Expires &lt; 30 Days",Table1[[#This Row],[Agreement Days]]&gt;=-60,"Expires &lt; 60 Days",Table1[[#This Row],[Agreement Days]]&lt;-60,"Valid Contract")</f>
        <v>Valid Contract</v>
      </c>
      <c r="W1240" s="14" t="s">
        <v>12</v>
      </c>
      <c r="X1240" s="14" t="s">
        <v>603</v>
      </c>
      <c r="Y1240" s="16" t="s">
        <v>604</v>
      </c>
      <c r="Z1240" s="17" t="s">
        <v>605</v>
      </c>
      <c r="AA1240" s="17"/>
      <c r="AB1240" s="116"/>
      <c r="AC1240" s="116"/>
    </row>
    <row r="1241" spans="1:29" x14ac:dyDescent="0.3">
      <c r="A1241" s="18" t="s">
        <v>2415</v>
      </c>
      <c r="B1241" s="18" t="s">
        <v>119</v>
      </c>
      <c r="C1241" s="18" t="s">
        <v>2432</v>
      </c>
      <c r="D1241" s="14" t="s">
        <v>1499</v>
      </c>
      <c r="E1241" s="18" t="s">
        <v>9</v>
      </c>
      <c r="F1241" s="14" t="s">
        <v>601</v>
      </c>
      <c r="G1241" s="14" t="s">
        <v>546</v>
      </c>
      <c r="H1241" s="18" t="s">
        <v>2</v>
      </c>
      <c r="I1241" s="14" t="s">
        <v>121</v>
      </c>
      <c r="J1241" s="20">
        <v>4</v>
      </c>
      <c r="K1241" s="14" t="s">
        <v>607</v>
      </c>
      <c r="L1241" s="14"/>
      <c r="M1241" s="14">
        <v>1</v>
      </c>
      <c r="N1241" s="15">
        <v>3784112</v>
      </c>
      <c r="O1241" s="15">
        <f t="shared" si="47"/>
        <v>3784112</v>
      </c>
      <c r="P1241" s="15"/>
      <c r="Q1241" s="14" t="s">
        <v>520</v>
      </c>
      <c r="R1241" s="21">
        <v>45443</v>
      </c>
      <c r="S1241" s="22" t="str">
        <f>TEXT(Table1[[#This Row],[End Date]],"MMMM")</f>
        <v>May</v>
      </c>
      <c r="T1241" s="23" t="str">
        <f>TEXT(Table1[[#This Row],[End Date]],"YYYY")</f>
        <v>2024</v>
      </c>
      <c r="U1241" s="24">
        <f t="shared" ca="1" si="46"/>
        <v>-310</v>
      </c>
      <c r="V1241" s="14" t="str" cm="1">
        <f t="array" aca="1" ref="V1241" ca="1">_xlfn.IFS(Table1[[#This Row],[Agreement Days]]&gt;=0,"Expired",Table1[[#This Row],[Agreement Days]]&gt;=-30,"Expires &lt; 30 Days",Table1[[#This Row],[Agreement Days]]&gt;=-60,"Expires &lt; 60 Days",Table1[[#This Row],[Agreement Days]]&lt;-60,"Valid Contract")</f>
        <v>Valid Contract</v>
      </c>
      <c r="W1241" s="14" t="s">
        <v>12</v>
      </c>
      <c r="X1241" s="14" t="s">
        <v>603</v>
      </c>
      <c r="Y1241" s="16" t="s">
        <v>604</v>
      </c>
      <c r="Z1241" s="17" t="s">
        <v>605</v>
      </c>
      <c r="AA1241" s="17"/>
      <c r="AB1241" s="116"/>
      <c r="AC1241" s="116"/>
    </row>
    <row r="1242" spans="1:29" x14ac:dyDescent="0.3">
      <c r="A1242" s="18" t="s">
        <v>598</v>
      </c>
      <c r="B1242" s="18" t="s">
        <v>119</v>
      </c>
      <c r="C1242" s="18" t="s">
        <v>2433</v>
      </c>
      <c r="D1242" s="14" t="s">
        <v>2427</v>
      </c>
      <c r="E1242" s="18" t="s">
        <v>9</v>
      </c>
      <c r="F1242" s="14" t="s">
        <v>601</v>
      </c>
      <c r="G1242" s="14" t="s">
        <v>546</v>
      </c>
      <c r="H1242" s="18" t="s">
        <v>2</v>
      </c>
      <c r="I1242" s="14" t="s">
        <v>121</v>
      </c>
      <c r="J1242" s="20">
        <v>4</v>
      </c>
      <c r="K1242" s="14" t="s">
        <v>607</v>
      </c>
      <c r="L1242" s="14"/>
      <c r="M1242" s="14">
        <v>1</v>
      </c>
      <c r="N1242" s="15">
        <v>3784112</v>
      </c>
      <c r="O1242" s="15">
        <f t="shared" si="47"/>
        <v>3784112</v>
      </c>
      <c r="P1242" s="15"/>
      <c r="Q1242" s="14" t="s">
        <v>520</v>
      </c>
      <c r="R1242" s="21">
        <v>45443</v>
      </c>
      <c r="S1242" s="22" t="str">
        <f>TEXT(Table1[[#This Row],[End Date]],"MMMM")</f>
        <v>May</v>
      </c>
      <c r="T1242" s="23" t="str">
        <f>TEXT(Table1[[#This Row],[End Date]],"YYYY")</f>
        <v>2024</v>
      </c>
      <c r="U1242" s="24">
        <f t="shared" ca="1" si="46"/>
        <v>-310</v>
      </c>
      <c r="V1242" s="14" t="str" cm="1">
        <f t="array" aca="1" ref="V1242" ca="1">_xlfn.IFS(Table1[[#This Row],[Agreement Days]]&gt;=0,"Expired",Table1[[#This Row],[Agreement Days]]&gt;=-30,"Expires &lt; 30 Days",Table1[[#This Row],[Agreement Days]]&gt;=-60,"Expires &lt; 60 Days",Table1[[#This Row],[Agreement Days]]&lt;-60,"Valid Contract")</f>
        <v>Valid Contract</v>
      </c>
      <c r="W1242" s="14" t="s">
        <v>12</v>
      </c>
      <c r="X1242" s="14" t="s">
        <v>603</v>
      </c>
      <c r="Y1242" s="16" t="s">
        <v>604</v>
      </c>
      <c r="Z1242" s="17" t="s">
        <v>605</v>
      </c>
      <c r="AA1242" s="17"/>
      <c r="AB1242" s="116"/>
      <c r="AC1242" s="116"/>
    </row>
    <row r="1243" spans="1:29" x14ac:dyDescent="0.3">
      <c r="A1243" s="18" t="s">
        <v>598</v>
      </c>
      <c r="B1243" s="18" t="s">
        <v>119</v>
      </c>
      <c r="C1243" s="18" t="s">
        <v>2434</v>
      </c>
      <c r="D1243" s="14" t="s">
        <v>2427</v>
      </c>
      <c r="E1243" s="18" t="s">
        <v>9</v>
      </c>
      <c r="F1243" s="14" t="s">
        <v>601</v>
      </c>
      <c r="G1243" s="14" t="s">
        <v>546</v>
      </c>
      <c r="H1243" s="18" t="s">
        <v>2</v>
      </c>
      <c r="I1243" s="14" t="s">
        <v>121</v>
      </c>
      <c r="J1243" s="20">
        <v>4</v>
      </c>
      <c r="K1243" s="14" t="s">
        <v>607</v>
      </c>
      <c r="L1243" s="14"/>
      <c r="M1243" s="14">
        <v>1</v>
      </c>
      <c r="N1243" s="15">
        <f>N1242</f>
        <v>3784112</v>
      </c>
      <c r="O1243" s="15">
        <f t="shared" si="47"/>
        <v>3784112</v>
      </c>
      <c r="P1243" s="15"/>
      <c r="Q1243" s="14" t="s">
        <v>520</v>
      </c>
      <c r="R1243" s="21">
        <v>45443</v>
      </c>
      <c r="S1243" s="22" t="str">
        <f>TEXT(Table1[[#This Row],[End Date]],"MMMM")</f>
        <v>May</v>
      </c>
      <c r="T1243" s="23" t="str">
        <f>TEXT(Table1[[#This Row],[End Date]],"YYYY")</f>
        <v>2024</v>
      </c>
      <c r="U1243" s="24">
        <f t="shared" ca="1" si="46"/>
        <v>-310</v>
      </c>
      <c r="V1243" s="14" t="str" cm="1">
        <f t="array" aca="1" ref="V1243" ca="1">_xlfn.IFS(Table1[[#This Row],[Agreement Days]]&gt;=0,"Expired",Table1[[#This Row],[Agreement Days]]&gt;=-30,"Expires &lt; 30 Days",Table1[[#This Row],[Agreement Days]]&gt;=-60,"Expires &lt; 60 Days",Table1[[#This Row],[Agreement Days]]&lt;-60,"Valid Contract")</f>
        <v>Valid Contract</v>
      </c>
      <c r="W1243" s="14" t="s">
        <v>12</v>
      </c>
      <c r="X1243" s="14" t="s">
        <v>603</v>
      </c>
      <c r="Y1243" s="16" t="s">
        <v>604</v>
      </c>
      <c r="Z1243" s="17" t="s">
        <v>605</v>
      </c>
      <c r="AA1243" s="17"/>
      <c r="AB1243" s="116"/>
      <c r="AC1243" s="116"/>
    </row>
    <row r="1244" spans="1:29" x14ac:dyDescent="0.3">
      <c r="A1244" s="18" t="s">
        <v>598</v>
      </c>
      <c r="B1244" s="18" t="s">
        <v>119</v>
      </c>
      <c r="C1244" s="18" t="s">
        <v>2435</v>
      </c>
      <c r="D1244" s="14" t="s">
        <v>2427</v>
      </c>
      <c r="E1244" s="18" t="s">
        <v>9</v>
      </c>
      <c r="F1244" s="14" t="s">
        <v>601</v>
      </c>
      <c r="G1244" s="14" t="s">
        <v>546</v>
      </c>
      <c r="H1244" s="18" t="s">
        <v>2</v>
      </c>
      <c r="I1244" s="14" t="s">
        <v>121</v>
      </c>
      <c r="J1244" s="20">
        <v>5</v>
      </c>
      <c r="K1244" s="14" t="s">
        <v>2436</v>
      </c>
      <c r="L1244" s="14"/>
      <c r="M1244" s="14">
        <v>1</v>
      </c>
      <c r="N1244" s="15">
        <v>4548300</v>
      </c>
      <c r="O1244" s="15">
        <f t="shared" si="47"/>
        <v>4548300</v>
      </c>
      <c r="P1244" s="15"/>
      <c r="Q1244" s="14" t="s">
        <v>520</v>
      </c>
      <c r="R1244" s="21">
        <v>45443</v>
      </c>
      <c r="S1244" s="22" t="str">
        <f>TEXT(Table1[[#This Row],[End Date]],"MMMM")</f>
        <v>May</v>
      </c>
      <c r="T1244" s="23" t="str">
        <f>TEXT(Table1[[#This Row],[End Date]],"YYYY")</f>
        <v>2024</v>
      </c>
      <c r="U1244" s="24">
        <f t="shared" ca="1" si="46"/>
        <v>-310</v>
      </c>
      <c r="V1244" s="14" t="str" cm="1">
        <f t="array" aca="1" ref="V1244" ca="1">_xlfn.IFS(Table1[[#This Row],[Agreement Days]]&gt;=0,"Expired",Table1[[#This Row],[Agreement Days]]&gt;=-30,"Expires &lt; 30 Days",Table1[[#This Row],[Agreement Days]]&gt;=-60,"Expires &lt; 60 Days",Table1[[#This Row],[Agreement Days]]&lt;-60,"Valid Contract")</f>
        <v>Valid Contract</v>
      </c>
      <c r="W1244" s="14" t="s">
        <v>12</v>
      </c>
      <c r="X1244" s="14" t="s">
        <v>603</v>
      </c>
      <c r="Y1244" s="16" t="s">
        <v>604</v>
      </c>
      <c r="Z1244" s="17" t="s">
        <v>605</v>
      </c>
      <c r="AA1244" s="17"/>
      <c r="AB1244" s="116"/>
      <c r="AC1244" s="116"/>
    </row>
    <row r="1245" spans="1:29" x14ac:dyDescent="0.3">
      <c r="A1245" s="18" t="s">
        <v>598</v>
      </c>
      <c r="B1245" s="18" t="s">
        <v>119</v>
      </c>
      <c r="C1245" s="18" t="s">
        <v>2437</v>
      </c>
      <c r="D1245" s="14" t="s">
        <v>2427</v>
      </c>
      <c r="E1245" s="18" t="s">
        <v>9</v>
      </c>
      <c r="F1245" s="14" t="s">
        <v>601</v>
      </c>
      <c r="G1245" s="14" t="s">
        <v>546</v>
      </c>
      <c r="H1245" s="18" t="s">
        <v>2</v>
      </c>
      <c r="I1245" s="14" t="s">
        <v>121</v>
      </c>
      <c r="J1245" s="20">
        <v>5</v>
      </c>
      <c r="K1245" s="14" t="s">
        <v>2436</v>
      </c>
      <c r="L1245" s="14"/>
      <c r="M1245" s="14">
        <v>1</v>
      </c>
      <c r="N1245" s="15">
        <v>4548300</v>
      </c>
      <c r="O1245" s="15">
        <f t="shared" si="47"/>
        <v>4548300</v>
      </c>
      <c r="P1245" s="15"/>
      <c r="Q1245" s="14" t="s">
        <v>520</v>
      </c>
      <c r="R1245" s="21">
        <v>45443</v>
      </c>
      <c r="S1245" s="22" t="str">
        <f>TEXT(Table1[[#This Row],[End Date]],"MMMM")</f>
        <v>May</v>
      </c>
      <c r="T1245" s="23" t="str">
        <f>TEXT(Table1[[#This Row],[End Date]],"YYYY")</f>
        <v>2024</v>
      </c>
      <c r="U1245" s="24">
        <f t="shared" ca="1" si="46"/>
        <v>-310</v>
      </c>
      <c r="V1245" s="14" t="str" cm="1">
        <f t="array" aca="1" ref="V1245" ca="1">_xlfn.IFS(Table1[[#This Row],[Agreement Days]]&gt;=0,"Expired",Table1[[#This Row],[Agreement Days]]&gt;=-30,"Expires &lt; 30 Days",Table1[[#This Row],[Agreement Days]]&gt;=-60,"Expires &lt; 60 Days",Table1[[#This Row],[Agreement Days]]&lt;-60,"Valid Contract")</f>
        <v>Valid Contract</v>
      </c>
      <c r="W1245" s="14" t="s">
        <v>12</v>
      </c>
      <c r="X1245" s="14" t="s">
        <v>603</v>
      </c>
      <c r="Y1245" s="16" t="s">
        <v>604</v>
      </c>
      <c r="Z1245" s="17" t="s">
        <v>605</v>
      </c>
      <c r="AA1245" s="17"/>
      <c r="AB1245" s="116"/>
      <c r="AC1245" s="116"/>
    </row>
    <row r="1246" spans="1:29" x14ac:dyDescent="0.3">
      <c r="A1246" s="18" t="s">
        <v>2438</v>
      </c>
      <c r="B1246" s="18" t="s">
        <v>119</v>
      </c>
      <c r="C1246" s="18" t="s">
        <v>2439</v>
      </c>
      <c r="D1246" s="14" t="s">
        <v>1499</v>
      </c>
      <c r="E1246" s="18" t="s">
        <v>9</v>
      </c>
      <c r="F1246" s="14" t="s">
        <v>601</v>
      </c>
      <c r="G1246" s="14" t="s">
        <v>546</v>
      </c>
      <c r="H1246" s="18" t="s">
        <v>2</v>
      </c>
      <c r="I1246" s="14" t="s">
        <v>121</v>
      </c>
      <c r="J1246" s="20">
        <v>6</v>
      </c>
      <c r="K1246" s="14" t="s">
        <v>1500</v>
      </c>
      <c r="L1246" s="14"/>
      <c r="M1246" s="14">
        <v>1</v>
      </c>
      <c r="N1246" s="15">
        <v>5421468</v>
      </c>
      <c r="O1246" s="15">
        <f t="shared" si="47"/>
        <v>5421468</v>
      </c>
      <c r="P1246" s="15"/>
      <c r="Q1246" s="14" t="s">
        <v>520</v>
      </c>
      <c r="R1246" s="21">
        <v>45443</v>
      </c>
      <c r="S1246" s="22" t="str">
        <f>TEXT(Table1[[#This Row],[End Date]],"MMMM")</f>
        <v>May</v>
      </c>
      <c r="T1246" s="23" t="str">
        <f>TEXT(Table1[[#This Row],[End Date]],"YYYY")</f>
        <v>2024</v>
      </c>
      <c r="U1246" s="24">
        <f t="shared" ca="1" si="46"/>
        <v>-310</v>
      </c>
      <c r="V1246" s="14" t="str" cm="1">
        <f t="array" aca="1" ref="V1246" ca="1">_xlfn.IFS(Table1[[#This Row],[Agreement Days]]&gt;=0,"Expired",Table1[[#This Row],[Agreement Days]]&gt;=-30,"Expires &lt; 30 Days",Table1[[#This Row],[Agreement Days]]&gt;=-60,"Expires &lt; 60 Days",Table1[[#This Row],[Agreement Days]]&lt;-60,"Valid Contract")</f>
        <v>Valid Contract</v>
      </c>
      <c r="W1246" s="14" t="s">
        <v>12</v>
      </c>
      <c r="X1246" s="14" t="s">
        <v>603</v>
      </c>
      <c r="Y1246" s="16" t="s">
        <v>604</v>
      </c>
      <c r="Z1246" s="17" t="s">
        <v>605</v>
      </c>
      <c r="AA1246" s="17"/>
      <c r="AB1246" s="116"/>
      <c r="AC1246" s="116"/>
    </row>
    <row r="1247" spans="1:29" x14ac:dyDescent="0.3">
      <c r="A1247" s="18" t="s">
        <v>2438</v>
      </c>
      <c r="B1247" s="18" t="s">
        <v>119</v>
      </c>
      <c r="C1247" s="18" t="s">
        <v>2440</v>
      </c>
      <c r="D1247" s="14" t="s">
        <v>2427</v>
      </c>
      <c r="E1247" s="18" t="s">
        <v>9</v>
      </c>
      <c r="F1247" s="14" t="s">
        <v>601</v>
      </c>
      <c r="G1247" s="14" t="s">
        <v>546</v>
      </c>
      <c r="H1247" s="18" t="s">
        <v>2</v>
      </c>
      <c r="I1247" s="14" t="s">
        <v>121</v>
      </c>
      <c r="J1247" s="20"/>
      <c r="K1247" s="14" t="s">
        <v>2441</v>
      </c>
      <c r="L1247" s="14"/>
      <c r="M1247" s="14">
        <v>1</v>
      </c>
      <c r="N1247" s="15">
        <f>18243258/1.18</f>
        <v>15460388.135593221</v>
      </c>
      <c r="O1247" s="15">
        <f t="shared" si="47"/>
        <v>15460388.135593221</v>
      </c>
      <c r="P1247" s="15"/>
      <c r="Q1247" s="14" t="s">
        <v>520</v>
      </c>
      <c r="R1247" s="21">
        <v>45443</v>
      </c>
      <c r="S1247" s="22" t="str">
        <f>TEXT(Table1[[#This Row],[End Date]],"MMMM")</f>
        <v>May</v>
      </c>
      <c r="T1247" s="23" t="str">
        <f>TEXT(Table1[[#This Row],[End Date]],"YYYY")</f>
        <v>2024</v>
      </c>
      <c r="U1247" s="24">
        <f t="shared" ca="1" si="46"/>
        <v>-310</v>
      </c>
      <c r="V1247" s="14" t="str" cm="1">
        <f t="array" aca="1" ref="V1247" ca="1">_xlfn.IFS(Table1[[#This Row],[Agreement Days]]&gt;=0,"Expired",Table1[[#This Row],[Agreement Days]]&gt;=-30,"Expires &lt; 30 Days",Table1[[#This Row],[Agreement Days]]&gt;=-60,"Expires &lt; 60 Days",Table1[[#This Row],[Agreement Days]]&lt;-60,"Valid Contract")</f>
        <v>Valid Contract</v>
      </c>
      <c r="W1247" s="14" t="s">
        <v>12</v>
      </c>
      <c r="X1247" s="14" t="s">
        <v>603</v>
      </c>
      <c r="Y1247" s="16" t="s">
        <v>604</v>
      </c>
      <c r="Z1247" s="17" t="s">
        <v>605</v>
      </c>
      <c r="AA1247" s="17"/>
      <c r="AB1247" s="116"/>
      <c r="AC1247" s="116"/>
    </row>
    <row r="1248" spans="1:29" x14ac:dyDescent="0.3">
      <c r="A1248" s="18" t="s">
        <v>2442</v>
      </c>
      <c r="B1248" s="18" t="s">
        <v>262</v>
      </c>
      <c r="C1248" s="18" t="s">
        <v>2443</v>
      </c>
      <c r="D1248" s="14" t="s">
        <v>616</v>
      </c>
      <c r="E1248" s="18" t="s">
        <v>9</v>
      </c>
      <c r="F1248" s="14" t="s">
        <v>517</v>
      </c>
      <c r="G1248" s="14" t="s">
        <v>518</v>
      </c>
      <c r="H1248" s="18" t="s">
        <v>5</v>
      </c>
      <c r="I1248" s="14" t="s">
        <v>117</v>
      </c>
      <c r="J1248" s="14">
        <v>8</v>
      </c>
      <c r="K1248" s="14" t="s">
        <v>2444</v>
      </c>
      <c r="L1248" s="14"/>
      <c r="M1248" s="14">
        <v>1</v>
      </c>
      <c r="N1248" s="15">
        <f>490880/1.18</f>
        <v>416000</v>
      </c>
      <c r="O1248" s="15">
        <f t="shared" si="47"/>
        <v>416000</v>
      </c>
      <c r="P1248" s="15"/>
      <c r="Q1248" s="14" t="s">
        <v>520</v>
      </c>
      <c r="R1248" s="21">
        <v>45443</v>
      </c>
      <c r="S1248" s="22" t="str">
        <f>TEXT(Table1[[#This Row],[End Date]],"MMMM")</f>
        <v>May</v>
      </c>
      <c r="T1248" s="23" t="str">
        <f>TEXT(Table1[[#This Row],[End Date]],"YYYY")</f>
        <v>2024</v>
      </c>
      <c r="U1248" s="24">
        <f t="shared" ca="1" si="46"/>
        <v>-310</v>
      </c>
      <c r="V1248" s="14" t="str" cm="1">
        <f t="array" aca="1" ref="V1248" ca="1">_xlfn.IFS(Table1[[#This Row],[Agreement Days]]&gt;=0,"Expired",Table1[[#This Row],[Agreement Days]]&gt;=-30,"Expires &lt; 30 Days",Table1[[#This Row],[Agreement Days]]&gt;=-60,"Expires &lt; 60 Days",Table1[[#This Row],[Agreement Days]]&lt;-60,"Valid Contract")</f>
        <v>Valid Contract</v>
      </c>
      <c r="W1248" s="14" t="s">
        <v>12</v>
      </c>
      <c r="X1248" s="14" t="s">
        <v>2445</v>
      </c>
      <c r="Y1248" s="16" t="s">
        <v>2446</v>
      </c>
      <c r="Z1248" s="17" t="s">
        <v>2447</v>
      </c>
      <c r="AA1248" s="17"/>
      <c r="AB1248" s="116"/>
      <c r="AC1248" s="116"/>
    </row>
    <row r="1249" spans="1:29" x14ac:dyDescent="0.3">
      <c r="A1249" s="18" t="s">
        <v>2442</v>
      </c>
      <c r="B1249" s="18" t="s">
        <v>262</v>
      </c>
      <c r="C1249" s="18" t="s">
        <v>1021</v>
      </c>
      <c r="D1249" s="14" t="s">
        <v>616</v>
      </c>
      <c r="E1249" s="18" t="s">
        <v>9</v>
      </c>
      <c r="F1249" s="14" t="s">
        <v>517</v>
      </c>
      <c r="G1249" s="14" t="s">
        <v>518</v>
      </c>
      <c r="H1249" s="18" t="s">
        <v>2</v>
      </c>
      <c r="I1249" s="14" t="s">
        <v>118</v>
      </c>
      <c r="J1249" s="14"/>
      <c r="K1249" s="14" t="s">
        <v>721</v>
      </c>
      <c r="L1249" s="14"/>
      <c r="M1249" s="14">
        <v>1</v>
      </c>
      <c r="N1249" s="15">
        <v>369325</v>
      </c>
      <c r="O1249" s="15">
        <f t="shared" si="47"/>
        <v>369325</v>
      </c>
      <c r="P1249" s="15"/>
      <c r="Q1249" s="14" t="s">
        <v>520</v>
      </c>
      <c r="R1249" s="21">
        <v>45443</v>
      </c>
      <c r="S1249" s="22" t="str">
        <f>TEXT(Table1[[#This Row],[End Date]],"MMMM")</f>
        <v>May</v>
      </c>
      <c r="T1249" s="23" t="str">
        <f>TEXT(Table1[[#This Row],[End Date]],"YYYY")</f>
        <v>2024</v>
      </c>
      <c r="U1249" s="24">
        <f t="shared" ca="1" si="46"/>
        <v>-310</v>
      </c>
      <c r="V1249" s="14" t="str" cm="1">
        <f t="array" aca="1" ref="V1249" ca="1">_xlfn.IFS(Table1[[#This Row],[Agreement Days]]&gt;=0,"Expired",Table1[[#This Row],[Agreement Days]]&gt;=-30,"Expires &lt; 30 Days",Table1[[#This Row],[Agreement Days]]&gt;=-60,"Expires &lt; 60 Days",Table1[[#This Row],[Agreement Days]]&lt;-60,"Valid Contract")</f>
        <v>Valid Contract</v>
      </c>
      <c r="W1249" s="14" t="s">
        <v>12</v>
      </c>
      <c r="X1249" s="14" t="s">
        <v>2445</v>
      </c>
      <c r="Y1249" s="16" t="s">
        <v>2446</v>
      </c>
      <c r="Z1249" s="17" t="s">
        <v>2447</v>
      </c>
      <c r="AA1249" s="17"/>
      <c r="AB1249" s="116"/>
      <c r="AC1249" s="116"/>
    </row>
    <row r="1250" spans="1:29" x14ac:dyDescent="0.3">
      <c r="A1250" s="18" t="s">
        <v>2442</v>
      </c>
      <c r="B1250" s="18" t="s">
        <v>262</v>
      </c>
      <c r="C1250" s="18" t="s">
        <v>616</v>
      </c>
      <c r="D1250" s="14" t="s">
        <v>616</v>
      </c>
      <c r="E1250" s="18" t="s">
        <v>9</v>
      </c>
      <c r="F1250" s="14" t="s">
        <v>517</v>
      </c>
      <c r="G1250" s="14" t="s">
        <v>518</v>
      </c>
      <c r="H1250" s="18" t="s">
        <v>5</v>
      </c>
      <c r="I1250" s="14" t="s">
        <v>115</v>
      </c>
      <c r="J1250" s="14"/>
      <c r="K1250" s="14" t="s">
        <v>642</v>
      </c>
      <c r="L1250" s="14"/>
      <c r="M1250" s="14">
        <v>1</v>
      </c>
      <c r="N1250" s="15">
        <v>101694.91525400001</v>
      </c>
      <c r="O1250" s="15">
        <f t="shared" si="47"/>
        <v>101694.91525400001</v>
      </c>
      <c r="P1250" s="15"/>
      <c r="Q1250" s="14" t="s">
        <v>520</v>
      </c>
      <c r="R1250" s="21">
        <v>45443</v>
      </c>
      <c r="S1250" s="22" t="str">
        <f>TEXT(Table1[[#This Row],[End Date]],"MMMM")</f>
        <v>May</v>
      </c>
      <c r="T1250" s="23" t="str">
        <f>TEXT(Table1[[#This Row],[End Date]],"YYYY")</f>
        <v>2024</v>
      </c>
      <c r="U1250" s="24">
        <f t="shared" ca="1" si="46"/>
        <v>-310</v>
      </c>
      <c r="V1250" s="14" t="str" cm="1">
        <f t="array" aca="1" ref="V1250" ca="1">_xlfn.IFS(Table1[[#This Row],[Agreement Days]]&gt;=0,"Expired",Table1[[#This Row],[Agreement Days]]&gt;=-30,"Expires &lt; 30 Days",Table1[[#This Row],[Agreement Days]]&gt;=-60,"Expires &lt; 60 Days",Table1[[#This Row],[Agreement Days]]&lt;-60,"Valid Contract")</f>
        <v>Valid Contract</v>
      </c>
      <c r="W1250" s="14" t="s">
        <v>12</v>
      </c>
      <c r="X1250" s="14" t="s">
        <v>2445</v>
      </c>
      <c r="Y1250" s="16" t="s">
        <v>2446</v>
      </c>
      <c r="Z1250" s="17" t="s">
        <v>2447</v>
      </c>
      <c r="AA1250" s="17"/>
      <c r="AB1250" s="116"/>
      <c r="AC1250" s="116"/>
    </row>
    <row r="1251" spans="1:29" x14ac:dyDescent="0.3">
      <c r="A1251" s="18" t="s">
        <v>2442</v>
      </c>
      <c r="B1251" s="18" t="s">
        <v>262</v>
      </c>
      <c r="C1251" s="18" t="s">
        <v>616</v>
      </c>
      <c r="D1251" s="14" t="s">
        <v>616</v>
      </c>
      <c r="E1251" s="18" t="s">
        <v>9</v>
      </c>
      <c r="F1251" s="14" t="s">
        <v>517</v>
      </c>
      <c r="G1251" s="14" t="s">
        <v>518</v>
      </c>
      <c r="H1251" s="18" t="s">
        <v>5</v>
      </c>
      <c r="I1251" s="14" t="s">
        <v>115</v>
      </c>
      <c r="J1251" s="14"/>
      <c r="K1251" s="14" t="s">
        <v>642</v>
      </c>
      <c r="L1251" s="14"/>
      <c r="M1251" s="14">
        <v>1</v>
      </c>
      <c r="N1251" s="15">
        <v>101694.91525400001</v>
      </c>
      <c r="O1251" s="15">
        <f t="shared" si="47"/>
        <v>101694.91525400001</v>
      </c>
      <c r="P1251" s="15"/>
      <c r="Q1251" s="14" t="s">
        <v>520</v>
      </c>
      <c r="R1251" s="21">
        <v>45443</v>
      </c>
      <c r="S1251" s="22" t="str">
        <f>TEXT(Table1[[#This Row],[End Date]],"MMMM")</f>
        <v>May</v>
      </c>
      <c r="T1251" s="23" t="str">
        <f>TEXT(Table1[[#This Row],[End Date]],"YYYY")</f>
        <v>2024</v>
      </c>
      <c r="U1251" s="24">
        <f t="shared" ca="1" si="46"/>
        <v>-310</v>
      </c>
      <c r="V1251" s="14" t="str" cm="1">
        <f t="array" aca="1" ref="V1251" ca="1">_xlfn.IFS(Table1[[#This Row],[Agreement Days]]&gt;=0,"Expired",Table1[[#This Row],[Agreement Days]]&gt;=-30,"Expires &lt; 30 Days",Table1[[#This Row],[Agreement Days]]&gt;=-60,"Expires &lt; 60 Days",Table1[[#This Row],[Agreement Days]]&lt;-60,"Valid Contract")</f>
        <v>Valid Contract</v>
      </c>
      <c r="W1251" s="14" t="s">
        <v>12</v>
      </c>
      <c r="X1251" s="14" t="s">
        <v>2445</v>
      </c>
      <c r="Y1251" s="16" t="s">
        <v>2446</v>
      </c>
      <c r="Z1251" s="17" t="s">
        <v>2447</v>
      </c>
      <c r="AA1251" s="17"/>
      <c r="AB1251" s="116"/>
      <c r="AC1251" s="116"/>
    </row>
    <row r="1252" spans="1:29" x14ac:dyDescent="0.3">
      <c r="A1252" s="18" t="s">
        <v>2442</v>
      </c>
      <c r="B1252" s="18" t="s">
        <v>262</v>
      </c>
      <c r="C1252" s="18" t="s">
        <v>616</v>
      </c>
      <c r="D1252" s="14" t="s">
        <v>616</v>
      </c>
      <c r="E1252" s="18" t="s">
        <v>9</v>
      </c>
      <c r="F1252" s="14" t="s">
        <v>517</v>
      </c>
      <c r="G1252" s="14" t="s">
        <v>518</v>
      </c>
      <c r="H1252" s="18" t="s">
        <v>5</v>
      </c>
      <c r="I1252" s="14" t="s">
        <v>115</v>
      </c>
      <c r="J1252" s="14"/>
      <c r="K1252" s="14" t="s">
        <v>642</v>
      </c>
      <c r="L1252" s="14"/>
      <c r="M1252" s="14">
        <v>1</v>
      </c>
      <c r="N1252" s="15">
        <v>101694.91525400001</v>
      </c>
      <c r="O1252" s="15">
        <f t="shared" si="47"/>
        <v>101694.91525400001</v>
      </c>
      <c r="P1252" s="15"/>
      <c r="Q1252" s="14" t="s">
        <v>520</v>
      </c>
      <c r="R1252" s="21">
        <v>45443</v>
      </c>
      <c r="S1252" s="22" t="str">
        <f>TEXT(Table1[[#This Row],[End Date]],"MMMM")</f>
        <v>May</v>
      </c>
      <c r="T1252" s="23" t="str">
        <f>TEXT(Table1[[#This Row],[End Date]],"YYYY")</f>
        <v>2024</v>
      </c>
      <c r="U1252" s="24">
        <f t="shared" ca="1" si="46"/>
        <v>-310</v>
      </c>
      <c r="V1252" s="14" t="str" cm="1">
        <f t="array" aca="1" ref="V1252" ca="1">_xlfn.IFS(Table1[[#This Row],[Agreement Days]]&gt;=0,"Expired",Table1[[#This Row],[Agreement Days]]&gt;=-30,"Expires &lt; 30 Days",Table1[[#This Row],[Agreement Days]]&gt;=-60,"Expires &lt; 60 Days",Table1[[#This Row],[Agreement Days]]&lt;-60,"Valid Contract")</f>
        <v>Valid Contract</v>
      </c>
      <c r="W1252" s="14" t="s">
        <v>12</v>
      </c>
      <c r="X1252" s="14" t="s">
        <v>2445</v>
      </c>
      <c r="Y1252" s="16" t="s">
        <v>2446</v>
      </c>
      <c r="Z1252" s="17" t="s">
        <v>2447</v>
      </c>
      <c r="AA1252" s="17"/>
      <c r="AB1252" s="116"/>
      <c r="AC1252" s="116"/>
    </row>
    <row r="1253" spans="1:29" x14ac:dyDescent="0.3">
      <c r="A1253" s="18" t="s">
        <v>2442</v>
      </c>
      <c r="B1253" s="18" t="s">
        <v>262</v>
      </c>
      <c r="C1253" s="18" t="s">
        <v>616</v>
      </c>
      <c r="D1253" s="14" t="s">
        <v>616</v>
      </c>
      <c r="E1253" s="18" t="s">
        <v>9</v>
      </c>
      <c r="F1253" s="14" t="s">
        <v>517</v>
      </c>
      <c r="G1253" s="14" t="s">
        <v>518</v>
      </c>
      <c r="H1253" s="18" t="s">
        <v>5</v>
      </c>
      <c r="I1253" s="14" t="s">
        <v>115</v>
      </c>
      <c r="J1253" s="14"/>
      <c r="K1253" s="14" t="s">
        <v>642</v>
      </c>
      <c r="L1253" s="14"/>
      <c r="M1253" s="14">
        <v>1</v>
      </c>
      <c r="N1253" s="15">
        <v>101694.91525400001</v>
      </c>
      <c r="O1253" s="15">
        <f t="shared" si="47"/>
        <v>101694.91525400001</v>
      </c>
      <c r="P1253" s="15"/>
      <c r="Q1253" s="14" t="s">
        <v>520</v>
      </c>
      <c r="R1253" s="21">
        <v>45443</v>
      </c>
      <c r="S1253" s="22" t="str">
        <f>TEXT(Table1[[#This Row],[End Date]],"MMMM")</f>
        <v>May</v>
      </c>
      <c r="T1253" s="23" t="str">
        <f>TEXT(Table1[[#This Row],[End Date]],"YYYY")</f>
        <v>2024</v>
      </c>
      <c r="U1253" s="24">
        <f t="shared" ca="1" si="46"/>
        <v>-310</v>
      </c>
      <c r="V1253" s="14" t="str" cm="1">
        <f t="array" aca="1" ref="V1253" ca="1">_xlfn.IFS(Table1[[#This Row],[Agreement Days]]&gt;=0,"Expired",Table1[[#This Row],[Agreement Days]]&gt;=-30,"Expires &lt; 30 Days",Table1[[#This Row],[Agreement Days]]&gt;=-60,"Expires &lt; 60 Days",Table1[[#This Row],[Agreement Days]]&lt;-60,"Valid Contract")</f>
        <v>Valid Contract</v>
      </c>
      <c r="W1253" s="14" t="s">
        <v>12</v>
      </c>
      <c r="X1253" s="14" t="s">
        <v>2445</v>
      </c>
      <c r="Y1253" s="16" t="s">
        <v>2446</v>
      </c>
      <c r="Z1253" s="17" t="s">
        <v>2447</v>
      </c>
      <c r="AA1253" s="17"/>
      <c r="AB1253" s="116"/>
      <c r="AC1253" s="116"/>
    </row>
    <row r="1254" spans="1:29" x14ac:dyDescent="0.3">
      <c r="A1254" s="18" t="s">
        <v>2442</v>
      </c>
      <c r="B1254" s="18" t="s">
        <v>262</v>
      </c>
      <c r="C1254" s="18" t="s">
        <v>2448</v>
      </c>
      <c r="D1254" s="14" t="s">
        <v>616</v>
      </c>
      <c r="E1254" s="18" t="s">
        <v>9</v>
      </c>
      <c r="F1254" s="14" t="s">
        <v>517</v>
      </c>
      <c r="G1254" s="14" t="s">
        <v>518</v>
      </c>
      <c r="H1254" s="18" t="s">
        <v>5</v>
      </c>
      <c r="I1254" s="14" t="s">
        <v>115</v>
      </c>
      <c r="J1254" s="14"/>
      <c r="K1254" s="18" t="s">
        <v>643</v>
      </c>
      <c r="L1254" s="14"/>
      <c r="M1254" s="14">
        <v>13</v>
      </c>
      <c r="N1254" s="15">
        <v>28305.08</v>
      </c>
      <c r="O1254" s="15">
        <f t="shared" si="47"/>
        <v>367966.04000000004</v>
      </c>
      <c r="P1254" s="15"/>
      <c r="Q1254" s="14" t="s">
        <v>520</v>
      </c>
      <c r="R1254" s="21">
        <v>45443</v>
      </c>
      <c r="S1254" s="22" t="str">
        <f>TEXT(Table1[[#This Row],[End Date]],"MMMM")</f>
        <v>May</v>
      </c>
      <c r="T1254" s="23" t="str">
        <f>TEXT(Table1[[#This Row],[End Date]],"YYYY")</f>
        <v>2024</v>
      </c>
      <c r="U1254" s="24">
        <f t="shared" ca="1" si="46"/>
        <v>-310</v>
      </c>
      <c r="V1254" s="14" t="str" cm="1">
        <f t="array" aca="1" ref="V1254" ca="1">_xlfn.IFS(Table1[[#This Row],[Agreement Days]]&gt;=0,"Expired",Table1[[#This Row],[Agreement Days]]&gt;=-30,"Expires &lt; 30 Days",Table1[[#This Row],[Agreement Days]]&gt;=-60,"Expires &lt; 60 Days",Table1[[#This Row],[Agreement Days]]&lt;-60,"Valid Contract")</f>
        <v>Valid Contract</v>
      </c>
      <c r="W1254" s="14" t="s">
        <v>12</v>
      </c>
      <c r="X1254" s="14" t="s">
        <v>2445</v>
      </c>
      <c r="Y1254" s="16" t="s">
        <v>2446</v>
      </c>
      <c r="Z1254" s="17" t="s">
        <v>2447</v>
      </c>
      <c r="AA1254" s="17"/>
      <c r="AB1254" s="98"/>
      <c r="AC1254" s="98"/>
    </row>
    <row r="1255" spans="1:29" hidden="1" x14ac:dyDescent="0.3">
      <c r="A1255" s="18" t="s">
        <v>2449</v>
      </c>
      <c r="B1255" s="18" t="s">
        <v>78</v>
      </c>
      <c r="C1255" s="18" t="s">
        <v>78</v>
      </c>
      <c r="D1255" s="14" t="s">
        <v>653</v>
      </c>
      <c r="E1255" s="18" t="s">
        <v>9</v>
      </c>
      <c r="F1255" s="14" t="s">
        <v>631</v>
      </c>
      <c r="G1255" s="14" t="s">
        <v>518</v>
      </c>
      <c r="H1255" s="18" t="s">
        <v>5</v>
      </c>
      <c r="I1255" s="14" t="s">
        <v>117</v>
      </c>
      <c r="J1255" s="14">
        <v>3</v>
      </c>
      <c r="K1255" s="14" t="s">
        <v>632</v>
      </c>
      <c r="L1255" s="14"/>
      <c r="M1255" s="14">
        <v>1</v>
      </c>
      <c r="N1255" s="15">
        <v>180000</v>
      </c>
      <c r="O1255" s="15">
        <f t="shared" si="47"/>
        <v>180000</v>
      </c>
      <c r="P1255" s="15"/>
      <c r="Q1255" s="14" t="s">
        <v>520</v>
      </c>
      <c r="R1255" s="25">
        <v>45443</v>
      </c>
      <c r="S1255" s="22" t="str">
        <f>TEXT(Table1[[#This Row],[End Date]],"MMMM")</f>
        <v>May</v>
      </c>
      <c r="T1255" s="23" t="str">
        <f>TEXT(Table1[[#This Row],[End Date]],"YYYY")</f>
        <v>2024</v>
      </c>
      <c r="U1255" s="24">
        <f t="shared" ca="1" si="46"/>
        <v>-310</v>
      </c>
      <c r="V1255" s="14" t="str" cm="1">
        <f t="array" aca="1" ref="V1255" ca="1">_xlfn.IFS(Table1[[#This Row],[Agreement Days]]&gt;=0,"Expired",Table1[[#This Row],[Agreement Days]]&gt;=-30,"Expires &lt; 30 Days",Table1[[#This Row],[Agreement Days]]&gt;=-60,"Expires &lt; 60 Days",Table1[[#This Row],[Agreement Days]]&lt;-60,"Valid Contract")</f>
        <v>Valid Contract</v>
      </c>
      <c r="W1255" s="14" t="s">
        <v>13</v>
      </c>
      <c r="X1255" s="14" t="s">
        <v>2450</v>
      </c>
      <c r="Y1255" s="43" t="s">
        <v>2451</v>
      </c>
      <c r="Z1255" s="27" t="s">
        <v>2452</v>
      </c>
      <c r="AA1255" s="17"/>
      <c r="AB1255" s="116"/>
      <c r="AC1255" s="116"/>
    </row>
    <row r="1256" spans="1:29" s="41" customFormat="1" x14ac:dyDescent="0.3">
      <c r="A1256" s="18" t="s">
        <v>1212</v>
      </c>
      <c r="B1256" s="18" t="s">
        <v>38</v>
      </c>
      <c r="C1256" s="18" t="s">
        <v>2453</v>
      </c>
      <c r="D1256" s="14" t="s">
        <v>630</v>
      </c>
      <c r="E1256" s="18" t="s">
        <v>9</v>
      </c>
      <c r="F1256" s="14" t="s">
        <v>631</v>
      </c>
      <c r="G1256" s="20" t="s">
        <v>518</v>
      </c>
      <c r="H1256" s="18" t="s">
        <v>5</v>
      </c>
      <c r="I1256" s="14" t="s">
        <v>115</v>
      </c>
      <c r="J1256" s="14"/>
      <c r="K1256" s="18" t="s">
        <v>573</v>
      </c>
      <c r="L1256" s="14"/>
      <c r="M1256" s="14">
        <v>3</v>
      </c>
      <c r="N1256" s="15">
        <v>19491.525423999999</v>
      </c>
      <c r="O1256" s="15">
        <f t="shared" si="47"/>
        <v>58474.576271999998</v>
      </c>
      <c r="P1256" s="15"/>
      <c r="Q1256" s="14" t="s">
        <v>520</v>
      </c>
      <c r="R1256" s="25">
        <v>45443</v>
      </c>
      <c r="S1256" s="22" t="str">
        <f>TEXT(Table1[[#This Row],[End Date]],"MMMM")</f>
        <v>May</v>
      </c>
      <c r="T1256" s="23" t="str">
        <f>TEXT(Table1[[#This Row],[End Date]],"YYYY")</f>
        <v>2024</v>
      </c>
      <c r="U1256" s="24">
        <f t="shared" ca="1" si="46"/>
        <v>-310</v>
      </c>
      <c r="V1256" s="14" t="str" cm="1">
        <f t="array" aca="1" ref="V1256" ca="1">_xlfn.IFS(Table1[[#This Row],[Agreement Days]]&gt;=0,"Expired",Table1[[#This Row],[Agreement Days]]&gt;=-30,"Expires &lt; 30 Days",Table1[[#This Row],[Agreement Days]]&gt;=-60,"Expires &lt; 60 Days",Table1[[#This Row],[Agreement Days]]&lt;-60,"Valid Contract")</f>
        <v>Valid Contract</v>
      </c>
      <c r="W1256" s="14" t="s">
        <v>12</v>
      </c>
      <c r="X1256" s="14" t="s">
        <v>1214</v>
      </c>
      <c r="Y1256" s="16" t="s">
        <v>1215</v>
      </c>
      <c r="Z1256" s="27" t="s">
        <v>1216</v>
      </c>
      <c r="AA1256" s="17"/>
      <c r="AB1256" s="116"/>
      <c r="AC1256" s="116"/>
    </row>
    <row r="1257" spans="1:29" x14ac:dyDescent="0.3">
      <c r="A1257" s="18" t="s">
        <v>1212</v>
      </c>
      <c r="B1257" s="18" t="s">
        <v>38</v>
      </c>
      <c r="C1257" s="18" t="s">
        <v>2453</v>
      </c>
      <c r="D1257" s="14" t="s">
        <v>630</v>
      </c>
      <c r="E1257" s="18" t="s">
        <v>9</v>
      </c>
      <c r="F1257" s="14" t="s">
        <v>631</v>
      </c>
      <c r="G1257" s="14" t="s">
        <v>518</v>
      </c>
      <c r="H1257" s="18" t="s">
        <v>5</v>
      </c>
      <c r="I1257" s="14" t="s">
        <v>115</v>
      </c>
      <c r="J1257" s="14"/>
      <c r="K1257" s="18" t="s">
        <v>643</v>
      </c>
      <c r="L1257" s="14"/>
      <c r="M1257" s="14">
        <v>4</v>
      </c>
      <c r="N1257" s="15">
        <v>28305.084746</v>
      </c>
      <c r="O1257" s="15">
        <f t="shared" si="47"/>
        <v>113220.338984</v>
      </c>
      <c r="P1257" s="15"/>
      <c r="Q1257" s="14" t="s">
        <v>520</v>
      </c>
      <c r="R1257" s="25">
        <v>45443</v>
      </c>
      <c r="S1257" s="22" t="str">
        <f>TEXT(Table1[[#This Row],[End Date]],"MMMM")</f>
        <v>May</v>
      </c>
      <c r="T1257" s="23" t="str">
        <f>TEXT(Table1[[#This Row],[End Date]],"YYYY")</f>
        <v>2024</v>
      </c>
      <c r="U1257" s="24">
        <f t="shared" ca="1" si="46"/>
        <v>-310</v>
      </c>
      <c r="V1257" s="14" t="str" cm="1">
        <f t="array" aca="1" ref="V1257" ca="1">_xlfn.IFS(Table1[[#This Row],[Agreement Days]]&gt;=0,"Expired",Table1[[#This Row],[Agreement Days]]&gt;=-30,"Expires &lt; 30 Days",Table1[[#This Row],[Agreement Days]]&gt;=-60,"Expires &lt; 60 Days",Table1[[#This Row],[Agreement Days]]&lt;-60,"Valid Contract")</f>
        <v>Valid Contract</v>
      </c>
      <c r="W1257" s="14" t="s">
        <v>12</v>
      </c>
      <c r="X1257" s="14" t="s">
        <v>1214</v>
      </c>
      <c r="Y1257" s="16" t="s">
        <v>1215</v>
      </c>
      <c r="Z1257" s="27" t="s">
        <v>1216</v>
      </c>
      <c r="AA1257" s="17"/>
      <c r="AB1257" s="116"/>
      <c r="AC1257" s="116"/>
    </row>
    <row r="1258" spans="1:29" hidden="1" x14ac:dyDescent="0.3">
      <c r="A1258" s="18" t="s">
        <v>2454</v>
      </c>
      <c r="B1258" s="18" t="s">
        <v>182</v>
      </c>
      <c r="C1258" s="18" t="s">
        <v>544</v>
      </c>
      <c r="D1258" s="14" t="s">
        <v>761</v>
      </c>
      <c r="E1258" s="18" t="s">
        <v>9</v>
      </c>
      <c r="F1258" s="14" t="s">
        <v>517</v>
      </c>
      <c r="G1258" s="14" t="s">
        <v>518</v>
      </c>
      <c r="H1258" s="18" t="s">
        <v>5</v>
      </c>
      <c r="I1258" s="14" t="s">
        <v>117</v>
      </c>
      <c r="J1258" s="14">
        <v>3</v>
      </c>
      <c r="K1258" s="14" t="s">
        <v>646</v>
      </c>
      <c r="L1258" s="14"/>
      <c r="M1258" s="14">
        <v>1</v>
      </c>
      <c r="N1258" s="15">
        <v>180000</v>
      </c>
      <c r="O1258" s="15">
        <f t="shared" si="47"/>
        <v>180000</v>
      </c>
      <c r="P1258" s="15"/>
      <c r="Q1258" s="14" t="s">
        <v>520</v>
      </c>
      <c r="R1258" s="25">
        <v>45443</v>
      </c>
      <c r="S1258" s="22" t="str">
        <f>TEXT(Table1[[#This Row],[End Date]],"MMMM")</f>
        <v>May</v>
      </c>
      <c r="T1258" s="23" t="str">
        <f>TEXT(Table1[[#This Row],[End Date]],"YYYY")</f>
        <v>2024</v>
      </c>
      <c r="U1258" s="24">
        <f t="shared" ca="1" si="46"/>
        <v>-310</v>
      </c>
      <c r="V1258" s="14" t="str" cm="1">
        <f t="array" aca="1" ref="V1258" ca="1">_xlfn.IFS(Table1[[#This Row],[Agreement Days]]&gt;=0,"Expired",Table1[[#This Row],[Agreement Days]]&gt;=-30,"Expires &lt; 30 Days",Table1[[#This Row],[Agreement Days]]&gt;=-60,"Expires &lt; 60 Days",Table1[[#This Row],[Agreement Days]]&lt;-60,"Valid Contract")</f>
        <v>Valid Contract</v>
      </c>
      <c r="W1258" s="14" t="s">
        <v>19</v>
      </c>
      <c r="X1258" s="14" t="s">
        <v>574</v>
      </c>
      <c r="Y1258" s="14" t="s">
        <v>2455</v>
      </c>
      <c r="Z1258" s="27">
        <v>788582292</v>
      </c>
      <c r="AA1258" s="17"/>
      <c r="AB1258" s="116"/>
      <c r="AC1258" s="116"/>
    </row>
    <row r="1259" spans="1:29" hidden="1" x14ac:dyDescent="0.3">
      <c r="A1259" s="18" t="s">
        <v>2454</v>
      </c>
      <c r="B1259" s="18" t="s">
        <v>2456</v>
      </c>
      <c r="C1259" s="18" t="s">
        <v>544</v>
      </c>
      <c r="D1259" s="14" t="s">
        <v>761</v>
      </c>
      <c r="E1259" s="18" t="s">
        <v>9</v>
      </c>
      <c r="F1259" s="14" t="s">
        <v>517</v>
      </c>
      <c r="G1259" s="14" t="s">
        <v>518</v>
      </c>
      <c r="H1259" s="18" t="s">
        <v>5</v>
      </c>
      <c r="I1259" s="14" t="s">
        <v>117</v>
      </c>
      <c r="J1259" s="14">
        <v>15</v>
      </c>
      <c r="K1259" s="14" t="s">
        <v>899</v>
      </c>
      <c r="L1259" s="14"/>
      <c r="M1259" s="14">
        <v>1</v>
      </c>
      <c r="N1259" s="15">
        <v>720000</v>
      </c>
      <c r="O1259" s="15">
        <f t="shared" si="47"/>
        <v>720000</v>
      </c>
      <c r="P1259" s="15"/>
      <c r="Q1259" s="14" t="s">
        <v>520</v>
      </c>
      <c r="R1259" s="25">
        <v>45443</v>
      </c>
      <c r="S1259" s="22" t="str">
        <f>TEXT(Table1[[#This Row],[End Date]],"MMMM")</f>
        <v>May</v>
      </c>
      <c r="T1259" s="23" t="str">
        <f>TEXT(Table1[[#This Row],[End Date]],"YYYY")</f>
        <v>2024</v>
      </c>
      <c r="U1259" s="24">
        <f t="shared" ca="1" si="46"/>
        <v>-310</v>
      </c>
      <c r="V1259" s="14" t="str" cm="1">
        <f t="array" aca="1" ref="V1259" ca="1">_xlfn.IFS(Table1[[#This Row],[Agreement Days]]&gt;=0,"Expired",Table1[[#This Row],[Agreement Days]]&gt;=-30,"Expires &lt; 30 Days",Table1[[#This Row],[Agreement Days]]&gt;=-60,"Expires &lt; 60 Days",Table1[[#This Row],[Agreement Days]]&lt;-60,"Valid Contract")</f>
        <v>Valid Contract</v>
      </c>
      <c r="W1259" s="14" t="s">
        <v>19</v>
      </c>
      <c r="X1259" s="14" t="s">
        <v>574</v>
      </c>
      <c r="Y1259" s="14" t="s">
        <v>2455</v>
      </c>
      <c r="Z1259" s="27">
        <v>788582292</v>
      </c>
      <c r="AA1259" s="17"/>
      <c r="AB1259" s="116"/>
      <c r="AC1259" s="116"/>
    </row>
    <row r="1260" spans="1:29" hidden="1" x14ac:dyDescent="0.3">
      <c r="A1260" s="18" t="s">
        <v>2454</v>
      </c>
      <c r="B1260" s="18" t="s">
        <v>2456</v>
      </c>
      <c r="C1260" s="18" t="s">
        <v>544</v>
      </c>
      <c r="D1260" s="14" t="s">
        <v>761</v>
      </c>
      <c r="E1260" s="18" t="s">
        <v>9</v>
      </c>
      <c r="F1260" s="14" t="s">
        <v>517</v>
      </c>
      <c r="G1260" s="14" t="s">
        <v>518</v>
      </c>
      <c r="H1260" s="18" t="s">
        <v>2</v>
      </c>
      <c r="I1260" s="14" t="s">
        <v>120</v>
      </c>
      <c r="J1260" s="14"/>
      <c r="K1260" s="14" t="s">
        <v>649</v>
      </c>
      <c r="L1260" s="14"/>
      <c r="M1260" s="14">
        <v>1</v>
      </c>
      <c r="N1260" s="15">
        <v>258044.92</v>
      </c>
      <c r="O1260" s="15">
        <f t="shared" si="47"/>
        <v>258044.92</v>
      </c>
      <c r="P1260" s="15"/>
      <c r="Q1260" s="14" t="s">
        <v>520</v>
      </c>
      <c r="R1260" s="25">
        <v>45443</v>
      </c>
      <c r="S1260" s="22" t="str">
        <f>TEXT(Table1[[#This Row],[End Date]],"MMMM")</f>
        <v>May</v>
      </c>
      <c r="T1260" s="23" t="str">
        <f>TEXT(Table1[[#This Row],[End Date]],"YYYY")</f>
        <v>2024</v>
      </c>
      <c r="U1260" s="24">
        <f t="shared" ca="1" si="46"/>
        <v>-310</v>
      </c>
      <c r="V1260" s="14" t="str" cm="1">
        <f t="array" aca="1" ref="V1260" ca="1">_xlfn.IFS(Table1[[#This Row],[Agreement Days]]&gt;=0,"Expired",Table1[[#This Row],[Agreement Days]]&gt;=-30,"Expires &lt; 30 Days",Table1[[#This Row],[Agreement Days]]&gt;=-60,"Expires &lt; 60 Days",Table1[[#This Row],[Agreement Days]]&lt;-60,"Valid Contract")</f>
        <v>Valid Contract</v>
      </c>
      <c r="W1260" s="14" t="s">
        <v>19</v>
      </c>
      <c r="X1260" s="14" t="s">
        <v>574</v>
      </c>
      <c r="Y1260" s="14" t="s">
        <v>2455</v>
      </c>
      <c r="Z1260" s="27">
        <v>788582292</v>
      </c>
      <c r="AA1260" s="17"/>
      <c r="AB1260" s="116"/>
      <c r="AC1260" s="116"/>
    </row>
    <row r="1261" spans="1:29" hidden="1" x14ac:dyDescent="0.3">
      <c r="A1261" s="18" t="s">
        <v>2454</v>
      </c>
      <c r="B1261" s="18" t="s">
        <v>2456</v>
      </c>
      <c r="C1261" s="18" t="s">
        <v>544</v>
      </c>
      <c r="D1261" s="14" t="s">
        <v>761</v>
      </c>
      <c r="E1261" s="18" t="s">
        <v>9</v>
      </c>
      <c r="F1261" s="14" t="s">
        <v>517</v>
      </c>
      <c r="G1261" s="14" t="s">
        <v>518</v>
      </c>
      <c r="H1261" s="18" t="s">
        <v>4</v>
      </c>
      <c r="I1261" s="14" t="s">
        <v>118</v>
      </c>
      <c r="J1261" s="14"/>
      <c r="K1261" s="14" t="s">
        <v>650</v>
      </c>
      <c r="L1261" s="14"/>
      <c r="M1261" s="14">
        <v>1</v>
      </c>
      <c r="N1261" s="15">
        <v>369325.42</v>
      </c>
      <c r="O1261" s="15">
        <f t="shared" si="47"/>
        <v>369325.42</v>
      </c>
      <c r="P1261" s="15"/>
      <c r="Q1261" s="14" t="s">
        <v>520</v>
      </c>
      <c r="R1261" s="25">
        <v>45443</v>
      </c>
      <c r="S1261" s="22" t="str">
        <f>TEXT(Table1[[#This Row],[End Date]],"MMMM")</f>
        <v>May</v>
      </c>
      <c r="T1261" s="23" t="str">
        <f>TEXT(Table1[[#This Row],[End Date]],"YYYY")</f>
        <v>2024</v>
      </c>
      <c r="U1261" s="24">
        <f t="shared" ca="1" si="46"/>
        <v>-310</v>
      </c>
      <c r="V1261" s="14" t="str" cm="1">
        <f t="array" aca="1" ref="V1261" ca="1">_xlfn.IFS(Table1[[#This Row],[Agreement Days]]&gt;=0,"Expired",Table1[[#This Row],[Agreement Days]]&gt;=-30,"Expires &lt; 30 Days",Table1[[#This Row],[Agreement Days]]&gt;=-60,"Expires &lt; 60 Days",Table1[[#This Row],[Agreement Days]]&lt;-60,"Valid Contract")</f>
        <v>Valid Contract</v>
      </c>
      <c r="W1261" s="14" t="s">
        <v>19</v>
      </c>
      <c r="X1261" s="14" t="s">
        <v>574</v>
      </c>
      <c r="Y1261" s="14" t="s">
        <v>2455</v>
      </c>
      <c r="Z1261" s="27">
        <v>788582292</v>
      </c>
      <c r="AA1261" s="17"/>
      <c r="AB1261" s="116"/>
      <c r="AC1261" s="116"/>
    </row>
    <row r="1262" spans="1:29" hidden="1" x14ac:dyDescent="0.3">
      <c r="A1262" s="18" t="s">
        <v>2454</v>
      </c>
      <c r="B1262" s="18" t="s">
        <v>2456</v>
      </c>
      <c r="C1262" s="18" t="s">
        <v>909</v>
      </c>
      <c r="D1262" s="14" t="s">
        <v>761</v>
      </c>
      <c r="E1262" s="18" t="s">
        <v>9</v>
      </c>
      <c r="F1262" s="14" t="s">
        <v>517</v>
      </c>
      <c r="G1262" s="14" t="s">
        <v>518</v>
      </c>
      <c r="H1262" s="18" t="s">
        <v>5</v>
      </c>
      <c r="I1262" s="14" t="s">
        <v>115</v>
      </c>
      <c r="J1262" s="14"/>
      <c r="K1262" s="18" t="s">
        <v>657</v>
      </c>
      <c r="L1262" s="14"/>
      <c r="M1262" s="14">
        <v>2</v>
      </c>
      <c r="N1262" s="15">
        <v>45338.98</v>
      </c>
      <c r="O1262" s="15">
        <f t="shared" si="47"/>
        <v>90677.96</v>
      </c>
      <c r="P1262" s="15"/>
      <c r="Q1262" s="14" t="s">
        <v>520</v>
      </c>
      <c r="R1262" s="25">
        <v>45443</v>
      </c>
      <c r="S1262" s="22" t="str">
        <f>TEXT(Table1[[#This Row],[End Date]],"MMMM")</f>
        <v>May</v>
      </c>
      <c r="T1262" s="23" t="str">
        <f>TEXT(Table1[[#This Row],[End Date]],"YYYY")</f>
        <v>2024</v>
      </c>
      <c r="U1262" s="24">
        <f t="shared" ca="1" si="46"/>
        <v>-310</v>
      </c>
      <c r="V1262" s="14" t="str" cm="1">
        <f t="array" aca="1" ref="V1262" ca="1">_xlfn.IFS(Table1[[#This Row],[Agreement Days]]&gt;=0,"Expired",Table1[[#This Row],[Agreement Days]]&gt;=-30,"Expires &lt; 30 Days",Table1[[#This Row],[Agreement Days]]&gt;=-60,"Expires &lt; 60 Days",Table1[[#This Row],[Agreement Days]]&lt;-60,"Valid Contract")</f>
        <v>Valid Contract</v>
      </c>
      <c r="W1262" s="14" t="s">
        <v>19</v>
      </c>
      <c r="X1262" s="14" t="s">
        <v>574</v>
      </c>
      <c r="Y1262" s="14" t="s">
        <v>2455</v>
      </c>
      <c r="Z1262" s="27">
        <v>788582292</v>
      </c>
      <c r="AA1262" s="17"/>
      <c r="AB1262" s="116"/>
      <c r="AC1262" s="116"/>
    </row>
    <row r="1263" spans="1:29" hidden="1" x14ac:dyDescent="0.3">
      <c r="A1263" s="18" t="s">
        <v>2454</v>
      </c>
      <c r="B1263" s="18" t="s">
        <v>2456</v>
      </c>
      <c r="C1263" s="18" t="s">
        <v>544</v>
      </c>
      <c r="D1263" s="14" t="s">
        <v>761</v>
      </c>
      <c r="E1263" s="18" t="s">
        <v>9</v>
      </c>
      <c r="F1263" s="14" t="s">
        <v>517</v>
      </c>
      <c r="G1263" s="14" t="s">
        <v>518</v>
      </c>
      <c r="H1263" s="18" t="s">
        <v>5</v>
      </c>
      <c r="I1263" s="14" t="s">
        <v>115</v>
      </c>
      <c r="J1263" s="14"/>
      <c r="K1263" s="18" t="s">
        <v>651</v>
      </c>
      <c r="L1263" s="14"/>
      <c r="M1263" s="14">
        <v>3</v>
      </c>
      <c r="N1263" s="15">
        <f>96000/1.18</f>
        <v>81355.932203389835</v>
      </c>
      <c r="O1263" s="15">
        <f t="shared" si="47"/>
        <v>244067.79661016952</v>
      </c>
      <c r="P1263" s="15"/>
      <c r="Q1263" s="14" t="s">
        <v>520</v>
      </c>
      <c r="R1263" s="25">
        <v>45443</v>
      </c>
      <c r="S1263" s="22" t="str">
        <f>TEXT(Table1[[#This Row],[End Date]],"MMMM")</f>
        <v>May</v>
      </c>
      <c r="T1263" s="23" t="str">
        <f>TEXT(Table1[[#This Row],[End Date]],"YYYY")</f>
        <v>2024</v>
      </c>
      <c r="U1263" s="24">
        <f t="shared" ca="1" si="46"/>
        <v>-310</v>
      </c>
      <c r="V1263" s="14" t="str" cm="1">
        <f t="array" aca="1" ref="V1263" ca="1">_xlfn.IFS(Table1[[#This Row],[Agreement Days]]&gt;=0,"Expired",Table1[[#This Row],[Agreement Days]]&gt;=-30,"Expires &lt; 30 Days",Table1[[#This Row],[Agreement Days]]&gt;=-60,"Expires &lt; 60 Days",Table1[[#This Row],[Agreement Days]]&lt;-60,"Valid Contract")</f>
        <v>Valid Contract</v>
      </c>
      <c r="W1263" s="14" t="s">
        <v>19</v>
      </c>
      <c r="X1263" s="14" t="s">
        <v>574</v>
      </c>
      <c r="Y1263" s="14" t="s">
        <v>2455</v>
      </c>
      <c r="Z1263" s="27">
        <v>788582292</v>
      </c>
      <c r="AA1263" s="17"/>
      <c r="AB1263" s="116"/>
      <c r="AC1263" s="116"/>
    </row>
    <row r="1264" spans="1:29" hidden="1" x14ac:dyDescent="0.3">
      <c r="A1264" s="18" t="s">
        <v>2454</v>
      </c>
      <c r="B1264" s="18" t="s">
        <v>2456</v>
      </c>
      <c r="C1264" s="18" t="s">
        <v>909</v>
      </c>
      <c r="D1264" s="14" t="s">
        <v>761</v>
      </c>
      <c r="E1264" s="18" t="s">
        <v>9</v>
      </c>
      <c r="F1264" s="14" t="s">
        <v>517</v>
      </c>
      <c r="G1264" s="14" t="s">
        <v>518</v>
      </c>
      <c r="H1264" s="18" t="s">
        <v>5</v>
      </c>
      <c r="I1264" s="14" t="s">
        <v>115</v>
      </c>
      <c r="J1264" s="14"/>
      <c r="K1264" s="18" t="s">
        <v>643</v>
      </c>
      <c r="L1264" s="14"/>
      <c r="M1264" s="14">
        <v>5</v>
      </c>
      <c r="N1264" s="15">
        <v>28305.08</v>
      </c>
      <c r="O1264" s="15">
        <f t="shared" si="47"/>
        <v>141525.40000000002</v>
      </c>
      <c r="P1264" s="15"/>
      <c r="Q1264" s="14" t="s">
        <v>520</v>
      </c>
      <c r="R1264" s="25">
        <v>45443</v>
      </c>
      <c r="S1264" s="22" t="str">
        <f>TEXT(Table1[[#This Row],[End Date]],"MMMM")</f>
        <v>May</v>
      </c>
      <c r="T1264" s="23" t="str">
        <f>TEXT(Table1[[#This Row],[End Date]],"YYYY")</f>
        <v>2024</v>
      </c>
      <c r="U1264" s="24">
        <f t="shared" ca="1" si="46"/>
        <v>-310</v>
      </c>
      <c r="V1264" s="14" t="str" cm="1">
        <f t="array" aca="1" ref="V1264" ca="1">_xlfn.IFS(Table1[[#This Row],[Agreement Days]]&gt;=0,"Expired",Table1[[#This Row],[Agreement Days]]&gt;=-30,"Expires &lt; 30 Days",Table1[[#This Row],[Agreement Days]]&gt;=-60,"Expires &lt; 60 Days",Table1[[#This Row],[Agreement Days]]&lt;-60,"Valid Contract")</f>
        <v>Valid Contract</v>
      </c>
      <c r="W1264" s="14" t="s">
        <v>19</v>
      </c>
      <c r="X1264" s="14" t="s">
        <v>574</v>
      </c>
      <c r="Y1264" s="14" t="s">
        <v>2455</v>
      </c>
      <c r="Z1264" s="27">
        <v>788582292</v>
      </c>
      <c r="AA1264" s="17"/>
      <c r="AB1264" s="116"/>
      <c r="AC1264" s="116"/>
    </row>
    <row r="1265" spans="1:29" hidden="1" x14ac:dyDescent="0.3">
      <c r="A1265" s="18" t="s">
        <v>2454</v>
      </c>
      <c r="B1265" s="18" t="s">
        <v>2456</v>
      </c>
      <c r="C1265" s="18" t="s">
        <v>909</v>
      </c>
      <c r="D1265" s="14" t="s">
        <v>761</v>
      </c>
      <c r="E1265" s="18" t="s">
        <v>9</v>
      </c>
      <c r="F1265" s="14" t="s">
        <v>517</v>
      </c>
      <c r="G1265" s="14" t="s">
        <v>518</v>
      </c>
      <c r="H1265" s="18" t="s">
        <v>5</v>
      </c>
      <c r="I1265" s="14" t="s">
        <v>115</v>
      </c>
      <c r="J1265" s="14"/>
      <c r="K1265" s="18" t="s">
        <v>651</v>
      </c>
      <c r="L1265" s="14"/>
      <c r="M1265" s="14">
        <v>13</v>
      </c>
      <c r="N1265" s="15">
        <f>96000/1.18</f>
        <v>81355.932203389835</v>
      </c>
      <c r="O1265" s="15">
        <f t="shared" si="47"/>
        <v>1057627.1186440678</v>
      </c>
      <c r="P1265" s="15"/>
      <c r="Q1265" s="14" t="s">
        <v>520</v>
      </c>
      <c r="R1265" s="25">
        <v>45443</v>
      </c>
      <c r="S1265" s="22" t="str">
        <f>TEXT(Table1[[#This Row],[End Date]],"MMMM")</f>
        <v>May</v>
      </c>
      <c r="T1265" s="23" t="str">
        <f>TEXT(Table1[[#This Row],[End Date]],"YYYY")</f>
        <v>2024</v>
      </c>
      <c r="U1265" s="24">
        <f t="shared" ca="1" si="46"/>
        <v>-310</v>
      </c>
      <c r="V1265" s="14" t="str" cm="1">
        <f t="array" aca="1" ref="V1265" ca="1">_xlfn.IFS(Table1[[#This Row],[Agreement Days]]&gt;=0,"Expired",Table1[[#This Row],[Agreement Days]]&gt;=-30,"Expires &lt; 30 Days",Table1[[#This Row],[Agreement Days]]&gt;=-60,"Expires &lt; 60 Days",Table1[[#This Row],[Agreement Days]]&lt;-60,"Valid Contract")</f>
        <v>Valid Contract</v>
      </c>
      <c r="W1265" s="14" t="s">
        <v>19</v>
      </c>
      <c r="X1265" s="14" t="s">
        <v>574</v>
      </c>
      <c r="Y1265" s="14" t="s">
        <v>2455</v>
      </c>
      <c r="Z1265" s="27">
        <v>788582292</v>
      </c>
      <c r="AA1265" s="17"/>
      <c r="AB1265" s="116"/>
      <c r="AC1265" s="116"/>
    </row>
    <row r="1266" spans="1:29" hidden="1" x14ac:dyDescent="0.3">
      <c r="A1266" s="18" t="s">
        <v>2454</v>
      </c>
      <c r="B1266" s="18" t="s">
        <v>2456</v>
      </c>
      <c r="C1266" s="18" t="s">
        <v>909</v>
      </c>
      <c r="D1266" s="14" t="s">
        <v>761</v>
      </c>
      <c r="E1266" s="18" t="s">
        <v>9</v>
      </c>
      <c r="F1266" s="14" t="s">
        <v>517</v>
      </c>
      <c r="G1266" s="14" t="s">
        <v>518</v>
      </c>
      <c r="H1266" s="18" t="s">
        <v>5</v>
      </c>
      <c r="I1266" s="14" t="s">
        <v>115</v>
      </c>
      <c r="J1266" s="14"/>
      <c r="K1266" s="18" t="s">
        <v>643</v>
      </c>
      <c r="L1266" s="14"/>
      <c r="M1266" s="14">
        <v>15</v>
      </c>
      <c r="N1266" s="15">
        <v>28305.08</v>
      </c>
      <c r="O1266" s="15">
        <f t="shared" si="47"/>
        <v>424576.2</v>
      </c>
      <c r="P1266" s="15"/>
      <c r="Q1266" s="14" t="s">
        <v>520</v>
      </c>
      <c r="R1266" s="25">
        <v>45443</v>
      </c>
      <c r="S1266" s="22" t="str">
        <f>TEXT(Table1[[#This Row],[End Date]],"MMMM")</f>
        <v>May</v>
      </c>
      <c r="T1266" s="23" t="str">
        <f>TEXT(Table1[[#This Row],[End Date]],"YYYY")</f>
        <v>2024</v>
      </c>
      <c r="U1266" s="24">
        <f t="shared" ca="1" si="46"/>
        <v>-310</v>
      </c>
      <c r="V1266" s="14" t="str" cm="1">
        <f t="array" aca="1" ref="V1266" ca="1">_xlfn.IFS(Table1[[#This Row],[Agreement Days]]&gt;=0,"Expired",Table1[[#This Row],[Agreement Days]]&gt;=-30,"Expires &lt; 30 Days",Table1[[#This Row],[Agreement Days]]&gt;=-60,"Expires &lt; 60 Days",Table1[[#This Row],[Agreement Days]]&lt;-60,"Valid Contract")</f>
        <v>Valid Contract</v>
      </c>
      <c r="W1266" s="14" t="s">
        <v>19</v>
      </c>
      <c r="X1266" s="14" t="s">
        <v>574</v>
      </c>
      <c r="Y1266" s="14" t="s">
        <v>2455</v>
      </c>
      <c r="Z1266" s="27">
        <v>788582292</v>
      </c>
      <c r="AA1266" s="17"/>
      <c r="AB1266" s="116"/>
      <c r="AC1266" s="116"/>
    </row>
    <row r="1267" spans="1:29" hidden="1" x14ac:dyDescent="0.3">
      <c r="A1267" s="18" t="s">
        <v>2454</v>
      </c>
      <c r="B1267" s="18" t="s">
        <v>2456</v>
      </c>
      <c r="C1267" s="18" t="s">
        <v>909</v>
      </c>
      <c r="D1267" s="14" t="s">
        <v>761</v>
      </c>
      <c r="E1267" s="18" t="s">
        <v>9</v>
      </c>
      <c r="F1267" s="14" t="s">
        <v>517</v>
      </c>
      <c r="G1267" s="14" t="s">
        <v>518</v>
      </c>
      <c r="H1267" s="18" t="s">
        <v>5</v>
      </c>
      <c r="I1267" s="14" t="s">
        <v>115</v>
      </c>
      <c r="J1267" s="14"/>
      <c r="K1267" s="18" t="s">
        <v>643</v>
      </c>
      <c r="L1267" s="14"/>
      <c r="M1267" s="14">
        <v>29</v>
      </c>
      <c r="N1267" s="15">
        <v>28305.08</v>
      </c>
      <c r="O1267" s="15">
        <f t="shared" si="47"/>
        <v>820847.32000000007</v>
      </c>
      <c r="P1267" s="15"/>
      <c r="Q1267" s="14" t="s">
        <v>520</v>
      </c>
      <c r="R1267" s="25">
        <v>45443</v>
      </c>
      <c r="S1267" s="22" t="str">
        <f>TEXT(Table1[[#This Row],[End Date]],"MMMM")</f>
        <v>May</v>
      </c>
      <c r="T1267" s="23" t="str">
        <f>TEXT(Table1[[#This Row],[End Date]],"YYYY")</f>
        <v>2024</v>
      </c>
      <c r="U1267" s="24">
        <f t="shared" ca="1" si="46"/>
        <v>-310</v>
      </c>
      <c r="V1267" s="14" t="str" cm="1">
        <f t="array" aca="1" ref="V1267" ca="1">_xlfn.IFS(Table1[[#This Row],[Agreement Days]]&gt;=0,"Expired",Table1[[#This Row],[Agreement Days]]&gt;=-30,"Expires &lt; 30 Days",Table1[[#This Row],[Agreement Days]]&gt;=-60,"Expires &lt; 60 Days",Table1[[#This Row],[Agreement Days]]&lt;-60,"Valid Contract")</f>
        <v>Valid Contract</v>
      </c>
      <c r="W1267" s="14" t="s">
        <v>19</v>
      </c>
      <c r="X1267" s="14" t="s">
        <v>574</v>
      </c>
      <c r="Y1267" s="14" t="s">
        <v>2455</v>
      </c>
      <c r="Z1267" s="27">
        <v>788582292</v>
      </c>
      <c r="AA1267" s="17"/>
      <c r="AB1267" s="116"/>
      <c r="AC1267" s="116"/>
    </row>
    <row r="1268" spans="1:29" hidden="1" x14ac:dyDescent="0.3">
      <c r="A1268" s="18" t="s">
        <v>2457</v>
      </c>
      <c r="B1268" s="18" t="s">
        <v>280</v>
      </c>
      <c r="C1268" s="18" t="s">
        <v>544</v>
      </c>
      <c r="D1268" s="14" t="s">
        <v>545</v>
      </c>
      <c r="E1268" s="18" t="s">
        <v>9</v>
      </c>
      <c r="F1268" s="14" t="s">
        <v>517</v>
      </c>
      <c r="G1268" s="14" t="s">
        <v>518</v>
      </c>
      <c r="H1268" s="18" t="s">
        <v>5</v>
      </c>
      <c r="I1268" s="14" t="s">
        <v>115</v>
      </c>
      <c r="J1268" s="26"/>
      <c r="K1268" s="18" t="s">
        <v>643</v>
      </c>
      <c r="L1268" s="26"/>
      <c r="M1268" s="19">
        <v>4</v>
      </c>
      <c r="N1268" s="15">
        <v>28305.08</v>
      </c>
      <c r="O1268" s="15">
        <f t="shared" si="47"/>
        <v>113220.32</v>
      </c>
      <c r="P1268" s="15"/>
      <c r="Q1268" s="14" t="s">
        <v>520</v>
      </c>
      <c r="R1268" s="25">
        <v>45443</v>
      </c>
      <c r="S1268" s="34" t="str">
        <f>TEXT(Table1[[#This Row],[End Date]],"MMMM")</f>
        <v>May</v>
      </c>
      <c r="T1268" s="34" t="str">
        <f>TEXT(Table1[[#This Row],[End Date]],"YYYY")</f>
        <v>2024</v>
      </c>
      <c r="U1268" s="24">
        <f t="shared" ca="1" si="46"/>
        <v>-310</v>
      </c>
      <c r="V1268" s="14" t="str" cm="1">
        <f t="array" aca="1" ref="V1268" ca="1">_xlfn.IFS(Table1[[#This Row],[Agreement Days]]&gt;=0,"Expired",Table1[[#This Row],[Agreement Days]]&gt;=-30,"Expires &lt; 30 Days",Table1[[#This Row],[Agreement Days]]&gt;=-60,"Expires &lt; 60 Days",Table1[[#This Row],[Agreement Days]]&lt;-60,"Valid Contract")</f>
        <v>Valid Contract</v>
      </c>
      <c r="W1268" s="26" t="s">
        <v>17</v>
      </c>
      <c r="X1268" s="26" t="s">
        <v>2458</v>
      </c>
      <c r="Y1268" s="35" t="s">
        <v>2459</v>
      </c>
      <c r="Z1268" s="27">
        <v>788699349</v>
      </c>
      <c r="AA1268" s="27"/>
      <c r="AB1268" s="116"/>
      <c r="AC1268" s="116"/>
    </row>
    <row r="1269" spans="1:29" hidden="1" x14ac:dyDescent="0.3">
      <c r="A1269" s="18" t="s">
        <v>2460</v>
      </c>
      <c r="B1269" s="18" t="s">
        <v>302</v>
      </c>
      <c r="C1269" s="18" t="s">
        <v>544</v>
      </c>
      <c r="D1269" s="14" t="s">
        <v>545</v>
      </c>
      <c r="E1269" s="18" t="s">
        <v>10</v>
      </c>
      <c r="F1269" s="14" t="s">
        <v>527</v>
      </c>
      <c r="G1269" s="14" t="s">
        <v>518</v>
      </c>
      <c r="H1269" s="18" t="s">
        <v>2</v>
      </c>
      <c r="I1269" s="14" t="s">
        <v>134</v>
      </c>
      <c r="J1269" s="14">
        <v>15</v>
      </c>
      <c r="K1269" s="18" t="s">
        <v>627</v>
      </c>
      <c r="L1269" s="18"/>
      <c r="M1269" s="14">
        <v>1</v>
      </c>
      <c r="N1269" s="15">
        <v>938983</v>
      </c>
      <c r="O1269" s="15">
        <f t="shared" si="47"/>
        <v>938983</v>
      </c>
      <c r="P1269" s="15"/>
      <c r="Q1269" s="14" t="s">
        <v>520</v>
      </c>
      <c r="R1269" s="25">
        <v>45443</v>
      </c>
      <c r="S1269" s="34" t="str">
        <f>TEXT(Table1[[#This Row],[End Date]],"MMMM")</f>
        <v>May</v>
      </c>
      <c r="T1269" s="34" t="str">
        <f>TEXT(Table1[[#This Row],[End Date]],"YYYY")</f>
        <v>2024</v>
      </c>
      <c r="U1269" s="24">
        <f t="shared" ca="1" si="46"/>
        <v>-310</v>
      </c>
      <c r="V1269" s="14" t="str" cm="1">
        <f t="array" aca="1" ref="V1269" ca="1">_xlfn.IFS(Table1[[#This Row],[Agreement Days]]&gt;=0,"Expired",Table1[[#This Row],[Agreement Days]]&gt;=-30,"Expires &lt; 30 Days",Table1[[#This Row],[Agreement Days]]&gt;=-60,"Expires &lt; 60 Days",Table1[[#This Row],[Agreement Days]]&lt;-60,"Valid Contract")</f>
        <v>Valid Contract</v>
      </c>
      <c r="W1269" s="18" t="s">
        <v>18</v>
      </c>
      <c r="X1269" s="18" t="s">
        <v>2461</v>
      </c>
      <c r="Y1269" s="35" t="s">
        <v>2462</v>
      </c>
      <c r="Z1269" s="27" t="s">
        <v>2463</v>
      </c>
      <c r="AA1269" s="27"/>
      <c r="AB1269" s="116"/>
      <c r="AC1269" s="116"/>
    </row>
    <row r="1270" spans="1:29" hidden="1" x14ac:dyDescent="0.3">
      <c r="A1270" s="18" t="s">
        <v>2464</v>
      </c>
      <c r="B1270" s="18" t="s">
        <v>167</v>
      </c>
      <c r="C1270" s="18" t="s">
        <v>2465</v>
      </c>
      <c r="D1270" s="14" t="s">
        <v>545</v>
      </c>
      <c r="E1270" s="18" t="s">
        <v>9</v>
      </c>
      <c r="F1270" s="14" t="s">
        <v>517</v>
      </c>
      <c r="G1270" s="14" t="s">
        <v>546</v>
      </c>
      <c r="H1270" s="18" t="s">
        <v>5</v>
      </c>
      <c r="I1270" s="14" t="s">
        <v>116</v>
      </c>
      <c r="J1270" s="26"/>
      <c r="K1270" s="14" t="s">
        <v>2466</v>
      </c>
      <c r="L1270" s="26">
        <v>2.2999999999999998</v>
      </c>
      <c r="M1270" s="19">
        <v>1</v>
      </c>
      <c r="N1270" s="2">
        <v>252473.71399999998</v>
      </c>
      <c r="O1270" s="15">
        <f t="shared" si="47"/>
        <v>252473.71399999998</v>
      </c>
      <c r="P1270" s="15"/>
      <c r="Q1270" s="14" t="s">
        <v>520</v>
      </c>
      <c r="R1270" s="25">
        <v>45443</v>
      </c>
      <c r="S1270" s="34" t="str">
        <f>TEXT(Table1[[#This Row],[End Date]],"MMMM")</f>
        <v>May</v>
      </c>
      <c r="T1270" s="34" t="str">
        <f>TEXT(Table1[[#This Row],[End Date]],"YYYY")</f>
        <v>2024</v>
      </c>
      <c r="U1270" s="24">
        <f t="shared" ca="1" si="46"/>
        <v>-310</v>
      </c>
      <c r="V1270" s="14" t="str" cm="1">
        <f t="array" aca="1" ref="V1270" ca="1">_xlfn.IFS(Table1[[#This Row],[Agreement Days]]&gt;=0,"Expired",Table1[[#This Row],[Agreement Days]]&gt;=-30,"Expires &lt; 30 Days",Table1[[#This Row],[Agreement Days]]&gt;=-60,"Expires &lt; 60 Days",Table1[[#This Row],[Agreement Days]]&lt;-60,"Valid Contract")</f>
        <v>Valid Contract</v>
      </c>
      <c r="W1270" s="26" t="s">
        <v>17</v>
      </c>
      <c r="X1270" s="26" t="s">
        <v>2467</v>
      </c>
      <c r="Y1270" s="35" t="s">
        <v>2468</v>
      </c>
      <c r="Z1270" s="27">
        <v>788839202</v>
      </c>
      <c r="AA1270" s="27"/>
      <c r="AB1270" s="116"/>
      <c r="AC1270" s="116"/>
    </row>
    <row r="1271" spans="1:29" hidden="1" x14ac:dyDescent="0.3">
      <c r="A1271" s="18" t="s">
        <v>2464</v>
      </c>
      <c r="B1271" s="18" t="s">
        <v>167</v>
      </c>
      <c r="C1271" s="18" t="s">
        <v>2469</v>
      </c>
      <c r="D1271" s="14" t="s">
        <v>545</v>
      </c>
      <c r="E1271" s="18" t="s">
        <v>9</v>
      </c>
      <c r="F1271" s="14" t="s">
        <v>517</v>
      </c>
      <c r="G1271" s="14" t="s">
        <v>546</v>
      </c>
      <c r="H1271" s="18" t="s">
        <v>5</v>
      </c>
      <c r="I1271" s="14" t="s">
        <v>116</v>
      </c>
      <c r="J1271" s="26"/>
      <c r="K1271" s="14" t="s">
        <v>2470</v>
      </c>
      <c r="L1271" s="26">
        <v>3.6</v>
      </c>
      <c r="M1271" s="19">
        <v>1</v>
      </c>
      <c r="N1271" s="2">
        <v>395176.24799999996</v>
      </c>
      <c r="O1271" s="15">
        <f t="shared" si="47"/>
        <v>395176.24799999996</v>
      </c>
      <c r="P1271" s="15"/>
      <c r="Q1271" s="14" t="s">
        <v>520</v>
      </c>
      <c r="R1271" s="25">
        <v>45443</v>
      </c>
      <c r="S1271" s="34" t="str">
        <f>TEXT(Table1[[#This Row],[End Date]],"MMMM")</f>
        <v>May</v>
      </c>
      <c r="T1271" s="34" t="str">
        <f>TEXT(Table1[[#This Row],[End Date]],"YYYY")</f>
        <v>2024</v>
      </c>
      <c r="U1271" s="24">
        <f t="shared" ca="1" si="46"/>
        <v>-310</v>
      </c>
      <c r="V1271" s="14" t="str" cm="1">
        <f t="array" aca="1" ref="V1271" ca="1">_xlfn.IFS(Table1[[#This Row],[Agreement Days]]&gt;=0,"Expired",Table1[[#This Row],[Agreement Days]]&gt;=-30,"Expires &lt; 30 Days",Table1[[#This Row],[Agreement Days]]&gt;=-60,"Expires &lt; 60 Days",Table1[[#This Row],[Agreement Days]]&lt;-60,"Valid Contract")</f>
        <v>Valid Contract</v>
      </c>
      <c r="W1271" s="26" t="s">
        <v>17</v>
      </c>
      <c r="X1271" s="26" t="s">
        <v>2467</v>
      </c>
      <c r="Y1271" s="35" t="s">
        <v>2468</v>
      </c>
      <c r="Z1271" s="27">
        <v>788839202</v>
      </c>
      <c r="AA1271" s="27"/>
      <c r="AB1271" s="116"/>
      <c r="AC1271" s="116"/>
    </row>
    <row r="1272" spans="1:29" hidden="1" x14ac:dyDescent="0.3">
      <c r="A1272" s="18" t="s">
        <v>2464</v>
      </c>
      <c r="B1272" s="18" t="s">
        <v>167</v>
      </c>
      <c r="C1272" s="18" t="s">
        <v>2471</v>
      </c>
      <c r="D1272" s="14" t="s">
        <v>545</v>
      </c>
      <c r="E1272" s="18" t="s">
        <v>9</v>
      </c>
      <c r="F1272" s="14" t="s">
        <v>517</v>
      </c>
      <c r="G1272" s="14" t="s">
        <v>546</v>
      </c>
      <c r="H1272" s="18" t="s">
        <v>5</v>
      </c>
      <c r="I1272" s="14" t="s">
        <v>116</v>
      </c>
      <c r="J1272" s="26"/>
      <c r="K1272" s="14" t="s">
        <v>2472</v>
      </c>
      <c r="L1272" s="26">
        <v>4.2</v>
      </c>
      <c r="M1272" s="19">
        <v>1</v>
      </c>
      <c r="N1272" s="2">
        <v>461038.95600000001</v>
      </c>
      <c r="O1272" s="15">
        <f t="shared" si="47"/>
        <v>461038.95600000001</v>
      </c>
      <c r="P1272" s="15"/>
      <c r="Q1272" s="14" t="s">
        <v>520</v>
      </c>
      <c r="R1272" s="25">
        <v>45443</v>
      </c>
      <c r="S1272" s="34" t="str">
        <f>TEXT(Table1[[#This Row],[End Date]],"MMMM")</f>
        <v>May</v>
      </c>
      <c r="T1272" s="34" t="str">
        <f>TEXT(Table1[[#This Row],[End Date]],"YYYY")</f>
        <v>2024</v>
      </c>
      <c r="U1272" s="24">
        <f t="shared" ca="1" si="46"/>
        <v>-310</v>
      </c>
      <c r="V1272" s="14" t="str" cm="1">
        <f t="array" aca="1" ref="V1272" ca="1">_xlfn.IFS(Table1[[#This Row],[Agreement Days]]&gt;=0,"Expired",Table1[[#This Row],[Agreement Days]]&gt;=-30,"Expires &lt; 30 Days",Table1[[#This Row],[Agreement Days]]&gt;=-60,"Expires &lt; 60 Days",Table1[[#This Row],[Agreement Days]]&lt;-60,"Valid Contract")</f>
        <v>Valid Contract</v>
      </c>
      <c r="W1272" s="26" t="s">
        <v>17</v>
      </c>
      <c r="X1272" s="26" t="s">
        <v>2467</v>
      </c>
      <c r="Y1272" s="35" t="s">
        <v>2468</v>
      </c>
      <c r="Z1272" s="27">
        <v>788839202</v>
      </c>
      <c r="AA1272" s="27"/>
      <c r="AB1272" s="116"/>
      <c r="AC1272" s="116"/>
    </row>
    <row r="1273" spans="1:29" hidden="1" x14ac:dyDescent="0.3">
      <c r="A1273" s="18" t="s">
        <v>2473</v>
      </c>
      <c r="B1273" s="18" t="s">
        <v>460</v>
      </c>
      <c r="C1273" s="18" t="s">
        <v>2474</v>
      </c>
      <c r="D1273" s="14" t="s">
        <v>545</v>
      </c>
      <c r="E1273" s="18" t="s">
        <v>10</v>
      </c>
      <c r="F1273" s="14" t="s">
        <v>560</v>
      </c>
      <c r="G1273" s="14" t="s">
        <v>518</v>
      </c>
      <c r="H1273" s="18" t="s">
        <v>2</v>
      </c>
      <c r="I1273" s="14" t="s">
        <v>438</v>
      </c>
      <c r="J1273" s="27"/>
      <c r="K1273" s="18" t="s">
        <v>2475</v>
      </c>
      <c r="L1273" s="18"/>
      <c r="M1273" s="14">
        <v>1</v>
      </c>
      <c r="N1273" s="15">
        <f>85000/1.18</f>
        <v>72033.898305084746</v>
      </c>
      <c r="O1273" s="15">
        <f t="shared" si="47"/>
        <v>72033.898305084746</v>
      </c>
      <c r="P1273" s="15"/>
      <c r="Q1273" s="14" t="s">
        <v>520</v>
      </c>
      <c r="R1273" s="25">
        <v>45443</v>
      </c>
      <c r="S1273" s="34" t="str">
        <f>TEXT(Table1[[#This Row],[End Date]],"MMMM")</f>
        <v>May</v>
      </c>
      <c r="T1273" s="34" t="str">
        <f>TEXT(Table1[[#This Row],[End Date]],"YYYY")</f>
        <v>2024</v>
      </c>
      <c r="U1273" s="24">
        <f t="shared" ca="1" si="46"/>
        <v>-310</v>
      </c>
      <c r="V1273" s="14" t="str" cm="1">
        <f t="array" aca="1" ref="V1273" ca="1">_xlfn.IFS(Table1[[#This Row],[Agreement Days]]&gt;=0,"Expired",Table1[[#This Row],[Agreement Days]]&gt;=-30,"Expires &lt; 30 Days",Table1[[#This Row],[Agreement Days]]&gt;=-60,"Expires &lt; 60 Days",Table1[[#This Row],[Agreement Days]]&lt;-60,"Valid Contract")</f>
        <v>Valid Contract</v>
      </c>
      <c r="W1273" s="18" t="s">
        <v>21</v>
      </c>
      <c r="X1273" s="18" t="s">
        <v>2476</v>
      </c>
      <c r="Y1273" s="42" t="s">
        <v>2477</v>
      </c>
      <c r="Z1273" s="27">
        <v>788459308</v>
      </c>
      <c r="AA1273" s="27"/>
      <c r="AB1273" s="116"/>
      <c r="AC1273" s="116"/>
    </row>
    <row r="1274" spans="1:29" hidden="1" x14ac:dyDescent="0.3">
      <c r="A1274" s="18" t="s">
        <v>2478</v>
      </c>
      <c r="B1274" s="18" t="s">
        <v>51</v>
      </c>
      <c r="C1274" s="18" t="s">
        <v>2479</v>
      </c>
      <c r="D1274" s="14" t="s">
        <v>769</v>
      </c>
      <c r="E1274" s="18" t="s">
        <v>10</v>
      </c>
      <c r="F1274" s="14" t="s">
        <v>631</v>
      </c>
      <c r="G1274" s="14" t="s">
        <v>546</v>
      </c>
      <c r="H1274" s="18" t="s">
        <v>2</v>
      </c>
      <c r="I1274" s="14" t="s">
        <v>134</v>
      </c>
      <c r="J1274" s="14">
        <v>20</v>
      </c>
      <c r="K1274" s="14" t="s">
        <v>2480</v>
      </c>
      <c r="L1274" s="14"/>
      <c r="M1274" s="14">
        <v>1</v>
      </c>
      <c r="N1274" s="15">
        <f>1062000/1.18</f>
        <v>900000</v>
      </c>
      <c r="O1274" s="15">
        <f t="shared" si="47"/>
        <v>900000</v>
      </c>
      <c r="P1274" s="15"/>
      <c r="Q1274" s="14" t="s">
        <v>520</v>
      </c>
      <c r="R1274" s="25">
        <v>45443</v>
      </c>
      <c r="S1274" s="22" t="str">
        <f>TEXT(Table1[[#This Row],[End Date]],"MMMM")</f>
        <v>May</v>
      </c>
      <c r="T1274" s="23" t="str">
        <f>TEXT(Table1[[#This Row],[End Date]],"YYYY")</f>
        <v>2024</v>
      </c>
      <c r="U1274" s="24">
        <f t="shared" ca="1" si="46"/>
        <v>-310</v>
      </c>
      <c r="V1274" s="14" t="str" cm="1">
        <f t="array" aca="1" ref="V1274" ca="1">_xlfn.IFS(Table1[[#This Row],[Agreement Days]]&gt;=0,"Expired",Table1[[#This Row],[Agreement Days]]&gt;=-30,"Expires &lt; 30 Days",Table1[[#This Row],[Agreement Days]]&gt;=-60,"Expires &lt; 60 Days",Table1[[#This Row],[Agreement Days]]&lt;-60,"Valid Contract")</f>
        <v>Valid Contract</v>
      </c>
      <c r="W1274" s="14" t="s">
        <v>13</v>
      </c>
      <c r="X1274" s="14" t="s">
        <v>2481</v>
      </c>
      <c r="Y1274" s="43" t="s">
        <v>2482</v>
      </c>
      <c r="Z1274" s="27">
        <v>783225767</v>
      </c>
      <c r="AA1274" s="17"/>
      <c r="AB1274" s="116"/>
      <c r="AC1274" s="116"/>
    </row>
    <row r="1275" spans="1:29" hidden="1" x14ac:dyDescent="0.3">
      <c r="A1275" s="18" t="s">
        <v>2483</v>
      </c>
      <c r="B1275" s="18" t="s">
        <v>414</v>
      </c>
      <c r="C1275" s="18" t="s">
        <v>544</v>
      </c>
      <c r="D1275" s="14" t="s">
        <v>540</v>
      </c>
      <c r="E1275" s="18" t="s">
        <v>9</v>
      </c>
      <c r="F1275" s="14" t="s">
        <v>517</v>
      </c>
      <c r="G1275" s="14" t="s">
        <v>518</v>
      </c>
      <c r="H1275" s="18" t="s">
        <v>5</v>
      </c>
      <c r="I1275" s="14" t="s">
        <v>115</v>
      </c>
      <c r="J1275" s="18"/>
      <c r="K1275" s="18" t="s">
        <v>642</v>
      </c>
      <c r="L1275" s="18"/>
      <c r="M1275" s="14">
        <v>2</v>
      </c>
      <c r="N1275" s="15">
        <v>101694.92</v>
      </c>
      <c r="O1275" s="15">
        <f t="shared" si="47"/>
        <v>203389.84</v>
      </c>
      <c r="P1275" s="15"/>
      <c r="Q1275" s="14" t="s">
        <v>520</v>
      </c>
      <c r="R1275" s="25">
        <v>45455</v>
      </c>
      <c r="S1275" s="34" t="str">
        <f>TEXT(Table1[[#This Row],[End Date]],"MMMM")</f>
        <v>June</v>
      </c>
      <c r="T1275" s="34" t="str">
        <f>TEXT(Table1[[#This Row],[End Date]],"YYYY")</f>
        <v>2024</v>
      </c>
      <c r="U1275" s="24">
        <f t="shared" ca="1" si="46"/>
        <v>-322</v>
      </c>
      <c r="V1275" s="14" t="str" cm="1">
        <f t="array" aca="1" ref="V1275" ca="1">_xlfn.IFS(Table1[[#This Row],[Agreement Days]]&gt;=0,"Expired",Table1[[#This Row],[Agreement Days]]&gt;=-30,"Expires &lt; 30 Days",Table1[[#This Row],[Agreement Days]]&gt;=-60,"Expires &lt; 60 Days",Table1[[#This Row],[Agreement Days]]&lt;-60,"Valid Contract")</f>
        <v>Valid Contract</v>
      </c>
      <c r="W1275" s="18" t="s">
        <v>18</v>
      </c>
      <c r="X1275" s="18" t="s">
        <v>2484</v>
      </c>
      <c r="Y1275" s="35" t="s">
        <v>2485</v>
      </c>
      <c r="Z1275" s="27" t="s">
        <v>2486</v>
      </c>
      <c r="AA1275" s="36"/>
      <c r="AB1275" s="116"/>
      <c r="AC1275" s="116"/>
    </row>
    <row r="1276" spans="1:29" hidden="1" x14ac:dyDescent="0.3">
      <c r="A1276" s="18" t="s">
        <v>2487</v>
      </c>
      <c r="B1276" s="18" t="s">
        <v>411</v>
      </c>
      <c r="C1276" s="18" t="s">
        <v>2488</v>
      </c>
      <c r="D1276" s="14" t="s">
        <v>545</v>
      </c>
      <c r="E1276" s="18" t="s">
        <v>9</v>
      </c>
      <c r="F1276" s="14" t="s">
        <v>517</v>
      </c>
      <c r="G1276" s="14" t="s">
        <v>518</v>
      </c>
      <c r="H1276" s="18" t="s">
        <v>5</v>
      </c>
      <c r="I1276" s="14" t="s">
        <v>115</v>
      </c>
      <c r="J1276" s="14"/>
      <c r="K1276" s="18" t="s">
        <v>657</v>
      </c>
      <c r="L1276" s="14"/>
      <c r="M1276" s="14">
        <v>2</v>
      </c>
      <c r="N1276" s="15">
        <v>45338.98</v>
      </c>
      <c r="O1276" s="15">
        <f t="shared" si="47"/>
        <v>90677.96</v>
      </c>
      <c r="P1276" s="15"/>
      <c r="Q1276" s="14" t="s">
        <v>520</v>
      </c>
      <c r="R1276" s="25">
        <v>45468</v>
      </c>
      <c r="S1276" s="22" t="str">
        <f>TEXT(Table1[[#This Row],[End Date]],"MMMM")</f>
        <v>June</v>
      </c>
      <c r="T1276" s="23" t="str">
        <f>TEXT(Table1[[#This Row],[End Date]],"YYYY")</f>
        <v>2024</v>
      </c>
      <c r="U1276" s="24">
        <f t="shared" ca="1" si="46"/>
        <v>-335</v>
      </c>
      <c r="V1276" s="14" t="str" cm="1">
        <f t="array" aca="1" ref="V1276" ca="1">_xlfn.IFS(Table1[[#This Row],[Agreement Days]]&gt;=0,"Expired",Table1[[#This Row],[Agreement Days]]&gt;=-30,"Expires &lt; 30 Days",Table1[[#This Row],[Agreement Days]]&gt;=-60,"Expires &lt; 60 Days",Table1[[#This Row],[Agreement Days]]&lt;-60,"Valid Contract")</f>
        <v>Valid Contract</v>
      </c>
      <c r="W1276" s="14" t="s">
        <v>20</v>
      </c>
      <c r="X1276" s="14" t="s">
        <v>1876</v>
      </c>
      <c r="Y1276" s="16" t="s">
        <v>2489</v>
      </c>
      <c r="Z1276" s="27" t="s">
        <v>2490</v>
      </c>
      <c r="AA1276" s="19"/>
      <c r="AB1276" s="116"/>
      <c r="AC1276" s="116"/>
    </row>
    <row r="1277" spans="1:29" hidden="1" x14ac:dyDescent="0.3">
      <c r="A1277" s="18" t="s">
        <v>2487</v>
      </c>
      <c r="B1277" s="18" t="s">
        <v>411</v>
      </c>
      <c r="C1277" s="18" t="s">
        <v>2488</v>
      </c>
      <c r="D1277" s="14" t="s">
        <v>545</v>
      </c>
      <c r="E1277" s="18" t="s">
        <v>9</v>
      </c>
      <c r="F1277" s="14" t="s">
        <v>517</v>
      </c>
      <c r="G1277" s="14" t="s">
        <v>518</v>
      </c>
      <c r="H1277" s="18" t="s">
        <v>5</v>
      </c>
      <c r="I1277" s="14" t="s">
        <v>115</v>
      </c>
      <c r="J1277" s="14"/>
      <c r="K1277" s="18" t="s">
        <v>643</v>
      </c>
      <c r="L1277" s="14"/>
      <c r="M1277" s="14">
        <v>4</v>
      </c>
      <c r="N1277" s="15">
        <v>28305.08</v>
      </c>
      <c r="O1277" s="15">
        <f t="shared" si="47"/>
        <v>113220.32</v>
      </c>
      <c r="P1277" s="15"/>
      <c r="Q1277" s="14" t="s">
        <v>520</v>
      </c>
      <c r="R1277" s="25">
        <v>45468</v>
      </c>
      <c r="S1277" s="22" t="str">
        <f>TEXT(Table1[[#This Row],[End Date]],"MMMM")</f>
        <v>June</v>
      </c>
      <c r="T1277" s="23" t="str">
        <f>TEXT(Table1[[#This Row],[End Date]],"YYYY")</f>
        <v>2024</v>
      </c>
      <c r="U1277" s="24">
        <f t="shared" ca="1" si="46"/>
        <v>-335</v>
      </c>
      <c r="V1277" s="14" t="str" cm="1">
        <f t="array" aca="1" ref="V1277" ca="1">_xlfn.IFS(Table1[[#This Row],[Agreement Days]]&gt;=0,"Expired",Table1[[#This Row],[Agreement Days]]&gt;=-30,"Expires &lt; 30 Days",Table1[[#This Row],[Agreement Days]]&gt;=-60,"Expires &lt; 60 Days",Table1[[#This Row],[Agreement Days]]&lt;-60,"Valid Contract")</f>
        <v>Valid Contract</v>
      </c>
      <c r="W1277" s="14" t="s">
        <v>20</v>
      </c>
      <c r="X1277" s="14" t="s">
        <v>1876</v>
      </c>
      <c r="Y1277" s="16" t="s">
        <v>2489</v>
      </c>
      <c r="Z1277" s="27" t="s">
        <v>2490</v>
      </c>
      <c r="AA1277" s="19"/>
      <c r="AB1277" s="116"/>
      <c r="AC1277" s="116"/>
    </row>
    <row r="1278" spans="1:29" hidden="1" x14ac:dyDescent="0.3">
      <c r="A1278" s="18" t="s">
        <v>2491</v>
      </c>
      <c r="B1278" s="18" t="s">
        <v>461</v>
      </c>
      <c r="C1278" s="18" t="s">
        <v>2492</v>
      </c>
      <c r="D1278" s="14" t="s">
        <v>545</v>
      </c>
      <c r="E1278" s="18" t="s">
        <v>10</v>
      </c>
      <c r="F1278" s="14" t="s">
        <v>560</v>
      </c>
      <c r="G1278" s="14" t="s">
        <v>518</v>
      </c>
      <c r="H1278" s="18" t="s">
        <v>2</v>
      </c>
      <c r="I1278" s="14" t="s">
        <v>438</v>
      </c>
      <c r="J1278" s="27"/>
      <c r="K1278" s="18" t="s">
        <v>2475</v>
      </c>
      <c r="L1278" s="18"/>
      <c r="M1278" s="14">
        <v>1</v>
      </c>
      <c r="N1278" s="15">
        <f>85000/1.18</f>
        <v>72033.898305084746</v>
      </c>
      <c r="O1278" s="15">
        <f t="shared" si="47"/>
        <v>72033.898305084746</v>
      </c>
      <c r="P1278" s="15"/>
      <c r="Q1278" s="14" t="s">
        <v>520</v>
      </c>
      <c r="R1278" s="25">
        <v>45471</v>
      </c>
      <c r="S1278" s="34" t="str">
        <f>TEXT(Table1[[#This Row],[End Date]],"MMMM")</f>
        <v>June</v>
      </c>
      <c r="T1278" s="34" t="str">
        <f>TEXT(Table1[[#This Row],[End Date]],"YYYY")</f>
        <v>2024</v>
      </c>
      <c r="U1278" s="24">
        <f t="shared" ca="1" si="46"/>
        <v>-338</v>
      </c>
      <c r="V1278" s="14" t="str" cm="1">
        <f t="array" aca="1" ref="V1278" ca="1">_xlfn.IFS(Table1[[#This Row],[Agreement Days]]&gt;=0,"Expired",Table1[[#This Row],[Agreement Days]]&gt;=-30,"Expires &lt; 30 Days",Table1[[#This Row],[Agreement Days]]&gt;=-60,"Expires &lt; 60 Days",Table1[[#This Row],[Agreement Days]]&lt;-60,"Valid Contract")</f>
        <v>Valid Contract</v>
      </c>
      <c r="W1278" s="18" t="s">
        <v>21</v>
      </c>
      <c r="X1278" s="18" t="s">
        <v>2493</v>
      </c>
      <c r="Y1278" s="42" t="s">
        <v>2494</v>
      </c>
      <c r="Z1278" s="27">
        <v>788865701</v>
      </c>
      <c r="AA1278" s="27"/>
      <c r="AB1278" s="116"/>
      <c r="AC1278" s="116"/>
    </row>
    <row r="1279" spans="1:29" hidden="1" x14ac:dyDescent="0.3">
      <c r="A1279" s="18" t="s">
        <v>2495</v>
      </c>
      <c r="B1279" s="18" t="s">
        <v>336</v>
      </c>
      <c r="C1279" s="18" t="s">
        <v>544</v>
      </c>
      <c r="D1279" s="14" t="s">
        <v>516</v>
      </c>
      <c r="E1279" s="18" t="s">
        <v>9</v>
      </c>
      <c r="F1279" s="14" t="s">
        <v>517</v>
      </c>
      <c r="G1279" s="14" t="s">
        <v>546</v>
      </c>
      <c r="H1279" s="18" t="s">
        <v>5</v>
      </c>
      <c r="I1279" s="14" t="s">
        <v>117</v>
      </c>
      <c r="J1279" s="14">
        <v>3</v>
      </c>
      <c r="K1279" s="18" t="s">
        <v>646</v>
      </c>
      <c r="L1279" s="18"/>
      <c r="M1279" s="14">
        <v>1</v>
      </c>
      <c r="N1279" s="15">
        <v>180000</v>
      </c>
      <c r="O1279" s="15">
        <f t="shared" si="47"/>
        <v>180000</v>
      </c>
      <c r="P1279" s="15"/>
      <c r="Q1279" s="14" t="s">
        <v>520</v>
      </c>
      <c r="R1279" s="25">
        <v>45473</v>
      </c>
      <c r="S1279" s="34" t="str">
        <f>TEXT(Table1[[#This Row],[End Date]],"MMMM")</f>
        <v>June</v>
      </c>
      <c r="T1279" s="34" t="str">
        <f>TEXT(Table1[[#This Row],[End Date]],"YYYY")</f>
        <v>2024</v>
      </c>
      <c r="U1279" s="24">
        <f t="shared" ca="1" si="46"/>
        <v>-340</v>
      </c>
      <c r="V1279" s="14" t="str" cm="1">
        <f t="array" aca="1" ref="V1279" ca="1">_xlfn.IFS(Table1[[#This Row],[Agreement Days]]&gt;=0,"Expired",Table1[[#This Row],[Agreement Days]]&gt;=-30,"Expires &lt; 30 Days",Table1[[#This Row],[Agreement Days]]&gt;=-60,"Expires &lt; 60 Days",Table1[[#This Row],[Agreement Days]]&lt;-60,"Valid Contract")</f>
        <v>Valid Contract</v>
      </c>
      <c r="W1279" s="18" t="s">
        <v>18</v>
      </c>
      <c r="X1279" s="18" t="s">
        <v>2496</v>
      </c>
      <c r="Y1279" s="35" t="s">
        <v>2497</v>
      </c>
      <c r="Z1279" s="27" t="s">
        <v>2498</v>
      </c>
      <c r="AA1279" s="27"/>
      <c r="AB1279" s="116"/>
      <c r="AC1279" s="116"/>
    </row>
    <row r="1280" spans="1:29" hidden="1" x14ac:dyDescent="0.3">
      <c r="A1280" s="18" t="s">
        <v>2495</v>
      </c>
      <c r="B1280" s="18" t="s">
        <v>336</v>
      </c>
      <c r="C1280" s="18" t="s">
        <v>544</v>
      </c>
      <c r="D1280" s="14" t="s">
        <v>516</v>
      </c>
      <c r="E1280" s="18" t="s">
        <v>9</v>
      </c>
      <c r="F1280" s="14" t="s">
        <v>517</v>
      </c>
      <c r="G1280" s="14" t="s">
        <v>546</v>
      </c>
      <c r="H1280" s="18" t="s">
        <v>4</v>
      </c>
      <c r="I1280" s="14" t="s">
        <v>118</v>
      </c>
      <c r="J1280" s="18"/>
      <c r="K1280" s="18" t="s">
        <v>650</v>
      </c>
      <c r="L1280" s="18"/>
      <c r="M1280" s="14">
        <v>1</v>
      </c>
      <c r="N1280" s="15">
        <v>369325.42</v>
      </c>
      <c r="O1280" s="15">
        <f t="shared" si="47"/>
        <v>369325.42</v>
      </c>
      <c r="P1280" s="15"/>
      <c r="Q1280" s="14" t="s">
        <v>520</v>
      </c>
      <c r="R1280" s="25">
        <v>45473</v>
      </c>
      <c r="S1280" s="34" t="str">
        <f>TEXT(Table1[[#This Row],[End Date]],"MMMM")</f>
        <v>June</v>
      </c>
      <c r="T1280" s="34" t="str">
        <f>TEXT(Table1[[#This Row],[End Date]],"YYYY")</f>
        <v>2024</v>
      </c>
      <c r="U1280" s="24">
        <f t="shared" ca="1" si="46"/>
        <v>-340</v>
      </c>
      <c r="V1280" s="14" t="str" cm="1">
        <f t="array" aca="1" ref="V1280" ca="1">_xlfn.IFS(Table1[[#This Row],[Agreement Days]]&gt;=0,"Expired",Table1[[#This Row],[Agreement Days]]&gt;=-30,"Expires &lt; 30 Days",Table1[[#This Row],[Agreement Days]]&gt;=-60,"Expires &lt; 60 Days",Table1[[#This Row],[Agreement Days]]&lt;-60,"Valid Contract")</f>
        <v>Valid Contract</v>
      </c>
      <c r="W1280" s="18" t="s">
        <v>18</v>
      </c>
      <c r="X1280" s="18" t="s">
        <v>2496</v>
      </c>
      <c r="Y1280" s="35" t="s">
        <v>2497</v>
      </c>
      <c r="Z1280" s="27" t="s">
        <v>2498</v>
      </c>
      <c r="AA1280" s="36"/>
      <c r="AB1280" s="116"/>
      <c r="AC1280" s="116"/>
    </row>
    <row r="1281" spans="1:29" hidden="1" x14ac:dyDescent="0.3">
      <c r="A1281" s="18" t="s">
        <v>2499</v>
      </c>
      <c r="B1281" s="18" t="s">
        <v>431</v>
      </c>
      <c r="C1281" s="18" t="s">
        <v>544</v>
      </c>
      <c r="D1281" s="20" t="s">
        <v>540</v>
      </c>
      <c r="E1281" s="18" t="s">
        <v>9</v>
      </c>
      <c r="F1281" s="20" t="s">
        <v>517</v>
      </c>
      <c r="G1281" s="20" t="s">
        <v>518</v>
      </c>
      <c r="H1281" s="18" t="s">
        <v>5</v>
      </c>
      <c r="I1281" s="20" t="s">
        <v>115</v>
      </c>
      <c r="J1281" s="18"/>
      <c r="K1281" s="18" t="s">
        <v>642</v>
      </c>
      <c r="L1281" s="18"/>
      <c r="M1281" s="20">
        <v>1</v>
      </c>
      <c r="N1281" s="15">
        <v>101694.92</v>
      </c>
      <c r="O1281" s="15">
        <f t="shared" si="47"/>
        <v>101694.92</v>
      </c>
      <c r="P1281" s="15"/>
      <c r="Q1281" s="14" t="s">
        <v>520</v>
      </c>
      <c r="R1281" s="25">
        <v>45473</v>
      </c>
      <c r="S1281" s="34" t="str">
        <f>TEXT(Table1[[#This Row],[End Date]],"MMMM")</f>
        <v>June</v>
      </c>
      <c r="T1281" s="34" t="str">
        <f>TEXT(Table1[[#This Row],[End Date]],"YYYY")</f>
        <v>2024</v>
      </c>
      <c r="U1281" s="24">
        <f t="shared" ca="1" si="46"/>
        <v>-340</v>
      </c>
      <c r="V1281" s="14" t="str" cm="1">
        <f t="array" aca="1" ref="V1281" ca="1">_xlfn.IFS(Table1[[#This Row],[Agreement Days]]&gt;=0,"Expired",Table1[[#This Row],[Agreement Days]]&gt;=-30,"Expires &lt; 30 Days",Table1[[#This Row],[Agreement Days]]&gt;=-60,"Expires &lt; 60 Days",Table1[[#This Row],[Agreement Days]]&lt;-60,"Valid Contract")</f>
        <v>Valid Contract</v>
      </c>
      <c r="W1281" s="18" t="s">
        <v>18</v>
      </c>
      <c r="X1281" s="18" t="s">
        <v>2500</v>
      </c>
      <c r="Y1281" s="42" t="s">
        <v>2501</v>
      </c>
      <c r="Z1281" s="27" t="s">
        <v>2502</v>
      </c>
      <c r="AA1281" s="27"/>
      <c r="AB1281" s="116"/>
      <c r="AC1281" s="116"/>
    </row>
    <row r="1282" spans="1:29" hidden="1" x14ac:dyDescent="0.3">
      <c r="A1282" s="18" t="s">
        <v>2499</v>
      </c>
      <c r="B1282" s="18" t="s">
        <v>431</v>
      </c>
      <c r="C1282" s="18" t="s">
        <v>544</v>
      </c>
      <c r="D1282" s="20" t="s">
        <v>540</v>
      </c>
      <c r="E1282" s="18" t="s">
        <v>9</v>
      </c>
      <c r="F1282" s="20" t="s">
        <v>517</v>
      </c>
      <c r="G1282" s="20" t="s">
        <v>518</v>
      </c>
      <c r="H1282" s="18" t="s">
        <v>5</v>
      </c>
      <c r="I1282" s="20" t="s">
        <v>115</v>
      </c>
      <c r="J1282" s="18"/>
      <c r="K1282" s="18" t="s">
        <v>573</v>
      </c>
      <c r="L1282" s="18"/>
      <c r="M1282" s="20">
        <v>2</v>
      </c>
      <c r="N1282" s="15">
        <v>19491.53</v>
      </c>
      <c r="O1282" s="15">
        <f t="shared" si="47"/>
        <v>38983.06</v>
      </c>
      <c r="P1282" s="15"/>
      <c r="Q1282" s="14" t="s">
        <v>520</v>
      </c>
      <c r="R1282" s="25">
        <v>45473</v>
      </c>
      <c r="S1282" s="34" t="str">
        <f>TEXT(Table1[[#This Row],[End Date]],"MMMM")</f>
        <v>June</v>
      </c>
      <c r="T1282" s="34" t="str">
        <f>TEXT(Table1[[#This Row],[End Date]],"YYYY")</f>
        <v>2024</v>
      </c>
      <c r="U1282" s="24">
        <f t="shared" ca="1" si="46"/>
        <v>-340</v>
      </c>
      <c r="V1282" s="14" t="str" cm="1">
        <f t="array" aca="1" ref="V1282" ca="1">_xlfn.IFS(Table1[[#This Row],[Agreement Days]]&gt;=0,"Expired",Table1[[#This Row],[Agreement Days]]&gt;=-30,"Expires &lt; 30 Days",Table1[[#This Row],[Agreement Days]]&gt;=-60,"Expires &lt; 60 Days",Table1[[#This Row],[Agreement Days]]&lt;-60,"Valid Contract")</f>
        <v>Valid Contract</v>
      </c>
      <c r="W1282" s="18" t="s">
        <v>18</v>
      </c>
      <c r="X1282" s="18" t="s">
        <v>2500</v>
      </c>
      <c r="Y1282" s="42" t="s">
        <v>2501</v>
      </c>
      <c r="Z1282" s="27" t="s">
        <v>2502</v>
      </c>
      <c r="AA1282" s="36"/>
      <c r="AB1282" s="116"/>
      <c r="AC1282" s="116"/>
    </row>
    <row r="1283" spans="1:29" hidden="1" x14ac:dyDescent="0.3">
      <c r="A1283" s="18" t="s">
        <v>2503</v>
      </c>
      <c r="B1283" s="18" t="s">
        <v>283</v>
      </c>
      <c r="C1283" s="18" t="s">
        <v>283</v>
      </c>
      <c r="D1283" s="14" t="s">
        <v>653</v>
      </c>
      <c r="E1283" s="18" t="s">
        <v>9</v>
      </c>
      <c r="F1283" s="14" t="s">
        <v>517</v>
      </c>
      <c r="G1283" s="14" t="s">
        <v>518</v>
      </c>
      <c r="H1283" s="18" t="s">
        <v>5</v>
      </c>
      <c r="I1283" s="14" t="s">
        <v>117</v>
      </c>
      <c r="J1283" s="14">
        <v>15</v>
      </c>
      <c r="K1283" s="14" t="s">
        <v>899</v>
      </c>
      <c r="L1283" s="14"/>
      <c r="M1283" s="14">
        <v>1</v>
      </c>
      <c r="N1283" s="15">
        <v>720000</v>
      </c>
      <c r="O1283" s="15">
        <f t="shared" si="47"/>
        <v>720000</v>
      </c>
      <c r="P1283" s="15"/>
      <c r="Q1283" s="14" t="s">
        <v>520</v>
      </c>
      <c r="R1283" s="25">
        <v>45473</v>
      </c>
      <c r="S1283" s="22" t="str">
        <f>TEXT(Table1[[#This Row],[End Date]],"MMMM")</f>
        <v>June</v>
      </c>
      <c r="T1283" s="23" t="str">
        <f>TEXT(Table1[[#This Row],[End Date]],"YYYY")</f>
        <v>2024</v>
      </c>
      <c r="U1283" s="24">
        <f t="shared" ca="1" si="46"/>
        <v>-340</v>
      </c>
      <c r="V1283" s="14" t="str" cm="1">
        <f t="array" aca="1" ref="V1283" ca="1">_xlfn.IFS(Table1[[#This Row],[Agreement Days]]&gt;=0,"Expired",Table1[[#This Row],[Agreement Days]]&gt;=-30,"Expires &lt; 30 Days",Table1[[#This Row],[Agreement Days]]&gt;=-60,"Expires &lt; 60 Days",Table1[[#This Row],[Agreement Days]]&lt;-60,"Valid Contract")</f>
        <v>Valid Contract</v>
      </c>
      <c r="W1283" s="14" t="s">
        <v>19</v>
      </c>
      <c r="X1283" s="14" t="s">
        <v>2504</v>
      </c>
      <c r="Y1283" s="43" t="s">
        <v>2505</v>
      </c>
      <c r="Z1283" s="27">
        <v>788790817</v>
      </c>
      <c r="AA1283" s="17"/>
      <c r="AB1283" s="116"/>
      <c r="AC1283" s="116"/>
    </row>
    <row r="1284" spans="1:29" hidden="1" x14ac:dyDescent="0.3">
      <c r="A1284" s="18" t="s">
        <v>2503</v>
      </c>
      <c r="B1284" s="18" t="s">
        <v>283</v>
      </c>
      <c r="C1284" s="18" t="s">
        <v>283</v>
      </c>
      <c r="D1284" s="14" t="s">
        <v>653</v>
      </c>
      <c r="E1284" s="18" t="s">
        <v>9</v>
      </c>
      <c r="F1284" s="14" t="s">
        <v>517</v>
      </c>
      <c r="G1284" s="14" t="s">
        <v>518</v>
      </c>
      <c r="H1284" s="18" t="s">
        <v>5</v>
      </c>
      <c r="I1284" s="14" t="s">
        <v>118</v>
      </c>
      <c r="J1284" s="14"/>
      <c r="K1284" s="14" t="s">
        <v>1020</v>
      </c>
      <c r="L1284" s="14"/>
      <c r="M1284" s="14">
        <v>1</v>
      </c>
      <c r="N1284" s="15">
        <v>369325</v>
      </c>
      <c r="O1284" s="15">
        <f t="shared" si="47"/>
        <v>369325</v>
      </c>
      <c r="P1284" s="15"/>
      <c r="Q1284" s="14" t="s">
        <v>520</v>
      </c>
      <c r="R1284" s="25">
        <v>45473</v>
      </c>
      <c r="S1284" s="22" t="str">
        <f>TEXT(Table1[[#This Row],[End Date]],"MMMM")</f>
        <v>June</v>
      </c>
      <c r="T1284" s="23" t="str">
        <f>TEXT(Table1[[#This Row],[End Date]],"YYYY")</f>
        <v>2024</v>
      </c>
      <c r="U1284" s="24">
        <f t="shared" ca="1" si="46"/>
        <v>-340</v>
      </c>
      <c r="V1284" s="14" t="str" cm="1">
        <f t="array" aca="1" ref="V1284" ca="1">_xlfn.IFS(Table1[[#This Row],[Agreement Days]]&gt;=0,"Expired",Table1[[#This Row],[Agreement Days]]&gt;=-30,"Expires &lt; 30 Days",Table1[[#This Row],[Agreement Days]]&gt;=-60,"Expires &lt; 60 Days",Table1[[#This Row],[Agreement Days]]&lt;-60,"Valid Contract")</f>
        <v>Valid Contract</v>
      </c>
      <c r="W1284" s="14" t="s">
        <v>19</v>
      </c>
      <c r="X1284" s="14" t="s">
        <v>2504</v>
      </c>
      <c r="Y1284" s="43" t="s">
        <v>2505</v>
      </c>
      <c r="Z1284" s="27">
        <v>788790817</v>
      </c>
      <c r="AA1284" s="17"/>
      <c r="AB1284" s="116"/>
      <c r="AC1284" s="116"/>
    </row>
    <row r="1285" spans="1:29" hidden="1" x14ac:dyDescent="0.3">
      <c r="A1285" s="18" t="s">
        <v>2503</v>
      </c>
      <c r="B1285" s="18" t="s">
        <v>283</v>
      </c>
      <c r="C1285" s="18" t="s">
        <v>283</v>
      </c>
      <c r="D1285" s="14" t="s">
        <v>653</v>
      </c>
      <c r="E1285" s="18" t="s">
        <v>9</v>
      </c>
      <c r="F1285" s="14" t="s">
        <v>517</v>
      </c>
      <c r="G1285" s="14" t="s">
        <v>518</v>
      </c>
      <c r="H1285" s="18" t="s">
        <v>5</v>
      </c>
      <c r="I1285" s="14" t="s">
        <v>115</v>
      </c>
      <c r="J1285" s="14"/>
      <c r="K1285" s="18" t="s">
        <v>573</v>
      </c>
      <c r="L1285" s="14"/>
      <c r="M1285" s="14">
        <v>4</v>
      </c>
      <c r="N1285" s="15">
        <v>19491.53</v>
      </c>
      <c r="O1285" s="15">
        <f t="shared" si="47"/>
        <v>77966.12</v>
      </c>
      <c r="P1285" s="15"/>
      <c r="Q1285" s="14" t="s">
        <v>520</v>
      </c>
      <c r="R1285" s="25">
        <v>45473</v>
      </c>
      <c r="S1285" s="22" t="str">
        <f>TEXT(Table1[[#This Row],[End Date]],"MMMM")</f>
        <v>June</v>
      </c>
      <c r="T1285" s="23" t="str">
        <f>TEXT(Table1[[#This Row],[End Date]],"YYYY")</f>
        <v>2024</v>
      </c>
      <c r="U1285" s="24">
        <f t="shared" ca="1" si="46"/>
        <v>-340</v>
      </c>
      <c r="V1285" s="14" t="str" cm="1">
        <f t="array" aca="1" ref="V1285" ca="1">_xlfn.IFS(Table1[[#This Row],[Agreement Days]]&gt;=0,"Expired",Table1[[#This Row],[Agreement Days]]&gt;=-30,"Expires &lt; 30 Days",Table1[[#This Row],[Agreement Days]]&gt;=-60,"Expires &lt; 60 Days",Table1[[#This Row],[Agreement Days]]&lt;-60,"Valid Contract")</f>
        <v>Valid Contract</v>
      </c>
      <c r="W1285" s="14" t="s">
        <v>19</v>
      </c>
      <c r="X1285" s="14" t="s">
        <v>2504</v>
      </c>
      <c r="Y1285" s="43" t="s">
        <v>2505</v>
      </c>
      <c r="Z1285" s="27">
        <v>788790817</v>
      </c>
      <c r="AA1285" s="17"/>
      <c r="AB1285" s="116"/>
      <c r="AC1285" s="116"/>
    </row>
    <row r="1286" spans="1:29" hidden="1" x14ac:dyDescent="0.3">
      <c r="A1286" s="18" t="s">
        <v>2331</v>
      </c>
      <c r="B1286" s="18" t="s">
        <v>316</v>
      </c>
      <c r="C1286" s="18" t="s">
        <v>2332</v>
      </c>
      <c r="D1286" s="14" t="s">
        <v>810</v>
      </c>
      <c r="E1286" s="18" t="s">
        <v>9</v>
      </c>
      <c r="F1286" s="14" t="s">
        <v>688</v>
      </c>
      <c r="G1286" s="14" t="s">
        <v>518</v>
      </c>
      <c r="H1286" s="18" t="s">
        <v>5</v>
      </c>
      <c r="I1286" s="14" t="s">
        <v>117</v>
      </c>
      <c r="J1286" s="14">
        <v>5</v>
      </c>
      <c r="K1286" s="18" t="s">
        <v>519</v>
      </c>
      <c r="L1286" s="18"/>
      <c r="M1286" s="14">
        <v>1</v>
      </c>
      <c r="N1286" s="15">
        <v>270000</v>
      </c>
      <c r="O1286" s="15">
        <f t="shared" si="47"/>
        <v>270000</v>
      </c>
      <c r="P1286" s="15"/>
      <c r="Q1286" s="14" t="s">
        <v>520</v>
      </c>
      <c r="R1286" s="25">
        <v>45473</v>
      </c>
      <c r="S1286" s="34" t="str">
        <f>TEXT(Table1[[#This Row],[End Date]],"MMMM")</f>
        <v>June</v>
      </c>
      <c r="T1286" s="34" t="str">
        <f>TEXT(Table1[[#This Row],[End Date]],"YYYY")</f>
        <v>2024</v>
      </c>
      <c r="U1286" s="24">
        <f t="shared" ca="1" si="46"/>
        <v>-340</v>
      </c>
      <c r="V1286" s="14" t="str" cm="1">
        <f t="array" aca="1" ref="V1286" ca="1">_xlfn.IFS(Table1[[#This Row],[Agreement Days]]&gt;=0,"Expired",Table1[[#This Row],[Agreement Days]]&gt;=-30,"Expires &lt; 30 Days",Table1[[#This Row],[Agreement Days]]&gt;=-60,"Expires &lt; 60 Days",Table1[[#This Row],[Agreement Days]]&lt;-60,"Valid Contract")</f>
        <v>Valid Contract</v>
      </c>
      <c r="W1286" s="18" t="s">
        <v>21</v>
      </c>
      <c r="X1286" s="18" t="s">
        <v>2333</v>
      </c>
      <c r="Y1286" s="42" t="s">
        <v>2334</v>
      </c>
      <c r="Z1286" s="27">
        <v>788655836</v>
      </c>
      <c r="AA1286" s="27"/>
      <c r="AB1286" s="116"/>
      <c r="AC1286" s="116"/>
    </row>
    <row r="1287" spans="1:29" hidden="1" x14ac:dyDescent="0.3">
      <c r="A1287" s="18" t="s">
        <v>2506</v>
      </c>
      <c r="B1287" s="18" t="s">
        <v>387</v>
      </c>
      <c r="C1287" s="18" t="s">
        <v>387</v>
      </c>
      <c r="D1287" s="14" t="s">
        <v>540</v>
      </c>
      <c r="E1287" s="18" t="s">
        <v>10</v>
      </c>
      <c r="F1287" s="14" t="s">
        <v>560</v>
      </c>
      <c r="G1287" s="14" t="s">
        <v>518</v>
      </c>
      <c r="H1287" s="18" t="s">
        <v>2</v>
      </c>
      <c r="I1287" s="14" t="s">
        <v>123</v>
      </c>
      <c r="J1287" s="14"/>
      <c r="K1287" s="20" t="s">
        <v>2507</v>
      </c>
      <c r="L1287" s="14"/>
      <c r="M1287" s="14">
        <v>1</v>
      </c>
      <c r="N1287" s="15">
        <v>310000</v>
      </c>
      <c r="O1287" s="15">
        <f t="shared" si="47"/>
        <v>310000</v>
      </c>
      <c r="P1287" s="15"/>
      <c r="Q1287" s="14" t="s">
        <v>520</v>
      </c>
      <c r="R1287" s="25">
        <v>45473</v>
      </c>
      <c r="S1287" s="22" t="str">
        <f>TEXT(Table1[[#This Row],[End Date]],"MMMM")</f>
        <v>June</v>
      </c>
      <c r="T1287" s="22" t="str">
        <f>TEXT(Table1[[#This Row],[End Date]],"YYYY")</f>
        <v>2024</v>
      </c>
      <c r="U1287" s="24">
        <f t="shared" ref="U1287:U1350" ca="1" si="48">TODAY()-R1287</f>
        <v>-340</v>
      </c>
      <c r="V1287" s="14" t="str" cm="1">
        <f t="array" aca="1" ref="V1287" ca="1">_xlfn.IFS(Table1[[#This Row],[Agreement Days]]&gt;=0,"Expired",Table1[[#This Row],[Agreement Days]]&gt;=-30,"Expires &lt; 30 Days",Table1[[#This Row],[Agreement Days]]&gt;=-60,"Expires &lt; 60 Days",Table1[[#This Row],[Agreement Days]]&lt;-60,"Valid Contract")</f>
        <v>Valid Contract</v>
      </c>
      <c r="W1287" s="14" t="s">
        <v>20</v>
      </c>
      <c r="X1287" s="14" t="s">
        <v>2508</v>
      </c>
      <c r="Y1287" s="16" t="s">
        <v>2509</v>
      </c>
      <c r="Z1287" s="27" t="s">
        <v>1465</v>
      </c>
      <c r="AA1287" s="19"/>
      <c r="AB1287" s="116"/>
      <c r="AC1287" s="116"/>
    </row>
    <row r="1288" spans="1:29" hidden="1" x14ac:dyDescent="0.3">
      <c r="A1288" s="18" t="s">
        <v>1471</v>
      </c>
      <c r="B1288" s="18" t="s">
        <v>160</v>
      </c>
      <c r="C1288" s="18" t="s">
        <v>2510</v>
      </c>
      <c r="D1288" s="14" t="s">
        <v>808</v>
      </c>
      <c r="E1288" s="18" t="s">
        <v>9</v>
      </c>
      <c r="F1288" s="14" t="s">
        <v>517</v>
      </c>
      <c r="G1288" s="14" t="s">
        <v>518</v>
      </c>
      <c r="H1288" s="18" t="s">
        <v>5</v>
      </c>
      <c r="I1288" s="14" t="s">
        <v>117</v>
      </c>
      <c r="J1288" s="14">
        <v>3</v>
      </c>
      <c r="K1288" s="14" t="s">
        <v>646</v>
      </c>
      <c r="L1288" s="14"/>
      <c r="M1288" s="14">
        <v>1</v>
      </c>
      <c r="N1288" s="15">
        <v>180000</v>
      </c>
      <c r="O1288" s="15">
        <f t="shared" si="47"/>
        <v>180000</v>
      </c>
      <c r="P1288" s="15"/>
      <c r="Q1288" s="14" t="s">
        <v>520</v>
      </c>
      <c r="R1288" s="25">
        <v>45473</v>
      </c>
      <c r="S1288" s="22" t="str">
        <f>TEXT(Table1[[#This Row],[End Date]],"MMMM")</f>
        <v>June</v>
      </c>
      <c r="T1288" s="23" t="str">
        <f>TEXT(Table1[[#This Row],[End Date]],"YYYY")</f>
        <v>2024</v>
      </c>
      <c r="U1288" s="24">
        <f t="shared" ca="1" si="48"/>
        <v>-340</v>
      </c>
      <c r="V1288" s="14" t="str" cm="1">
        <f t="array" aca="1" ref="V1288" ca="1">_xlfn.IFS(Table1[[#This Row],[Agreement Days]]&gt;=0,"Expired",Table1[[#This Row],[Agreement Days]]&gt;=-30,"Expires &lt; 30 Days",Table1[[#This Row],[Agreement Days]]&gt;=-60,"Expires &lt; 60 Days",Table1[[#This Row],[Agreement Days]]&lt;-60,"Valid Contract")</f>
        <v>Valid Contract</v>
      </c>
      <c r="W1288" s="14" t="s">
        <v>20</v>
      </c>
      <c r="X1288" s="26" t="s">
        <v>1473</v>
      </c>
      <c r="Y1288" s="45" t="s">
        <v>1474</v>
      </c>
      <c r="Z1288" s="27" t="s">
        <v>1475</v>
      </c>
      <c r="AA1288" s="19"/>
      <c r="AB1288" s="116"/>
      <c r="AC1288" s="116"/>
    </row>
    <row r="1289" spans="1:29" hidden="1" x14ac:dyDescent="0.3">
      <c r="A1289" s="18" t="s">
        <v>1471</v>
      </c>
      <c r="B1289" s="18" t="s">
        <v>160</v>
      </c>
      <c r="C1289" s="18" t="s">
        <v>2511</v>
      </c>
      <c r="D1289" s="14" t="s">
        <v>808</v>
      </c>
      <c r="E1289" s="18" t="s">
        <v>9</v>
      </c>
      <c r="F1289" s="14" t="s">
        <v>517</v>
      </c>
      <c r="G1289" s="14" t="s">
        <v>518</v>
      </c>
      <c r="H1289" s="18" t="s">
        <v>5</v>
      </c>
      <c r="I1289" s="14" t="s">
        <v>117</v>
      </c>
      <c r="J1289" s="14">
        <v>3</v>
      </c>
      <c r="K1289" s="14" t="s">
        <v>646</v>
      </c>
      <c r="L1289" s="14"/>
      <c r="M1289" s="14">
        <v>1</v>
      </c>
      <c r="N1289" s="15">
        <v>180000</v>
      </c>
      <c r="O1289" s="15">
        <f t="shared" si="47"/>
        <v>180000</v>
      </c>
      <c r="P1289" s="15"/>
      <c r="Q1289" s="14" t="s">
        <v>520</v>
      </c>
      <c r="R1289" s="25">
        <v>45473</v>
      </c>
      <c r="S1289" s="22" t="str">
        <f>TEXT(Table1[[#This Row],[End Date]],"MMMM")</f>
        <v>June</v>
      </c>
      <c r="T1289" s="23" t="str">
        <f>TEXT(Table1[[#This Row],[End Date]],"YYYY")</f>
        <v>2024</v>
      </c>
      <c r="U1289" s="24">
        <f t="shared" ca="1" si="48"/>
        <v>-340</v>
      </c>
      <c r="V1289" s="14" t="str" cm="1">
        <f t="array" aca="1" ref="V1289" ca="1">_xlfn.IFS(Table1[[#This Row],[Agreement Days]]&gt;=0,"Expired",Table1[[#This Row],[Agreement Days]]&gt;=-30,"Expires &lt; 30 Days",Table1[[#This Row],[Agreement Days]]&gt;=-60,"Expires &lt; 60 Days",Table1[[#This Row],[Agreement Days]]&lt;-60,"Valid Contract")</f>
        <v>Valid Contract</v>
      </c>
      <c r="W1289" s="14" t="s">
        <v>20</v>
      </c>
      <c r="X1289" s="26" t="s">
        <v>1473</v>
      </c>
      <c r="Y1289" s="16" t="s">
        <v>1474</v>
      </c>
      <c r="Z1289" s="27" t="s">
        <v>1475</v>
      </c>
      <c r="AA1289" s="19"/>
      <c r="AB1289" s="116"/>
      <c r="AC1289" s="116"/>
    </row>
    <row r="1290" spans="1:29" hidden="1" x14ac:dyDescent="0.3">
      <c r="A1290" s="18" t="s">
        <v>1471</v>
      </c>
      <c r="B1290" s="18" t="s">
        <v>160</v>
      </c>
      <c r="C1290" s="18" t="s">
        <v>2512</v>
      </c>
      <c r="D1290" s="14" t="s">
        <v>540</v>
      </c>
      <c r="E1290" s="18" t="s">
        <v>9</v>
      </c>
      <c r="F1290" s="14" t="s">
        <v>517</v>
      </c>
      <c r="G1290" s="14" t="s">
        <v>518</v>
      </c>
      <c r="H1290" s="18" t="s">
        <v>5</v>
      </c>
      <c r="I1290" s="14" t="s">
        <v>117</v>
      </c>
      <c r="J1290" s="14">
        <v>3</v>
      </c>
      <c r="K1290" s="14" t="s">
        <v>646</v>
      </c>
      <c r="L1290" s="14"/>
      <c r="M1290" s="14">
        <v>1</v>
      </c>
      <c r="N1290" s="15">
        <v>180000</v>
      </c>
      <c r="O1290" s="15">
        <f t="shared" si="47"/>
        <v>180000</v>
      </c>
      <c r="P1290" s="15"/>
      <c r="Q1290" s="14" t="s">
        <v>520</v>
      </c>
      <c r="R1290" s="25">
        <v>45473</v>
      </c>
      <c r="S1290" s="22" t="str">
        <f>TEXT(Table1[[#This Row],[End Date]],"MMMM")</f>
        <v>June</v>
      </c>
      <c r="T1290" s="23" t="str">
        <f>TEXT(Table1[[#This Row],[End Date]],"YYYY")</f>
        <v>2024</v>
      </c>
      <c r="U1290" s="24">
        <f t="shared" ca="1" si="48"/>
        <v>-340</v>
      </c>
      <c r="V1290" s="14" t="str" cm="1">
        <f t="array" aca="1" ref="V1290" ca="1">_xlfn.IFS(Table1[[#This Row],[Agreement Days]]&gt;=0,"Expired",Table1[[#This Row],[Agreement Days]]&gt;=-30,"Expires &lt; 30 Days",Table1[[#This Row],[Agreement Days]]&gt;=-60,"Expires &lt; 60 Days",Table1[[#This Row],[Agreement Days]]&lt;-60,"Valid Contract")</f>
        <v>Valid Contract</v>
      </c>
      <c r="W1290" s="14" t="s">
        <v>20</v>
      </c>
      <c r="X1290" s="26" t="s">
        <v>1473</v>
      </c>
      <c r="Y1290" s="16" t="s">
        <v>1474</v>
      </c>
      <c r="Z1290" s="27" t="s">
        <v>1475</v>
      </c>
      <c r="AA1290" s="19"/>
      <c r="AB1290" s="116"/>
      <c r="AC1290" s="116"/>
    </row>
    <row r="1291" spans="1:29" hidden="1" x14ac:dyDescent="0.3">
      <c r="A1291" s="18" t="s">
        <v>1471</v>
      </c>
      <c r="B1291" s="18" t="s">
        <v>160</v>
      </c>
      <c r="C1291" s="18" t="s">
        <v>2513</v>
      </c>
      <c r="D1291" s="14" t="s">
        <v>540</v>
      </c>
      <c r="E1291" s="18" t="s">
        <v>9</v>
      </c>
      <c r="F1291" s="14" t="s">
        <v>517</v>
      </c>
      <c r="G1291" s="14" t="s">
        <v>518</v>
      </c>
      <c r="H1291" s="18" t="s">
        <v>5</v>
      </c>
      <c r="I1291" s="14" t="s">
        <v>117</v>
      </c>
      <c r="J1291" s="14">
        <v>3</v>
      </c>
      <c r="K1291" s="14" t="s">
        <v>646</v>
      </c>
      <c r="L1291" s="14"/>
      <c r="M1291" s="14">
        <v>1</v>
      </c>
      <c r="N1291" s="15">
        <v>180000</v>
      </c>
      <c r="O1291" s="15">
        <f t="shared" si="47"/>
        <v>180000</v>
      </c>
      <c r="P1291" s="15"/>
      <c r="Q1291" s="14" t="s">
        <v>520</v>
      </c>
      <c r="R1291" s="25">
        <v>45473</v>
      </c>
      <c r="S1291" s="22" t="str">
        <f>TEXT(Table1[[#This Row],[End Date]],"MMMM")</f>
        <v>June</v>
      </c>
      <c r="T1291" s="23" t="str">
        <f>TEXT(Table1[[#This Row],[End Date]],"YYYY")</f>
        <v>2024</v>
      </c>
      <c r="U1291" s="24">
        <f t="shared" ca="1" si="48"/>
        <v>-340</v>
      </c>
      <c r="V1291" s="14" t="str" cm="1">
        <f t="array" aca="1" ref="V1291" ca="1">_xlfn.IFS(Table1[[#This Row],[Agreement Days]]&gt;=0,"Expired",Table1[[#This Row],[Agreement Days]]&gt;=-30,"Expires &lt; 30 Days",Table1[[#This Row],[Agreement Days]]&gt;=-60,"Expires &lt; 60 Days",Table1[[#This Row],[Agreement Days]]&lt;-60,"Valid Contract")</f>
        <v>Valid Contract</v>
      </c>
      <c r="W1291" s="14" t="s">
        <v>20</v>
      </c>
      <c r="X1291" s="26" t="s">
        <v>1473</v>
      </c>
      <c r="Y1291" s="16" t="s">
        <v>1474</v>
      </c>
      <c r="Z1291" s="27" t="s">
        <v>1475</v>
      </c>
      <c r="AA1291" s="19"/>
      <c r="AB1291" s="116"/>
      <c r="AC1291" s="116"/>
    </row>
    <row r="1292" spans="1:29" hidden="1" x14ac:dyDescent="0.3">
      <c r="A1292" s="18" t="s">
        <v>1471</v>
      </c>
      <c r="B1292" s="18" t="s">
        <v>160</v>
      </c>
      <c r="C1292" s="18" t="s">
        <v>2514</v>
      </c>
      <c r="D1292" s="14" t="s">
        <v>761</v>
      </c>
      <c r="E1292" s="18" t="s">
        <v>9</v>
      </c>
      <c r="F1292" s="14" t="s">
        <v>517</v>
      </c>
      <c r="G1292" s="14" t="s">
        <v>518</v>
      </c>
      <c r="H1292" s="18" t="s">
        <v>5</v>
      </c>
      <c r="I1292" s="14" t="s">
        <v>117</v>
      </c>
      <c r="J1292" s="14">
        <v>3</v>
      </c>
      <c r="K1292" s="14" t="s">
        <v>646</v>
      </c>
      <c r="L1292" s="14"/>
      <c r="M1292" s="14">
        <v>1</v>
      </c>
      <c r="N1292" s="15">
        <v>180000</v>
      </c>
      <c r="O1292" s="15">
        <f t="shared" si="47"/>
        <v>180000</v>
      </c>
      <c r="P1292" s="15"/>
      <c r="Q1292" s="14" t="s">
        <v>520</v>
      </c>
      <c r="R1292" s="25">
        <v>45473</v>
      </c>
      <c r="S1292" s="22" t="str">
        <f>TEXT(Table1[[#This Row],[End Date]],"MMMM")</f>
        <v>June</v>
      </c>
      <c r="T1292" s="23" t="str">
        <f>TEXT(Table1[[#This Row],[End Date]],"YYYY")</f>
        <v>2024</v>
      </c>
      <c r="U1292" s="24">
        <f t="shared" ca="1" si="48"/>
        <v>-340</v>
      </c>
      <c r="V1292" s="14" t="str" cm="1">
        <f t="array" aca="1" ref="V1292" ca="1">_xlfn.IFS(Table1[[#This Row],[Agreement Days]]&gt;=0,"Expired",Table1[[#This Row],[Agreement Days]]&gt;=-30,"Expires &lt; 30 Days",Table1[[#This Row],[Agreement Days]]&gt;=-60,"Expires &lt; 60 Days",Table1[[#This Row],[Agreement Days]]&lt;-60,"Valid Contract")</f>
        <v>Valid Contract</v>
      </c>
      <c r="W1292" s="14" t="s">
        <v>20</v>
      </c>
      <c r="X1292" s="26" t="s">
        <v>1473</v>
      </c>
      <c r="Y1292" s="16" t="s">
        <v>1474</v>
      </c>
      <c r="Z1292" s="27" t="s">
        <v>1475</v>
      </c>
      <c r="AA1292" s="19"/>
      <c r="AB1292" s="116"/>
      <c r="AC1292" s="116"/>
    </row>
    <row r="1293" spans="1:29" hidden="1" x14ac:dyDescent="0.3">
      <c r="A1293" s="18" t="s">
        <v>1471</v>
      </c>
      <c r="B1293" s="18" t="s">
        <v>160</v>
      </c>
      <c r="C1293" s="18" t="s">
        <v>2515</v>
      </c>
      <c r="D1293" s="14" t="s">
        <v>735</v>
      </c>
      <c r="E1293" s="18" t="s">
        <v>9</v>
      </c>
      <c r="F1293" s="14" t="s">
        <v>517</v>
      </c>
      <c r="G1293" s="14" t="s">
        <v>518</v>
      </c>
      <c r="H1293" s="18" t="s">
        <v>5</v>
      </c>
      <c r="I1293" s="14" t="s">
        <v>117</v>
      </c>
      <c r="J1293" s="14">
        <v>3</v>
      </c>
      <c r="K1293" s="14" t="s">
        <v>646</v>
      </c>
      <c r="L1293" s="14"/>
      <c r="M1293" s="14">
        <v>1</v>
      </c>
      <c r="N1293" s="15">
        <v>180000</v>
      </c>
      <c r="O1293" s="15">
        <f t="shared" si="47"/>
        <v>180000</v>
      </c>
      <c r="P1293" s="15"/>
      <c r="Q1293" s="14" t="s">
        <v>520</v>
      </c>
      <c r="R1293" s="25">
        <v>45473</v>
      </c>
      <c r="S1293" s="22" t="str">
        <f>TEXT(Table1[[#This Row],[End Date]],"MMMM")</f>
        <v>June</v>
      </c>
      <c r="T1293" s="23" t="str">
        <f>TEXT(Table1[[#This Row],[End Date]],"YYYY")</f>
        <v>2024</v>
      </c>
      <c r="U1293" s="24">
        <f t="shared" ca="1" si="48"/>
        <v>-340</v>
      </c>
      <c r="V1293" s="14" t="str" cm="1">
        <f t="array" aca="1" ref="V1293" ca="1">_xlfn.IFS(Table1[[#This Row],[Agreement Days]]&gt;=0,"Expired",Table1[[#This Row],[Agreement Days]]&gt;=-30,"Expires &lt; 30 Days",Table1[[#This Row],[Agreement Days]]&gt;=-60,"Expires &lt; 60 Days",Table1[[#This Row],[Agreement Days]]&lt;-60,"Valid Contract")</f>
        <v>Valid Contract</v>
      </c>
      <c r="W1293" s="14" t="s">
        <v>20</v>
      </c>
      <c r="X1293" s="26" t="s">
        <v>1473</v>
      </c>
      <c r="Y1293" s="16" t="s">
        <v>1474</v>
      </c>
      <c r="Z1293" s="27" t="s">
        <v>1475</v>
      </c>
      <c r="AA1293" s="19"/>
      <c r="AB1293" s="116"/>
      <c r="AC1293" s="116"/>
    </row>
    <row r="1294" spans="1:29" hidden="1" x14ac:dyDescent="0.3">
      <c r="A1294" s="18" t="s">
        <v>1471</v>
      </c>
      <c r="B1294" s="18" t="s">
        <v>160</v>
      </c>
      <c r="C1294" s="18" t="s">
        <v>2516</v>
      </c>
      <c r="D1294" s="14" t="s">
        <v>875</v>
      </c>
      <c r="E1294" s="18" t="s">
        <v>9</v>
      </c>
      <c r="F1294" s="14" t="s">
        <v>517</v>
      </c>
      <c r="G1294" s="14" t="s">
        <v>518</v>
      </c>
      <c r="H1294" s="18" t="s">
        <v>5</v>
      </c>
      <c r="I1294" s="14" t="s">
        <v>117</v>
      </c>
      <c r="J1294" s="14">
        <v>3</v>
      </c>
      <c r="K1294" s="14" t="s">
        <v>646</v>
      </c>
      <c r="L1294" s="14"/>
      <c r="M1294" s="14">
        <v>1</v>
      </c>
      <c r="N1294" s="15">
        <v>180000</v>
      </c>
      <c r="O1294" s="15">
        <f t="shared" ref="O1294:O1357" si="49">N1294*M1294</f>
        <v>180000</v>
      </c>
      <c r="P1294" s="15"/>
      <c r="Q1294" s="14" t="s">
        <v>520</v>
      </c>
      <c r="R1294" s="25">
        <v>45473</v>
      </c>
      <c r="S1294" s="22" t="str">
        <f>TEXT(Table1[[#This Row],[End Date]],"MMMM")</f>
        <v>June</v>
      </c>
      <c r="T1294" s="23" t="str">
        <f>TEXT(Table1[[#This Row],[End Date]],"YYYY")</f>
        <v>2024</v>
      </c>
      <c r="U1294" s="24">
        <f t="shared" ca="1" si="48"/>
        <v>-340</v>
      </c>
      <c r="V1294" s="14" t="str" cm="1">
        <f t="array" aca="1" ref="V1294" ca="1">_xlfn.IFS(Table1[[#This Row],[Agreement Days]]&gt;=0,"Expired",Table1[[#This Row],[Agreement Days]]&gt;=-30,"Expires &lt; 30 Days",Table1[[#This Row],[Agreement Days]]&gt;=-60,"Expires &lt; 60 Days",Table1[[#This Row],[Agreement Days]]&lt;-60,"Valid Contract")</f>
        <v>Valid Contract</v>
      </c>
      <c r="W1294" s="14" t="s">
        <v>20</v>
      </c>
      <c r="X1294" s="26" t="s">
        <v>1473</v>
      </c>
      <c r="Y1294" s="16" t="s">
        <v>1474</v>
      </c>
      <c r="Z1294" s="27" t="s">
        <v>1475</v>
      </c>
      <c r="AA1294" s="19"/>
      <c r="AB1294" s="116"/>
      <c r="AC1294" s="116"/>
    </row>
    <row r="1295" spans="1:29" hidden="1" x14ac:dyDescent="0.3">
      <c r="A1295" s="18" t="s">
        <v>1471</v>
      </c>
      <c r="B1295" s="18" t="s">
        <v>160</v>
      </c>
      <c r="C1295" s="18" t="s">
        <v>2517</v>
      </c>
      <c r="D1295" s="14" t="s">
        <v>946</v>
      </c>
      <c r="E1295" s="18" t="s">
        <v>9</v>
      </c>
      <c r="F1295" s="14" t="s">
        <v>517</v>
      </c>
      <c r="G1295" s="14" t="s">
        <v>518</v>
      </c>
      <c r="H1295" s="18" t="s">
        <v>5</v>
      </c>
      <c r="I1295" s="14" t="s">
        <v>117</v>
      </c>
      <c r="J1295" s="14">
        <v>3</v>
      </c>
      <c r="K1295" s="14" t="s">
        <v>646</v>
      </c>
      <c r="L1295" s="14"/>
      <c r="M1295" s="14">
        <v>1</v>
      </c>
      <c r="N1295" s="15">
        <v>180000</v>
      </c>
      <c r="O1295" s="15">
        <f t="shared" si="49"/>
        <v>180000</v>
      </c>
      <c r="P1295" s="15"/>
      <c r="Q1295" s="14" t="s">
        <v>520</v>
      </c>
      <c r="R1295" s="25">
        <v>45473</v>
      </c>
      <c r="S1295" s="22" t="str">
        <f>TEXT(Table1[[#This Row],[End Date]],"MMMM")</f>
        <v>June</v>
      </c>
      <c r="T1295" s="23" t="str">
        <f>TEXT(Table1[[#This Row],[End Date]],"YYYY")</f>
        <v>2024</v>
      </c>
      <c r="U1295" s="24">
        <f t="shared" ca="1" si="48"/>
        <v>-340</v>
      </c>
      <c r="V1295" s="14" t="str" cm="1">
        <f t="array" aca="1" ref="V1295" ca="1">_xlfn.IFS(Table1[[#This Row],[Agreement Days]]&gt;=0,"Expired",Table1[[#This Row],[Agreement Days]]&gt;=-30,"Expires &lt; 30 Days",Table1[[#This Row],[Agreement Days]]&gt;=-60,"Expires &lt; 60 Days",Table1[[#This Row],[Agreement Days]]&lt;-60,"Valid Contract")</f>
        <v>Valid Contract</v>
      </c>
      <c r="W1295" s="14" t="s">
        <v>20</v>
      </c>
      <c r="X1295" s="26" t="s">
        <v>1473</v>
      </c>
      <c r="Y1295" s="16" t="s">
        <v>1474</v>
      </c>
      <c r="Z1295" s="27" t="s">
        <v>1475</v>
      </c>
      <c r="AA1295" s="19"/>
      <c r="AB1295" s="116"/>
      <c r="AC1295" s="116"/>
    </row>
    <row r="1296" spans="1:29" hidden="1" x14ac:dyDescent="0.3">
      <c r="A1296" s="18" t="s">
        <v>1471</v>
      </c>
      <c r="B1296" s="18" t="s">
        <v>160</v>
      </c>
      <c r="C1296" s="18" t="s">
        <v>2518</v>
      </c>
      <c r="D1296" s="14" t="s">
        <v>662</v>
      </c>
      <c r="E1296" s="18" t="s">
        <v>9</v>
      </c>
      <c r="F1296" s="14" t="s">
        <v>517</v>
      </c>
      <c r="G1296" s="14" t="s">
        <v>518</v>
      </c>
      <c r="H1296" s="18" t="s">
        <v>5</v>
      </c>
      <c r="I1296" s="14" t="s">
        <v>117</v>
      </c>
      <c r="J1296" s="14">
        <v>3</v>
      </c>
      <c r="K1296" s="14" t="s">
        <v>646</v>
      </c>
      <c r="L1296" s="14"/>
      <c r="M1296" s="14">
        <v>1</v>
      </c>
      <c r="N1296" s="15">
        <v>180000</v>
      </c>
      <c r="O1296" s="15">
        <f t="shared" si="49"/>
        <v>180000</v>
      </c>
      <c r="P1296" s="15"/>
      <c r="Q1296" s="14" t="s">
        <v>520</v>
      </c>
      <c r="R1296" s="25">
        <v>45473</v>
      </c>
      <c r="S1296" s="22" t="str">
        <f>TEXT(Table1[[#This Row],[End Date]],"MMMM")</f>
        <v>June</v>
      </c>
      <c r="T1296" s="23" t="str">
        <f>TEXT(Table1[[#This Row],[End Date]],"YYYY")</f>
        <v>2024</v>
      </c>
      <c r="U1296" s="24">
        <f t="shared" ca="1" si="48"/>
        <v>-340</v>
      </c>
      <c r="V1296" s="14" t="str" cm="1">
        <f t="array" aca="1" ref="V1296" ca="1">_xlfn.IFS(Table1[[#This Row],[Agreement Days]]&gt;=0,"Expired",Table1[[#This Row],[Agreement Days]]&gt;=-30,"Expires &lt; 30 Days",Table1[[#This Row],[Agreement Days]]&gt;=-60,"Expires &lt; 60 Days",Table1[[#This Row],[Agreement Days]]&lt;-60,"Valid Contract")</f>
        <v>Valid Contract</v>
      </c>
      <c r="W1296" s="14" t="s">
        <v>20</v>
      </c>
      <c r="X1296" s="26" t="s">
        <v>1473</v>
      </c>
      <c r="Y1296" s="16" t="s">
        <v>1474</v>
      </c>
      <c r="Z1296" s="27" t="s">
        <v>1475</v>
      </c>
      <c r="AA1296" s="19"/>
      <c r="AB1296" s="116"/>
      <c r="AC1296" s="116"/>
    </row>
    <row r="1297" spans="1:29" hidden="1" x14ac:dyDescent="0.3">
      <c r="A1297" s="18" t="s">
        <v>1471</v>
      </c>
      <c r="B1297" s="18" t="s">
        <v>160</v>
      </c>
      <c r="C1297" s="18" t="s">
        <v>2519</v>
      </c>
      <c r="D1297" s="14" t="s">
        <v>616</v>
      </c>
      <c r="E1297" s="18" t="s">
        <v>9</v>
      </c>
      <c r="F1297" s="14" t="s">
        <v>517</v>
      </c>
      <c r="G1297" s="14" t="s">
        <v>518</v>
      </c>
      <c r="H1297" s="18" t="s">
        <v>5</v>
      </c>
      <c r="I1297" s="14" t="s">
        <v>117</v>
      </c>
      <c r="J1297" s="14">
        <v>5</v>
      </c>
      <c r="K1297" s="14" t="s">
        <v>519</v>
      </c>
      <c r="L1297" s="14"/>
      <c r="M1297" s="14">
        <v>1</v>
      </c>
      <c r="N1297" s="15">
        <v>270000</v>
      </c>
      <c r="O1297" s="15">
        <f t="shared" si="49"/>
        <v>270000</v>
      </c>
      <c r="P1297" s="15"/>
      <c r="Q1297" s="14" t="s">
        <v>520</v>
      </c>
      <c r="R1297" s="25">
        <v>45473</v>
      </c>
      <c r="S1297" s="22" t="str">
        <f>TEXT(Table1[[#This Row],[End Date]],"MMMM")</f>
        <v>June</v>
      </c>
      <c r="T1297" s="23" t="str">
        <f>TEXT(Table1[[#This Row],[End Date]],"YYYY")</f>
        <v>2024</v>
      </c>
      <c r="U1297" s="24">
        <f t="shared" ca="1" si="48"/>
        <v>-340</v>
      </c>
      <c r="V1297" s="14" t="str" cm="1">
        <f t="array" aca="1" ref="V1297" ca="1">_xlfn.IFS(Table1[[#This Row],[Agreement Days]]&gt;=0,"Expired",Table1[[#This Row],[Agreement Days]]&gt;=-30,"Expires &lt; 30 Days",Table1[[#This Row],[Agreement Days]]&gt;=-60,"Expires &lt; 60 Days",Table1[[#This Row],[Agreement Days]]&lt;-60,"Valid Contract")</f>
        <v>Valid Contract</v>
      </c>
      <c r="W1297" s="14" t="s">
        <v>20</v>
      </c>
      <c r="X1297" s="26" t="s">
        <v>1473</v>
      </c>
      <c r="Y1297" s="16" t="s">
        <v>1474</v>
      </c>
      <c r="Z1297" s="27" t="s">
        <v>1475</v>
      </c>
      <c r="AA1297" s="19"/>
      <c r="AB1297" s="116"/>
      <c r="AC1297" s="116"/>
    </row>
    <row r="1298" spans="1:29" hidden="1" x14ac:dyDescent="0.3">
      <c r="A1298" s="18" t="s">
        <v>1471</v>
      </c>
      <c r="B1298" s="18" t="s">
        <v>160</v>
      </c>
      <c r="C1298" s="18" t="s">
        <v>2520</v>
      </c>
      <c r="D1298" s="14" t="s">
        <v>619</v>
      </c>
      <c r="E1298" s="18" t="s">
        <v>9</v>
      </c>
      <c r="F1298" s="14" t="s">
        <v>517</v>
      </c>
      <c r="G1298" s="14" t="s">
        <v>518</v>
      </c>
      <c r="H1298" s="18" t="s">
        <v>5</v>
      </c>
      <c r="I1298" s="14" t="s">
        <v>117</v>
      </c>
      <c r="J1298" s="14">
        <v>5</v>
      </c>
      <c r="K1298" s="14" t="s">
        <v>519</v>
      </c>
      <c r="L1298" s="14"/>
      <c r="M1298" s="14">
        <v>1</v>
      </c>
      <c r="N1298" s="15">
        <v>270000</v>
      </c>
      <c r="O1298" s="15">
        <f t="shared" si="49"/>
        <v>270000</v>
      </c>
      <c r="P1298" s="15"/>
      <c r="Q1298" s="14" t="s">
        <v>520</v>
      </c>
      <c r="R1298" s="25">
        <v>45473</v>
      </c>
      <c r="S1298" s="22" t="str">
        <f>TEXT(Table1[[#This Row],[End Date]],"MMMM")</f>
        <v>June</v>
      </c>
      <c r="T1298" s="23" t="str">
        <f>TEXT(Table1[[#This Row],[End Date]],"YYYY")</f>
        <v>2024</v>
      </c>
      <c r="U1298" s="24">
        <f t="shared" ca="1" si="48"/>
        <v>-340</v>
      </c>
      <c r="V1298" s="14" t="str" cm="1">
        <f t="array" aca="1" ref="V1298" ca="1">_xlfn.IFS(Table1[[#This Row],[Agreement Days]]&gt;=0,"Expired",Table1[[#This Row],[Agreement Days]]&gt;=-30,"Expires &lt; 30 Days",Table1[[#This Row],[Agreement Days]]&gt;=-60,"Expires &lt; 60 Days",Table1[[#This Row],[Agreement Days]]&lt;-60,"Valid Contract")</f>
        <v>Valid Contract</v>
      </c>
      <c r="W1298" s="14" t="s">
        <v>20</v>
      </c>
      <c r="X1298" s="26" t="s">
        <v>1473</v>
      </c>
      <c r="Y1298" s="16" t="s">
        <v>1474</v>
      </c>
      <c r="Z1298" s="27" t="s">
        <v>1475</v>
      </c>
      <c r="AA1298" s="19"/>
      <c r="AB1298" s="116"/>
      <c r="AC1298" s="116"/>
    </row>
    <row r="1299" spans="1:29" hidden="1" x14ac:dyDescent="0.3">
      <c r="A1299" s="18" t="s">
        <v>1471</v>
      </c>
      <c r="B1299" s="18" t="s">
        <v>160</v>
      </c>
      <c r="C1299" s="18" t="s">
        <v>2521</v>
      </c>
      <c r="D1299" s="14" t="s">
        <v>516</v>
      </c>
      <c r="E1299" s="18" t="s">
        <v>9</v>
      </c>
      <c r="F1299" s="14" t="s">
        <v>517</v>
      </c>
      <c r="G1299" s="14" t="s">
        <v>518</v>
      </c>
      <c r="H1299" s="18" t="s">
        <v>5</v>
      </c>
      <c r="I1299" s="14" t="s">
        <v>117</v>
      </c>
      <c r="J1299" s="14">
        <v>5</v>
      </c>
      <c r="K1299" s="14" t="s">
        <v>519</v>
      </c>
      <c r="L1299" s="14"/>
      <c r="M1299" s="14">
        <v>1</v>
      </c>
      <c r="N1299" s="15">
        <v>270000</v>
      </c>
      <c r="O1299" s="15">
        <f t="shared" si="49"/>
        <v>270000</v>
      </c>
      <c r="P1299" s="15"/>
      <c r="Q1299" s="14" t="s">
        <v>520</v>
      </c>
      <c r="R1299" s="25">
        <v>45473</v>
      </c>
      <c r="S1299" s="22" t="str">
        <f>TEXT(Table1[[#This Row],[End Date]],"MMMM")</f>
        <v>June</v>
      </c>
      <c r="T1299" s="23" t="str">
        <f>TEXT(Table1[[#This Row],[End Date]],"YYYY")</f>
        <v>2024</v>
      </c>
      <c r="U1299" s="24">
        <f t="shared" ca="1" si="48"/>
        <v>-340</v>
      </c>
      <c r="V1299" s="14" t="str" cm="1">
        <f t="array" aca="1" ref="V1299" ca="1">_xlfn.IFS(Table1[[#This Row],[Agreement Days]]&gt;=0,"Expired",Table1[[#This Row],[Agreement Days]]&gt;=-30,"Expires &lt; 30 Days",Table1[[#This Row],[Agreement Days]]&gt;=-60,"Expires &lt; 60 Days",Table1[[#This Row],[Agreement Days]]&lt;-60,"Valid Contract")</f>
        <v>Valid Contract</v>
      </c>
      <c r="W1299" s="14" t="s">
        <v>20</v>
      </c>
      <c r="X1299" s="26" t="s">
        <v>1473</v>
      </c>
      <c r="Y1299" s="16" t="s">
        <v>1474</v>
      </c>
      <c r="Z1299" s="27" t="s">
        <v>1475</v>
      </c>
      <c r="AA1299" s="19"/>
      <c r="AB1299" s="116"/>
      <c r="AC1299" s="116"/>
    </row>
    <row r="1300" spans="1:29" hidden="1" x14ac:dyDescent="0.3">
      <c r="A1300" s="18" t="s">
        <v>1471</v>
      </c>
      <c r="B1300" s="18" t="s">
        <v>160</v>
      </c>
      <c r="C1300" s="18" t="s">
        <v>2522</v>
      </c>
      <c r="D1300" s="14" t="s">
        <v>540</v>
      </c>
      <c r="E1300" s="18" t="s">
        <v>9</v>
      </c>
      <c r="F1300" s="14" t="s">
        <v>517</v>
      </c>
      <c r="G1300" s="14" t="s">
        <v>518</v>
      </c>
      <c r="H1300" s="18" t="s">
        <v>5</v>
      </c>
      <c r="I1300" s="14" t="s">
        <v>117</v>
      </c>
      <c r="J1300" s="14">
        <v>10</v>
      </c>
      <c r="K1300" s="14" t="s">
        <v>547</v>
      </c>
      <c r="L1300" s="14"/>
      <c r="M1300" s="14">
        <v>1</v>
      </c>
      <c r="N1300" s="15">
        <v>510000</v>
      </c>
      <c r="O1300" s="15">
        <f t="shared" si="49"/>
        <v>510000</v>
      </c>
      <c r="P1300" s="15"/>
      <c r="Q1300" s="14" t="s">
        <v>520</v>
      </c>
      <c r="R1300" s="25">
        <v>45473</v>
      </c>
      <c r="S1300" s="22" t="str">
        <f>TEXT(Table1[[#This Row],[End Date]],"MMMM")</f>
        <v>June</v>
      </c>
      <c r="T1300" s="23" t="str">
        <f>TEXT(Table1[[#This Row],[End Date]],"YYYY")</f>
        <v>2024</v>
      </c>
      <c r="U1300" s="24">
        <f t="shared" ca="1" si="48"/>
        <v>-340</v>
      </c>
      <c r="V1300" s="14" t="str" cm="1">
        <f t="array" aca="1" ref="V1300" ca="1">_xlfn.IFS(Table1[[#This Row],[Agreement Days]]&gt;=0,"Expired",Table1[[#This Row],[Agreement Days]]&gt;=-30,"Expires &lt; 30 Days",Table1[[#This Row],[Agreement Days]]&gt;=-60,"Expires &lt; 60 Days",Table1[[#This Row],[Agreement Days]]&lt;-60,"Valid Contract")</f>
        <v>Valid Contract</v>
      </c>
      <c r="W1300" s="14" t="s">
        <v>20</v>
      </c>
      <c r="X1300" s="26" t="s">
        <v>1473</v>
      </c>
      <c r="Y1300" s="16" t="s">
        <v>1474</v>
      </c>
      <c r="Z1300" s="27" t="s">
        <v>1475</v>
      </c>
      <c r="AA1300" s="19"/>
      <c r="AB1300" s="116"/>
      <c r="AC1300" s="116"/>
    </row>
    <row r="1301" spans="1:29" hidden="1" x14ac:dyDescent="0.3">
      <c r="A1301" s="18" t="s">
        <v>1471</v>
      </c>
      <c r="B1301" s="18" t="s">
        <v>160</v>
      </c>
      <c r="C1301" s="18" t="s">
        <v>2523</v>
      </c>
      <c r="D1301" s="14" t="s">
        <v>735</v>
      </c>
      <c r="E1301" s="18" t="s">
        <v>9</v>
      </c>
      <c r="F1301" s="14" t="s">
        <v>517</v>
      </c>
      <c r="G1301" s="14" t="s">
        <v>518</v>
      </c>
      <c r="H1301" s="18" t="s">
        <v>5</v>
      </c>
      <c r="I1301" s="14" t="s">
        <v>117</v>
      </c>
      <c r="J1301" s="14">
        <v>10</v>
      </c>
      <c r="K1301" s="14" t="s">
        <v>547</v>
      </c>
      <c r="L1301" s="14"/>
      <c r="M1301" s="14">
        <v>1</v>
      </c>
      <c r="N1301" s="15">
        <v>510000</v>
      </c>
      <c r="O1301" s="15">
        <f t="shared" si="49"/>
        <v>510000</v>
      </c>
      <c r="P1301" s="15"/>
      <c r="Q1301" s="14" t="s">
        <v>520</v>
      </c>
      <c r="R1301" s="25">
        <v>45473</v>
      </c>
      <c r="S1301" s="22" t="str">
        <f>TEXT(Table1[[#This Row],[End Date]],"MMMM")</f>
        <v>June</v>
      </c>
      <c r="T1301" s="23" t="str">
        <f>TEXT(Table1[[#This Row],[End Date]],"YYYY")</f>
        <v>2024</v>
      </c>
      <c r="U1301" s="24">
        <f t="shared" ca="1" si="48"/>
        <v>-340</v>
      </c>
      <c r="V1301" s="14" t="str" cm="1">
        <f t="array" aca="1" ref="V1301" ca="1">_xlfn.IFS(Table1[[#This Row],[Agreement Days]]&gt;=0,"Expired",Table1[[#This Row],[Agreement Days]]&gt;=-30,"Expires &lt; 30 Days",Table1[[#This Row],[Agreement Days]]&gt;=-60,"Expires &lt; 60 Days",Table1[[#This Row],[Agreement Days]]&lt;-60,"Valid Contract")</f>
        <v>Valid Contract</v>
      </c>
      <c r="W1301" s="14" t="s">
        <v>20</v>
      </c>
      <c r="X1301" s="26" t="s">
        <v>1473</v>
      </c>
      <c r="Y1301" s="16" t="s">
        <v>1474</v>
      </c>
      <c r="Z1301" s="27" t="s">
        <v>1475</v>
      </c>
      <c r="AA1301" s="19"/>
      <c r="AB1301" s="116"/>
      <c r="AC1301" s="116"/>
    </row>
    <row r="1302" spans="1:29" hidden="1" x14ac:dyDescent="0.3">
      <c r="A1302" s="18" t="s">
        <v>1471</v>
      </c>
      <c r="B1302" s="18" t="s">
        <v>160</v>
      </c>
      <c r="C1302" s="18" t="s">
        <v>2524</v>
      </c>
      <c r="D1302" s="14" t="s">
        <v>808</v>
      </c>
      <c r="E1302" s="18" t="s">
        <v>9</v>
      </c>
      <c r="F1302" s="14" t="s">
        <v>517</v>
      </c>
      <c r="G1302" s="14" t="s">
        <v>518</v>
      </c>
      <c r="H1302" s="18" t="s">
        <v>5</v>
      </c>
      <c r="I1302" s="14" t="s">
        <v>117</v>
      </c>
      <c r="J1302" s="14">
        <v>15</v>
      </c>
      <c r="K1302" s="14" t="s">
        <v>899</v>
      </c>
      <c r="L1302" s="14"/>
      <c r="M1302" s="14">
        <v>1</v>
      </c>
      <c r="N1302" s="15">
        <v>720000</v>
      </c>
      <c r="O1302" s="15">
        <f t="shared" si="49"/>
        <v>720000</v>
      </c>
      <c r="P1302" s="15"/>
      <c r="Q1302" s="14" t="s">
        <v>520</v>
      </c>
      <c r="R1302" s="25">
        <v>45473</v>
      </c>
      <c r="S1302" s="22" t="str">
        <f>TEXT(Table1[[#This Row],[End Date]],"MMMM")</f>
        <v>June</v>
      </c>
      <c r="T1302" s="23" t="str">
        <f>TEXT(Table1[[#This Row],[End Date]],"YYYY")</f>
        <v>2024</v>
      </c>
      <c r="U1302" s="24">
        <f t="shared" ca="1" si="48"/>
        <v>-340</v>
      </c>
      <c r="V1302" s="14" t="str" cm="1">
        <f t="array" aca="1" ref="V1302" ca="1">_xlfn.IFS(Table1[[#This Row],[Agreement Days]]&gt;=0,"Expired",Table1[[#This Row],[Agreement Days]]&gt;=-30,"Expires &lt; 30 Days",Table1[[#This Row],[Agreement Days]]&gt;=-60,"Expires &lt; 60 Days",Table1[[#This Row],[Agreement Days]]&lt;-60,"Valid Contract")</f>
        <v>Valid Contract</v>
      </c>
      <c r="W1302" s="14" t="s">
        <v>20</v>
      </c>
      <c r="X1302" s="26" t="s">
        <v>1473</v>
      </c>
      <c r="Y1302" s="16" t="s">
        <v>1474</v>
      </c>
      <c r="Z1302" s="27" t="s">
        <v>1475</v>
      </c>
      <c r="AA1302" s="19"/>
      <c r="AB1302" s="116"/>
      <c r="AC1302" s="116"/>
    </row>
    <row r="1303" spans="1:29" hidden="1" x14ac:dyDescent="0.3">
      <c r="A1303" s="18" t="s">
        <v>2525</v>
      </c>
      <c r="B1303" s="18" t="s">
        <v>371</v>
      </c>
      <c r="C1303" s="18" t="s">
        <v>2526</v>
      </c>
      <c r="D1303" s="14" t="s">
        <v>735</v>
      </c>
      <c r="E1303" s="18" t="s">
        <v>9</v>
      </c>
      <c r="F1303" s="14" t="s">
        <v>517</v>
      </c>
      <c r="G1303" s="14" t="s">
        <v>518</v>
      </c>
      <c r="H1303" s="18" t="s">
        <v>5</v>
      </c>
      <c r="I1303" s="14" t="s">
        <v>117</v>
      </c>
      <c r="J1303" s="14">
        <v>1</v>
      </c>
      <c r="K1303" s="14" t="s">
        <v>864</v>
      </c>
      <c r="L1303" s="14"/>
      <c r="M1303" s="14">
        <v>1</v>
      </c>
      <c r="N1303" s="15">
        <v>90000</v>
      </c>
      <c r="O1303" s="15">
        <f t="shared" si="49"/>
        <v>90000</v>
      </c>
      <c r="P1303" s="15"/>
      <c r="Q1303" s="14" t="s">
        <v>520</v>
      </c>
      <c r="R1303" s="25">
        <v>45473</v>
      </c>
      <c r="S1303" s="22" t="str">
        <f>TEXT(Table1[[#This Row],[End Date]],"MMMM")</f>
        <v>June</v>
      </c>
      <c r="T1303" s="23" t="str">
        <f>TEXT(Table1[[#This Row],[End Date]],"YYYY")</f>
        <v>2024</v>
      </c>
      <c r="U1303" s="24">
        <f t="shared" ca="1" si="48"/>
        <v>-340</v>
      </c>
      <c r="V1303" s="14" t="str" cm="1">
        <f t="array" aca="1" ref="V1303" ca="1">_xlfn.IFS(Table1[[#This Row],[Agreement Days]]&gt;=0,"Expired",Table1[[#This Row],[Agreement Days]]&gt;=-30,"Expires &lt; 30 Days",Table1[[#This Row],[Agreement Days]]&gt;=-60,"Expires &lt; 60 Days",Table1[[#This Row],[Agreement Days]]&lt;-60,"Valid Contract")</f>
        <v>Valid Contract</v>
      </c>
      <c r="W1303" s="14" t="s">
        <v>19</v>
      </c>
      <c r="X1303" s="14" t="s">
        <v>2527</v>
      </c>
      <c r="Y1303" s="43" t="s">
        <v>2528</v>
      </c>
      <c r="Z1303" s="27">
        <v>788510870</v>
      </c>
      <c r="AA1303" s="17"/>
      <c r="AB1303" s="116"/>
      <c r="AC1303" s="116"/>
    </row>
    <row r="1304" spans="1:29" hidden="1" x14ac:dyDescent="0.3">
      <c r="A1304" s="18" t="s">
        <v>2525</v>
      </c>
      <c r="B1304" s="18" t="s">
        <v>371</v>
      </c>
      <c r="C1304" s="18" t="s">
        <v>2529</v>
      </c>
      <c r="D1304" s="14" t="s">
        <v>653</v>
      </c>
      <c r="E1304" s="18" t="s">
        <v>9</v>
      </c>
      <c r="F1304" s="14" t="s">
        <v>517</v>
      </c>
      <c r="G1304" s="14" t="s">
        <v>518</v>
      </c>
      <c r="H1304" s="18" t="s">
        <v>2</v>
      </c>
      <c r="I1304" s="14" t="s">
        <v>117</v>
      </c>
      <c r="J1304" s="14">
        <v>3</v>
      </c>
      <c r="K1304" s="14" t="s">
        <v>1277</v>
      </c>
      <c r="L1304" s="14"/>
      <c r="M1304" s="14">
        <v>1</v>
      </c>
      <c r="N1304" s="15">
        <v>180000</v>
      </c>
      <c r="O1304" s="15">
        <f t="shared" si="49"/>
        <v>180000</v>
      </c>
      <c r="P1304" s="15"/>
      <c r="Q1304" s="14" t="s">
        <v>520</v>
      </c>
      <c r="R1304" s="25">
        <v>45473</v>
      </c>
      <c r="S1304" s="22" t="str">
        <f>TEXT(Table1[[#This Row],[End Date]],"MMMM")</f>
        <v>June</v>
      </c>
      <c r="T1304" s="23" t="str">
        <f>TEXT(Table1[[#This Row],[End Date]],"YYYY")</f>
        <v>2024</v>
      </c>
      <c r="U1304" s="24">
        <f t="shared" ca="1" si="48"/>
        <v>-340</v>
      </c>
      <c r="V1304" s="14" t="str" cm="1">
        <f t="array" aca="1" ref="V1304" ca="1">_xlfn.IFS(Table1[[#This Row],[Agreement Days]]&gt;=0,"Expired",Table1[[#This Row],[Agreement Days]]&gt;=-30,"Expires &lt; 30 Days",Table1[[#This Row],[Agreement Days]]&gt;=-60,"Expires &lt; 60 Days",Table1[[#This Row],[Agreement Days]]&lt;-60,"Valid Contract")</f>
        <v>Valid Contract</v>
      </c>
      <c r="W1304" s="14" t="s">
        <v>19</v>
      </c>
      <c r="X1304" s="14" t="s">
        <v>2527</v>
      </c>
      <c r="Y1304" s="43" t="s">
        <v>2528</v>
      </c>
      <c r="Z1304" s="27">
        <v>788510870</v>
      </c>
      <c r="AA1304" s="17"/>
      <c r="AB1304" s="116"/>
      <c r="AC1304" s="116"/>
    </row>
    <row r="1305" spans="1:29" hidden="1" x14ac:dyDescent="0.3">
      <c r="A1305" s="18" t="s">
        <v>2530</v>
      </c>
      <c r="B1305" s="18" t="s">
        <v>453</v>
      </c>
      <c r="C1305" s="18" t="s">
        <v>544</v>
      </c>
      <c r="D1305" s="14" t="s">
        <v>545</v>
      </c>
      <c r="E1305" s="18" t="s">
        <v>9</v>
      </c>
      <c r="F1305" s="14" t="s">
        <v>560</v>
      </c>
      <c r="G1305" s="14" t="s">
        <v>518</v>
      </c>
      <c r="H1305" s="18" t="s">
        <v>5</v>
      </c>
      <c r="I1305" s="14" t="s">
        <v>115</v>
      </c>
      <c r="J1305" s="18"/>
      <c r="K1305" s="18" t="s">
        <v>651</v>
      </c>
      <c r="L1305" s="18"/>
      <c r="M1305" s="14">
        <v>1</v>
      </c>
      <c r="N1305" s="15">
        <f>96000/1.18</f>
        <v>81355.932203389835</v>
      </c>
      <c r="O1305" s="15">
        <f t="shared" si="49"/>
        <v>81355.932203389835</v>
      </c>
      <c r="P1305" s="15"/>
      <c r="Q1305" s="14" t="s">
        <v>520</v>
      </c>
      <c r="R1305" s="25">
        <v>45473</v>
      </c>
      <c r="S1305" s="34" t="str">
        <f>TEXT(Table1[[#This Row],[End Date]],"MMMM")</f>
        <v>June</v>
      </c>
      <c r="T1305" s="34" t="str">
        <f>TEXT(Table1[[#This Row],[End Date]],"YYYY")</f>
        <v>2024</v>
      </c>
      <c r="U1305" s="24">
        <f t="shared" ca="1" si="48"/>
        <v>-340</v>
      </c>
      <c r="V1305" s="14" t="str" cm="1">
        <f t="array" aca="1" ref="V1305" ca="1">_xlfn.IFS(Table1[[#This Row],[Agreement Days]]&gt;=0,"Expired",Table1[[#This Row],[Agreement Days]]&gt;=-30,"Expires &lt; 30 Days",Table1[[#This Row],[Agreement Days]]&gt;=-60,"Expires &lt; 60 Days",Table1[[#This Row],[Agreement Days]]&lt;-60,"Valid Contract")</f>
        <v>Valid Contract</v>
      </c>
      <c r="W1305" s="18" t="s">
        <v>14</v>
      </c>
      <c r="X1305" s="18" t="s">
        <v>2531</v>
      </c>
      <c r="Y1305" s="18" t="s">
        <v>2532</v>
      </c>
      <c r="Z1305" s="27" t="s">
        <v>2533</v>
      </c>
      <c r="AA1305" s="27"/>
      <c r="AB1305" s="116"/>
      <c r="AC1305" s="116"/>
    </row>
    <row r="1306" spans="1:29" x14ac:dyDescent="0.3">
      <c r="A1306" s="18" t="s">
        <v>2409</v>
      </c>
      <c r="B1306" s="18" t="s">
        <v>129</v>
      </c>
      <c r="C1306" s="18" t="s">
        <v>2534</v>
      </c>
      <c r="D1306" s="14" t="s">
        <v>545</v>
      </c>
      <c r="E1306" s="18" t="s">
        <v>10</v>
      </c>
      <c r="F1306" s="14" t="s">
        <v>527</v>
      </c>
      <c r="G1306" s="14" t="s">
        <v>546</v>
      </c>
      <c r="H1306" s="18" t="s">
        <v>3</v>
      </c>
      <c r="I1306" s="14" t="s">
        <v>116</v>
      </c>
      <c r="J1306" s="14"/>
      <c r="K1306" s="14" t="s">
        <v>533</v>
      </c>
      <c r="L1306" s="14">
        <v>135.4</v>
      </c>
      <c r="M1306" s="14">
        <v>1</v>
      </c>
      <c r="N1306" s="15">
        <v>3385000</v>
      </c>
      <c r="O1306" s="15">
        <f t="shared" si="49"/>
        <v>3385000</v>
      </c>
      <c r="P1306" s="15"/>
      <c r="Q1306" s="14" t="s">
        <v>520</v>
      </c>
      <c r="R1306" s="25">
        <v>45473</v>
      </c>
      <c r="S1306" s="22" t="str">
        <f>TEXT(Table1[[#This Row],[End Date]],"MMMM")</f>
        <v>June</v>
      </c>
      <c r="T1306" s="23" t="str">
        <f>TEXT(Table1[[#This Row],[End Date]],"YYYY")</f>
        <v>2024</v>
      </c>
      <c r="U1306" s="24">
        <f t="shared" ca="1" si="48"/>
        <v>-340</v>
      </c>
      <c r="V1306" s="14" t="str" cm="1">
        <f t="array" aca="1" ref="V1306" ca="1">_xlfn.IFS(Table1[[#This Row],[Agreement Days]]&gt;=0,"Expired",Table1[[#This Row],[Agreement Days]]&gt;=-30,"Expires &lt; 30 Days",Table1[[#This Row],[Agreement Days]]&gt;=-60,"Expires &lt; 60 Days",Table1[[#This Row],[Agreement Days]]&lt;-60,"Valid Contract")</f>
        <v>Valid Contract</v>
      </c>
      <c r="W1306" s="14" t="s">
        <v>12</v>
      </c>
      <c r="X1306" s="14" t="s">
        <v>2411</v>
      </c>
      <c r="Y1306" s="16" t="s">
        <v>2412</v>
      </c>
      <c r="Z1306" s="27" t="s">
        <v>2413</v>
      </c>
      <c r="AA1306" s="17"/>
      <c r="AB1306" s="116"/>
      <c r="AC1306" s="116"/>
    </row>
    <row r="1307" spans="1:29" x14ac:dyDescent="0.3">
      <c r="A1307" s="18" t="s">
        <v>2409</v>
      </c>
      <c r="B1307" s="18" t="s">
        <v>129</v>
      </c>
      <c r="C1307" s="18" t="s">
        <v>2535</v>
      </c>
      <c r="D1307" s="14" t="s">
        <v>808</v>
      </c>
      <c r="E1307" s="18" t="s">
        <v>10</v>
      </c>
      <c r="F1307" s="14" t="s">
        <v>527</v>
      </c>
      <c r="G1307" s="14" t="s">
        <v>546</v>
      </c>
      <c r="H1307" s="18" t="s">
        <v>3</v>
      </c>
      <c r="I1307" s="14" t="s">
        <v>116</v>
      </c>
      <c r="J1307" s="14"/>
      <c r="K1307" s="14" t="s">
        <v>533</v>
      </c>
      <c r="L1307" s="14">
        <v>33.700000000000003</v>
      </c>
      <c r="M1307" s="14">
        <v>1</v>
      </c>
      <c r="N1307" s="15">
        <v>842500</v>
      </c>
      <c r="O1307" s="15">
        <f t="shared" si="49"/>
        <v>842500</v>
      </c>
      <c r="P1307" s="15"/>
      <c r="Q1307" s="14" t="s">
        <v>520</v>
      </c>
      <c r="R1307" s="25">
        <v>45473</v>
      </c>
      <c r="S1307" s="22" t="str">
        <f>TEXT(Table1[[#This Row],[End Date]],"MMMM")</f>
        <v>June</v>
      </c>
      <c r="T1307" s="23" t="str">
        <f>TEXT(Table1[[#This Row],[End Date]],"YYYY")</f>
        <v>2024</v>
      </c>
      <c r="U1307" s="24">
        <f t="shared" ca="1" si="48"/>
        <v>-340</v>
      </c>
      <c r="V1307" s="14" t="str" cm="1">
        <f t="array" aca="1" ref="V1307" ca="1">_xlfn.IFS(Table1[[#This Row],[Agreement Days]]&gt;=0,"Expired",Table1[[#This Row],[Agreement Days]]&gt;=-30,"Expires &lt; 30 Days",Table1[[#This Row],[Agreement Days]]&gt;=-60,"Expires &lt; 60 Days",Table1[[#This Row],[Agreement Days]]&lt;-60,"Valid Contract")</f>
        <v>Valid Contract</v>
      </c>
      <c r="W1307" s="14" t="s">
        <v>12</v>
      </c>
      <c r="X1307" s="14" t="s">
        <v>2411</v>
      </c>
      <c r="Y1307" s="16" t="s">
        <v>2412</v>
      </c>
      <c r="Z1307" s="27" t="s">
        <v>2413</v>
      </c>
      <c r="AA1307" s="17"/>
      <c r="AB1307" s="116"/>
      <c r="AC1307" s="116"/>
    </row>
    <row r="1308" spans="1:29" x14ac:dyDescent="0.3">
      <c r="A1308" s="18" t="s">
        <v>2409</v>
      </c>
      <c r="B1308" s="18" t="s">
        <v>129</v>
      </c>
      <c r="C1308" s="18" t="s">
        <v>2536</v>
      </c>
      <c r="D1308" s="14" t="s">
        <v>616</v>
      </c>
      <c r="E1308" s="18" t="s">
        <v>10</v>
      </c>
      <c r="F1308" s="14" t="s">
        <v>527</v>
      </c>
      <c r="G1308" s="14" t="s">
        <v>546</v>
      </c>
      <c r="H1308" s="18" t="s">
        <v>3</v>
      </c>
      <c r="I1308" s="14" t="s">
        <v>116</v>
      </c>
      <c r="J1308" s="14"/>
      <c r="K1308" s="14" t="s">
        <v>533</v>
      </c>
      <c r="L1308" s="14">
        <v>75.319999999999993</v>
      </c>
      <c r="M1308" s="14">
        <v>1</v>
      </c>
      <c r="N1308" s="15">
        <v>1882930</v>
      </c>
      <c r="O1308" s="15">
        <f t="shared" si="49"/>
        <v>1882930</v>
      </c>
      <c r="P1308" s="15"/>
      <c r="Q1308" s="14" t="s">
        <v>520</v>
      </c>
      <c r="R1308" s="25">
        <v>45473</v>
      </c>
      <c r="S1308" s="22" t="str">
        <f>TEXT(Table1[[#This Row],[End Date]],"MMMM")</f>
        <v>June</v>
      </c>
      <c r="T1308" s="23" t="str">
        <f>TEXT(Table1[[#This Row],[End Date]],"YYYY")</f>
        <v>2024</v>
      </c>
      <c r="U1308" s="24">
        <f t="shared" ca="1" si="48"/>
        <v>-340</v>
      </c>
      <c r="V1308" s="14" t="str" cm="1">
        <f t="array" aca="1" ref="V1308" ca="1">_xlfn.IFS(Table1[[#This Row],[Agreement Days]]&gt;=0,"Expired",Table1[[#This Row],[Agreement Days]]&gt;=-30,"Expires &lt; 30 Days",Table1[[#This Row],[Agreement Days]]&gt;=-60,"Expires &lt; 60 Days",Table1[[#This Row],[Agreement Days]]&lt;-60,"Valid Contract")</f>
        <v>Valid Contract</v>
      </c>
      <c r="W1308" s="14" t="s">
        <v>12</v>
      </c>
      <c r="X1308" s="14" t="s">
        <v>2411</v>
      </c>
      <c r="Y1308" s="16" t="s">
        <v>2412</v>
      </c>
      <c r="Z1308" s="27" t="s">
        <v>2413</v>
      </c>
      <c r="AA1308" s="17"/>
      <c r="AB1308" s="116"/>
      <c r="AC1308" s="116"/>
    </row>
    <row r="1309" spans="1:29" x14ac:dyDescent="0.3">
      <c r="A1309" s="18" t="s">
        <v>2409</v>
      </c>
      <c r="B1309" s="18" t="s">
        <v>129</v>
      </c>
      <c r="C1309" s="18" t="s">
        <v>2537</v>
      </c>
      <c r="D1309" s="14" t="s">
        <v>616</v>
      </c>
      <c r="E1309" s="18" t="s">
        <v>10</v>
      </c>
      <c r="F1309" s="14" t="s">
        <v>527</v>
      </c>
      <c r="G1309" s="14" t="s">
        <v>546</v>
      </c>
      <c r="H1309" s="18" t="s">
        <v>3</v>
      </c>
      <c r="I1309" s="14" t="s">
        <v>116</v>
      </c>
      <c r="J1309" s="14"/>
      <c r="K1309" s="14" t="s">
        <v>533</v>
      </c>
      <c r="L1309" s="14">
        <v>21</v>
      </c>
      <c r="M1309" s="14">
        <v>1</v>
      </c>
      <c r="N1309" s="15">
        <v>525000</v>
      </c>
      <c r="O1309" s="15">
        <f t="shared" si="49"/>
        <v>525000</v>
      </c>
      <c r="P1309" s="15"/>
      <c r="Q1309" s="14" t="s">
        <v>520</v>
      </c>
      <c r="R1309" s="25">
        <v>45473</v>
      </c>
      <c r="S1309" s="22" t="str">
        <f>TEXT(Table1[[#This Row],[End Date]],"MMMM")</f>
        <v>June</v>
      </c>
      <c r="T1309" s="23" t="str">
        <f>TEXT(Table1[[#This Row],[End Date]],"YYYY")</f>
        <v>2024</v>
      </c>
      <c r="U1309" s="24">
        <f t="shared" ca="1" si="48"/>
        <v>-340</v>
      </c>
      <c r="V1309" s="14" t="str" cm="1">
        <f t="array" aca="1" ref="V1309" ca="1">_xlfn.IFS(Table1[[#This Row],[Agreement Days]]&gt;=0,"Expired",Table1[[#This Row],[Agreement Days]]&gt;=-30,"Expires &lt; 30 Days",Table1[[#This Row],[Agreement Days]]&gt;=-60,"Expires &lt; 60 Days",Table1[[#This Row],[Agreement Days]]&lt;-60,"Valid Contract")</f>
        <v>Valid Contract</v>
      </c>
      <c r="W1309" s="14" t="s">
        <v>12</v>
      </c>
      <c r="X1309" s="14" t="s">
        <v>2411</v>
      </c>
      <c r="Y1309" s="16" t="s">
        <v>2412</v>
      </c>
      <c r="Z1309" s="27" t="s">
        <v>2413</v>
      </c>
      <c r="AA1309" s="17"/>
      <c r="AB1309" s="116"/>
      <c r="AC1309" s="116"/>
    </row>
    <row r="1310" spans="1:29" x14ac:dyDescent="0.3">
      <c r="A1310" s="18" t="s">
        <v>2409</v>
      </c>
      <c r="B1310" s="18" t="s">
        <v>129</v>
      </c>
      <c r="C1310" s="18" t="s">
        <v>2538</v>
      </c>
      <c r="D1310" s="14" t="s">
        <v>761</v>
      </c>
      <c r="E1310" s="18" t="s">
        <v>10</v>
      </c>
      <c r="F1310" s="14" t="s">
        <v>527</v>
      </c>
      <c r="G1310" s="14" t="s">
        <v>546</v>
      </c>
      <c r="H1310" s="18" t="s">
        <v>3</v>
      </c>
      <c r="I1310" s="14" t="s">
        <v>116</v>
      </c>
      <c r="J1310" s="14"/>
      <c r="K1310" s="14" t="s">
        <v>533</v>
      </c>
      <c r="L1310" s="14">
        <v>23.3</v>
      </c>
      <c r="M1310" s="14">
        <v>1</v>
      </c>
      <c r="N1310" s="15">
        <v>582500</v>
      </c>
      <c r="O1310" s="15">
        <f t="shared" si="49"/>
        <v>582500</v>
      </c>
      <c r="P1310" s="15"/>
      <c r="Q1310" s="14" t="s">
        <v>520</v>
      </c>
      <c r="R1310" s="25">
        <v>45473</v>
      </c>
      <c r="S1310" s="22" t="str">
        <f>TEXT(Table1[[#This Row],[End Date]],"MMMM")</f>
        <v>June</v>
      </c>
      <c r="T1310" s="23" t="str">
        <f>TEXT(Table1[[#This Row],[End Date]],"YYYY")</f>
        <v>2024</v>
      </c>
      <c r="U1310" s="24">
        <f t="shared" ca="1" si="48"/>
        <v>-340</v>
      </c>
      <c r="V1310" s="14" t="str" cm="1">
        <f t="array" aca="1" ref="V1310" ca="1">_xlfn.IFS(Table1[[#This Row],[Agreement Days]]&gt;=0,"Expired",Table1[[#This Row],[Agreement Days]]&gt;=-30,"Expires &lt; 30 Days",Table1[[#This Row],[Agreement Days]]&gt;=-60,"Expires &lt; 60 Days",Table1[[#This Row],[Agreement Days]]&lt;-60,"Valid Contract")</f>
        <v>Valid Contract</v>
      </c>
      <c r="W1310" s="14" t="s">
        <v>12</v>
      </c>
      <c r="X1310" s="14" t="s">
        <v>2411</v>
      </c>
      <c r="Y1310" s="16" t="s">
        <v>2412</v>
      </c>
      <c r="Z1310" s="27" t="s">
        <v>2413</v>
      </c>
      <c r="AA1310" s="17"/>
      <c r="AB1310" s="116"/>
      <c r="AC1310" s="116"/>
    </row>
    <row r="1311" spans="1:29" x14ac:dyDescent="0.3">
      <c r="A1311" s="18" t="s">
        <v>2409</v>
      </c>
      <c r="B1311" s="18" t="s">
        <v>129</v>
      </c>
      <c r="C1311" s="18" t="s">
        <v>2539</v>
      </c>
      <c r="D1311" s="14" t="s">
        <v>735</v>
      </c>
      <c r="E1311" s="18" t="s">
        <v>10</v>
      </c>
      <c r="F1311" s="14" t="s">
        <v>527</v>
      </c>
      <c r="G1311" s="14" t="s">
        <v>546</v>
      </c>
      <c r="H1311" s="18" t="s">
        <v>3</v>
      </c>
      <c r="I1311" s="14" t="s">
        <v>116</v>
      </c>
      <c r="J1311" s="14"/>
      <c r="K1311" s="14" t="s">
        <v>533</v>
      </c>
      <c r="L1311" s="14">
        <v>92.4</v>
      </c>
      <c r="M1311" s="14">
        <v>1</v>
      </c>
      <c r="N1311" s="15">
        <v>2270000</v>
      </c>
      <c r="O1311" s="15">
        <f t="shared" si="49"/>
        <v>2270000</v>
      </c>
      <c r="P1311" s="15"/>
      <c r="Q1311" s="14" t="s">
        <v>520</v>
      </c>
      <c r="R1311" s="25">
        <v>45473</v>
      </c>
      <c r="S1311" s="22" t="str">
        <f>TEXT(Table1[[#This Row],[End Date]],"MMMM")</f>
        <v>June</v>
      </c>
      <c r="T1311" s="23" t="str">
        <f>TEXT(Table1[[#This Row],[End Date]],"YYYY")</f>
        <v>2024</v>
      </c>
      <c r="U1311" s="24">
        <f t="shared" ca="1" si="48"/>
        <v>-340</v>
      </c>
      <c r="V1311" s="14" t="str" cm="1">
        <f t="array" aca="1" ref="V1311" ca="1">_xlfn.IFS(Table1[[#This Row],[Agreement Days]]&gt;=0,"Expired",Table1[[#This Row],[Agreement Days]]&gt;=-30,"Expires &lt; 30 Days",Table1[[#This Row],[Agreement Days]]&gt;=-60,"Expires &lt; 60 Days",Table1[[#This Row],[Agreement Days]]&lt;-60,"Valid Contract")</f>
        <v>Valid Contract</v>
      </c>
      <c r="W1311" s="14" t="s">
        <v>12</v>
      </c>
      <c r="X1311" s="14" t="s">
        <v>2411</v>
      </c>
      <c r="Y1311" s="16" t="s">
        <v>2412</v>
      </c>
      <c r="Z1311" s="27" t="s">
        <v>2413</v>
      </c>
      <c r="AA1311" s="17"/>
      <c r="AB1311" s="116"/>
      <c r="AC1311" s="116"/>
    </row>
    <row r="1312" spans="1:29" x14ac:dyDescent="0.3">
      <c r="A1312" s="18" t="s">
        <v>2409</v>
      </c>
      <c r="B1312" s="18" t="s">
        <v>129</v>
      </c>
      <c r="C1312" s="18" t="s">
        <v>2540</v>
      </c>
      <c r="D1312" s="14" t="s">
        <v>735</v>
      </c>
      <c r="E1312" s="18" t="s">
        <v>10</v>
      </c>
      <c r="F1312" s="14" t="s">
        <v>527</v>
      </c>
      <c r="G1312" s="14" t="s">
        <v>546</v>
      </c>
      <c r="H1312" s="18" t="s">
        <v>3</v>
      </c>
      <c r="I1312" s="14" t="s">
        <v>116</v>
      </c>
      <c r="J1312" s="14"/>
      <c r="K1312" s="14" t="s">
        <v>533</v>
      </c>
      <c r="L1312" s="14">
        <v>7.22</v>
      </c>
      <c r="M1312" s="14">
        <v>1</v>
      </c>
      <c r="N1312" s="15">
        <v>180500</v>
      </c>
      <c r="O1312" s="15">
        <f t="shared" si="49"/>
        <v>180500</v>
      </c>
      <c r="P1312" s="15"/>
      <c r="Q1312" s="14" t="s">
        <v>520</v>
      </c>
      <c r="R1312" s="25">
        <v>45473</v>
      </c>
      <c r="S1312" s="22" t="str">
        <f>TEXT(Table1[[#This Row],[End Date]],"MMMM")</f>
        <v>June</v>
      </c>
      <c r="T1312" s="23" t="str">
        <f>TEXT(Table1[[#This Row],[End Date]],"YYYY")</f>
        <v>2024</v>
      </c>
      <c r="U1312" s="24">
        <f t="shared" ca="1" si="48"/>
        <v>-340</v>
      </c>
      <c r="V1312" s="14" t="str" cm="1">
        <f t="array" aca="1" ref="V1312" ca="1">_xlfn.IFS(Table1[[#This Row],[Agreement Days]]&gt;=0,"Expired",Table1[[#This Row],[Agreement Days]]&gt;=-30,"Expires &lt; 30 Days",Table1[[#This Row],[Agreement Days]]&gt;=-60,"Expires &lt; 60 Days",Table1[[#This Row],[Agreement Days]]&lt;-60,"Valid Contract")</f>
        <v>Valid Contract</v>
      </c>
      <c r="W1312" s="14" t="s">
        <v>12</v>
      </c>
      <c r="X1312" s="14" t="s">
        <v>2411</v>
      </c>
      <c r="Y1312" s="16" t="s">
        <v>2412</v>
      </c>
      <c r="Z1312" s="27" t="s">
        <v>2413</v>
      </c>
      <c r="AA1312" s="17"/>
      <c r="AB1312" s="116"/>
      <c r="AC1312" s="116"/>
    </row>
    <row r="1313" spans="1:29" x14ac:dyDescent="0.3">
      <c r="A1313" s="18" t="s">
        <v>2409</v>
      </c>
      <c r="B1313" s="18" t="s">
        <v>129</v>
      </c>
      <c r="C1313" s="18" t="s">
        <v>2541</v>
      </c>
      <c r="D1313" s="14" t="s">
        <v>619</v>
      </c>
      <c r="E1313" s="18" t="s">
        <v>10</v>
      </c>
      <c r="F1313" s="14" t="s">
        <v>527</v>
      </c>
      <c r="G1313" s="14" t="s">
        <v>546</v>
      </c>
      <c r="H1313" s="18" t="s">
        <v>3</v>
      </c>
      <c r="I1313" s="14" t="s">
        <v>116</v>
      </c>
      <c r="J1313" s="14"/>
      <c r="K1313" s="14" t="s">
        <v>533</v>
      </c>
      <c r="L1313" s="14">
        <v>35.409999999999997</v>
      </c>
      <c r="M1313" s="14">
        <v>1</v>
      </c>
      <c r="N1313" s="15">
        <v>885350</v>
      </c>
      <c r="O1313" s="15">
        <f t="shared" si="49"/>
        <v>885350</v>
      </c>
      <c r="P1313" s="15"/>
      <c r="Q1313" s="14" t="s">
        <v>520</v>
      </c>
      <c r="R1313" s="25">
        <v>45473</v>
      </c>
      <c r="S1313" s="22" t="str">
        <f>TEXT(Table1[[#This Row],[End Date]],"MMMM")</f>
        <v>June</v>
      </c>
      <c r="T1313" s="23" t="str">
        <f>TEXT(Table1[[#This Row],[End Date]],"YYYY")</f>
        <v>2024</v>
      </c>
      <c r="U1313" s="24">
        <f t="shared" ca="1" si="48"/>
        <v>-340</v>
      </c>
      <c r="V1313" s="14" t="str" cm="1">
        <f t="array" aca="1" ref="V1313" ca="1">_xlfn.IFS(Table1[[#This Row],[Agreement Days]]&gt;=0,"Expired",Table1[[#This Row],[Agreement Days]]&gt;=-30,"Expires &lt; 30 Days",Table1[[#This Row],[Agreement Days]]&gt;=-60,"Expires &lt; 60 Days",Table1[[#This Row],[Agreement Days]]&lt;-60,"Valid Contract")</f>
        <v>Valid Contract</v>
      </c>
      <c r="W1313" s="14" t="s">
        <v>12</v>
      </c>
      <c r="X1313" s="14" t="s">
        <v>2411</v>
      </c>
      <c r="Y1313" s="16" t="s">
        <v>2412</v>
      </c>
      <c r="Z1313" s="27" t="s">
        <v>2413</v>
      </c>
      <c r="AA1313" s="17"/>
      <c r="AB1313" s="116"/>
      <c r="AC1313" s="116"/>
    </row>
    <row r="1314" spans="1:29" x14ac:dyDescent="0.3">
      <c r="A1314" s="18" t="s">
        <v>2409</v>
      </c>
      <c r="B1314" s="18" t="s">
        <v>129</v>
      </c>
      <c r="C1314" s="18" t="s">
        <v>2542</v>
      </c>
      <c r="D1314" s="14" t="s">
        <v>619</v>
      </c>
      <c r="E1314" s="18" t="s">
        <v>10</v>
      </c>
      <c r="F1314" s="14" t="s">
        <v>527</v>
      </c>
      <c r="G1314" s="14" t="s">
        <v>546</v>
      </c>
      <c r="H1314" s="18" t="s">
        <v>3</v>
      </c>
      <c r="I1314" s="14" t="s">
        <v>116</v>
      </c>
      <c r="J1314" s="14"/>
      <c r="K1314" s="14" t="s">
        <v>533</v>
      </c>
      <c r="L1314" s="14">
        <v>50.7</v>
      </c>
      <c r="M1314" s="14">
        <v>1</v>
      </c>
      <c r="N1314" s="15">
        <v>1267500</v>
      </c>
      <c r="O1314" s="15">
        <f t="shared" si="49"/>
        <v>1267500</v>
      </c>
      <c r="P1314" s="15"/>
      <c r="Q1314" s="14" t="s">
        <v>520</v>
      </c>
      <c r="R1314" s="25">
        <v>45473</v>
      </c>
      <c r="S1314" s="22" t="str">
        <f>TEXT(Table1[[#This Row],[End Date]],"MMMM")</f>
        <v>June</v>
      </c>
      <c r="T1314" s="23" t="str">
        <f>TEXT(Table1[[#This Row],[End Date]],"YYYY")</f>
        <v>2024</v>
      </c>
      <c r="U1314" s="24">
        <f t="shared" ca="1" si="48"/>
        <v>-340</v>
      </c>
      <c r="V1314" s="14" t="str" cm="1">
        <f t="array" aca="1" ref="V1314" ca="1">_xlfn.IFS(Table1[[#This Row],[Agreement Days]]&gt;=0,"Expired",Table1[[#This Row],[Agreement Days]]&gt;=-30,"Expires &lt; 30 Days",Table1[[#This Row],[Agreement Days]]&gt;=-60,"Expires &lt; 60 Days",Table1[[#This Row],[Agreement Days]]&lt;-60,"Valid Contract")</f>
        <v>Valid Contract</v>
      </c>
      <c r="W1314" s="14" t="s">
        <v>12</v>
      </c>
      <c r="X1314" s="14" t="s">
        <v>2411</v>
      </c>
      <c r="Y1314" s="16" t="s">
        <v>2412</v>
      </c>
      <c r="Z1314" s="27" t="s">
        <v>2413</v>
      </c>
      <c r="AA1314" s="17"/>
      <c r="AB1314" s="116"/>
      <c r="AC1314" s="116"/>
    </row>
    <row r="1315" spans="1:29" x14ac:dyDescent="0.3">
      <c r="A1315" s="18" t="s">
        <v>2409</v>
      </c>
      <c r="B1315" s="18" t="s">
        <v>129</v>
      </c>
      <c r="C1315" s="18" t="s">
        <v>2543</v>
      </c>
      <c r="D1315" s="14" t="s">
        <v>946</v>
      </c>
      <c r="E1315" s="18" t="s">
        <v>10</v>
      </c>
      <c r="F1315" s="14" t="s">
        <v>527</v>
      </c>
      <c r="G1315" s="14" t="s">
        <v>546</v>
      </c>
      <c r="H1315" s="18" t="s">
        <v>3</v>
      </c>
      <c r="I1315" s="14" t="s">
        <v>116</v>
      </c>
      <c r="J1315" s="14"/>
      <c r="K1315" s="14" t="s">
        <v>533</v>
      </c>
      <c r="L1315" s="14">
        <v>70</v>
      </c>
      <c r="M1315" s="14">
        <v>1</v>
      </c>
      <c r="N1315" s="15">
        <v>1750000</v>
      </c>
      <c r="O1315" s="15">
        <f t="shared" si="49"/>
        <v>1750000</v>
      </c>
      <c r="P1315" s="15"/>
      <c r="Q1315" s="14" t="s">
        <v>520</v>
      </c>
      <c r="R1315" s="25">
        <v>45473</v>
      </c>
      <c r="S1315" s="22" t="str">
        <f>TEXT(Table1[[#This Row],[End Date]],"MMMM")</f>
        <v>June</v>
      </c>
      <c r="T1315" s="23" t="str">
        <f>TEXT(Table1[[#This Row],[End Date]],"YYYY")</f>
        <v>2024</v>
      </c>
      <c r="U1315" s="24">
        <f t="shared" ca="1" si="48"/>
        <v>-340</v>
      </c>
      <c r="V1315" s="14" t="str" cm="1">
        <f t="array" aca="1" ref="V1315" ca="1">_xlfn.IFS(Table1[[#This Row],[Agreement Days]]&gt;=0,"Expired",Table1[[#This Row],[Agreement Days]]&gt;=-30,"Expires &lt; 30 Days",Table1[[#This Row],[Agreement Days]]&gt;=-60,"Expires &lt; 60 Days",Table1[[#This Row],[Agreement Days]]&lt;-60,"Valid Contract")</f>
        <v>Valid Contract</v>
      </c>
      <c r="W1315" s="14" t="s">
        <v>12</v>
      </c>
      <c r="X1315" s="14" t="s">
        <v>2411</v>
      </c>
      <c r="Y1315" s="16" t="s">
        <v>2412</v>
      </c>
      <c r="Z1315" s="27" t="s">
        <v>2413</v>
      </c>
      <c r="AA1315" s="17"/>
      <c r="AB1315" s="116"/>
      <c r="AC1315" s="116"/>
    </row>
    <row r="1316" spans="1:29" x14ac:dyDescent="0.3">
      <c r="A1316" s="18" t="s">
        <v>2409</v>
      </c>
      <c r="B1316" s="18" t="s">
        <v>129</v>
      </c>
      <c r="C1316" s="18" t="s">
        <v>2544</v>
      </c>
      <c r="D1316" s="14" t="s">
        <v>630</v>
      </c>
      <c r="E1316" s="18" t="s">
        <v>10</v>
      </c>
      <c r="F1316" s="14" t="s">
        <v>527</v>
      </c>
      <c r="G1316" s="14" t="s">
        <v>546</v>
      </c>
      <c r="H1316" s="18" t="s">
        <v>3</v>
      </c>
      <c r="I1316" s="14" t="s">
        <v>116</v>
      </c>
      <c r="J1316" s="14"/>
      <c r="K1316" s="14" t="s">
        <v>533</v>
      </c>
      <c r="L1316" s="14">
        <v>17</v>
      </c>
      <c r="M1316" s="14">
        <v>1</v>
      </c>
      <c r="N1316" s="15">
        <v>425000</v>
      </c>
      <c r="O1316" s="15">
        <f t="shared" si="49"/>
        <v>425000</v>
      </c>
      <c r="P1316" s="15"/>
      <c r="Q1316" s="14" t="s">
        <v>520</v>
      </c>
      <c r="R1316" s="25">
        <v>45473</v>
      </c>
      <c r="S1316" s="22" t="str">
        <f>TEXT(Table1[[#This Row],[End Date]],"MMMM")</f>
        <v>June</v>
      </c>
      <c r="T1316" s="23" t="str">
        <f>TEXT(Table1[[#This Row],[End Date]],"YYYY")</f>
        <v>2024</v>
      </c>
      <c r="U1316" s="24">
        <f t="shared" ca="1" si="48"/>
        <v>-340</v>
      </c>
      <c r="V1316" s="14" t="str" cm="1">
        <f t="array" aca="1" ref="V1316" ca="1">_xlfn.IFS(Table1[[#This Row],[Agreement Days]]&gt;=0,"Expired",Table1[[#This Row],[Agreement Days]]&gt;=-30,"Expires &lt; 30 Days",Table1[[#This Row],[Agreement Days]]&gt;=-60,"Expires &lt; 60 Days",Table1[[#This Row],[Agreement Days]]&lt;-60,"Valid Contract")</f>
        <v>Valid Contract</v>
      </c>
      <c r="W1316" s="14" t="s">
        <v>12</v>
      </c>
      <c r="X1316" s="14" t="s">
        <v>2411</v>
      </c>
      <c r="Y1316" s="16" t="s">
        <v>2412</v>
      </c>
      <c r="Z1316" s="27" t="s">
        <v>2413</v>
      </c>
      <c r="AA1316" s="17"/>
      <c r="AB1316" s="116"/>
      <c r="AC1316" s="116"/>
    </row>
    <row r="1317" spans="1:29" x14ac:dyDescent="0.3">
      <c r="A1317" s="18" t="s">
        <v>2409</v>
      </c>
      <c r="B1317" s="18" t="s">
        <v>129</v>
      </c>
      <c r="C1317" s="18" t="s">
        <v>615</v>
      </c>
      <c r="D1317" s="14" t="s">
        <v>769</v>
      </c>
      <c r="E1317" s="18" t="s">
        <v>10</v>
      </c>
      <c r="F1317" s="14" t="s">
        <v>527</v>
      </c>
      <c r="G1317" s="14" t="s">
        <v>546</v>
      </c>
      <c r="H1317" s="18" t="s">
        <v>3</v>
      </c>
      <c r="I1317" s="14" t="s">
        <v>116</v>
      </c>
      <c r="J1317" s="14"/>
      <c r="K1317" s="14" t="s">
        <v>533</v>
      </c>
      <c r="L1317" s="14">
        <v>96.97</v>
      </c>
      <c r="M1317" s="14">
        <v>1</v>
      </c>
      <c r="N1317" s="15">
        <v>2424280</v>
      </c>
      <c r="O1317" s="15">
        <f t="shared" si="49"/>
        <v>2424280</v>
      </c>
      <c r="P1317" s="15"/>
      <c r="Q1317" s="14" t="s">
        <v>520</v>
      </c>
      <c r="R1317" s="25">
        <v>45473</v>
      </c>
      <c r="S1317" s="22" t="str">
        <f>TEXT(Table1[[#This Row],[End Date]],"MMMM")</f>
        <v>June</v>
      </c>
      <c r="T1317" s="23" t="str">
        <f>TEXT(Table1[[#This Row],[End Date]],"YYYY")</f>
        <v>2024</v>
      </c>
      <c r="U1317" s="24">
        <f t="shared" ca="1" si="48"/>
        <v>-340</v>
      </c>
      <c r="V1317" s="14" t="str" cm="1">
        <f t="array" aca="1" ref="V1317" ca="1">_xlfn.IFS(Table1[[#This Row],[Agreement Days]]&gt;=0,"Expired",Table1[[#This Row],[Agreement Days]]&gt;=-30,"Expires &lt; 30 Days",Table1[[#This Row],[Agreement Days]]&gt;=-60,"Expires &lt; 60 Days",Table1[[#This Row],[Agreement Days]]&lt;-60,"Valid Contract")</f>
        <v>Valid Contract</v>
      </c>
      <c r="W1317" s="14" t="s">
        <v>12</v>
      </c>
      <c r="X1317" s="14" t="s">
        <v>2411</v>
      </c>
      <c r="Y1317" s="16" t="s">
        <v>2412</v>
      </c>
      <c r="Z1317" s="27" t="s">
        <v>2413</v>
      </c>
      <c r="AA1317" s="17"/>
      <c r="AB1317" s="116"/>
      <c r="AC1317" s="116"/>
    </row>
    <row r="1318" spans="1:29" x14ac:dyDescent="0.3">
      <c r="A1318" s="18" t="s">
        <v>2409</v>
      </c>
      <c r="B1318" s="18" t="s">
        <v>129</v>
      </c>
      <c r="C1318" s="18" t="s">
        <v>2545</v>
      </c>
      <c r="D1318" s="14" t="s">
        <v>769</v>
      </c>
      <c r="E1318" s="18" t="s">
        <v>10</v>
      </c>
      <c r="F1318" s="14" t="s">
        <v>527</v>
      </c>
      <c r="G1318" s="14" t="s">
        <v>546</v>
      </c>
      <c r="H1318" s="18" t="s">
        <v>3</v>
      </c>
      <c r="I1318" s="14" t="s">
        <v>116</v>
      </c>
      <c r="J1318" s="14"/>
      <c r="K1318" s="14" t="s">
        <v>533</v>
      </c>
      <c r="L1318" s="14">
        <v>58.9</v>
      </c>
      <c r="M1318" s="14">
        <v>1</v>
      </c>
      <c r="N1318" s="15">
        <v>1517500</v>
      </c>
      <c r="O1318" s="15">
        <f t="shared" si="49"/>
        <v>1517500</v>
      </c>
      <c r="P1318" s="15"/>
      <c r="Q1318" s="14" t="s">
        <v>520</v>
      </c>
      <c r="R1318" s="25">
        <v>45473</v>
      </c>
      <c r="S1318" s="22" t="str">
        <f>TEXT(Table1[[#This Row],[End Date]],"MMMM")</f>
        <v>June</v>
      </c>
      <c r="T1318" s="23" t="str">
        <f>TEXT(Table1[[#This Row],[End Date]],"YYYY")</f>
        <v>2024</v>
      </c>
      <c r="U1318" s="24">
        <f t="shared" ca="1" si="48"/>
        <v>-340</v>
      </c>
      <c r="V1318" s="14" t="str" cm="1">
        <f t="array" aca="1" ref="V1318" ca="1">_xlfn.IFS(Table1[[#This Row],[Agreement Days]]&gt;=0,"Expired",Table1[[#This Row],[Agreement Days]]&gt;=-30,"Expires &lt; 30 Days",Table1[[#This Row],[Agreement Days]]&gt;=-60,"Expires &lt; 60 Days",Table1[[#This Row],[Agreement Days]]&lt;-60,"Valid Contract")</f>
        <v>Valid Contract</v>
      </c>
      <c r="W1318" s="14" t="s">
        <v>12</v>
      </c>
      <c r="X1318" s="14" t="s">
        <v>2411</v>
      </c>
      <c r="Y1318" s="16" t="s">
        <v>2412</v>
      </c>
      <c r="Z1318" s="27" t="s">
        <v>2413</v>
      </c>
      <c r="AA1318" s="17"/>
      <c r="AB1318" s="116"/>
      <c r="AC1318" s="116"/>
    </row>
    <row r="1319" spans="1:29" x14ac:dyDescent="0.3">
      <c r="A1319" s="18" t="s">
        <v>2409</v>
      </c>
      <c r="B1319" s="18" t="s">
        <v>129</v>
      </c>
      <c r="C1319" s="18" t="s">
        <v>617</v>
      </c>
      <c r="D1319" s="14" t="s">
        <v>579</v>
      </c>
      <c r="E1319" s="18" t="s">
        <v>10</v>
      </c>
      <c r="F1319" s="14" t="s">
        <v>527</v>
      </c>
      <c r="G1319" s="14" t="s">
        <v>546</v>
      </c>
      <c r="H1319" s="18" t="s">
        <v>3</v>
      </c>
      <c r="I1319" s="14" t="s">
        <v>116</v>
      </c>
      <c r="J1319" s="14"/>
      <c r="K1319" s="14" t="s">
        <v>533</v>
      </c>
      <c r="L1319" s="14">
        <v>110.48</v>
      </c>
      <c r="M1319" s="14">
        <v>1</v>
      </c>
      <c r="N1319" s="15">
        <v>2762000</v>
      </c>
      <c r="O1319" s="15">
        <f t="shared" si="49"/>
        <v>2762000</v>
      </c>
      <c r="P1319" s="15"/>
      <c r="Q1319" s="14" t="s">
        <v>520</v>
      </c>
      <c r="R1319" s="25">
        <v>45473</v>
      </c>
      <c r="S1319" s="22" t="str">
        <f>TEXT(Table1[[#This Row],[End Date]],"MMMM")</f>
        <v>June</v>
      </c>
      <c r="T1319" s="23" t="str">
        <f>TEXT(Table1[[#This Row],[End Date]],"YYYY")</f>
        <v>2024</v>
      </c>
      <c r="U1319" s="24">
        <f t="shared" ca="1" si="48"/>
        <v>-340</v>
      </c>
      <c r="V1319" s="14" t="str" cm="1">
        <f t="array" aca="1" ref="V1319" ca="1">_xlfn.IFS(Table1[[#This Row],[Agreement Days]]&gt;=0,"Expired",Table1[[#This Row],[Agreement Days]]&gt;=-30,"Expires &lt; 30 Days",Table1[[#This Row],[Agreement Days]]&gt;=-60,"Expires &lt; 60 Days",Table1[[#This Row],[Agreement Days]]&lt;-60,"Valid Contract")</f>
        <v>Valid Contract</v>
      </c>
      <c r="W1319" s="14" t="s">
        <v>12</v>
      </c>
      <c r="X1319" s="14" t="s">
        <v>2411</v>
      </c>
      <c r="Y1319" s="16" t="s">
        <v>2412</v>
      </c>
      <c r="Z1319" s="27" t="s">
        <v>2413</v>
      </c>
      <c r="AA1319" s="17"/>
      <c r="AB1319" s="116"/>
      <c r="AC1319" s="116"/>
    </row>
    <row r="1320" spans="1:29" x14ac:dyDescent="0.3">
      <c r="A1320" s="18" t="s">
        <v>2409</v>
      </c>
      <c r="B1320" s="18" t="s">
        <v>129</v>
      </c>
      <c r="C1320" s="18" t="s">
        <v>2546</v>
      </c>
      <c r="D1320" s="14" t="s">
        <v>579</v>
      </c>
      <c r="E1320" s="18" t="s">
        <v>10</v>
      </c>
      <c r="F1320" s="14" t="s">
        <v>527</v>
      </c>
      <c r="G1320" s="14" t="s">
        <v>546</v>
      </c>
      <c r="H1320" s="18" t="s">
        <v>3</v>
      </c>
      <c r="I1320" s="14" t="s">
        <v>116</v>
      </c>
      <c r="J1320" s="14"/>
      <c r="K1320" s="14" t="s">
        <v>533</v>
      </c>
      <c r="L1320" s="14">
        <v>79.658100000000005</v>
      </c>
      <c r="M1320" s="14">
        <v>1</v>
      </c>
      <c r="N1320" s="15">
        <v>2762000</v>
      </c>
      <c r="O1320" s="15">
        <f t="shared" si="49"/>
        <v>2762000</v>
      </c>
      <c r="P1320" s="15"/>
      <c r="Q1320" s="14" t="s">
        <v>520</v>
      </c>
      <c r="R1320" s="25">
        <v>45473</v>
      </c>
      <c r="S1320" s="22" t="str">
        <f>TEXT(Table1[[#This Row],[End Date]],"MMMM")</f>
        <v>June</v>
      </c>
      <c r="T1320" s="23" t="str">
        <f>TEXT(Table1[[#This Row],[End Date]],"YYYY")</f>
        <v>2024</v>
      </c>
      <c r="U1320" s="24">
        <f t="shared" ca="1" si="48"/>
        <v>-340</v>
      </c>
      <c r="V1320" s="14" t="str" cm="1">
        <f t="array" aca="1" ref="V1320" ca="1">_xlfn.IFS(Table1[[#This Row],[Agreement Days]]&gt;=0,"Expired",Table1[[#This Row],[Agreement Days]]&gt;=-30,"Expires &lt; 30 Days",Table1[[#This Row],[Agreement Days]]&gt;=-60,"Expires &lt; 60 Days",Table1[[#This Row],[Agreement Days]]&lt;-60,"Valid Contract")</f>
        <v>Valid Contract</v>
      </c>
      <c r="W1320" s="14" t="s">
        <v>12</v>
      </c>
      <c r="X1320" s="14" t="s">
        <v>2411</v>
      </c>
      <c r="Y1320" s="16" t="s">
        <v>2412</v>
      </c>
      <c r="Z1320" s="27" t="s">
        <v>2413</v>
      </c>
      <c r="AA1320" s="17"/>
      <c r="AB1320" s="116"/>
      <c r="AC1320" s="116"/>
    </row>
    <row r="1321" spans="1:29" hidden="1" x14ac:dyDescent="0.3">
      <c r="A1321" s="18" t="s">
        <v>698</v>
      </c>
      <c r="B1321" s="18" t="s">
        <v>122</v>
      </c>
      <c r="C1321" s="18" t="s">
        <v>122</v>
      </c>
      <c r="D1321" s="14" t="s">
        <v>545</v>
      </c>
      <c r="E1321" s="18" t="s">
        <v>9</v>
      </c>
      <c r="F1321" s="14" t="s">
        <v>517</v>
      </c>
      <c r="G1321" s="14" t="s">
        <v>546</v>
      </c>
      <c r="H1321" s="18" t="s">
        <v>5</v>
      </c>
      <c r="I1321" s="14" t="s">
        <v>115</v>
      </c>
      <c r="J1321" s="14"/>
      <c r="K1321" s="26" t="s">
        <v>642</v>
      </c>
      <c r="L1321" s="14"/>
      <c r="M1321" s="20">
        <v>2</v>
      </c>
      <c r="N1321" s="15">
        <v>101694.92</v>
      </c>
      <c r="O1321" s="15">
        <f t="shared" si="49"/>
        <v>203389.84</v>
      </c>
      <c r="P1321" s="15"/>
      <c r="Q1321" s="14" t="s">
        <v>520</v>
      </c>
      <c r="R1321" s="25">
        <v>45475</v>
      </c>
      <c r="S1321" s="22" t="str">
        <f>TEXT(Table1[[#This Row],[End Date]],"MMMM")</f>
        <v>July</v>
      </c>
      <c r="T1321" s="23" t="str">
        <f>TEXT(Table1[[#This Row],[End Date]],"YYYY")</f>
        <v>2024</v>
      </c>
      <c r="U1321" s="24">
        <f t="shared" ca="1" si="48"/>
        <v>-342</v>
      </c>
      <c r="V1321" s="14" t="str" cm="1">
        <f t="array" aca="1" ref="V1321" ca="1">_xlfn.IFS(Table1[[#This Row],[Agreement Days]]&gt;=0,"Expired",Table1[[#This Row],[Agreement Days]]&gt;=-30,"Expires &lt; 30 Days",Table1[[#This Row],[Agreement Days]]&gt;=-60,"Expires &lt; 60 Days",Table1[[#This Row],[Agreement Days]]&lt;-60,"Valid Contract")</f>
        <v>Valid Contract</v>
      </c>
      <c r="W1321" s="14" t="s">
        <v>16</v>
      </c>
      <c r="X1321" s="20" t="s">
        <v>701</v>
      </c>
      <c r="Y1321" s="16" t="s">
        <v>702</v>
      </c>
      <c r="Z1321" s="27" t="s">
        <v>703</v>
      </c>
      <c r="AA1321" s="17"/>
      <c r="AB1321" s="116"/>
      <c r="AC1321" s="116"/>
    </row>
    <row r="1322" spans="1:29" hidden="1" x14ac:dyDescent="0.3">
      <c r="A1322" s="18" t="s">
        <v>2547</v>
      </c>
      <c r="B1322" s="18" t="s">
        <v>230</v>
      </c>
      <c r="C1322" s="18" t="s">
        <v>230</v>
      </c>
      <c r="D1322" s="14" t="s">
        <v>545</v>
      </c>
      <c r="E1322" s="18" t="s">
        <v>9</v>
      </c>
      <c r="F1322" s="14" t="s">
        <v>688</v>
      </c>
      <c r="G1322" s="14" t="s">
        <v>518</v>
      </c>
      <c r="H1322" s="18" t="s">
        <v>5</v>
      </c>
      <c r="I1322" s="14" t="s">
        <v>115</v>
      </c>
      <c r="J1322" s="18"/>
      <c r="K1322" s="18" t="s">
        <v>573</v>
      </c>
      <c r="L1322" s="18"/>
      <c r="M1322" s="14">
        <v>3</v>
      </c>
      <c r="N1322" s="15">
        <v>19491.53</v>
      </c>
      <c r="O1322" s="15">
        <f t="shared" si="49"/>
        <v>58474.59</v>
      </c>
      <c r="P1322" s="15"/>
      <c r="Q1322" s="14" t="s">
        <v>520</v>
      </c>
      <c r="R1322" s="25">
        <v>45488</v>
      </c>
      <c r="S1322" s="34" t="str">
        <f>TEXT(Table1[[#This Row],[End Date]],"MMMM")</f>
        <v>July</v>
      </c>
      <c r="T1322" s="34" t="str">
        <f>TEXT(Table1[[#This Row],[End Date]],"YYYY")</f>
        <v>2024</v>
      </c>
      <c r="U1322" s="24">
        <f t="shared" ca="1" si="48"/>
        <v>-355</v>
      </c>
      <c r="V1322" s="14" t="str" cm="1">
        <f t="array" aca="1" ref="V1322" ca="1">_xlfn.IFS(Table1[[#This Row],[Agreement Days]]&gt;=0,"Expired",Table1[[#This Row],[Agreement Days]]&gt;=-30,"Expires &lt; 30 Days",Table1[[#This Row],[Agreement Days]]&gt;=-60,"Expires &lt; 60 Days",Table1[[#This Row],[Agreement Days]]&lt;-60,"Valid Contract")</f>
        <v>Valid Contract</v>
      </c>
      <c r="W1322" s="18" t="s">
        <v>21</v>
      </c>
      <c r="X1322" s="18" t="s">
        <v>2548</v>
      </c>
      <c r="Y1322" s="42" t="s">
        <v>2549</v>
      </c>
      <c r="Z1322" s="27">
        <v>788827364</v>
      </c>
      <c r="AA1322" s="27"/>
      <c r="AB1322" s="116"/>
      <c r="AC1322" s="116"/>
    </row>
    <row r="1323" spans="1:29" hidden="1" x14ac:dyDescent="0.3">
      <c r="A1323" s="18" t="s">
        <v>2132</v>
      </c>
      <c r="B1323" s="18" t="s">
        <v>171</v>
      </c>
      <c r="C1323" s="18" t="s">
        <v>937</v>
      </c>
      <c r="D1323" s="14" t="s">
        <v>769</v>
      </c>
      <c r="E1323" s="18" t="s">
        <v>9</v>
      </c>
      <c r="F1323" s="14" t="s">
        <v>517</v>
      </c>
      <c r="G1323" s="14" t="s">
        <v>518</v>
      </c>
      <c r="H1323" s="18" t="s">
        <v>5</v>
      </c>
      <c r="I1323" s="14" t="s">
        <v>115</v>
      </c>
      <c r="J1323" s="18"/>
      <c r="K1323" s="18" t="s">
        <v>643</v>
      </c>
      <c r="L1323" s="18"/>
      <c r="M1323" s="14">
        <v>80</v>
      </c>
      <c r="N1323" s="15">
        <f>33400/1.18</f>
        <v>28305.084745762713</v>
      </c>
      <c r="O1323" s="15">
        <f t="shared" si="49"/>
        <v>2264406.779661017</v>
      </c>
      <c r="P1323" s="15"/>
      <c r="Q1323" s="14" t="s">
        <v>520</v>
      </c>
      <c r="R1323" s="25">
        <v>45492</v>
      </c>
      <c r="S1323" s="34" t="str">
        <f>TEXT(Table1[[#This Row],[End Date]],"MMMM")</f>
        <v>July</v>
      </c>
      <c r="T1323" s="34" t="str">
        <f>TEXT(Table1[[#This Row],[End Date]],"YYYY")</f>
        <v>2024</v>
      </c>
      <c r="U1323" s="24">
        <f t="shared" ca="1" si="48"/>
        <v>-359</v>
      </c>
      <c r="V1323" s="14" t="str" cm="1">
        <f t="array" aca="1" ref="V1323" ca="1">_xlfn.IFS(Table1[[#This Row],[Agreement Days]]&gt;=0,"Expired",Table1[[#This Row],[Agreement Days]]&gt;=-30,"Expires &lt; 30 Days",Table1[[#This Row],[Agreement Days]]&gt;=-60,"Expires &lt; 60 Days",Table1[[#This Row],[Agreement Days]]&lt;-60,"Valid Contract")</f>
        <v>Valid Contract</v>
      </c>
      <c r="W1323" s="18" t="s">
        <v>18</v>
      </c>
      <c r="X1323" s="18" t="s">
        <v>2133</v>
      </c>
      <c r="Y1323" s="35" t="s">
        <v>2134</v>
      </c>
      <c r="Z1323" s="27" t="s">
        <v>2135</v>
      </c>
      <c r="AA1323" s="27"/>
      <c r="AB1323" s="116"/>
      <c r="AC1323" s="116"/>
    </row>
    <row r="1324" spans="1:29" hidden="1" x14ac:dyDescent="0.3">
      <c r="A1324" s="18" t="s">
        <v>2550</v>
      </c>
      <c r="B1324" s="18" t="s">
        <v>50</v>
      </c>
      <c r="C1324" s="18" t="s">
        <v>2551</v>
      </c>
      <c r="D1324" s="14" t="s">
        <v>545</v>
      </c>
      <c r="E1324" s="18" t="s">
        <v>9</v>
      </c>
      <c r="F1324" s="14" t="s">
        <v>631</v>
      </c>
      <c r="G1324" s="14" t="s">
        <v>518</v>
      </c>
      <c r="H1324" s="18" t="s">
        <v>5</v>
      </c>
      <c r="I1324" s="14" t="s">
        <v>115</v>
      </c>
      <c r="J1324" s="14"/>
      <c r="K1324" s="18" t="s">
        <v>643</v>
      </c>
      <c r="L1324" s="14"/>
      <c r="M1324" s="14">
        <v>38</v>
      </c>
      <c r="N1324" s="15">
        <v>28305.08</v>
      </c>
      <c r="O1324" s="15">
        <f t="shared" si="49"/>
        <v>1075593.04</v>
      </c>
      <c r="P1324" s="15"/>
      <c r="Q1324" s="14" t="s">
        <v>520</v>
      </c>
      <c r="R1324" s="25">
        <v>45498</v>
      </c>
      <c r="S1324" s="22" t="str">
        <f>TEXT(Table1[[#This Row],[End Date]],"MMMM")</f>
        <v>July</v>
      </c>
      <c r="T1324" s="23" t="str">
        <f>TEXT(Table1[[#This Row],[End Date]],"YYYY")</f>
        <v>2024</v>
      </c>
      <c r="U1324" s="24">
        <f t="shared" ca="1" si="48"/>
        <v>-365</v>
      </c>
      <c r="V1324" s="14" t="str" cm="1">
        <f t="array" aca="1" ref="V1324" ca="1">_xlfn.IFS(Table1[[#This Row],[Agreement Days]]&gt;=0,"Expired",Table1[[#This Row],[Agreement Days]]&gt;=-30,"Expires &lt; 30 Days",Table1[[#This Row],[Agreement Days]]&gt;=-60,"Expires &lt; 60 Days",Table1[[#This Row],[Agreement Days]]&lt;-60,"Valid Contract")</f>
        <v>Valid Contract</v>
      </c>
      <c r="W1324" s="14" t="s">
        <v>20</v>
      </c>
      <c r="X1324" s="26" t="s">
        <v>2552</v>
      </c>
      <c r="Y1324" s="16" t="s">
        <v>2553</v>
      </c>
      <c r="Z1324" s="27" t="s">
        <v>2554</v>
      </c>
      <c r="AA1324" s="19"/>
      <c r="AB1324" s="116"/>
      <c r="AC1324" s="116"/>
    </row>
    <row r="1325" spans="1:29" hidden="1" x14ac:dyDescent="0.3">
      <c r="A1325" s="18" t="s">
        <v>2555</v>
      </c>
      <c r="B1325" s="18" t="s">
        <v>301</v>
      </c>
      <c r="C1325" s="18" t="s">
        <v>2556</v>
      </c>
      <c r="D1325" s="14" t="s">
        <v>532</v>
      </c>
      <c r="E1325" s="18" t="s">
        <v>9</v>
      </c>
      <c r="F1325" s="14" t="s">
        <v>688</v>
      </c>
      <c r="G1325" s="14" t="s">
        <v>518</v>
      </c>
      <c r="H1325" s="18" t="s">
        <v>5</v>
      </c>
      <c r="I1325" s="14" t="s">
        <v>117</v>
      </c>
      <c r="J1325" s="14">
        <v>10</v>
      </c>
      <c r="K1325" s="18" t="s">
        <v>547</v>
      </c>
      <c r="L1325" s="18"/>
      <c r="M1325" s="14">
        <v>1</v>
      </c>
      <c r="N1325" s="15">
        <f>601800/1.18</f>
        <v>510000</v>
      </c>
      <c r="O1325" s="15">
        <f t="shared" si="49"/>
        <v>510000</v>
      </c>
      <c r="P1325" s="15"/>
      <c r="Q1325" s="14" t="s">
        <v>520</v>
      </c>
      <c r="R1325" s="25">
        <v>45503</v>
      </c>
      <c r="S1325" s="34" t="str">
        <f>TEXT(Table1[[#This Row],[End Date]],"MMMM")</f>
        <v>July</v>
      </c>
      <c r="T1325" s="34" t="str">
        <f>TEXT(Table1[[#This Row],[End Date]],"YYYY")</f>
        <v>2024</v>
      </c>
      <c r="U1325" s="24">
        <f t="shared" ca="1" si="48"/>
        <v>-370</v>
      </c>
      <c r="V1325" s="14" t="str" cm="1">
        <f t="array" aca="1" ref="V1325" ca="1">_xlfn.IFS(Table1[[#This Row],[Agreement Days]]&gt;=0,"Expired",Table1[[#This Row],[Agreement Days]]&gt;=-30,"Expires &lt; 30 Days",Table1[[#This Row],[Agreement Days]]&gt;=-60,"Expires &lt; 60 Days",Table1[[#This Row],[Agreement Days]]&lt;-60,"Valid Contract")</f>
        <v>Valid Contract</v>
      </c>
      <c r="W1325" s="18" t="s">
        <v>21</v>
      </c>
      <c r="X1325" s="18" t="s">
        <v>2557</v>
      </c>
      <c r="Y1325" s="42" t="s">
        <v>2558</v>
      </c>
      <c r="Z1325" s="27">
        <v>788464399</v>
      </c>
      <c r="AA1325" s="27"/>
      <c r="AB1325" s="116"/>
      <c r="AC1325" s="116"/>
    </row>
    <row r="1326" spans="1:29" hidden="1" x14ac:dyDescent="0.3">
      <c r="A1326" s="18" t="s">
        <v>2555</v>
      </c>
      <c r="B1326" s="18" t="s">
        <v>301</v>
      </c>
      <c r="C1326" s="18" t="s">
        <v>2556</v>
      </c>
      <c r="D1326" s="14" t="s">
        <v>532</v>
      </c>
      <c r="E1326" s="18" t="s">
        <v>9</v>
      </c>
      <c r="F1326" s="14" t="s">
        <v>688</v>
      </c>
      <c r="G1326" s="14" t="s">
        <v>518</v>
      </c>
      <c r="H1326" s="18" t="s">
        <v>4</v>
      </c>
      <c r="I1326" s="14" t="s">
        <v>118</v>
      </c>
      <c r="J1326" s="18"/>
      <c r="K1326" s="18" t="s">
        <v>650</v>
      </c>
      <c r="L1326" s="18"/>
      <c r="M1326" s="14">
        <v>1</v>
      </c>
      <c r="N1326" s="15">
        <v>369325</v>
      </c>
      <c r="O1326" s="15">
        <f t="shared" si="49"/>
        <v>369325</v>
      </c>
      <c r="P1326" s="15"/>
      <c r="Q1326" s="14" t="s">
        <v>520</v>
      </c>
      <c r="R1326" s="25">
        <v>45503</v>
      </c>
      <c r="S1326" s="34" t="str">
        <f>TEXT(Table1[[#This Row],[End Date]],"MMMM")</f>
        <v>July</v>
      </c>
      <c r="T1326" s="34" t="str">
        <f>TEXT(Table1[[#This Row],[End Date]],"YYYY")</f>
        <v>2024</v>
      </c>
      <c r="U1326" s="24">
        <f t="shared" ca="1" si="48"/>
        <v>-370</v>
      </c>
      <c r="V1326" s="14" t="str" cm="1">
        <f t="array" aca="1" ref="V1326" ca="1">_xlfn.IFS(Table1[[#This Row],[Agreement Days]]&gt;=0,"Expired",Table1[[#This Row],[Agreement Days]]&gt;=-30,"Expires &lt; 30 Days",Table1[[#This Row],[Agreement Days]]&gt;=-60,"Expires &lt; 60 Days",Table1[[#This Row],[Agreement Days]]&lt;-60,"Valid Contract")</f>
        <v>Valid Contract</v>
      </c>
      <c r="W1326" s="18" t="s">
        <v>21</v>
      </c>
      <c r="X1326" s="18" t="s">
        <v>2557</v>
      </c>
      <c r="Y1326" s="42" t="s">
        <v>2558</v>
      </c>
      <c r="Z1326" s="27">
        <v>788464399</v>
      </c>
      <c r="AA1326" s="27"/>
      <c r="AB1326" s="116"/>
      <c r="AC1326" s="116"/>
    </row>
    <row r="1327" spans="1:29" hidden="1" x14ac:dyDescent="0.3">
      <c r="A1327" s="18" t="s">
        <v>2559</v>
      </c>
      <c r="B1327" s="18" t="s">
        <v>229</v>
      </c>
      <c r="C1327" s="18" t="s">
        <v>229</v>
      </c>
      <c r="D1327" s="14" t="s">
        <v>540</v>
      </c>
      <c r="E1327" s="18" t="s">
        <v>9</v>
      </c>
      <c r="F1327" s="14" t="s">
        <v>2560</v>
      </c>
      <c r="G1327" s="14" t="s">
        <v>518</v>
      </c>
      <c r="H1327" s="18" t="s">
        <v>5</v>
      </c>
      <c r="I1327" s="14" t="s">
        <v>117</v>
      </c>
      <c r="J1327" s="14">
        <v>30</v>
      </c>
      <c r="K1327" s="14" t="s">
        <v>2561</v>
      </c>
      <c r="L1327" s="14"/>
      <c r="M1327" s="14">
        <v>1</v>
      </c>
      <c r="N1327" s="15">
        <v>1260000</v>
      </c>
      <c r="O1327" s="15">
        <f t="shared" si="49"/>
        <v>1260000</v>
      </c>
      <c r="P1327" s="15"/>
      <c r="Q1327" s="14" t="s">
        <v>520</v>
      </c>
      <c r="R1327" s="25">
        <v>45503</v>
      </c>
      <c r="S1327" s="22" t="str">
        <f>TEXT(Table1[[#This Row],[End Date]],"MMMM")</f>
        <v>July</v>
      </c>
      <c r="T1327" s="23" t="str">
        <f>TEXT(Table1[[#This Row],[End Date]],"YYYY")</f>
        <v>2024</v>
      </c>
      <c r="U1327" s="24">
        <f t="shared" ca="1" si="48"/>
        <v>-370</v>
      </c>
      <c r="V1327" s="14" t="str" cm="1">
        <f t="array" aca="1" ref="V1327" ca="1">_xlfn.IFS(Table1[[#This Row],[Agreement Days]]&gt;=0,"Expired",Table1[[#This Row],[Agreement Days]]&gt;=-30,"Expires &lt; 30 Days",Table1[[#This Row],[Agreement Days]]&gt;=-60,"Expires &lt; 60 Days",Table1[[#This Row],[Agreement Days]]&lt;-60,"Valid Contract")</f>
        <v>Valid Contract</v>
      </c>
      <c r="W1327" s="14" t="s">
        <v>19</v>
      </c>
      <c r="X1327" s="14" t="s">
        <v>2562</v>
      </c>
      <c r="Y1327" s="43" t="s">
        <v>2563</v>
      </c>
      <c r="Z1327" s="27">
        <v>788550130</v>
      </c>
      <c r="AA1327" s="17"/>
      <c r="AB1327" s="116"/>
      <c r="AC1327" s="116"/>
    </row>
    <row r="1328" spans="1:29" hidden="1" x14ac:dyDescent="0.3">
      <c r="A1328" s="18" t="s">
        <v>2559</v>
      </c>
      <c r="B1328" s="18" t="s">
        <v>229</v>
      </c>
      <c r="C1328" s="18" t="s">
        <v>229</v>
      </c>
      <c r="D1328" s="14" t="s">
        <v>540</v>
      </c>
      <c r="E1328" s="18" t="s">
        <v>9</v>
      </c>
      <c r="F1328" s="14" t="s">
        <v>2560</v>
      </c>
      <c r="G1328" s="14" t="s">
        <v>518</v>
      </c>
      <c r="H1328" s="18" t="s">
        <v>5</v>
      </c>
      <c r="I1328" s="14" t="s">
        <v>115</v>
      </c>
      <c r="J1328" s="14"/>
      <c r="K1328" s="18" t="s">
        <v>657</v>
      </c>
      <c r="L1328" s="14"/>
      <c r="M1328" s="14">
        <v>1</v>
      </c>
      <c r="N1328" s="15">
        <v>45338.98</v>
      </c>
      <c r="O1328" s="15">
        <f t="shared" si="49"/>
        <v>45338.98</v>
      </c>
      <c r="P1328" s="15"/>
      <c r="Q1328" s="14" t="s">
        <v>520</v>
      </c>
      <c r="R1328" s="25">
        <v>45503</v>
      </c>
      <c r="S1328" s="22" t="str">
        <f>TEXT(Table1[[#This Row],[End Date]],"MMMM")</f>
        <v>July</v>
      </c>
      <c r="T1328" s="23" t="str">
        <f>TEXT(Table1[[#This Row],[End Date]],"YYYY")</f>
        <v>2024</v>
      </c>
      <c r="U1328" s="24">
        <f t="shared" ca="1" si="48"/>
        <v>-370</v>
      </c>
      <c r="V1328" s="14" t="str" cm="1">
        <f t="array" aca="1" ref="V1328" ca="1">_xlfn.IFS(Table1[[#This Row],[Agreement Days]]&gt;=0,"Expired",Table1[[#This Row],[Agreement Days]]&gt;=-30,"Expires &lt; 30 Days",Table1[[#This Row],[Agreement Days]]&gt;=-60,"Expires &lt; 60 Days",Table1[[#This Row],[Agreement Days]]&lt;-60,"Valid Contract")</f>
        <v>Valid Contract</v>
      </c>
      <c r="W1328" s="14" t="s">
        <v>19</v>
      </c>
      <c r="X1328" s="14" t="s">
        <v>2562</v>
      </c>
      <c r="Y1328" s="43" t="s">
        <v>2563</v>
      </c>
      <c r="Z1328" s="27">
        <v>788550130</v>
      </c>
      <c r="AA1328" s="17"/>
      <c r="AB1328" s="116"/>
      <c r="AC1328" s="116"/>
    </row>
    <row r="1329" spans="1:29" hidden="1" x14ac:dyDescent="0.3">
      <c r="A1329" s="18" t="s">
        <v>2559</v>
      </c>
      <c r="B1329" s="18" t="s">
        <v>229</v>
      </c>
      <c r="C1329" s="18" t="s">
        <v>229</v>
      </c>
      <c r="D1329" s="14" t="s">
        <v>540</v>
      </c>
      <c r="E1329" s="18" t="s">
        <v>9</v>
      </c>
      <c r="F1329" s="14" t="s">
        <v>2560</v>
      </c>
      <c r="G1329" s="14" t="s">
        <v>518</v>
      </c>
      <c r="H1329" s="18" t="s">
        <v>5</v>
      </c>
      <c r="I1329" s="14" t="s">
        <v>115</v>
      </c>
      <c r="J1329" s="14"/>
      <c r="K1329" s="18" t="s">
        <v>643</v>
      </c>
      <c r="L1329" s="14"/>
      <c r="M1329" s="14">
        <v>2</v>
      </c>
      <c r="N1329" s="15">
        <v>73729</v>
      </c>
      <c r="O1329" s="15">
        <f t="shared" si="49"/>
        <v>147458</v>
      </c>
      <c r="P1329" s="15"/>
      <c r="Q1329" s="14" t="s">
        <v>520</v>
      </c>
      <c r="R1329" s="25">
        <v>45503</v>
      </c>
      <c r="S1329" s="22" t="str">
        <f>TEXT(Table1[[#This Row],[End Date]],"MMMM")</f>
        <v>July</v>
      </c>
      <c r="T1329" s="23" t="str">
        <f>TEXT(Table1[[#This Row],[End Date]],"YYYY")</f>
        <v>2024</v>
      </c>
      <c r="U1329" s="24">
        <f t="shared" ca="1" si="48"/>
        <v>-370</v>
      </c>
      <c r="V1329" s="14" t="str" cm="1">
        <f t="array" aca="1" ref="V1329" ca="1">_xlfn.IFS(Table1[[#This Row],[Agreement Days]]&gt;=0,"Expired",Table1[[#This Row],[Agreement Days]]&gt;=-30,"Expires &lt; 30 Days",Table1[[#This Row],[Agreement Days]]&gt;=-60,"Expires &lt; 60 Days",Table1[[#This Row],[Agreement Days]]&lt;-60,"Valid Contract")</f>
        <v>Valid Contract</v>
      </c>
      <c r="W1329" s="14" t="s">
        <v>19</v>
      </c>
      <c r="X1329" s="14" t="s">
        <v>2562</v>
      </c>
      <c r="Y1329" s="43" t="s">
        <v>2563</v>
      </c>
      <c r="Z1329" s="27">
        <v>788550130</v>
      </c>
      <c r="AA1329" s="17"/>
      <c r="AB1329" s="116"/>
      <c r="AC1329" s="116"/>
    </row>
    <row r="1330" spans="1:29" hidden="1" x14ac:dyDescent="0.3">
      <c r="A1330" s="18" t="s">
        <v>2559</v>
      </c>
      <c r="B1330" s="18" t="s">
        <v>229</v>
      </c>
      <c r="C1330" s="18" t="s">
        <v>229</v>
      </c>
      <c r="D1330" s="14" t="s">
        <v>540</v>
      </c>
      <c r="E1330" s="18" t="s">
        <v>9</v>
      </c>
      <c r="F1330" s="14" t="s">
        <v>2560</v>
      </c>
      <c r="G1330" s="14" t="s">
        <v>518</v>
      </c>
      <c r="H1330" s="18" t="s">
        <v>5</v>
      </c>
      <c r="I1330" s="14" t="s">
        <v>115</v>
      </c>
      <c r="J1330" s="14"/>
      <c r="K1330" s="18" t="s">
        <v>573</v>
      </c>
      <c r="L1330" s="14"/>
      <c r="M1330" s="14">
        <v>4</v>
      </c>
      <c r="N1330" s="15">
        <v>19491.53</v>
      </c>
      <c r="O1330" s="15">
        <f t="shared" si="49"/>
        <v>77966.12</v>
      </c>
      <c r="P1330" s="15"/>
      <c r="Q1330" s="14" t="s">
        <v>520</v>
      </c>
      <c r="R1330" s="25">
        <v>45503</v>
      </c>
      <c r="S1330" s="22" t="str">
        <f>TEXT(Table1[[#This Row],[End Date]],"MMMM")</f>
        <v>July</v>
      </c>
      <c r="T1330" s="23" t="str">
        <f>TEXT(Table1[[#This Row],[End Date]],"YYYY")</f>
        <v>2024</v>
      </c>
      <c r="U1330" s="24">
        <f t="shared" ca="1" si="48"/>
        <v>-370</v>
      </c>
      <c r="V1330" s="14" t="str" cm="1">
        <f t="array" aca="1" ref="V1330" ca="1">_xlfn.IFS(Table1[[#This Row],[Agreement Days]]&gt;=0,"Expired",Table1[[#This Row],[Agreement Days]]&gt;=-30,"Expires &lt; 30 Days",Table1[[#This Row],[Agreement Days]]&gt;=-60,"Expires &lt; 60 Days",Table1[[#This Row],[Agreement Days]]&lt;-60,"Valid Contract")</f>
        <v>Valid Contract</v>
      </c>
      <c r="W1330" s="14" t="s">
        <v>19</v>
      </c>
      <c r="X1330" s="14" t="s">
        <v>2562</v>
      </c>
      <c r="Y1330" s="43" t="s">
        <v>2563</v>
      </c>
      <c r="Z1330" s="27">
        <v>788550130</v>
      </c>
      <c r="AA1330" s="17"/>
      <c r="AB1330" s="116"/>
      <c r="AC1330" s="116"/>
    </row>
    <row r="1331" spans="1:29" hidden="1" x14ac:dyDescent="0.3">
      <c r="A1331" s="18" t="s">
        <v>2559</v>
      </c>
      <c r="B1331" s="18" t="s">
        <v>229</v>
      </c>
      <c r="C1331" s="18" t="s">
        <v>229</v>
      </c>
      <c r="D1331" s="14" t="s">
        <v>540</v>
      </c>
      <c r="E1331" s="18" t="s">
        <v>9</v>
      </c>
      <c r="F1331" s="14" t="s">
        <v>2560</v>
      </c>
      <c r="G1331" s="14" t="s">
        <v>518</v>
      </c>
      <c r="H1331" s="18" t="s">
        <v>5</v>
      </c>
      <c r="I1331" s="14" t="s">
        <v>115</v>
      </c>
      <c r="J1331" s="14"/>
      <c r="K1331" s="18" t="s">
        <v>1246</v>
      </c>
      <c r="L1331" s="14"/>
      <c r="M1331" s="14">
        <v>4</v>
      </c>
      <c r="N1331" s="15">
        <v>216949.15</v>
      </c>
      <c r="O1331" s="15">
        <f t="shared" si="49"/>
        <v>867796.6</v>
      </c>
      <c r="P1331" s="15"/>
      <c r="Q1331" s="14" t="s">
        <v>520</v>
      </c>
      <c r="R1331" s="25">
        <v>45503</v>
      </c>
      <c r="S1331" s="22" t="str">
        <f>TEXT(Table1[[#This Row],[End Date]],"MMMM")</f>
        <v>July</v>
      </c>
      <c r="T1331" s="23" t="str">
        <f>TEXT(Table1[[#This Row],[End Date]],"YYYY")</f>
        <v>2024</v>
      </c>
      <c r="U1331" s="24">
        <f t="shared" ca="1" si="48"/>
        <v>-370</v>
      </c>
      <c r="V1331" s="14" t="str" cm="1">
        <f t="array" aca="1" ref="V1331" ca="1">_xlfn.IFS(Table1[[#This Row],[Agreement Days]]&gt;=0,"Expired",Table1[[#This Row],[Agreement Days]]&gt;=-30,"Expires &lt; 30 Days",Table1[[#This Row],[Agreement Days]]&gt;=-60,"Expires &lt; 60 Days",Table1[[#This Row],[Agreement Days]]&lt;-60,"Valid Contract")</f>
        <v>Valid Contract</v>
      </c>
      <c r="W1331" s="14" t="s">
        <v>19</v>
      </c>
      <c r="X1331" s="14" t="s">
        <v>2562</v>
      </c>
      <c r="Y1331" s="43" t="s">
        <v>2563</v>
      </c>
      <c r="Z1331" s="27">
        <v>788550130</v>
      </c>
      <c r="AA1331" s="17"/>
      <c r="AB1331" s="116"/>
      <c r="AC1331" s="116"/>
    </row>
    <row r="1332" spans="1:29" x14ac:dyDescent="0.3">
      <c r="A1332" s="18" t="s">
        <v>1554</v>
      </c>
      <c r="B1332" s="18" t="s">
        <v>169</v>
      </c>
      <c r="C1332" s="18" t="s">
        <v>2564</v>
      </c>
      <c r="D1332" s="14" t="s">
        <v>545</v>
      </c>
      <c r="E1332" s="18" t="s">
        <v>10</v>
      </c>
      <c r="F1332" s="14" t="s">
        <v>527</v>
      </c>
      <c r="G1332" s="14" t="s">
        <v>518</v>
      </c>
      <c r="H1332" s="18" t="s">
        <v>2</v>
      </c>
      <c r="I1332" s="14" t="s">
        <v>131</v>
      </c>
      <c r="J1332" s="14"/>
      <c r="K1332" s="14" t="s">
        <v>2565</v>
      </c>
      <c r="L1332" s="14"/>
      <c r="M1332" s="14">
        <v>1</v>
      </c>
      <c r="N1332" s="15">
        <f>197500/1.18</f>
        <v>167372.88135593222</v>
      </c>
      <c r="O1332" s="15">
        <f t="shared" si="49"/>
        <v>167372.88135593222</v>
      </c>
      <c r="P1332" s="15"/>
      <c r="Q1332" s="14" t="s">
        <v>520</v>
      </c>
      <c r="R1332" s="25">
        <v>45503</v>
      </c>
      <c r="S1332" s="22" t="str">
        <f>TEXT(Table1[[#This Row],[End Date]],"MMMM")</f>
        <v>July</v>
      </c>
      <c r="T1332" s="23" t="str">
        <f>TEXT(Table1[[#This Row],[End Date]],"YYYY")</f>
        <v>2024</v>
      </c>
      <c r="U1332" s="24">
        <f t="shared" ca="1" si="48"/>
        <v>-370</v>
      </c>
      <c r="V1332" s="14" t="str" cm="1">
        <f t="array" aca="1" ref="V1332" ca="1">_xlfn.IFS(Table1[[#This Row],[Agreement Days]]&gt;=0,"Expired",Table1[[#This Row],[Agreement Days]]&gt;=-30,"Expires &lt; 30 Days",Table1[[#This Row],[Agreement Days]]&gt;=-60,"Expires &lt; 60 Days",Table1[[#This Row],[Agreement Days]]&lt;-60,"Valid Contract")</f>
        <v>Valid Contract</v>
      </c>
      <c r="W1332" s="14" t="s">
        <v>12</v>
      </c>
      <c r="X1332" s="14" t="s">
        <v>1556</v>
      </c>
      <c r="Y1332" s="16" t="s">
        <v>1557</v>
      </c>
      <c r="Z1332" s="27" t="s">
        <v>1558</v>
      </c>
      <c r="AA1332" s="17" t="s">
        <v>2566</v>
      </c>
      <c r="AB1332" s="116"/>
      <c r="AC1332" s="116"/>
    </row>
    <row r="1333" spans="1:29" x14ac:dyDescent="0.3">
      <c r="A1333" s="18" t="s">
        <v>1554</v>
      </c>
      <c r="B1333" s="18" t="s">
        <v>169</v>
      </c>
      <c r="C1333" s="18" t="s">
        <v>2564</v>
      </c>
      <c r="D1333" s="14" t="s">
        <v>545</v>
      </c>
      <c r="E1333" s="18" t="s">
        <v>10</v>
      </c>
      <c r="F1333" s="14" t="s">
        <v>527</v>
      </c>
      <c r="G1333" s="14" t="s">
        <v>518</v>
      </c>
      <c r="H1333" s="18" t="s">
        <v>2</v>
      </c>
      <c r="I1333" s="14" t="s">
        <v>131</v>
      </c>
      <c r="J1333" s="14"/>
      <c r="K1333" s="14" t="s">
        <v>2567</v>
      </c>
      <c r="L1333" s="14"/>
      <c r="M1333" s="14">
        <v>1</v>
      </c>
      <c r="N1333" s="15">
        <f>118590/1.18</f>
        <v>100500</v>
      </c>
      <c r="O1333" s="15">
        <f t="shared" si="49"/>
        <v>100500</v>
      </c>
      <c r="P1333" s="15"/>
      <c r="Q1333" s="14" t="s">
        <v>520</v>
      </c>
      <c r="R1333" s="25">
        <v>45503</v>
      </c>
      <c r="S1333" s="22" t="str">
        <f>TEXT(Table1[[#This Row],[End Date]],"MMMM")</f>
        <v>July</v>
      </c>
      <c r="T1333" s="23" t="str">
        <f>TEXT(Table1[[#This Row],[End Date]],"YYYY")</f>
        <v>2024</v>
      </c>
      <c r="U1333" s="24">
        <f t="shared" ca="1" si="48"/>
        <v>-370</v>
      </c>
      <c r="V1333" s="14" t="str" cm="1">
        <f t="array" aca="1" ref="V1333" ca="1">_xlfn.IFS(Table1[[#This Row],[Agreement Days]]&gt;=0,"Expired",Table1[[#This Row],[Agreement Days]]&gt;=-30,"Expires &lt; 30 Days",Table1[[#This Row],[Agreement Days]]&gt;=-60,"Expires &lt; 60 Days",Table1[[#This Row],[Agreement Days]]&lt;-60,"Valid Contract")</f>
        <v>Valid Contract</v>
      </c>
      <c r="W1333" s="14" t="s">
        <v>12</v>
      </c>
      <c r="X1333" s="14" t="s">
        <v>1556</v>
      </c>
      <c r="Y1333" s="16" t="s">
        <v>1557</v>
      </c>
      <c r="Z1333" s="27" t="s">
        <v>1558</v>
      </c>
      <c r="AA1333" s="17" t="s">
        <v>2566</v>
      </c>
      <c r="AB1333" s="116"/>
      <c r="AC1333" s="116"/>
    </row>
    <row r="1334" spans="1:29" hidden="1" x14ac:dyDescent="0.3">
      <c r="A1334" s="18" t="s">
        <v>2568</v>
      </c>
      <c r="B1334" s="18" t="s">
        <v>332</v>
      </c>
      <c r="C1334" s="18" t="s">
        <v>2569</v>
      </c>
      <c r="D1334" s="14" t="s">
        <v>526</v>
      </c>
      <c r="E1334" s="18" t="s">
        <v>9</v>
      </c>
      <c r="F1334" s="14" t="s">
        <v>688</v>
      </c>
      <c r="G1334" s="14" t="s">
        <v>518</v>
      </c>
      <c r="H1334" s="18" t="s">
        <v>5</v>
      </c>
      <c r="I1334" s="14" t="s">
        <v>117</v>
      </c>
      <c r="J1334" s="14">
        <v>15</v>
      </c>
      <c r="K1334" s="18" t="s">
        <v>899</v>
      </c>
      <c r="L1334" s="18"/>
      <c r="M1334" s="14">
        <v>1</v>
      </c>
      <c r="N1334" s="15">
        <f>849600/1.18</f>
        <v>720000</v>
      </c>
      <c r="O1334" s="15">
        <f t="shared" si="49"/>
        <v>720000</v>
      </c>
      <c r="P1334" s="15"/>
      <c r="Q1334" s="14" t="s">
        <v>520</v>
      </c>
      <c r="R1334" s="25">
        <v>45504</v>
      </c>
      <c r="S1334" s="34" t="str">
        <f>TEXT(Table1[[#This Row],[End Date]],"MMMM")</f>
        <v>July</v>
      </c>
      <c r="T1334" s="34" t="str">
        <f>TEXT(Table1[[#This Row],[End Date]],"YYYY")</f>
        <v>2024</v>
      </c>
      <c r="U1334" s="24">
        <f t="shared" ca="1" si="48"/>
        <v>-371</v>
      </c>
      <c r="V1334" s="14" t="str" cm="1">
        <f t="array" aca="1" ref="V1334" ca="1">_xlfn.IFS(Table1[[#This Row],[Agreement Days]]&gt;=0,"Expired",Table1[[#This Row],[Agreement Days]]&gt;=-30,"Expires &lt; 30 Days",Table1[[#This Row],[Agreement Days]]&gt;=-60,"Expires &lt; 60 Days",Table1[[#This Row],[Agreement Days]]&lt;-60,"Valid Contract")</f>
        <v>Valid Contract</v>
      </c>
      <c r="W1334" s="18" t="s">
        <v>21</v>
      </c>
      <c r="X1334" s="18" t="s">
        <v>2570</v>
      </c>
      <c r="Y1334" s="42" t="s">
        <v>2571</v>
      </c>
      <c r="Z1334" s="27">
        <v>788682880</v>
      </c>
      <c r="AA1334" s="27"/>
      <c r="AB1334" s="116"/>
      <c r="AC1334" s="116"/>
    </row>
    <row r="1335" spans="1:29" hidden="1" x14ac:dyDescent="0.3">
      <c r="A1335" s="18" t="s">
        <v>2572</v>
      </c>
      <c r="B1335" s="18" t="s">
        <v>300</v>
      </c>
      <c r="C1335" s="18" t="s">
        <v>2573</v>
      </c>
      <c r="D1335" s="14" t="s">
        <v>545</v>
      </c>
      <c r="E1335" s="18" t="s">
        <v>10</v>
      </c>
      <c r="F1335" s="14" t="s">
        <v>822</v>
      </c>
      <c r="G1335" s="14" t="s">
        <v>518</v>
      </c>
      <c r="H1335" s="18" t="s">
        <v>5</v>
      </c>
      <c r="I1335" s="14" t="s">
        <v>134</v>
      </c>
      <c r="J1335" s="14">
        <v>10</v>
      </c>
      <c r="K1335" s="14" t="s">
        <v>2574</v>
      </c>
      <c r="L1335" s="14"/>
      <c r="M1335" s="14">
        <v>1</v>
      </c>
      <c r="N1335" s="15">
        <v>940500</v>
      </c>
      <c r="O1335" s="15">
        <f t="shared" si="49"/>
        <v>940500</v>
      </c>
      <c r="P1335" s="15"/>
      <c r="Q1335" s="14" t="s">
        <v>520</v>
      </c>
      <c r="R1335" s="25">
        <v>45504</v>
      </c>
      <c r="S1335" s="22" t="str">
        <f>TEXT(Table1[[#This Row],[End Date]],"MMMM")</f>
        <v>July</v>
      </c>
      <c r="T1335" s="23" t="str">
        <f>TEXT(Table1[[#This Row],[End Date]],"YYYY")</f>
        <v>2024</v>
      </c>
      <c r="U1335" s="24">
        <f t="shared" ca="1" si="48"/>
        <v>-371</v>
      </c>
      <c r="V1335" s="14" t="str" cm="1">
        <f t="array" aca="1" ref="V1335" ca="1">_xlfn.IFS(Table1[[#This Row],[Agreement Days]]&gt;=0,"Expired",Table1[[#This Row],[Agreement Days]]&gt;=-30,"Expires &lt; 30 Days",Table1[[#This Row],[Agreement Days]]&gt;=-60,"Expires &lt; 60 Days",Table1[[#This Row],[Agreement Days]]&lt;-60,"Valid Contract")</f>
        <v>Valid Contract</v>
      </c>
      <c r="W1335" s="14" t="s">
        <v>20</v>
      </c>
      <c r="X1335" s="26" t="s">
        <v>2575</v>
      </c>
      <c r="Y1335" s="45" t="s">
        <v>2576</v>
      </c>
      <c r="Z1335" s="27" t="s">
        <v>2577</v>
      </c>
      <c r="AA1335" s="19"/>
      <c r="AB1335" s="116"/>
      <c r="AC1335" s="116"/>
    </row>
    <row r="1336" spans="1:29" hidden="1" x14ac:dyDescent="0.3">
      <c r="A1336" s="18" t="s">
        <v>2578</v>
      </c>
      <c r="B1336" s="18" t="s">
        <v>423</v>
      </c>
      <c r="C1336" s="18" t="s">
        <v>544</v>
      </c>
      <c r="D1336" s="14" t="s">
        <v>653</v>
      </c>
      <c r="E1336" s="18" t="s">
        <v>10</v>
      </c>
      <c r="F1336" s="14" t="s">
        <v>560</v>
      </c>
      <c r="G1336" s="14" t="s">
        <v>518</v>
      </c>
      <c r="H1336" s="18" t="s">
        <v>5</v>
      </c>
      <c r="I1336" s="14" t="s">
        <v>134</v>
      </c>
      <c r="J1336" s="14">
        <v>3</v>
      </c>
      <c r="K1336" s="14" t="s">
        <v>580</v>
      </c>
      <c r="L1336" s="18"/>
      <c r="M1336" s="14">
        <v>1</v>
      </c>
      <c r="N1336" s="15">
        <v>180000</v>
      </c>
      <c r="O1336" s="15">
        <f t="shared" si="49"/>
        <v>180000</v>
      </c>
      <c r="P1336" s="15"/>
      <c r="Q1336" s="14" t="s">
        <v>520</v>
      </c>
      <c r="R1336" s="25">
        <v>45504</v>
      </c>
      <c r="S1336" s="34" t="str">
        <f>TEXT(Table1[[#This Row],[End Date]],"MMMM")</f>
        <v>July</v>
      </c>
      <c r="T1336" s="34" t="str">
        <f>TEXT(Table1[[#This Row],[End Date]],"YYYY")</f>
        <v>2024</v>
      </c>
      <c r="U1336" s="24">
        <f t="shared" ca="1" si="48"/>
        <v>-371</v>
      </c>
      <c r="V1336" s="14" t="str" cm="1">
        <f t="array" aca="1" ref="V1336" ca="1">_xlfn.IFS(Table1[[#This Row],[Agreement Days]]&gt;=0,"Expired",Table1[[#This Row],[Agreement Days]]&gt;=-30,"Expires &lt; 30 Days",Table1[[#This Row],[Agreement Days]]&gt;=-60,"Expires &lt; 60 Days",Table1[[#This Row],[Agreement Days]]&lt;-60,"Valid Contract")</f>
        <v>Valid Contract</v>
      </c>
      <c r="W1336" s="18" t="s">
        <v>18</v>
      </c>
      <c r="X1336" s="18" t="s">
        <v>2579</v>
      </c>
      <c r="Y1336" s="35" t="s">
        <v>2580</v>
      </c>
      <c r="Z1336" s="27" t="s">
        <v>2581</v>
      </c>
      <c r="AA1336" s="36"/>
      <c r="AB1336" s="116"/>
      <c r="AC1336" s="116"/>
    </row>
    <row r="1337" spans="1:29" hidden="1" x14ac:dyDescent="0.3">
      <c r="A1337" s="18" t="s">
        <v>2582</v>
      </c>
      <c r="B1337" s="18" t="s">
        <v>239</v>
      </c>
      <c r="C1337" s="18" t="s">
        <v>2583</v>
      </c>
      <c r="D1337" s="14" t="s">
        <v>653</v>
      </c>
      <c r="E1337" s="18" t="s">
        <v>9</v>
      </c>
      <c r="F1337" s="14" t="s">
        <v>517</v>
      </c>
      <c r="G1337" s="14" t="s">
        <v>518</v>
      </c>
      <c r="H1337" s="18" t="s">
        <v>5</v>
      </c>
      <c r="I1337" s="14" t="s">
        <v>117</v>
      </c>
      <c r="J1337" s="14">
        <v>20</v>
      </c>
      <c r="K1337" s="14" t="s">
        <v>2584</v>
      </c>
      <c r="L1337" s="14"/>
      <c r="M1337" s="14">
        <v>1</v>
      </c>
      <c r="N1337" s="15">
        <v>900000</v>
      </c>
      <c r="O1337" s="15">
        <f t="shared" si="49"/>
        <v>900000</v>
      </c>
      <c r="P1337" s="15"/>
      <c r="Q1337" s="14" t="s">
        <v>520</v>
      </c>
      <c r="R1337" s="25">
        <v>45534</v>
      </c>
      <c r="S1337" s="22" t="str">
        <f>TEXT(Table1[[#This Row],[End Date]],"MMMM")</f>
        <v>August</v>
      </c>
      <c r="T1337" s="23" t="str">
        <f>TEXT(Table1[[#This Row],[End Date]],"YYYY")</f>
        <v>2024</v>
      </c>
      <c r="U1337" s="24">
        <f t="shared" ca="1" si="48"/>
        <v>-401</v>
      </c>
      <c r="V1337" s="14" t="str" cm="1">
        <f t="array" aca="1" ref="V1337" ca="1">_xlfn.IFS(Table1[[#This Row],[Agreement Days]]&gt;=0,"Expired",Table1[[#This Row],[Agreement Days]]&gt;=-30,"Expires &lt; 30 Days",Table1[[#This Row],[Agreement Days]]&gt;=-60,"Expires &lt; 60 Days",Table1[[#This Row],[Agreement Days]]&lt;-60,"Valid Contract")</f>
        <v>Valid Contract</v>
      </c>
      <c r="W1337" s="14" t="s">
        <v>19</v>
      </c>
      <c r="X1337" s="14" t="s">
        <v>2585</v>
      </c>
      <c r="Y1337" s="43" t="s">
        <v>2586</v>
      </c>
      <c r="Z1337" s="27">
        <v>788687073</v>
      </c>
      <c r="AA1337" s="17"/>
      <c r="AB1337" s="116"/>
      <c r="AC1337" s="116"/>
    </row>
    <row r="1338" spans="1:29" hidden="1" x14ac:dyDescent="0.3">
      <c r="A1338" s="18" t="s">
        <v>2582</v>
      </c>
      <c r="B1338" s="18" t="s">
        <v>239</v>
      </c>
      <c r="C1338" s="18" t="s">
        <v>2583</v>
      </c>
      <c r="D1338" s="14" t="s">
        <v>653</v>
      </c>
      <c r="E1338" s="18" t="s">
        <v>9</v>
      </c>
      <c r="F1338" s="14" t="s">
        <v>517</v>
      </c>
      <c r="G1338" s="14" t="s">
        <v>518</v>
      </c>
      <c r="H1338" s="18" t="s">
        <v>5</v>
      </c>
      <c r="I1338" s="14" t="s">
        <v>118</v>
      </c>
      <c r="J1338" s="14"/>
      <c r="K1338" s="14" t="s">
        <v>1020</v>
      </c>
      <c r="L1338" s="14"/>
      <c r="M1338" s="14">
        <v>1</v>
      </c>
      <c r="N1338" s="15">
        <v>369325</v>
      </c>
      <c r="O1338" s="15">
        <f t="shared" si="49"/>
        <v>369325</v>
      </c>
      <c r="P1338" s="15"/>
      <c r="Q1338" s="14" t="s">
        <v>520</v>
      </c>
      <c r="R1338" s="25">
        <v>45534</v>
      </c>
      <c r="S1338" s="22" t="str">
        <f>TEXT(Table1[[#This Row],[End Date]],"MMMM")</f>
        <v>August</v>
      </c>
      <c r="T1338" s="23" t="str">
        <f>TEXT(Table1[[#This Row],[End Date]],"YYYY")</f>
        <v>2024</v>
      </c>
      <c r="U1338" s="24">
        <f t="shared" ca="1" si="48"/>
        <v>-401</v>
      </c>
      <c r="V1338" s="14" t="str" cm="1">
        <f t="array" aca="1" ref="V1338" ca="1">_xlfn.IFS(Table1[[#This Row],[Agreement Days]]&gt;=0,"Expired",Table1[[#This Row],[Agreement Days]]&gt;=-30,"Expires &lt; 30 Days",Table1[[#This Row],[Agreement Days]]&gt;=-60,"Expires &lt; 60 Days",Table1[[#This Row],[Agreement Days]]&lt;-60,"Valid Contract")</f>
        <v>Valid Contract</v>
      </c>
      <c r="W1338" s="14" t="s">
        <v>19</v>
      </c>
      <c r="X1338" s="14" t="s">
        <v>2585</v>
      </c>
      <c r="Y1338" s="43" t="s">
        <v>2586</v>
      </c>
      <c r="Z1338" s="27">
        <v>788687073</v>
      </c>
      <c r="AA1338" s="17"/>
      <c r="AB1338" s="116"/>
      <c r="AC1338" s="116"/>
    </row>
    <row r="1339" spans="1:29" hidden="1" x14ac:dyDescent="0.3">
      <c r="A1339" s="18" t="s">
        <v>2582</v>
      </c>
      <c r="B1339" s="18" t="s">
        <v>239</v>
      </c>
      <c r="C1339" s="18" t="s">
        <v>2583</v>
      </c>
      <c r="D1339" s="14" t="s">
        <v>653</v>
      </c>
      <c r="E1339" s="18" t="s">
        <v>9</v>
      </c>
      <c r="F1339" s="14" t="s">
        <v>517</v>
      </c>
      <c r="G1339" s="14" t="s">
        <v>518</v>
      </c>
      <c r="H1339" s="18" t="s">
        <v>5</v>
      </c>
      <c r="I1339" s="14" t="s">
        <v>115</v>
      </c>
      <c r="J1339" s="14"/>
      <c r="K1339" s="18" t="s">
        <v>657</v>
      </c>
      <c r="L1339" s="14"/>
      <c r="M1339" s="14">
        <v>20</v>
      </c>
      <c r="N1339" s="15">
        <v>45338.98</v>
      </c>
      <c r="O1339" s="15">
        <f t="shared" si="49"/>
        <v>906779.60000000009</v>
      </c>
      <c r="P1339" s="15"/>
      <c r="Q1339" s="14" t="s">
        <v>520</v>
      </c>
      <c r="R1339" s="25">
        <v>45534</v>
      </c>
      <c r="S1339" s="22" t="str">
        <f>TEXT(Table1[[#This Row],[End Date]],"MMMM")</f>
        <v>August</v>
      </c>
      <c r="T1339" s="23" t="str">
        <f>TEXT(Table1[[#This Row],[End Date]],"YYYY")</f>
        <v>2024</v>
      </c>
      <c r="U1339" s="24">
        <f t="shared" ca="1" si="48"/>
        <v>-401</v>
      </c>
      <c r="V1339" s="14" t="str" cm="1">
        <f t="array" aca="1" ref="V1339" ca="1">_xlfn.IFS(Table1[[#This Row],[Agreement Days]]&gt;=0,"Expired",Table1[[#This Row],[Agreement Days]]&gt;=-30,"Expires &lt; 30 Days",Table1[[#This Row],[Agreement Days]]&gt;=-60,"Expires &lt; 60 Days",Table1[[#This Row],[Agreement Days]]&lt;-60,"Valid Contract")</f>
        <v>Valid Contract</v>
      </c>
      <c r="W1339" s="14" t="s">
        <v>19</v>
      </c>
      <c r="X1339" s="14" t="s">
        <v>2585</v>
      </c>
      <c r="Y1339" s="43" t="s">
        <v>2586</v>
      </c>
      <c r="Z1339" s="27">
        <v>788687073</v>
      </c>
      <c r="AA1339" s="17"/>
      <c r="AB1339" s="116"/>
      <c r="AC1339" s="116"/>
    </row>
    <row r="1340" spans="1:29" hidden="1" x14ac:dyDescent="0.3">
      <c r="A1340" s="18" t="s">
        <v>2587</v>
      </c>
      <c r="B1340" s="18" t="s">
        <v>434</v>
      </c>
      <c r="C1340" s="18" t="s">
        <v>544</v>
      </c>
      <c r="D1340" s="18" t="s">
        <v>540</v>
      </c>
      <c r="E1340" s="18" t="s">
        <v>9</v>
      </c>
      <c r="F1340" s="20" t="s">
        <v>822</v>
      </c>
      <c r="G1340" s="20" t="s">
        <v>518</v>
      </c>
      <c r="H1340" s="18" t="s">
        <v>5</v>
      </c>
      <c r="I1340" s="20" t="s">
        <v>115</v>
      </c>
      <c r="J1340" s="20"/>
      <c r="K1340" s="18" t="s">
        <v>642</v>
      </c>
      <c r="L1340" s="18"/>
      <c r="M1340" s="20">
        <v>1</v>
      </c>
      <c r="N1340" s="15">
        <v>101695</v>
      </c>
      <c r="O1340" s="15">
        <f t="shared" si="49"/>
        <v>101695</v>
      </c>
      <c r="P1340" s="15"/>
      <c r="Q1340" s="14" t="s">
        <v>520</v>
      </c>
      <c r="R1340" s="25">
        <v>45535</v>
      </c>
      <c r="S1340" s="22" t="str">
        <f>TEXT(Table1[[#This Row],[End Date]],"MMMM")</f>
        <v>August</v>
      </c>
      <c r="T1340" s="22" t="str">
        <f>TEXT(Table1[[#This Row],[End Date]],"YYYY")</f>
        <v>2024</v>
      </c>
      <c r="U1340" s="24">
        <f t="shared" ca="1" si="48"/>
        <v>-402</v>
      </c>
      <c r="V1340" s="14" t="str" cm="1">
        <f t="array" aca="1" ref="V1340" ca="1">_xlfn.IFS(Table1[[#This Row],[Agreement Days]]&gt;=0,"Expired",Table1[[#This Row],[Agreement Days]]&gt;=-30,"Expires &lt; 30 Days",Table1[[#This Row],[Agreement Days]]&gt;=-60,"Expires &lt; 60 Days",Table1[[#This Row],[Agreement Days]]&lt;-60,"Valid Contract")</f>
        <v>Valid Contract</v>
      </c>
      <c r="W1340" s="18" t="s">
        <v>15</v>
      </c>
      <c r="X1340" s="18" t="s">
        <v>2588</v>
      </c>
      <c r="Y1340" s="42" t="s">
        <v>2589</v>
      </c>
      <c r="Z1340" s="27" t="s">
        <v>2590</v>
      </c>
      <c r="AA1340" s="20"/>
      <c r="AB1340" s="116"/>
      <c r="AC1340" s="116"/>
    </row>
    <row r="1341" spans="1:29" hidden="1" x14ac:dyDescent="0.3">
      <c r="A1341" s="18" t="s">
        <v>2591</v>
      </c>
      <c r="B1341" s="18" t="s">
        <v>25</v>
      </c>
      <c r="C1341" s="18" t="s">
        <v>544</v>
      </c>
      <c r="D1341" s="14" t="s">
        <v>545</v>
      </c>
      <c r="E1341" s="18" t="s">
        <v>10</v>
      </c>
      <c r="F1341" s="14" t="s">
        <v>631</v>
      </c>
      <c r="G1341" s="14" t="s">
        <v>546</v>
      </c>
      <c r="H1341" s="18" t="s">
        <v>2</v>
      </c>
      <c r="I1341" s="14" t="s">
        <v>134</v>
      </c>
      <c r="J1341" s="14">
        <v>150</v>
      </c>
      <c r="K1341" s="18" t="s">
        <v>2592</v>
      </c>
      <c r="L1341" s="18"/>
      <c r="M1341" s="14">
        <v>1</v>
      </c>
      <c r="N1341" s="15">
        <f>5286990/1.18</f>
        <v>4480500</v>
      </c>
      <c r="O1341" s="15">
        <f t="shared" si="49"/>
        <v>4480500</v>
      </c>
      <c r="P1341" s="15"/>
      <c r="Q1341" s="14" t="s">
        <v>520</v>
      </c>
      <c r="R1341" s="25">
        <v>45535</v>
      </c>
      <c r="S1341" s="34" t="str">
        <f>TEXT(Table1[[#This Row],[End Date]],"MMMM")</f>
        <v>August</v>
      </c>
      <c r="T1341" s="34" t="str">
        <f>TEXT(Table1[[#This Row],[End Date]],"YYYY")</f>
        <v>2024</v>
      </c>
      <c r="U1341" s="24">
        <f t="shared" ca="1" si="48"/>
        <v>-402</v>
      </c>
      <c r="V1341" s="14" t="str" cm="1">
        <f t="array" aca="1" ref="V1341" ca="1">_xlfn.IFS(Table1[[#This Row],[Agreement Days]]&gt;=0,"Expired",Table1[[#This Row],[Agreement Days]]&gt;=-30,"Expires &lt; 30 Days",Table1[[#This Row],[Agreement Days]]&gt;=-60,"Expires &lt; 60 Days",Table1[[#This Row],[Agreement Days]]&lt;-60,"Valid Contract")</f>
        <v>Valid Contract</v>
      </c>
      <c r="W1341" s="18" t="s">
        <v>18</v>
      </c>
      <c r="X1341" s="18" t="s">
        <v>2593</v>
      </c>
      <c r="Y1341" s="35" t="s">
        <v>2594</v>
      </c>
      <c r="Z1341" s="27" t="s">
        <v>2595</v>
      </c>
      <c r="AA1341" s="36"/>
      <c r="AB1341" s="116"/>
      <c r="AC1341" s="116"/>
    </row>
    <row r="1342" spans="1:29" hidden="1" x14ac:dyDescent="0.3">
      <c r="A1342" s="18" t="s">
        <v>2596</v>
      </c>
      <c r="B1342" s="18" t="s">
        <v>418</v>
      </c>
      <c r="C1342" s="18" t="s">
        <v>544</v>
      </c>
      <c r="D1342" s="18" t="s">
        <v>540</v>
      </c>
      <c r="E1342" s="18" t="s">
        <v>9</v>
      </c>
      <c r="F1342" s="20" t="s">
        <v>822</v>
      </c>
      <c r="G1342" s="20" t="s">
        <v>518</v>
      </c>
      <c r="H1342" s="18" t="s">
        <v>5</v>
      </c>
      <c r="I1342" s="20" t="s">
        <v>115</v>
      </c>
      <c r="J1342" s="20"/>
      <c r="K1342" s="18" t="s">
        <v>642</v>
      </c>
      <c r="L1342" s="18"/>
      <c r="M1342" s="20">
        <v>1</v>
      </c>
      <c r="N1342" s="15">
        <v>101695</v>
      </c>
      <c r="O1342" s="15">
        <f t="shared" si="49"/>
        <v>101695</v>
      </c>
      <c r="P1342" s="15"/>
      <c r="Q1342" s="14" t="s">
        <v>520</v>
      </c>
      <c r="R1342" s="25">
        <v>45535</v>
      </c>
      <c r="S1342" s="22" t="str">
        <f>TEXT(Table1[[#This Row],[End Date]],"MMMM")</f>
        <v>August</v>
      </c>
      <c r="T1342" s="22" t="str">
        <f>TEXT(Table1[[#This Row],[End Date]],"YYYY")</f>
        <v>2024</v>
      </c>
      <c r="U1342" s="24">
        <f t="shared" ca="1" si="48"/>
        <v>-402</v>
      </c>
      <c r="V1342" s="14" t="str" cm="1">
        <f t="array" aca="1" ref="V1342" ca="1">_xlfn.IFS(Table1[[#This Row],[Agreement Days]]&gt;=0,"Expired",Table1[[#This Row],[Agreement Days]]&gt;=-30,"Expires &lt; 30 Days",Table1[[#This Row],[Agreement Days]]&gt;=-60,"Expires &lt; 60 Days",Table1[[#This Row],[Agreement Days]]&lt;-60,"Valid Contract")</f>
        <v>Valid Contract</v>
      </c>
      <c r="W1342" s="18" t="s">
        <v>15</v>
      </c>
      <c r="X1342" s="18" t="s">
        <v>2597</v>
      </c>
      <c r="Y1342" s="42" t="s">
        <v>2598</v>
      </c>
      <c r="Z1342" s="27" t="s">
        <v>2599</v>
      </c>
      <c r="AA1342" s="20"/>
      <c r="AB1342" s="116"/>
      <c r="AC1342" s="116"/>
    </row>
    <row r="1343" spans="1:29" hidden="1" x14ac:dyDescent="0.3">
      <c r="A1343" s="18" t="s">
        <v>2596</v>
      </c>
      <c r="B1343" s="18" t="s">
        <v>418</v>
      </c>
      <c r="C1343" s="18" t="s">
        <v>544</v>
      </c>
      <c r="D1343" s="18" t="s">
        <v>540</v>
      </c>
      <c r="E1343" s="18" t="s">
        <v>9</v>
      </c>
      <c r="F1343" s="20" t="s">
        <v>822</v>
      </c>
      <c r="G1343" s="20" t="s">
        <v>518</v>
      </c>
      <c r="H1343" s="18" t="s">
        <v>5</v>
      </c>
      <c r="I1343" s="20" t="s">
        <v>115</v>
      </c>
      <c r="J1343" s="20"/>
      <c r="K1343" s="18" t="s">
        <v>651</v>
      </c>
      <c r="L1343" s="18"/>
      <c r="M1343" s="20">
        <v>1</v>
      </c>
      <c r="N1343" s="15">
        <v>81356</v>
      </c>
      <c r="O1343" s="15">
        <f t="shared" si="49"/>
        <v>81356</v>
      </c>
      <c r="P1343" s="15"/>
      <c r="Q1343" s="14" t="s">
        <v>520</v>
      </c>
      <c r="R1343" s="25">
        <v>45535</v>
      </c>
      <c r="S1343" s="22" t="str">
        <f>TEXT(Table1[[#This Row],[End Date]],"MMMM")</f>
        <v>August</v>
      </c>
      <c r="T1343" s="22" t="str">
        <f>TEXT(Table1[[#This Row],[End Date]],"YYYY")</f>
        <v>2024</v>
      </c>
      <c r="U1343" s="24">
        <f t="shared" ca="1" si="48"/>
        <v>-402</v>
      </c>
      <c r="V1343" s="14" t="str" cm="1">
        <f t="array" aca="1" ref="V1343" ca="1">_xlfn.IFS(Table1[[#This Row],[Agreement Days]]&gt;=0,"Expired",Table1[[#This Row],[Agreement Days]]&gt;=-30,"Expires &lt; 30 Days",Table1[[#This Row],[Agreement Days]]&gt;=-60,"Expires &lt; 60 Days",Table1[[#This Row],[Agreement Days]]&lt;-60,"Valid Contract")</f>
        <v>Valid Contract</v>
      </c>
      <c r="W1343" s="18" t="s">
        <v>15</v>
      </c>
      <c r="X1343" s="18" t="s">
        <v>2597</v>
      </c>
      <c r="Y1343" s="42" t="s">
        <v>2598</v>
      </c>
      <c r="Z1343" s="27" t="s">
        <v>2599</v>
      </c>
      <c r="AA1343" s="20"/>
      <c r="AB1343" s="116"/>
      <c r="AC1343" s="116"/>
    </row>
    <row r="1344" spans="1:29" hidden="1" x14ac:dyDescent="0.3">
      <c r="A1344" s="18" t="s">
        <v>2600</v>
      </c>
      <c r="B1344" s="18" t="s">
        <v>439</v>
      </c>
      <c r="C1344" s="18" t="s">
        <v>544</v>
      </c>
      <c r="D1344" s="18" t="s">
        <v>545</v>
      </c>
      <c r="E1344" s="18" t="s">
        <v>10</v>
      </c>
      <c r="F1344" s="20" t="s">
        <v>688</v>
      </c>
      <c r="G1344" s="20" t="s">
        <v>518</v>
      </c>
      <c r="H1344" s="18" t="s">
        <v>5</v>
      </c>
      <c r="I1344" s="20" t="s">
        <v>115</v>
      </c>
      <c r="J1344" s="20"/>
      <c r="K1344" s="18" t="s">
        <v>642</v>
      </c>
      <c r="L1344" s="18"/>
      <c r="M1344" s="20">
        <v>1</v>
      </c>
      <c r="N1344" s="15">
        <v>101695</v>
      </c>
      <c r="O1344" s="15">
        <f t="shared" si="49"/>
        <v>101695</v>
      </c>
      <c r="P1344" s="15"/>
      <c r="Q1344" s="14" t="s">
        <v>520</v>
      </c>
      <c r="R1344" s="25">
        <v>45535</v>
      </c>
      <c r="S1344" s="22" t="str">
        <f>TEXT(Table1[[#This Row],[End Date]],"MMMM")</f>
        <v>August</v>
      </c>
      <c r="T1344" s="22" t="str">
        <f>TEXT(Table1[[#This Row],[End Date]],"YYYY")</f>
        <v>2024</v>
      </c>
      <c r="U1344" s="24">
        <f t="shared" ca="1" si="48"/>
        <v>-402</v>
      </c>
      <c r="V1344" s="14" t="str" cm="1">
        <f t="array" aca="1" ref="V1344" ca="1">_xlfn.IFS(Table1[[#This Row],[Agreement Days]]&gt;=0,"Expired",Table1[[#This Row],[Agreement Days]]&gt;=-30,"Expires &lt; 30 Days",Table1[[#This Row],[Agreement Days]]&gt;=-60,"Expires &lt; 60 Days",Table1[[#This Row],[Agreement Days]]&lt;-60,"Valid Contract")</f>
        <v>Valid Contract</v>
      </c>
      <c r="W1344" s="18" t="s">
        <v>15</v>
      </c>
      <c r="X1344" s="18" t="s">
        <v>2601</v>
      </c>
      <c r="Y1344" s="39" t="s">
        <v>2602</v>
      </c>
      <c r="Z1344" s="27" t="s">
        <v>2603</v>
      </c>
      <c r="AA1344" s="20"/>
      <c r="AB1344" s="116"/>
      <c r="AC1344" s="116"/>
    </row>
    <row r="1345" spans="1:29" hidden="1" x14ac:dyDescent="0.3">
      <c r="A1345" s="18" t="s">
        <v>2604</v>
      </c>
      <c r="B1345" s="18" t="s">
        <v>427</v>
      </c>
      <c r="C1345" s="18" t="s">
        <v>427</v>
      </c>
      <c r="D1345" s="14" t="s">
        <v>545</v>
      </c>
      <c r="E1345" s="18" t="s">
        <v>10</v>
      </c>
      <c r="F1345" s="14" t="s">
        <v>560</v>
      </c>
      <c r="G1345" s="14" t="s">
        <v>518</v>
      </c>
      <c r="H1345" s="18" t="s">
        <v>2</v>
      </c>
      <c r="I1345" s="14" t="s">
        <v>123</v>
      </c>
      <c r="J1345" s="14"/>
      <c r="K1345" s="14" t="s">
        <v>1402</v>
      </c>
      <c r="L1345" s="14"/>
      <c r="M1345" s="14">
        <v>1</v>
      </c>
      <c r="N1345" s="15">
        <v>15450.85</v>
      </c>
      <c r="O1345" s="15">
        <f t="shared" si="49"/>
        <v>15450.85</v>
      </c>
      <c r="P1345" s="15"/>
      <c r="Q1345" s="14" t="s">
        <v>520</v>
      </c>
      <c r="R1345" s="25">
        <v>45535</v>
      </c>
      <c r="S1345" s="22" t="str">
        <f>TEXT(Table1[[#This Row],[End Date]],"MMMM")</f>
        <v>August</v>
      </c>
      <c r="T1345" s="23" t="str">
        <f>TEXT(Table1[[#This Row],[End Date]],"YYYY")</f>
        <v>2024</v>
      </c>
      <c r="U1345" s="24">
        <f t="shared" ca="1" si="48"/>
        <v>-402</v>
      </c>
      <c r="V1345" s="14" t="str" cm="1">
        <f t="array" aca="1" ref="V1345" ca="1">_xlfn.IFS(Table1[[#This Row],[Agreement Days]]&gt;=0,"Expired",Table1[[#This Row],[Agreement Days]]&gt;=-30,"Expires &lt; 30 Days",Table1[[#This Row],[Agreement Days]]&gt;=-60,"Expires &lt; 60 Days",Table1[[#This Row],[Agreement Days]]&lt;-60,"Valid Contract")</f>
        <v>Valid Contract</v>
      </c>
      <c r="W1345" s="14" t="s">
        <v>20</v>
      </c>
      <c r="X1345" s="55" t="s">
        <v>2605</v>
      </c>
      <c r="Y1345" s="16" t="s">
        <v>2606</v>
      </c>
      <c r="Z1345" s="27" t="s">
        <v>2607</v>
      </c>
      <c r="AA1345" s="19"/>
      <c r="AB1345" s="116"/>
      <c r="AC1345" s="116"/>
    </row>
    <row r="1346" spans="1:29" hidden="1" x14ac:dyDescent="0.3">
      <c r="A1346" s="18" t="s">
        <v>2604</v>
      </c>
      <c r="B1346" s="18" t="s">
        <v>427</v>
      </c>
      <c r="C1346" s="18" t="s">
        <v>427</v>
      </c>
      <c r="D1346" s="14" t="s">
        <v>545</v>
      </c>
      <c r="E1346" s="18" t="s">
        <v>10</v>
      </c>
      <c r="F1346" s="14" t="s">
        <v>560</v>
      </c>
      <c r="G1346" s="14" t="s">
        <v>518</v>
      </c>
      <c r="H1346" s="18" t="s">
        <v>2</v>
      </c>
      <c r="I1346" s="14" t="s">
        <v>123</v>
      </c>
      <c r="J1346" s="14"/>
      <c r="K1346" s="14" t="s">
        <v>1100</v>
      </c>
      <c r="L1346" s="14"/>
      <c r="M1346" s="14">
        <v>1</v>
      </c>
      <c r="N1346" s="15">
        <v>53563</v>
      </c>
      <c r="O1346" s="15">
        <f t="shared" si="49"/>
        <v>53563</v>
      </c>
      <c r="P1346" s="15"/>
      <c r="Q1346" s="14" t="s">
        <v>520</v>
      </c>
      <c r="R1346" s="25">
        <v>45535</v>
      </c>
      <c r="S1346" s="22" t="str">
        <f>TEXT(Table1[[#This Row],[End Date]],"MMMM")</f>
        <v>August</v>
      </c>
      <c r="T1346" s="23" t="str">
        <f>TEXT(Table1[[#This Row],[End Date]],"YYYY")</f>
        <v>2024</v>
      </c>
      <c r="U1346" s="24">
        <f t="shared" ca="1" si="48"/>
        <v>-402</v>
      </c>
      <c r="V1346" s="14" t="str" cm="1">
        <f t="array" aca="1" ref="V1346" ca="1">_xlfn.IFS(Table1[[#This Row],[Agreement Days]]&gt;=0,"Expired",Table1[[#This Row],[Agreement Days]]&gt;=-30,"Expires &lt; 30 Days",Table1[[#This Row],[Agreement Days]]&gt;=-60,"Expires &lt; 60 Days",Table1[[#This Row],[Agreement Days]]&lt;-60,"Valid Contract")</f>
        <v>Valid Contract</v>
      </c>
      <c r="W1346" s="14" t="s">
        <v>20</v>
      </c>
      <c r="X1346" s="55" t="s">
        <v>2605</v>
      </c>
      <c r="Y1346" s="16" t="s">
        <v>2606</v>
      </c>
      <c r="Z1346" s="27" t="s">
        <v>2607</v>
      </c>
      <c r="AA1346" s="19"/>
      <c r="AB1346" s="116"/>
      <c r="AC1346" s="116"/>
    </row>
    <row r="1347" spans="1:29" hidden="1" x14ac:dyDescent="0.3">
      <c r="A1347" s="18" t="s">
        <v>2604</v>
      </c>
      <c r="B1347" s="18" t="s">
        <v>427</v>
      </c>
      <c r="C1347" s="18" t="s">
        <v>427</v>
      </c>
      <c r="D1347" s="14" t="s">
        <v>545</v>
      </c>
      <c r="E1347" s="18" t="s">
        <v>10</v>
      </c>
      <c r="F1347" s="14" t="s">
        <v>560</v>
      </c>
      <c r="G1347" s="14" t="s">
        <v>518</v>
      </c>
      <c r="H1347" s="18" t="s">
        <v>2</v>
      </c>
      <c r="I1347" s="14" t="s">
        <v>123</v>
      </c>
      <c r="J1347" s="14"/>
      <c r="K1347" s="14" t="s">
        <v>2608</v>
      </c>
      <c r="L1347" s="14"/>
      <c r="M1347" s="14">
        <v>3</v>
      </c>
      <c r="N1347" s="15">
        <v>31510</v>
      </c>
      <c r="O1347" s="15">
        <f t="shared" si="49"/>
        <v>94530</v>
      </c>
      <c r="P1347" s="15"/>
      <c r="Q1347" s="14" t="s">
        <v>520</v>
      </c>
      <c r="R1347" s="25">
        <v>45535</v>
      </c>
      <c r="S1347" s="22" t="str">
        <f>TEXT(Table1[[#This Row],[End Date]],"MMMM")</f>
        <v>August</v>
      </c>
      <c r="T1347" s="23" t="str">
        <f>TEXT(Table1[[#This Row],[End Date]],"YYYY")</f>
        <v>2024</v>
      </c>
      <c r="U1347" s="24">
        <f t="shared" ca="1" si="48"/>
        <v>-402</v>
      </c>
      <c r="V1347" s="14" t="str" cm="1">
        <f t="array" aca="1" ref="V1347" ca="1">_xlfn.IFS(Table1[[#This Row],[Agreement Days]]&gt;=0,"Expired",Table1[[#This Row],[Agreement Days]]&gt;=-30,"Expires &lt; 30 Days",Table1[[#This Row],[Agreement Days]]&gt;=-60,"Expires &lt; 60 Days",Table1[[#This Row],[Agreement Days]]&lt;-60,"Valid Contract")</f>
        <v>Valid Contract</v>
      </c>
      <c r="W1347" s="14" t="s">
        <v>20</v>
      </c>
      <c r="X1347" s="55" t="s">
        <v>2605</v>
      </c>
      <c r="Y1347" s="16" t="s">
        <v>2606</v>
      </c>
      <c r="Z1347" s="27" t="s">
        <v>2607</v>
      </c>
      <c r="AA1347" s="19"/>
      <c r="AB1347" s="116"/>
      <c r="AC1347" s="116"/>
    </row>
    <row r="1348" spans="1:29" hidden="1" x14ac:dyDescent="0.3">
      <c r="A1348" s="18" t="s">
        <v>814</v>
      </c>
      <c r="B1348" s="18" t="s">
        <v>214</v>
      </c>
      <c r="C1348" s="18" t="s">
        <v>2609</v>
      </c>
      <c r="D1348" s="14" t="s">
        <v>545</v>
      </c>
      <c r="E1348" s="18" t="s">
        <v>9</v>
      </c>
      <c r="F1348" s="14" t="s">
        <v>601</v>
      </c>
      <c r="G1348" s="14" t="s">
        <v>518</v>
      </c>
      <c r="H1348" s="18" t="s">
        <v>5</v>
      </c>
      <c r="I1348" s="14" t="s">
        <v>117</v>
      </c>
      <c r="J1348" s="14">
        <v>30</v>
      </c>
      <c r="K1348" s="14" t="s">
        <v>694</v>
      </c>
      <c r="L1348" s="14"/>
      <c r="M1348" s="14">
        <v>1</v>
      </c>
      <c r="N1348" s="15">
        <v>1260000</v>
      </c>
      <c r="O1348" s="15">
        <f t="shared" si="49"/>
        <v>1260000</v>
      </c>
      <c r="P1348" s="15"/>
      <c r="Q1348" s="14" t="s">
        <v>520</v>
      </c>
      <c r="R1348" s="25">
        <v>45535</v>
      </c>
      <c r="S1348" s="22" t="str">
        <f>TEXT(Table1[[#This Row],[End Date]],"MMMM")</f>
        <v>August</v>
      </c>
      <c r="T1348" s="23" t="str">
        <f>TEXT(Table1[[#This Row],[End Date]],"YYYY")</f>
        <v>2024</v>
      </c>
      <c r="U1348" s="24">
        <f t="shared" ca="1" si="48"/>
        <v>-402</v>
      </c>
      <c r="V1348" s="14" t="str" cm="1">
        <f t="array" aca="1" ref="V1348" ca="1">_xlfn.IFS(Table1[[#This Row],[Agreement Days]]&gt;=0,"Expired",Table1[[#This Row],[Agreement Days]]&gt;=-30,"Expires &lt; 30 Days",Table1[[#This Row],[Agreement Days]]&gt;=-60,"Expires &lt; 60 Days",Table1[[#This Row],[Agreement Days]]&lt;-60,"Valid Contract")</f>
        <v>Valid Contract</v>
      </c>
      <c r="W1348" s="14" t="s">
        <v>20</v>
      </c>
      <c r="X1348" s="26" t="s">
        <v>2610</v>
      </c>
      <c r="Y1348" s="45" t="s">
        <v>818</v>
      </c>
      <c r="Z1348" s="27" t="s">
        <v>819</v>
      </c>
      <c r="AA1348" s="19"/>
      <c r="AB1348" s="116"/>
      <c r="AC1348" s="116"/>
    </row>
    <row r="1349" spans="1:29" hidden="1" x14ac:dyDescent="0.3">
      <c r="A1349" s="18" t="s">
        <v>2002</v>
      </c>
      <c r="B1349" s="18" t="s">
        <v>385</v>
      </c>
      <c r="C1349" s="18" t="s">
        <v>2003</v>
      </c>
      <c r="D1349" s="14" t="s">
        <v>653</v>
      </c>
      <c r="E1349" s="18" t="s">
        <v>9</v>
      </c>
      <c r="F1349" s="14" t="s">
        <v>517</v>
      </c>
      <c r="G1349" s="14" t="s">
        <v>518</v>
      </c>
      <c r="H1349" s="18" t="s">
        <v>5</v>
      </c>
      <c r="I1349" s="14" t="s">
        <v>117</v>
      </c>
      <c r="J1349" s="14">
        <v>5</v>
      </c>
      <c r="K1349" s="14" t="s">
        <v>2611</v>
      </c>
      <c r="L1349" s="14"/>
      <c r="M1349" s="14">
        <v>1</v>
      </c>
      <c r="N1349" s="15">
        <v>270000</v>
      </c>
      <c r="O1349" s="15">
        <f t="shared" si="49"/>
        <v>270000</v>
      </c>
      <c r="P1349" s="15"/>
      <c r="Q1349" s="14" t="s">
        <v>520</v>
      </c>
      <c r="R1349" s="25">
        <v>45535</v>
      </c>
      <c r="S1349" s="22" t="str">
        <f>TEXT(Table1[[#This Row],[End Date]],"MMMM")</f>
        <v>August</v>
      </c>
      <c r="T1349" s="23" t="str">
        <f>TEXT(Table1[[#This Row],[End Date]],"YYYY")</f>
        <v>2024</v>
      </c>
      <c r="U1349" s="24">
        <f t="shared" ca="1" si="48"/>
        <v>-402</v>
      </c>
      <c r="V1349" s="14" t="str" cm="1">
        <f t="array" aca="1" ref="V1349" ca="1">_xlfn.IFS(Table1[[#This Row],[Agreement Days]]&gt;=0,"Expired",Table1[[#This Row],[Agreement Days]]&gt;=-30,"Expires &lt; 30 Days",Table1[[#This Row],[Agreement Days]]&gt;=-60,"Expires &lt; 60 Days",Table1[[#This Row],[Agreement Days]]&lt;-60,"Valid Contract")</f>
        <v>Valid Contract</v>
      </c>
      <c r="W1349" s="14" t="s">
        <v>19</v>
      </c>
      <c r="X1349" s="14" t="s">
        <v>2004</v>
      </c>
      <c r="Y1349" s="14" t="s">
        <v>2005</v>
      </c>
      <c r="Z1349" s="27">
        <v>788602677</v>
      </c>
      <c r="AA1349" s="17"/>
      <c r="AB1349" s="116"/>
      <c r="AC1349" s="116"/>
    </row>
    <row r="1350" spans="1:29" hidden="1" x14ac:dyDescent="0.3">
      <c r="A1350" s="18" t="s">
        <v>2612</v>
      </c>
      <c r="B1350" s="18" t="s">
        <v>367</v>
      </c>
      <c r="C1350" s="18" t="s">
        <v>544</v>
      </c>
      <c r="D1350" s="14" t="s">
        <v>545</v>
      </c>
      <c r="E1350" s="18" t="s">
        <v>9</v>
      </c>
      <c r="F1350" s="14" t="s">
        <v>517</v>
      </c>
      <c r="G1350" s="14" t="s">
        <v>518</v>
      </c>
      <c r="H1350" s="18" t="s">
        <v>5</v>
      </c>
      <c r="I1350" s="14" t="s">
        <v>115</v>
      </c>
      <c r="J1350" s="14"/>
      <c r="K1350" s="14" t="s">
        <v>642</v>
      </c>
      <c r="L1350" s="14"/>
      <c r="M1350" s="14">
        <v>1</v>
      </c>
      <c r="N1350" s="15">
        <v>101694.91525400001</v>
      </c>
      <c r="O1350" s="15">
        <f t="shared" si="49"/>
        <v>101694.91525400001</v>
      </c>
      <c r="P1350" s="15"/>
      <c r="Q1350" s="14" t="s">
        <v>520</v>
      </c>
      <c r="R1350" s="25">
        <v>45535</v>
      </c>
      <c r="S1350" s="22" t="str">
        <f>TEXT(Table1[[#This Row],[End Date]],"MMMM")</f>
        <v>August</v>
      </c>
      <c r="T1350" s="34" t="str">
        <f>TEXT(Table1[[#This Row],[End Date]],"YYYY")</f>
        <v>2024</v>
      </c>
      <c r="U1350" s="24">
        <f t="shared" ca="1" si="48"/>
        <v>-402</v>
      </c>
      <c r="V1350" s="14" t="str" cm="1">
        <f t="array" aca="1" ref="V1350" ca="1">_xlfn.IFS(Table1[[#This Row],[Agreement Days]]&gt;=0,"Expired",Table1[[#This Row],[Agreement Days]]&gt;=-30,"Expires &lt; 30 Days",Table1[[#This Row],[Agreement Days]]&gt;=-60,"Expires &lt; 60 Days",Table1[[#This Row],[Agreement Days]]&lt;-60,"Valid Contract")</f>
        <v>Valid Contract</v>
      </c>
      <c r="W1350" s="18" t="s">
        <v>14</v>
      </c>
      <c r="X1350" s="18" t="s">
        <v>2613</v>
      </c>
      <c r="Y1350" s="33" t="s">
        <v>2614</v>
      </c>
      <c r="Z1350" s="27">
        <v>787440621</v>
      </c>
      <c r="AA1350" s="17"/>
      <c r="AB1350" s="116"/>
      <c r="AC1350" s="116"/>
    </row>
    <row r="1351" spans="1:29" hidden="1" x14ac:dyDescent="0.3">
      <c r="A1351" s="18" t="s">
        <v>2612</v>
      </c>
      <c r="B1351" s="18" t="s">
        <v>367</v>
      </c>
      <c r="C1351" s="18" t="s">
        <v>544</v>
      </c>
      <c r="D1351" s="14" t="s">
        <v>545</v>
      </c>
      <c r="E1351" s="18" t="s">
        <v>9</v>
      </c>
      <c r="F1351" s="14" t="s">
        <v>517</v>
      </c>
      <c r="G1351" s="14" t="s">
        <v>518</v>
      </c>
      <c r="H1351" s="18" t="s">
        <v>5</v>
      </c>
      <c r="I1351" s="14" t="s">
        <v>115</v>
      </c>
      <c r="J1351" s="18"/>
      <c r="K1351" s="18" t="s">
        <v>1245</v>
      </c>
      <c r="L1351" s="18"/>
      <c r="M1351" s="14">
        <v>9</v>
      </c>
      <c r="N1351" s="15">
        <v>45338.983051000003</v>
      </c>
      <c r="O1351" s="15">
        <f t="shared" si="49"/>
        <v>408050.84745900001</v>
      </c>
      <c r="P1351" s="15"/>
      <c r="Q1351" s="14" t="s">
        <v>520</v>
      </c>
      <c r="R1351" s="25">
        <v>45535</v>
      </c>
      <c r="S1351" s="34" t="str">
        <f>TEXT(Table1[[#This Row],[End Date]],"MMMM")</f>
        <v>August</v>
      </c>
      <c r="T1351" s="34" t="str">
        <f>TEXT(Table1[[#This Row],[End Date]],"YYYY")</f>
        <v>2024</v>
      </c>
      <c r="U1351" s="24">
        <f t="shared" ref="U1351:U1414" ca="1" si="50">TODAY()-R1351</f>
        <v>-402</v>
      </c>
      <c r="V1351" s="14" t="str" cm="1">
        <f t="array" aca="1" ref="V1351" ca="1">_xlfn.IFS(Table1[[#This Row],[Agreement Days]]&gt;=0,"Expired",Table1[[#This Row],[Agreement Days]]&gt;=-30,"Expires &lt; 30 Days",Table1[[#This Row],[Agreement Days]]&gt;=-60,"Expires &lt; 60 Days",Table1[[#This Row],[Agreement Days]]&lt;-60,"Valid Contract")</f>
        <v>Valid Contract</v>
      </c>
      <c r="W1351" s="18" t="s">
        <v>14</v>
      </c>
      <c r="X1351" s="18" t="s">
        <v>2613</v>
      </c>
      <c r="Y1351" s="35" t="s">
        <v>2614</v>
      </c>
      <c r="Z1351" s="27">
        <v>787440621</v>
      </c>
      <c r="AA1351" s="27"/>
      <c r="AB1351" s="116"/>
      <c r="AC1351" s="116"/>
    </row>
    <row r="1352" spans="1:29" hidden="1" x14ac:dyDescent="0.3">
      <c r="A1352" s="18" t="s">
        <v>2615</v>
      </c>
      <c r="B1352" s="18" t="s">
        <v>436</v>
      </c>
      <c r="C1352" s="18" t="s">
        <v>544</v>
      </c>
      <c r="D1352" s="18" t="s">
        <v>540</v>
      </c>
      <c r="E1352" s="18" t="s">
        <v>9</v>
      </c>
      <c r="F1352" s="20" t="s">
        <v>822</v>
      </c>
      <c r="G1352" s="20" t="s">
        <v>518</v>
      </c>
      <c r="H1352" s="18" t="s">
        <v>5</v>
      </c>
      <c r="I1352" s="20" t="s">
        <v>115</v>
      </c>
      <c r="J1352" s="20"/>
      <c r="K1352" s="18" t="s">
        <v>642</v>
      </c>
      <c r="L1352" s="18"/>
      <c r="M1352" s="20">
        <v>1</v>
      </c>
      <c r="N1352" s="15">
        <v>101695</v>
      </c>
      <c r="O1352" s="15">
        <f t="shared" si="49"/>
        <v>101695</v>
      </c>
      <c r="P1352" s="15"/>
      <c r="Q1352" s="14" t="s">
        <v>520</v>
      </c>
      <c r="R1352" s="25">
        <v>45535</v>
      </c>
      <c r="S1352" s="22" t="str">
        <f>TEXT(Table1[[#This Row],[End Date]],"MMMM")</f>
        <v>August</v>
      </c>
      <c r="T1352" s="22" t="str">
        <f>TEXT(Table1[[#This Row],[End Date]],"YYYY")</f>
        <v>2024</v>
      </c>
      <c r="U1352" s="24">
        <f t="shared" ca="1" si="50"/>
        <v>-402</v>
      </c>
      <c r="V1352" s="14" t="str" cm="1">
        <f t="array" aca="1" ref="V1352" ca="1">_xlfn.IFS(Table1[[#This Row],[Agreement Days]]&gt;=0,"Expired",Table1[[#This Row],[Agreement Days]]&gt;=-30,"Expires &lt; 30 Days",Table1[[#This Row],[Agreement Days]]&gt;=-60,"Expires &lt; 60 Days",Table1[[#This Row],[Agreement Days]]&lt;-60,"Valid Contract")</f>
        <v>Valid Contract</v>
      </c>
      <c r="W1352" s="18" t="s">
        <v>15</v>
      </c>
      <c r="X1352" s="18" t="s">
        <v>2616</v>
      </c>
      <c r="Y1352" s="42" t="s">
        <v>2617</v>
      </c>
      <c r="Z1352" s="27" t="s">
        <v>2618</v>
      </c>
      <c r="AA1352" s="20"/>
      <c r="AB1352" s="116"/>
      <c r="AC1352" s="116"/>
    </row>
    <row r="1353" spans="1:29" hidden="1" x14ac:dyDescent="0.3">
      <c r="A1353" s="18" t="s">
        <v>2619</v>
      </c>
      <c r="B1353" s="18" t="s">
        <v>413</v>
      </c>
      <c r="C1353" s="18" t="s">
        <v>544</v>
      </c>
      <c r="D1353" s="18" t="s">
        <v>545</v>
      </c>
      <c r="E1353" s="18" t="s">
        <v>9</v>
      </c>
      <c r="F1353" s="20" t="s">
        <v>822</v>
      </c>
      <c r="G1353" s="20" t="s">
        <v>518</v>
      </c>
      <c r="H1353" s="18" t="s">
        <v>5</v>
      </c>
      <c r="I1353" s="20" t="s">
        <v>115</v>
      </c>
      <c r="J1353" s="20"/>
      <c r="K1353" s="18" t="s">
        <v>642</v>
      </c>
      <c r="L1353" s="18"/>
      <c r="M1353" s="20">
        <v>2</v>
      </c>
      <c r="N1353" s="15">
        <v>101695</v>
      </c>
      <c r="O1353" s="15">
        <f t="shared" si="49"/>
        <v>203390</v>
      </c>
      <c r="P1353" s="15"/>
      <c r="Q1353" s="14" t="s">
        <v>520</v>
      </c>
      <c r="R1353" s="25">
        <v>45536</v>
      </c>
      <c r="S1353" s="22" t="str">
        <f>TEXT(Table1[[#This Row],[End Date]],"MMMM")</f>
        <v>September</v>
      </c>
      <c r="T1353" s="22" t="str">
        <f>TEXT(Table1[[#This Row],[End Date]],"YYYY")</f>
        <v>2024</v>
      </c>
      <c r="U1353" s="24">
        <f t="shared" ca="1" si="50"/>
        <v>-403</v>
      </c>
      <c r="V1353" s="14" t="str" cm="1">
        <f t="array" aca="1" ref="V1353" ca="1">_xlfn.IFS(Table1[[#This Row],[Agreement Days]]&gt;=0,"Expired",Table1[[#This Row],[Agreement Days]]&gt;=-30,"Expires &lt; 30 Days",Table1[[#This Row],[Agreement Days]]&gt;=-60,"Expires &lt; 60 Days",Table1[[#This Row],[Agreement Days]]&lt;-60,"Valid Contract")</f>
        <v>Valid Contract</v>
      </c>
      <c r="W1353" s="18" t="s">
        <v>15</v>
      </c>
      <c r="X1353" s="18" t="s">
        <v>2620</v>
      </c>
      <c r="Y1353" s="42" t="s">
        <v>2621</v>
      </c>
      <c r="Z1353" s="27" t="s">
        <v>2618</v>
      </c>
      <c r="AA1353" s="20"/>
      <c r="AB1353" s="116"/>
      <c r="AC1353" s="116"/>
    </row>
    <row r="1354" spans="1:29" x14ac:dyDescent="0.3">
      <c r="A1354" s="18" t="s">
        <v>1202</v>
      </c>
      <c r="B1354" s="18" t="s">
        <v>233</v>
      </c>
      <c r="C1354" s="18" t="s">
        <v>2622</v>
      </c>
      <c r="D1354" s="14" t="s">
        <v>761</v>
      </c>
      <c r="E1354" s="18" t="s">
        <v>10</v>
      </c>
      <c r="F1354" s="14" t="s">
        <v>1203</v>
      </c>
      <c r="G1354" s="14" t="s">
        <v>518</v>
      </c>
      <c r="H1354" s="18" t="s">
        <v>3</v>
      </c>
      <c r="I1354" s="14" t="s">
        <v>116</v>
      </c>
      <c r="J1354" s="14"/>
      <c r="K1354" s="14" t="s">
        <v>533</v>
      </c>
      <c r="L1354" s="14">
        <v>76</v>
      </c>
      <c r="M1354" s="14">
        <v>1</v>
      </c>
      <c r="N1354" s="15">
        <f>2090000</f>
        <v>2090000</v>
      </c>
      <c r="O1354" s="15">
        <f t="shared" si="49"/>
        <v>2090000</v>
      </c>
      <c r="P1354" s="15"/>
      <c r="Q1354" s="14" t="s">
        <v>520</v>
      </c>
      <c r="R1354" s="25">
        <v>45538</v>
      </c>
      <c r="S1354" s="22" t="str">
        <f>TEXT(Table1[[#This Row],[End Date]],"MMMM")</f>
        <v>September</v>
      </c>
      <c r="T1354" s="23" t="str">
        <f>TEXT(Table1[[#This Row],[End Date]],"YYYY")</f>
        <v>2024</v>
      </c>
      <c r="U1354" s="24">
        <f t="shared" ca="1" si="50"/>
        <v>-405</v>
      </c>
      <c r="V1354" s="14" t="str" cm="1">
        <f t="array" aca="1" ref="V1354" ca="1">_xlfn.IFS(Table1[[#This Row],[Agreement Days]]&gt;=0,"Expired",Table1[[#This Row],[Agreement Days]]&gt;=-30,"Expires &lt; 30 Days",Table1[[#This Row],[Agreement Days]]&gt;=-60,"Expires &lt; 60 Days",Table1[[#This Row],[Agreement Days]]&lt;-60,"Valid Contract")</f>
        <v>Valid Contract</v>
      </c>
      <c r="W1354" s="14" t="s">
        <v>12</v>
      </c>
      <c r="X1354" s="14" t="s">
        <v>1204</v>
      </c>
      <c r="Y1354" s="16" t="s">
        <v>1205</v>
      </c>
      <c r="Z1354" s="27" t="s">
        <v>1206</v>
      </c>
      <c r="AA1354" s="17"/>
      <c r="AB1354" s="116"/>
      <c r="AC1354" s="116"/>
    </row>
    <row r="1355" spans="1:29" hidden="1" x14ac:dyDescent="0.3">
      <c r="A1355" s="18" t="s">
        <v>2623</v>
      </c>
      <c r="B1355" s="18" t="s">
        <v>155</v>
      </c>
      <c r="C1355" s="18" t="s">
        <v>2624</v>
      </c>
      <c r="D1355" s="14" t="s">
        <v>739</v>
      </c>
      <c r="E1355" s="18" t="s">
        <v>10</v>
      </c>
      <c r="F1355" s="14" t="s">
        <v>822</v>
      </c>
      <c r="G1355" s="14" t="s">
        <v>518</v>
      </c>
      <c r="H1355" s="18" t="s">
        <v>5</v>
      </c>
      <c r="I1355" s="14" t="s">
        <v>134</v>
      </c>
      <c r="J1355" s="14">
        <v>3</v>
      </c>
      <c r="K1355" s="18" t="s">
        <v>646</v>
      </c>
      <c r="L1355" s="18"/>
      <c r="M1355" s="14">
        <v>1</v>
      </c>
      <c r="N1355" s="15">
        <v>206000</v>
      </c>
      <c r="O1355" s="15">
        <f t="shared" si="49"/>
        <v>206000</v>
      </c>
      <c r="P1355" s="15"/>
      <c r="Q1355" s="14" t="s">
        <v>520</v>
      </c>
      <c r="R1355" s="25">
        <v>45552</v>
      </c>
      <c r="S1355" s="34" t="str">
        <f>TEXT(Table1[[#This Row],[End Date]],"MMMM")</f>
        <v>September</v>
      </c>
      <c r="T1355" s="34" t="str">
        <f>TEXT(Table1[[#This Row],[End Date]],"YYYY")</f>
        <v>2024</v>
      </c>
      <c r="U1355" s="24">
        <f t="shared" ca="1" si="50"/>
        <v>-419</v>
      </c>
      <c r="V1355" s="14" t="str" cm="1">
        <f t="array" aca="1" ref="V1355" ca="1">_xlfn.IFS(Table1[[#This Row],[Agreement Days]]&gt;=0,"Expired",Table1[[#This Row],[Agreement Days]]&gt;=-30,"Expires &lt; 30 Days",Table1[[#This Row],[Agreement Days]]&gt;=-60,"Expires &lt; 60 Days",Table1[[#This Row],[Agreement Days]]&lt;-60,"Valid Contract")</f>
        <v>Valid Contract</v>
      </c>
      <c r="W1355" s="18" t="s">
        <v>18</v>
      </c>
      <c r="X1355" s="18" t="s">
        <v>2625</v>
      </c>
      <c r="Y1355" s="35" t="s">
        <v>2626</v>
      </c>
      <c r="Z1355" s="27" t="s">
        <v>2627</v>
      </c>
      <c r="AA1355" s="27"/>
      <c r="AB1355" s="116"/>
      <c r="AC1355" s="116"/>
    </row>
    <row r="1356" spans="1:29" hidden="1" x14ac:dyDescent="0.3">
      <c r="A1356" s="18" t="s">
        <v>2623</v>
      </c>
      <c r="B1356" s="18" t="s">
        <v>155</v>
      </c>
      <c r="C1356" s="18" t="s">
        <v>532</v>
      </c>
      <c r="D1356" s="14" t="s">
        <v>532</v>
      </c>
      <c r="E1356" s="18" t="s">
        <v>10</v>
      </c>
      <c r="F1356" s="14" t="s">
        <v>822</v>
      </c>
      <c r="G1356" s="14" t="s">
        <v>518</v>
      </c>
      <c r="H1356" s="18" t="s">
        <v>5</v>
      </c>
      <c r="I1356" s="14" t="s">
        <v>134</v>
      </c>
      <c r="J1356" s="14">
        <v>3</v>
      </c>
      <c r="K1356" s="18" t="s">
        <v>646</v>
      </c>
      <c r="L1356" s="18"/>
      <c r="M1356" s="14">
        <v>1</v>
      </c>
      <c r="N1356" s="15">
        <v>206000</v>
      </c>
      <c r="O1356" s="15">
        <f t="shared" si="49"/>
        <v>206000</v>
      </c>
      <c r="P1356" s="15"/>
      <c r="Q1356" s="14" t="s">
        <v>520</v>
      </c>
      <c r="R1356" s="25">
        <v>45552</v>
      </c>
      <c r="S1356" s="34" t="str">
        <f>TEXT(Table1[[#This Row],[End Date]],"MMMM")</f>
        <v>September</v>
      </c>
      <c r="T1356" s="34" t="str">
        <f>TEXT(Table1[[#This Row],[End Date]],"YYYY")</f>
        <v>2024</v>
      </c>
      <c r="U1356" s="24">
        <f t="shared" ca="1" si="50"/>
        <v>-419</v>
      </c>
      <c r="V1356" s="14" t="str" cm="1">
        <f t="array" aca="1" ref="V1356" ca="1">_xlfn.IFS(Table1[[#This Row],[Agreement Days]]&gt;=0,"Expired",Table1[[#This Row],[Agreement Days]]&gt;=-30,"Expires &lt; 30 Days",Table1[[#This Row],[Agreement Days]]&gt;=-60,"Expires &lt; 60 Days",Table1[[#This Row],[Agreement Days]]&lt;-60,"Valid Contract")</f>
        <v>Valid Contract</v>
      </c>
      <c r="W1356" s="18" t="s">
        <v>18</v>
      </c>
      <c r="X1356" s="18" t="s">
        <v>2625</v>
      </c>
      <c r="Y1356" s="35" t="s">
        <v>2626</v>
      </c>
      <c r="Z1356" s="27" t="s">
        <v>2627</v>
      </c>
      <c r="AA1356" s="27"/>
      <c r="AB1356" s="116"/>
      <c r="AC1356" s="116"/>
    </row>
    <row r="1357" spans="1:29" hidden="1" x14ac:dyDescent="0.3">
      <c r="A1357" s="18" t="s">
        <v>2623</v>
      </c>
      <c r="B1357" s="18" t="s">
        <v>155</v>
      </c>
      <c r="C1357" s="18" t="s">
        <v>808</v>
      </c>
      <c r="D1357" s="14" t="s">
        <v>808</v>
      </c>
      <c r="E1357" s="18" t="s">
        <v>10</v>
      </c>
      <c r="F1357" s="14" t="s">
        <v>822</v>
      </c>
      <c r="G1357" s="14" t="s">
        <v>518</v>
      </c>
      <c r="H1357" s="18" t="s">
        <v>5</v>
      </c>
      <c r="I1357" s="14" t="s">
        <v>134</v>
      </c>
      <c r="J1357" s="14">
        <v>3</v>
      </c>
      <c r="K1357" s="18" t="s">
        <v>646</v>
      </c>
      <c r="L1357" s="18"/>
      <c r="M1357" s="14">
        <v>1</v>
      </c>
      <c r="N1357" s="15">
        <v>206000</v>
      </c>
      <c r="O1357" s="15">
        <f t="shared" si="49"/>
        <v>206000</v>
      </c>
      <c r="P1357" s="15"/>
      <c r="Q1357" s="14" t="s">
        <v>520</v>
      </c>
      <c r="R1357" s="25">
        <v>45552</v>
      </c>
      <c r="S1357" s="34" t="str">
        <f>TEXT(Table1[[#This Row],[End Date]],"MMMM")</f>
        <v>September</v>
      </c>
      <c r="T1357" s="34" t="str">
        <f>TEXT(Table1[[#This Row],[End Date]],"YYYY")</f>
        <v>2024</v>
      </c>
      <c r="U1357" s="24">
        <f t="shared" ca="1" si="50"/>
        <v>-419</v>
      </c>
      <c r="V1357" s="14" t="str" cm="1">
        <f t="array" aca="1" ref="V1357" ca="1">_xlfn.IFS(Table1[[#This Row],[Agreement Days]]&gt;=0,"Expired",Table1[[#This Row],[Agreement Days]]&gt;=-30,"Expires &lt; 30 Days",Table1[[#This Row],[Agreement Days]]&gt;=-60,"Expires &lt; 60 Days",Table1[[#This Row],[Agreement Days]]&lt;-60,"Valid Contract")</f>
        <v>Valid Contract</v>
      </c>
      <c r="W1357" s="18" t="s">
        <v>18</v>
      </c>
      <c r="X1357" s="18" t="s">
        <v>2625</v>
      </c>
      <c r="Y1357" s="35" t="s">
        <v>2626</v>
      </c>
      <c r="Z1357" s="27" t="s">
        <v>2627</v>
      </c>
      <c r="AA1357" s="27"/>
      <c r="AB1357" s="116"/>
      <c r="AC1357" s="116"/>
    </row>
    <row r="1358" spans="1:29" hidden="1" x14ac:dyDescent="0.3">
      <c r="A1358" s="18" t="s">
        <v>2623</v>
      </c>
      <c r="B1358" s="18" t="s">
        <v>155</v>
      </c>
      <c r="C1358" s="18" t="s">
        <v>616</v>
      </c>
      <c r="D1358" s="14" t="s">
        <v>616</v>
      </c>
      <c r="E1358" s="18" t="s">
        <v>10</v>
      </c>
      <c r="F1358" s="14" t="s">
        <v>822</v>
      </c>
      <c r="G1358" s="14" t="s">
        <v>518</v>
      </c>
      <c r="H1358" s="18" t="s">
        <v>5</v>
      </c>
      <c r="I1358" s="14" t="s">
        <v>134</v>
      </c>
      <c r="J1358" s="14">
        <v>3</v>
      </c>
      <c r="K1358" s="18" t="s">
        <v>646</v>
      </c>
      <c r="L1358" s="18"/>
      <c r="M1358" s="14">
        <v>1</v>
      </c>
      <c r="N1358" s="15">
        <v>206000</v>
      </c>
      <c r="O1358" s="15">
        <f t="shared" ref="O1358:O1421" si="51">N1358*M1358</f>
        <v>206000</v>
      </c>
      <c r="P1358" s="15"/>
      <c r="Q1358" s="14" t="s">
        <v>520</v>
      </c>
      <c r="R1358" s="25">
        <v>45552</v>
      </c>
      <c r="S1358" s="34" t="str">
        <f>TEXT(Table1[[#This Row],[End Date]],"MMMM")</f>
        <v>September</v>
      </c>
      <c r="T1358" s="34" t="str">
        <f>TEXT(Table1[[#This Row],[End Date]],"YYYY")</f>
        <v>2024</v>
      </c>
      <c r="U1358" s="24">
        <f t="shared" ca="1" si="50"/>
        <v>-419</v>
      </c>
      <c r="V1358" s="14" t="str" cm="1">
        <f t="array" aca="1" ref="V1358" ca="1">_xlfn.IFS(Table1[[#This Row],[Agreement Days]]&gt;=0,"Expired",Table1[[#This Row],[Agreement Days]]&gt;=-30,"Expires &lt; 30 Days",Table1[[#This Row],[Agreement Days]]&gt;=-60,"Expires &lt; 60 Days",Table1[[#This Row],[Agreement Days]]&lt;-60,"Valid Contract")</f>
        <v>Valid Contract</v>
      </c>
      <c r="W1358" s="18" t="s">
        <v>18</v>
      </c>
      <c r="X1358" s="18" t="s">
        <v>2625</v>
      </c>
      <c r="Y1358" s="35" t="s">
        <v>2626</v>
      </c>
      <c r="Z1358" s="27" t="s">
        <v>2627</v>
      </c>
      <c r="AA1358" s="27"/>
      <c r="AB1358" s="116"/>
      <c r="AC1358" s="116"/>
    </row>
    <row r="1359" spans="1:29" hidden="1" x14ac:dyDescent="0.3">
      <c r="A1359" s="18" t="s">
        <v>2623</v>
      </c>
      <c r="B1359" s="18" t="s">
        <v>155</v>
      </c>
      <c r="C1359" s="18" t="s">
        <v>2628</v>
      </c>
      <c r="D1359" s="14" t="s">
        <v>540</v>
      </c>
      <c r="E1359" s="18" t="s">
        <v>10</v>
      </c>
      <c r="F1359" s="14" t="s">
        <v>822</v>
      </c>
      <c r="G1359" s="14" t="s">
        <v>518</v>
      </c>
      <c r="H1359" s="18" t="s">
        <v>5</v>
      </c>
      <c r="I1359" s="14" t="s">
        <v>134</v>
      </c>
      <c r="J1359" s="14">
        <v>3</v>
      </c>
      <c r="K1359" s="18" t="s">
        <v>646</v>
      </c>
      <c r="L1359" s="18"/>
      <c r="M1359" s="14">
        <v>1</v>
      </c>
      <c r="N1359" s="15">
        <v>206000</v>
      </c>
      <c r="O1359" s="15">
        <f t="shared" si="51"/>
        <v>206000</v>
      </c>
      <c r="P1359" s="15"/>
      <c r="Q1359" s="14" t="s">
        <v>520</v>
      </c>
      <c r="R1359" s="25">
        <v>45552</v>
      </c>
      <c r="S1359" s="34" t="str">
        <f>TEXT(Table1[[#This Row],[End Date]],"MMMM")</f>
        <v>September</v>
      </c>
      <c r="T1359" s="34" t="str">
        <f>TEXT(Table1[[#This Row],[End Date]],"YYYY")</f>
        <v>2024</v>
      </c>
      <c r="U1359" s="24">
        <f t="shared" ca="1" si="50"/>
        <v>-419</v>
      </c>
      <c r="V1359" s="14" t="str" cm="1">
        <f t="array" aca="1" ref="V1359" ca="1">_xlfn.IFS(Table1[[#This Row],[Agreement Days]]&gt;=0,"Expired",Table1[[#This Row],[Agreement Days]]&gt;=-30,"Expires &lt; 30 Days",Table1[[#This Row],[Agreement Days]]&gt;=-60,"Expires &lt; 60 Days",Table1[[#This Row],[Agreement Days]]&lt;-60,"Valid Contract")</f>
        <v>Valid Contract</v>
      </c>
      <c r="W1359" s="18" t="s">
        <v>18</v>
      </c>
      <c r="X1359" s="18" t="s">
        <v>2625</v>
      </c>
      <c r="Y1359" s="35" t="s">
        <v>2626</v>
      </c>
      <c r="Z1359" s="27" t="s">
        <v>2627</v>
      </c>
      <c r="AA1359" s="27"/>
      <c r="AB1359" s="116"/>
      <c r="AC1359" s="116"/>
    </row>
    <row r="1360" spans="1:29" hidden="1" x14ac:dyDescent="0.3">
      <c r="A1360" s="18" t="s">
        <v>2623</v>
      </c>
      <c r="B1360" s="18" t="s">
        <v>155</v>
      </c>
      <c r="C1360" s="18" t="s">
        <v>735</v>
      </c>
      <c r="D1360" s="14" t="s">
        <v>735</v>
      </c>
      <c r="E1360" s="18" t="s">
        <v>10</v>
      </c>
      <c r="F1360" s="14" t="s">
        <v>822</v>
      </c>
      <c r="G1360" s="14" t="s">
        <v>518</v>
      </c>
      <c r="H1360" s="18" t="s">
        <v>5</v>
      </c>
      <c r="I1360" s="14" t="s">
        <v>134</v>
      </c>
      <c r="J1360" s="14">
        <v>3</v>
      </c>
      <c r="K1360" s="18" t="s">
        <v>646</v>
      </c>
      <c r="L1360" s="18"/>
      <c r="M1360" s="14">
        <v>1</v>
      </c>
      <c r="N1360" s="15">
        <v>206000</v>
      </c>
      <c r="O1360" s="15">
        <f t="shared" si="51"/>
        <v>206000</v>
      </c>
      <c r="P1360" s="15"/>
      <c r="Q1360" s="14" t="s">
        <v>520</v>
      </c>
      <c r="R1360" s="25">
        <v>45552</v>
      </c>
      <c r="S1360" s="34" t="str">
        <f>TEXT(Table1[[#This Row],[End Date]],"MMMM")</f>
        <v>September</v>
      </c>
      <c r="T1360" s="34" t="str">
        <f>TEXT(Table1[[#This Row],[End Date]],"YYYY")</f>
        <v>2024</v>
      </c>
      <c r="U1360" s="24">
        <f t="shared" ca="1" si="50"/>
        <v>-419</v>
      </c>
      <c r="V1360" s="14" t="str" cm="1">
        <f t="array" aca="1" ref="V1360" ca="1">_xlfn.IFS(Table1[[#This Row],[Agreement Days]]&gt;=0,"Expired",Table1[[#This Row],[Agreement Days]]&gt;=-30,"Expires &lt; 30 Days",Table1[[#This Row],[Agreement Days]]&gt;=-60,"Expires &lt; 60 Days",Table1[[#This Row],[Agreement Days]]&lt;-60,"Valid Contract")</f>
        <v>Valid Contract</v>
      </c>
      <c r="W1360" s="18" t="s">
        <v>18</v>
      </c>
      <c r="X1360" s="18" t="s">
        <v>2625</v>
      </c>
      <c r="Y1360" s="35" t="s">
        <v>2626</v>
      </c>
      <c r="Z1360" s="27" t="s">
        <v>2627</v>
      </c>
      <c r="AA1360" s="27"/>
      <c r="AB1360" s="116"/>
      <c r="AC1360" s="116"/>
    </row>
    <row r="1361" spans="1:29" hidden="1" x14ac:dyDescent="0.3">
      <c r="A1361" s="18" t="s">
        <v>2623</v>
      </c>
      <c r="B1361" s="18" t="s">
        <v>155</v>
      </c>
      <c r="C1361" s="18" t="s">
        <v>2629</v>
      </c>
      <c r="D1361" s="14" t="s">
        <v>653</v>
      </c>
      <c r="E1361" s="18" t="s">
        <v>10</v>
      </c>
      <c r="F1361" s="14" t="s">
        <v>822</v>
      </c>
      <c r="G1361" s="14" t="s">
        <v>518</v>
      </c>
      <c r="H1361" s="18" t="s">
        <v>5</v>
      </c>
      <c r="I1361" s="14" t="s">
        <v>134</v>
      </c>
      <c r="J1361" s="14">
        <v>3</v>
      </c>
      <c r="K1361" s="18" t="s">
        <v>646</v>
      </c>
      <c r="L1361" s="18"/>
      <c r="M1361" s="14">
        <v>1</v>
      </c>
      <c r="N1361" s="15">
        <v>206000</v>
      </c>
      <c r="O1361" s="15">
        <f t="shared" si="51"/>
        <v>206000</v>
      </c>
      <c r="P1361" s="15"/>
      <c r="Q1361" s="14" t="s">
        <v>520</v>
      </c>
      <c r="R1361" s="25">
        <v>45552</v>
      </c>
      <c r="S1361" s="34" t="str">
        <f>TEXT(Table1[[#This Row],[End Date]],"MMMM")</f>
        <v>September</v>
      </c>
      <c r="T1361" s="34" t="str">
        <f>TEXT(Table1[[#This Row],[End Date]],"YYYY")</f>
        <v>2024</v>
      </c>
      <c r="U1361" s="24">
        <f t="shared" ca="1" si="50"/>
        <v>-419</v>
      </c>
      <c r="V1361" s="14" t="str" cm="1">
        <f t="array" aca="1" ref="V1361" ca="1">_xlfn.IFS(Table1[[#This Row],[Agreement Days]]&gt;=0,"Expired",Table1[[#This Row],[Agreement Days]]&gt;=-30,"Expires &lt; 30 Days",Table1[[#This Row],[Agreement Days]]&gt;=-60,"Expires &lt; 60 Days",Table1[[#This Row],[Agreement Days]]&lt;-60,"Valid Contract")</f>
        <v>Valid Contract</v>
      </c>
      <c r="W1361" s="18" t="s">
        <v>18</v>
      </c>
      <c r="X1361" s="18" t="s">
        <v>2625</v>
      </c>
      <c r="Y1361" s="35" t="s">
        <v>2626</v>
      </c>
      <c r="Z1361" s="27" t="s">
        <v>2627</v>
      </c>
      <c r="AA1361" s="36"/>
      <c r="AB1361" s="116"/>
      <c r="AC1361" s="116"/>
    </row>
    <row r="1362" spans="1:29" hidden="1" x14ac:dyDescent="0.3">
      <c r="A1362" s="18" t="s">
        <v>2623</v>
      </c>
      <c r="B1362" s="18" t="s">
        <v>155</v>
      </c>
      <c r="C1362" s="18" t="s">
        <v>2630</v>
      </c>
      <c r="D1362" s="14" t="s">
        <v>653</v>
      </c>
      <c r="E1362" s="18" t="s">
        <v>10</v>
      </c>
      <c r="F1362" s="14" t="s">
        <v>822</v>
      </c>
      <c r="G1362" s="14" t="s">
        <v>518</v>
      </c>
      <c r="H1362" s="18" t="s">
        <v>5</v>
      </c>
      <c r="I1362" s="14" t="s">
        <v>134</v>
      </c>
      <c r="J1362" s="14">
        <v>3</v>
      </c>
      <c r="K1362" s="18" t="s">
        <v>646</v>
      </c>
      <c r="L1362" s="18"/>
      <c r="M1362" s="14">
        <v>1</v>
      </c>
      <c r="N1362" s="15">
        <v>206000</v>
      </c>
      <c r="O1362" s="15">
        <f t="shared" si="51"/>
        <v>206000</v>
      </c>
      <c r="P1362" s="15"/>
      <c r="Q1362" s="14" t="s">
        <v>520</v>
      </c>
      <c r="R1362" s="25">
        <v>45552</v>
      </c>
      <c r="S1362" s="34" t="str">
        <f>TEXT(Table1[[#This Row],[End Date]],"MMMM")</f>
        <v>September</v>
      </c>
      <c r="T1362" s="34" t="str">
        <f>TEXT(Table1[[#This Row],[End Date]],"YYYY")</f>
        <v>2024</v>
      </c>
      <c r="U1362" s="24">
        <f t="shared" ca="1" si="50"/>
        <v>-419</v>
      </c>
      <c r="V1362" s="14" t="str" cm="1">
        <f t="array" aca="1" ref="V1362" ca="1">_xlfn.IFS(Table1[[#This Row],[Agreement Days]]&gt;=0,"Expired",Table1[[#This Row],[Agreement Days]]&gt;=-30,"Expires &lt; 30 Days",Table1[[#This Row],[Agreement Days]]&gt;=-60,"Expires &lt; 60 Days",Table1[[#This Row],[Agreement Days]]&lt;-60,"Valid Contract")</f>
        <v>Valid Contract</v>
      </c>
      <c r="W1362" s="18" t="s">
        <v>18</v>
      </c>
      <c r="X1362" s="18" t="s">
        <v>2625</v>
      </c>
      <c r="Y1362" s="35" t="s">
        <v>2626</v>
      </c>
      <c r="Z1362" s="27" t="s">
        <v>2627</v>
      </c>
      <c r="AA1362" s="27"/>
      <c r="AB1362" s="116"/>
      <c r="AC1362" s="116"/>
    </row>
    <row r="1363" spans="1:29" hidden="1" x14ac:dyDescent="0.3">
      <c r="A1363" s="18" t="s">
        <v>2623</v>
      </c>
      <c r="B1363" s="18" t="s">
        <v>155</v>
      </c>
      <c r="C1363" s="18" t="s">
        <v>2631</v>
      </c>
      <c r="D1363" s="14" t="s">
        <v>653</v>
      </c>
      <c r="E1363" s="18" t="s">
        <v>10</v>
      </c>
      <c r="F1363" s="14" t="s">
        <v>822</v>
      </c>
      <c r="G1363" s="14" t="s">
        <v>518</v>
      </c>
      <c r="H1363" s="18" t="s">
        <v>5</v>
      </c>
      <c r="I1363" s="14" t="s">
        <v>134</v>
      </c>
      <c r="J1363" s="14">
        <v>3</v>
      </c>
      <c r="K1363" s="18" t="s">
        <v>646</v>
      </c>
      <c r="L1363" s="18"/>
      <c r="M1363" s="14">
        <v>1</v>
      </c>
      <c r="N1363" s="15">
        <v>206000</v>
      </c>
      <c r="O1363" s="15">
        <f t="shared" si="51"/>
        <v>206000</v>
      </c>
      <c r="P1363" s="15"/>
      <c r="Q1363" s="14" t="s">
        <v>520</v>
      </c>
      <c r="R1363" s="25">
        <v>45552</v>
      </c>
      <c r="S1363" s="34" t="str">
        <f>TEXT(Table1[[#This Row],[End Date]],"MMMM")</f>
        <v>September</v>
      </c>
      <c r="T1363" s="34" t="str">
        <f>TEXT(Table1[[#This Row],[End Date]],"YYYY")</f>
        <v>2024</v>
      </c>
      <c r="U1363" s="24">
        <f t="shared" ca="1" si="50"/>
        <v>-419</v>
      </c>
      <c r="V1363" s="14" t="str" cm="1">
        <f t="array" aca="1" ref="V1363" ca="1">_xlfn.IFS(Table1[[#This Row],[Agreement Days]]&gt;=0,"Expired",Table1[[#This Row],[Agreement Days]]&gt;=-30,"Expires &lt; 30 Days",Table1[[#This Row],[Agreement Days]]&gt;=-60,"Expires &lt; 60 Days",Table1[[#This Row],[Agreement Days]]&lt;-60,"Valid Contract")</f>
        <v>Valid Contract</v>
      </c>
      <c r="W1363" s="18" t="s">
        <v>18</v>
      </c>
      <c r="X1363" s="18" t="s">
        <v>2625</v>
      </c>
      <c r="Y1363" s="35" t="s">
        <v>2626</v>
      </c>
      <c r="Z1363" s="27" t="s">
        <v>2627</v>
      </c>
      <c r="AA1363" s="27"/>
      <c r="AB1363" s="116"/>
      <c r="AC1363" s="116"/>
    </row>
    <row r="1364" spans="1:29" hidden="1" x14ac:dyDescent="0.3">
      <c r="A1364" s="18" t="s">
        <v>2623</v>
      </c>
      <c r="B1364" s="18" t="s">
        <v>155</v>
      </c>
      <c r="C1364" s="18" t="s">
        <v>2632</v>
      </c>
      <c r="D1364" s="14" t="s">
        <v>653</v>
      </c>
      <c r="E1364" s="18" t="s">
        <v>10</v>
      </c>
      <c r="F1364" s="14" t="s">
        <v>822</v>
      </c>
      <c r="G1364" s="14" t="s">
        <v>518</v>
      </c>
      <c r="H1364" s="18" t="s">
        <v>5</v>
      </c>
      <c r="I1364" s="14" t="s">
        <v>134</v>
      </c>
      <c r="J1364" s="14">
        <v>3</v>
      </c>
      <c r="K1364" s="18" t="s">
        <v>646</v>
      </c>
      <c r="L1364" s="18"/>
      <c r="M1364" s="14">
        <v>1</v>
      </c>
      <c r="N1364" s="15">
        <v>206000</v>
      </c>
      <c r="O1364" s="15">
        <f t="shared" si="51"/>
        <v>206000</v>
      </c>
      <c r="P1364" s="15"/>
      <c r="Q1364" s="14" t="s">
        <v>520</v>
      </c>
      <c r="R1364" s="25">
        <v>45552</v>
      </c>
      <c r="S1364" s="34" t="str">
        <f>TEXT(Table1[[#This Row],[End Date]],"MMMM")</f>
        <v>September</v>
      </c>
      <c r="T1364" s="34" t="str">
        <f>TEXT(Table1[[#This Row],[End Date]],"YYYY")</f>
        <v>2024</v>
      </c>
      <c r="U1364" s="24">
        <f t="shared" ca="1" si="50"/>
        <v>-419</v>
      </c>
      <c r="V1364" s="14" t="str" cm="1">
        <f t="array" aca="1" ref="V1364" ca="1">_xlfn.IFS(Table1[[#This Row],[Agreement Days]]&gt;=0,"Expired",Table1[[#This Row],[Agreement Days]]&gt;=-30,"Expires &lt; 30 Days",Table1[[#This Row],[Agreement Days]]&gt;=-60,"Expires &lt; 60 Days",Table1[[#This Row],[Agreement Days]]&lt;-60,"Valid Contract")</f>
        <v>Valid Contract</v>
      </c>
      <c r="W1364" s="18" t="s">
        <v>18</v>
      </c>
      <c r="X1364" s="18" t="s">
        <v>2625</v>
      </c>
      <c r="Y1364" s="35" t="s">
        <v>2626</v>
      </c>
      <c r="Z1364" s="27" t="s">
        <v>2627</v>
      </c>
      <c r="AA1364" s="27"/>
      <c r="AB1364" s="116"/>
      <c r="AC1364" s="116"/>
    </row>
    <row r="1365" spans="1:29" hidden="1" x14ac:dyDescent="0.3">
      <c r="A1365" s="18" t="s">
        <v>2623</v>
      </c>
      <c r="B1365" s="18" t="s">
        <v>155</v>
      </c>
      <c r="C1365" s="18" t="s">
        <v>2633</v>
      </c>
      <c r="D1365" s="14" t="s">
        <v>653</v>
      </c>
      <c r="E1365" s="18" t="s">
        <v>10</v>
      </c>
      <c r="F1365" s="14" t="s">
        <v>822</v>
      </c>
      <c r="G1365" s="14" t="s">
        <v>518</v>
      </c>
      <c r="H1365" s="18" t="s">
        <v>5</v>
      </c>
      <c r="I1365" s="14" t="s">
        <v>134</v>
      </c>
      <c r="J1365" s="14">
        <v>3</v>
      </c>
      <c r="K1365" s="18" t="s">
        <v>646</v>
      </c>
      <c r="L1365" s="18"/>
      <c r="M1365" s="14">
        <v>1</v>
      </c>
      <c r="N1365" s="15">
        <v>206000</v>
      </c>
      <c r="O1365" s="15">
        <f t="shared" si="51"/>
        <v>206000</v>
      </c>
      <c r="P1365" s="15"/>
      <c r="Q1365" s="14" t="s">
        <v>520</v>
      </c>
      <c r="R1365" s="25">
        <v>45552</v>
      </c>
      <c r="S1365" s="34" t="str">
        <f>TEXT(Table1[[#This Row],[End Date]],"MMMM")</f>
        <v>September</v>
      </c>
      <c r="T1365" s="34" t="str">
        <f>TEXT(Table1[[#This Row],[End Date]],"YYYY")</f>
        <v>2024</v>
      </c>
      <c r="U1365" s="24">
        <f t="shared" ca="1" si="50"/>
        <v>-419</v>
      </c>
      <c r="V1365" s="14" t="str" cm="1">
        <f t="array" aca="1" ref="V1365" ca="1">_xlfn.IFS(Table1[[#This Row],[Agreement Days]]&gt;=0,"Expired",Table1[[#This Row],[Agreement Days]]&gt;=-30,"Expires &lt; 30 Days",Table1[[#This Row],[Agreement Days]]&gt;=-60,"Expires &lt; 60 Days",Table1[[#This Row],[Agreement Days]]&lt;-60,"Valid Contract")</f>
        <v>Valid Contract</v>
      </c>
      <c r="W1365" s="18" t="s">
        <v>18</v>
      </c>
      <c r="X1365" s="18" t="s">
        <v>2625</v>
      </c>
      <c r="Y1365" s="35" t="s">
        <v>2626</v>
      </c>
      <c r="Z1365" s="27" t="s">
        <v>2627</v>
      </c>
      <c r="AA1365" s="27"/>
      <c r="AB1365" s="116"/>
      <c r="AC1365" s="116"/>
    </row>
    <row r="1366" spans="1:29" hidden="1" x14ac:dyDescent="0.3">
      <c r="A1366" s="18" t="s">
        <v>2623</v>
      </c>
      <c r="B1366" s="18" t="s">
        <v>155</v>
      </c>
      <c r="C1366" s="18" t="s">
        <v>2634</v>
      </c>
      <c r="D1366" s="14" t="s">
        <v>653</v>
      </c>
      <c r="E1366" s="18" t="s">
        <v>10</v>
      </c>
      <c r="F1366" s="14" t="s">
        <v>822</v>
      </c>
      <c r="G1366" s="14" t="s">
        <v>518</v>
      </c>
      <c r="H1366" s="18" t="s">
        <v>5</v>
      </c>
      <c r="I1366" s="14" t="s">
        <v>134</v>
      </c>
      <c r="J1366" s="14">
        <v>3</v>
      </c>
      <c r="K1366" s="18" t="s">
        <v>646</v>
      </c>
      <c r="L1366" s="18"/>
      <c r="M1366" s="14">
        <v>1</v>
      </c>
      <c r="N1366" s="15">
        <v>206000</v>
      </c>
      <c r="O1366" s="15">
        <f t="shared" si="51"/>
        <v>206000</v>
      </c>
      <c r="P1366" s="15"/>
      <c r="Q1366" s="14" t="s">
        <v>520</v>
      </c>
      <c r="R1366" s="25">
        <v>45552</v>
      </c>
      <c r="S1366" s="34" t="str">
        <f>TEXT(Table1[[#This Row],[End Date]],"MMMM")</f>
        <v>September</v>
      </c>
      <c r="T1366" s="34" t="str">
        <f>TEXT(Table1[[#This Row],[End Date]],"YYYY")</f>
        <v>2024</v>
      </c>
      <c r="U1366" s="24">
        <f t="shared" ca="1" si="50"/>
        <v>-419</v>
      </c>
      <c r="V1366" s="14" t="str" cm="1">
        <f t="array" aca="1" ref="V1366" ca="1">_xlfn.IFS(Table1[[#This Row],[Agreement Days]]&gt;=0,"Expired",Table1[[#This Row],[Agreement Days]]&gt;=-30,"Expires &lt; 30 Days",Table1[[#This Row],[Agreement Days]]&gt;=-60,"Expires &lt; 60 Days",Table1[[#This Row],[Agreement Days]]&lt;-60,"Valid Contract")</f>
        <v>Valid Contract</v>
      </c>
      <c r="W1366" s="18" t="s">
        <v>18</v>
      </c>
      <c r="X1366" s="18" t="s">
        <v>2625</v>
      </c>
      <c r="Y1366" s="35" t="s">
        <v>2626</v>
      </c>
      <c r="Z1366" s="27" t="s">
        <v>2627</v>
      </c>
      <c r="AA1366" s="27"/>
      <c r="AB1366" s="116"/>
      <c r="AC1366" s="116"/>
    </row>
    <row r="1367" spans="1:29" hidden="1" x14ac:dyDescent="0.3">
      <c r="A1367" s="18" t="s">
        <v>2623</v>
      </c>
      <c r="B1367" s="18" t="s">
        <v>155</v>
      </c>
      <c r="C1367" s="18" t="s">
        <v>769</v>
      </c>
      <c r="D1367" s="14" t="s">
        <v>769</v>
      </c>
      <c r="E1367" s="18" t="s">
        <v>10</v>
      </c>
      <c r="F1367" s="14" t="s">
        <v>822</v>
      </c>
      <c r="G1367" s="14" t="s">
        <v>518</v>
      </c>
      <c r="H1367" s="18" t="s">
        <v>5</v>
      </c>
      <c r="I1367" s="14" t="s">
        <v>134</v>
      </c>
      <c r="J1367" s="14">
        <v>3</v>
      </c>
      <c r="K1367" s="18" t="s">
        <v>646</v>
      </c>
      <c r="L1367" s="18"/>
      <c r="M1367" s="14">
        <v>1</v>
      </c>
      <c r="N1367" s="15">
        <v>206000</v>
      </c>
      <c r="O1367" s="15">
        <f t="shared" si="51"/>
        <v>206000</v>
      </c>
      <c r="P1367" s="15"/>
      <c r="Q1367" s="14" t="s">
        <v>520</v>
      </c>
      <c r="R1367" s="25">
        <v>45552</v>
      </c>
      <c r="S1367" s="34" t="str">
        <f>TEXT(Table1[[#This Row],[End Date]],"MMMM")</f>
        <v>September</v>
      </c>
      <c r="T1367" s="34" t="str">
        <f>TEXT(Table1[[#This Row],[End Date]],"YYYY")</f>
        <v>2024</v>
      </c>
      <c r="U1367" s="24">
        <f t="shared" ca="1" si="50"/>
        <v>-419</v>
      </c>
      <c r="V1367" s="14" t="str" cm="1">
        <f t="array" aca="1" ref="V1367" ca="1">_xlfn.IFS(Table1[[#This Row],[Agreement Days]]&gt;=0,"Expired",Table1[[#This Row],[Agreement Days]]&gt;=-30,"Expires &lt; 30 Days",Table1[[#This Row],[Agreement Days]]&gt;=-60,"Expires &lt; 60 Days",Table1[[#This Row],[Agreement Days]]&lt;-60,"Valid Contract")</f>
        <v>Valid Contract</v>
      </c>
      <c r="W1367" s="18" t="s">
        <v>18</v>
      </c>
      <c r="X1367" s="18" t="s">
        <v>2625</v>
      </c>
      <c r="Y1367" s="35" t="s">
        <v>2626</v>
      </c>
      <c r="Z1367" s="27" t="s">
        <v>2627</v>
      </c>
      <c r="AA1367" s="27"/>
      <c r="AB1367" s="116"/>
      <c r="AC1367" s="116"/>
    </row>
    <row r="1368" spans="1:29" hidden="1" x14ac:dyDescent="0.3">
      <c r="A1368" s="18" t="s">
        <v>2623</v>
      </c>
      <c r="B1368" s="18" t="s">
        <v>155</v>
      </c>
      <c r="C1368" s="18" t="s">
        <v>579</v>
      </c>
      <c r="D1368" s="14" t="s">
        <v>579</v>
      </c>
      <c r="E1368" s="18" t="s">
        <v>10</v>
      </c>
      <c r="F1368" s="14" t="s">
        <v>822</v>
      </c>
      <c r="G1368" s="14" t="s">
        <v>518</v>
      </c>
      <c r="H1368" s="18" t="s">
        <v>5</v>
      </c>
      <c r="I1368" s="14" t="s">
        <v>134</v>
      </c>
      <c r="J1368" s="14">
        <v>3</v>
      </c>
      <c r="K1368" s="18" t="s">
        <v>646</v>
      </c>
      <c r="L1368" s="18"/>
      <c r="M1368" s="14">
        <v>1</v>
      </c>
      <c r="N1368" s="15">
        <v>206000</v>
      </c>
      <c r="O1368" s="15">
        <f t="shared" si="51"/>
        <v>206000</v>
      </c>
      <c r="P1368" s="15"/>
      <c r="Q1368" s="14" t="s">
        <v>520</v>
      </c>
      <c r="R1368" s="25">
        <v>45552</v>
      </c>
      <c r="S1368" s="34" t="str">
        <f>TEXT(Table1[[#This Row],[End Date]],"MMMM")</f>
        <v>September</v>
      </c>
      <c r="T1368" s="34" t="str">
        <f>TEXT(Table1[[#This Row],[End Date]],"YYYY")</f>
        <v>2024</v>
      </c>
      <c r="U1368" s="24">
        <f t="shared" ca="1" si="50"/>
        <v>-419</v>
      </c>
      <c r="V1368" s="14" t="str" cm="1">
        <f t="array" aca="1" ref="V1368" ca="1">_xlfn.IFS(Table1[[#This Row],[Agreement Days]]&gt;=0,"Expired",Table1[[#This Row],[Agreement Days]]&gt;=-30,"Expires &lt; 30 Days",Table1[[#This Row],[Agreement Days]]&gt;=-60,"Expires &lt; 60 Days",Table1[[#This Row],[Agreement Days]]&lt;-60,"Valid Contract")</f>
        <v>Valid Contract</v>
      </c>
      <c r="W1368" s="18" t="s">
        <v>18</v>
      </c>
      <c r="X1368" s="18" t="s">
        <v>2625</v>
      </c>
      <c r="Y1368" s="35" t="s">
        <v>2626</v>
      </c>
      <c r="Z1368" s="27" t="s">
        <v>2627</v>
      </c>
      <c r="AA1368" s="27"/>
      <c r="AB1368" s="116"/>
      <c r="AC1368" s="116"/>
    </row>
    <row r="1369" spans="1:29" hidden="1" x14ac:dyDescent="0.3">
      <c r="A1369" s="18" t="s">
        <v>2623</v>
      </c>
      <c r="B1369" s="18" t="s">
        <v>155</v>
      </c>
      <c r="C1369" s="18" t="s">
        <v>2635</v>
      </c>
      <c r="D1369" s="14" t="s">
        <v>516</v>
      </c>
      <c r="E1369" s="18" t="s">
        <v>10</v>
      </c>
      <c r="F1369" s="14" t="s">
        <v>822</v>
      </c>
      <c r="G1369" s="14" t="s">
        <v>518</v>
      </c>
      <c r="H1369" s="18" t="s">
        <v>5</v>
      </c>
      <c r="I1369" s="14" t="s">
        <v>134</v>
      </c>
      <c r="J1369" s="14">
        <v>3</v>
      </c>
      <c r="K1369" s="18" t="s">
        <v>646</v>
      </c>
      <c r="L1369" s="18"/>
      <c r="M1369" s="14">
        <v>1</v>
      </c>
      <c r="N1369" s="15">
        <v>206000</v>
      </c>
      <c r="O1369" s="15">
        <f t="shared" si="51"/>
        <v>206000</v>
      </c>
      <c r="P1369" s="15"/>
      <c r="Q1369" s="14" t="s">
        <v>520</v>
      </c>
      <c r="R1369" s="25">
        <v>45552</v>
      </c>
      <c r="S1369" s="34" t="str">
        <f>TEXT(Table1[[#This Row],[End Date]],"MMMM")</f>
        <v>September</v>
      </c>
      <c r="T1369" s="34" t="str">
        <f>TEXT(Table1[[#This Row],[End Date]],"YYYY")</f>
        <v>2024</v>
      </c>
      <c r="U1369" s="24">
        <f t="shared" ca="1" si="50"/>
        <v>-419</v>
      </c>
      <c r="V1369" s="14" t="str" cm="1">
        <f t="array" aca="1" ref="V1369" ca="1">_xlfn.IFS(Table1[[#This Row],[Agreement Days]]&gt;=0,"Expired",Table1[[#This Row],[Agreement Days]]&gt;=-30,"Expires &lt; 30 Days",Table1[[#This Row],[Agreement Days]]&gt;=-60,"Expires &lt; 60 Days",Table1[[#This Row],[Agreement Days]]&lt;-60,"Valid Contract")</f>
        <v>Valid Contract</v>
      </c>
      <c r="W1369" s="18" t="s">
        <v>18</v>
      </c>
      <c r="X1369" s="18" t="s">
        <v>2625</v>
      </c>
      <c r="Y1369" s="35" t="s">
        <v>2626</v>
      </c>
      <c r="Z1369" s="27" t="s">
        <v>2627</v>
      </c>
      <c r="AA1369" s="27"/>
      <c r="AB1369" s="116"/>
      <c r="AC1369" s="116"/>
    </row>
    <row r="1370" spans="1:29" hidden="1" x14ac:dyDescent="0.3">
      <c r="A1370" s="18" t="s">
        <v>2623</v>
      </c>
      <c r="B1370" s="18" t="s">
        <v>155</v>
      </c>
      <c r="C1370" s="18" t="s">
        <v>2636</v>
      </c>
      <c r="D1370" s="14" t="s">
        <v>540</v>
      </c>
      <c r="E1370" s="18" t="s">
        <v>10</v>
      </c>
      <c r="F1370" s="14" t="s">
        <v>822</v>
      </c>
      <c r="G1370" s="14" t="s">
        <v>518</v>
      </c>
      <c r="H1370" s="18" t="s">
        <v>5</v>
      </c>
      <c r="I1370" s="14" t="s">
        <v>134</v>
      </c>
      <c r="J1370" s="14">
        <v>10</v>
      </c>
      <c r="K1370" s="18" t="s">
        <v>547</v>
      </c>
      <c r="L1370" s="18"/>
      <c r="M1370" s="14">
        <v>1</v>
      </c>
      <c r="N1370" s="15">
        <v>620000</v>
      </c>
      <c r="O1370" s="15">
        <f t="shared" si="51"/>
        <v>620000</v>
      </c>
      <c r="P1370" s="15"/>
      <c r="Q1370" s="14" t="s">
        <v>520</v>
      </c>
      <c r="R1370" s="25">
        <v>45552</v>
      </c>
      <c r="S1370" s="34" t="str">
        <f>TEXT(Table1[[#This Row],[End Date]],"MMMM")</f>
        <v>September</v>
      </c>
      <c r="T1370" s="34" t="str">
        <f>TEXT(Table1[[#This Row],[End Date]],"YYYY")</f>
        <v>2024</v>
      </c>
      <c r="U1370" s="24">
        <f t="shared" ca="1" si="50"/>
        <v>-419</v>
      </c>
      <c r="V1370" s="14" t="str" cm="1">
        <f t="array" aca="1" ref="V1370" ca="1">_xlfn.IFS(Table1[[#This Row],[Agreement Days]]&gt;=0,"Expired",Table1[[#This Row],[Agreement Days]]&gt;=-30,"Expires &lt; 30 Days",Table1[[#This Row],[Agreement Days]]&gt;=-60,"Expires &lt; 60 Days",Table1[[#This Row],[Agreement Days]]&lt;-60,"Valid Contract")</f>
        <v>Valid Contract</v>
      </c>
      <c r="W1370" s="18" t="s">
        <v>18</v>
      </c>
      <c r="X1370" s="18" t="s">
        <v>2625</v>
      </c>
      <c r="Y1370" s="35" t="s">
        <v>2626</v>
      </c>
      <c r="Z1370" s="27" t="s">
        <v>2627</v>
      </c>
      <c r="AA1370" s="27"/>
      <c r="AB1370" s="116"/>
      <c r="AC1370" s="116"/>
    </row>
    <row r="1371" spans="1:29" hidden="1" x14ac:dyDescent="0.3">
      <c r="A1371" s="18" t="s">
        <v>2623</v>
      </c>
      <c r="B1371" s="18" t="s">
        <v>155</v>
      </c>
      <c r="C1371" s="18" t="s">
        <v>2637</v>
      </c>
      <c r="D1371" s="14" t="s">
        <v>653</v>
      </c>
      <c r="E1371" s="18" t="s">
        <v>10</v>
      </c>
      <c r="F1371" s="14" t="s">
        <v>822</v>
      </c>
      <c r="G1371" s="14" t="s">
        <v>518</v>
      </c>
      <c r="H1371" s="18" t="s">
        <v>5</v>
      </c>
      <c r="I1371" s="14" t="s">
        <v>134</v>
      </c>
      <c r="J1371" s="14">
        <v>10</v>
      </c>
      <c r="K1371" s="18" t="s">
        <v>547</v>
      </c>
      <c r="L1371" s="18"/>
      <c r="M1371" s="14">
        <v>1</v>
      </c>
      <c r="N1371" s="15">
        <v>620000</v>
      </c>
      <c r="O1371" s="15">
        <f t="shared" si="51"/>
        <v>620000</v>
      </c>
      <c r="P1371" s="15"/>
      <c r="Q1371" s="14" t="s">
        <v>520</v>
      </c>
      <c r="R1371" s="25">
        <v>45552</v>
      </c>
      <c r="S1371" s="34" t="str">
        <f>TEXT(Table1[[#This Row],[End Date]],"MMMM")</f>
        <v>September</v>
      </c>
      <c r="T1371" s="34" t="str">
        <f>TEXT(Table1[[#This Row],[End Date]],"YYYY")</f>
        <v>2024</v>
      </c>
      <c r="U1371" s="24">
        <f t="shared" ca="1" si="50"/>
        <v>-419</v>
      </c>
      <c r="V1371" s="14" t="str" cm="1">
        <f t="array" aca="1" ref="V1371" ca="1">_xlfn.IFS(Table1[[#This Row],[Agreement Days]]&gt;=0,"Expired",Table1[[#This Row],[Agreement Days]]&gt;=-30,"Expires &lt; 30 Days",Table1[[#This Row],[Agreement Days]]&gt;=-60,"Expires &lt; 60 Days",Table1[[#This Row],[Agreement Days]]&lt;-60,"Valid Contract")</f>
        <v>Valid Contract</v>
      </c>
      <c r="W1371" s="18" t="s">
        <v>18</v>
      </c>
      <c r="X1371" s="18" t="s">
        <v>2625</v>
      </c>
      <c r="Y1371" s="35" t="s">
        <v>2626</v>
      </c>
      <c r="Z1371" s="27" t="s">
        <v>2627</v>
      </c>
      <c r="AA1371" s="27"/>
      <c r="AB1371" s="116"/>
      <c r="AC1371" s="116"/>
    </row>
    <row r="1372" spans="1:29" hidden="1" x14ac:dyDescent="0.3">
      <c r="A1372" s="18" t="s">
        <v>2623</v>
      </c>
      <c r="B1372" s="18" t="s">
        <v>155</v>
      </c>
      <c r="C1372" s="18" t="s">
        <v>2638</v>
      </c>
      <c r="D1372" s="14" t="s">
        <v>545</v>
      </c>
      <c r="E1372" s="18" t="s">
        <v>10</v>
      </c>
      <c r="F1372" s="14" t="s">
        <v>822</v>
      </c>
      <c r="G1372" s="14" t="s">
        <v>518</v>
      </c>
      <c r="H1372" s="18" t="s">
        <v>5</v>
      </c>
      <c r="I1372" s="14" t="s">
        <v>134</v>
      </c>
      <c r="J1372" s="14">
        <v>30</v>
      </c>
      <c r="K1372" s="18" t="s">
        <v>1617</v>
      </c>
      <c r="L1372" s="18"/>
      <c r="M1372" s="14">
        <v>1</v>
      </c>
      <c r="N1372" s="15">
        <v>1170000</v>
      </c>
      <c r="O1372" s="15">
        <f t="shared" si="51"/>
        <v>1170000</v>
      </c>
      <c r="P1372" s="15"/>
      <c r="Q1372" s="14" t="s">
        <v>520</v>
      </c>
      <c r="R1372" s="25">
        <v>45552</v>
      </c>
      <c r="S1372" s="34" t="str">
        <f>TEXT(Table1[[#This Row],[End Date]],"MMMM")</f>
        <v>September</v>
      </c>
      <c r="T1372" s="34" t="str">
        <f>TEXT(Table1[[#This Row],[End Date]],"YYYY")</f>
        <v>2024</v>
      </c>
      <c r="U1372" s="24">
        <f t="shared" ca="1" si="50"/>
        <v>-419</v>
      </c>
      <c r="V1372" s="14" t="str" cm="1">
        <f t="array" aca="1" ref="V1372" ca="1">_xlfn.IFS(Table1[[#This Row],[Agreement Days]]&gt;=0,"Expired",Table1[[#This Row],[Agreement Days]]&gt;=-30,"Expires &lt; 30 Days",Table1[[#This Row],[Agreement Days]]&gt;=-60,"Expires &lt; 60 Days",Table1[[#This Row],[Agreement Days]]&lt;-60,"Valid Contract")</f>
        <v>Valid Contract</v>
      </c>
      <c r="W1372" s="18" t="s">
        <v>18</v>
      </c>
      <c r="X1372" s="18" t="s">
        <v>2625</v>
      </c>
      <c r="Y1372" s="35" t="s">
        <v>2626</v>
      </c>
      <c r="Z1372" s="27" t="s">
        <v>2627</v>
      </c>
      <c r="AA1372" s="27"/>
      <c r="AB1372" s="116"/>
      <c r="AC1372" s="116"/>
    </row>
    <row r="1373" spans="1:29" hidden="1" x14ac:dyDescent="0.3">
      <c r="A1373" s="18" t="s">
        <v>2623</v>
      </c>
      <c r="B1373" s="18" t="s">
        <v>155</v>
      </c>
      <c r="C1373" s="18" t="s">
        <v>2638</v>
      </c>
      <c r="D1373" s="14" t="s">
        <v>545</v>
      </c>
      <c r="E1373" s="18" t="s">
        <v>10</v>
      </c>
      <c r="F1373" s="14" t="s">
        <v>822</v>
      </c>
      <c r="G1373" s="14" t="s">
        <v>518</v>
      </c>
      <c r="H1373" s="18" t="s">
        <v>5</v>
      </c>
      <c r="I1373" s="14" t="s">
        <v>134</v>
      </c>
      <c r="J1373" s="14">
        <v>30</v>
      </c>
      <c r="K1373" s="18" t="s">
        <v>1617</v>
      </c>
      <c r="L1373" s="18"/>
      <c r="M1373" s="14">
        <v>1</v>
      </c>
      <c r="N1373" s="15">
        <v>1170000</v>
      </c>
      <c r="O1373" s="15">
        <f t="shared" si="51"/>
        <v>1170000</v>
      </c>
      <c r="P1373" s="15"/>
      <c r="Q1373" s="14" t="s">
        <v>520</v>
      </c>
      <c r="R1373" s="25">
        <v>45552</v>
      </c>
      <c r="S1373" s="34" t="str">
        <f>TEXT(Table1[[#This Row],[End Date]],"MMMM")</f>
        <v>September</v>
      </c>
      <c r="T1373" s="34" t="str">
        <f>TEXT(Table1[[#This Row],[End Date]],"YYYY")</f>
        <v>2024</v>
      </c>
      <c r="U1373" s="24">
        <f t="shared" ca="1" si="50"/>
        <v>-419</v>
      </c>
      <c r="V1373" s="14" t="str" cm="1">
        <f t="array" aca="1" ref="V1373" ca="1">_xlfn.IFS(Table1[[#This Row],[Agreement Days]]&gt;=0,"Expired",Table1[[#This Row],[Agreement Days]]&gt;=-30,"Expires &lt; 30 Days",Table1[[#This Row],[Agreement Days]]&gt;=-60,"Expires &lt; 60 Days",Table1[[#This Row],[Agreement Days]]&lt;-60,"Valid Contract")</f>
        <v>Valid Contract</v>
      </c>
      <c r="W1373" s="18" t="s">
        <v>18</v>
      </c>
      <c r="X1373" s="18" t="s">
        <v>2625</v>
      </c>
      <c r="Y1373" s="35" t="s">
        <v>2626</v>
      </c>
      <c r="Z1373" s="27" t="s">
        <v>2627</v>
      </c>
      <c r="AA1373" s="27"/>
      <c r="AB1373" s="116"/>
      <c r="AC1373" s="116"/>
    </row>
    <row r="1374" spans="1:29" hidden="1" x14ac:dyDescent="0.3">
      <c r="A1374" s="18" t="s">
        <v>2639</v>
      </c>
      <c r="B1374" s="18" t="s">
        <v>406</v>
      </c>
      <c r="C1374" s="18" t="s">
        <v>2640</v>
      </c>
      <c r="D1374" s="14" t="s">
        <v>545</v>
      </c>
      <c r="E1374" s="18" t="s">
        <v>10</v>
      </c>
      <c r="F1374" s="14" t="s">
        <v>688</v>
      </c>
      <c r="G1374" s="14" t="s">
        <v>518</v>
      </c>
      <c r="H1374" s="18" t="s">
        <v>5</v>
      </c>
      <c r="I1374" s="14" t="s">
        <v>115</v>
      </c>
      <c r="J1374" s="18"/>
      <c r="K1374" s="18" t="s">
        <v>651</v>
      </c>
      <c r="L1374" s="18"/>
      <c r="M1374" s="14">
        <v>3</v>
      </c>
      <c r="N1374" s="15">
        <f>96000/1.18</f>
        <v>81355.932203389835</v>
      </c>
      <c r="O1374" s="15">
        <f t="shared" si="51"/>
        <v>244067.79661016952</v>
      </c>
      <c r="P1374" s="15"/>
      <c r="Q1374" s="14" t="s">
        <v>520</v>
      </c>
      <c r="R1374" s="25">
        <v>45554</v>
      </c>
      <c r="S1374" s="34" t="str">
        <f>TEXT(Table1[[#This Row],[End Date]],"MMMM")</f>
        <v>September</v>
      </c>
      <c r="T1374" s="34" t="str">
        <f>TEXT(Table1[[#This Row],[End Date]],"YYYY")</f>
        <v>2024</v>
      </c>
      <c r="U1374" s="24">
        <f t="shared" ca="1" si="50"/>
        <v>-421</v>
      </c>
      <c r="V1374" s="14" t="str" cm="1">
        <f t="array" aca="1" ref="V1374" ca="1">_xlfn.IFS(Table1[[#This Row],[Agreement Days]]&gt;=0,"Expired",Table1[[#This Row],[Agreement Days]]&gt;=-30,"Expires &lt; 30 Days",Table1[[#This Row],[Agreement Days]]&gt;=-60,"Expires &lt; 60 Days",Table1[[#This Row],[Agreement Days]]&lt;-60,"Valid Contract")</f>
        <v>Valid Contract</v>
      </c>
      <c r="W1374" s="18" t="s">
        <v>21</v>
      </c>
      <c r="X1374" s="18" t="s">
        <v>2641</v>
      </c>
      <c r="Y1374" s="42" t="s">
        <v>2642</v>
      </c>
      <c r="Z1374" s="27">
        <v>788522812</v>
      </c>
      <c r="AA1374" s="27"/>
      <c r="AB1374" s="123"/>
      <c r="AC1374" s="123"/>
    </row>
    <row r="1375" spans="1:29" hidden="1" x14ac:dyDescent="0.3">
      <c r="A1375" s="18" t="s">
        <v>2643</v>
      </c>
      <c r="B1375" s="18" t="s">
        <v>449</v>
      </c>
      <c r="C1375" s="18" t="s">
        <v>449</v>
      </c>
      <c r="D1375" s="14" t="s">
        <v>735</v>
      </c>
      <c r="E1375" s="18" t="s">
        <v>9</v>
      </c>
      <c r="F1375" s="14" t="s">
        <v>517</v>
      </c>
      <c r="G1375" s="14" t="s">
        <v>518</v>
      </c>
      <c r="H1375" s="18" t="s">
        <v>5</v>
      </c>
      <c r="I1375" s="14" t="s">
        <v>117</v>
      </c>
      <c r="J1375" s="14">
        <v>1</v>
      </c>
      <c r="K1375" s="14" t="s">
        <v>1696</v>
      </c>
      <c r="L1375" s="14"/>
      <c r="M1375" s="14">
        <v>1</v>
      </c>
      <c r="N1375" s="15">
        <v>90000</v>
      </c>
      <c r="O1375" s="15">
        <f t="shared" si="51"/>
        <v>90000</v>
      </c>
      <c r="P1375" s="15"/>
      <c r="Q1375" s="14" t="s">
        <v>520</v>
      </c>
      <c r="R1375" s="25">
        <v>45565</v>
      </c>
      <c r="S1375" s="22" t="str">
        <f>TEXT(Table1[[#This Row],[End Date]],"MMMM")</f>
        <v>September</v>
      </c>
      <c r="T1375" s="23" t="str">
        <f>TEXT(Table1[[#This Row],[End Date]],"YYYY")</f>
        <v>2024</v>
      </c>
      <c r="U1375" s="24">
        <f t="shared" ca="1" si="50"/>
        <v>-432</v>
      </c>
      <c r="V1375" s="14" t="str" cm="1">
        <f t="array" aca="1" ref="V1375" ca="1">_xlfn.IFS(Table1[[#This Row],[Agreement Days]]&gt;=0,"Expired",Table1[[#This Row],[Agreement Days]]&gt;=-30,"Expires &lt; 30 Days",Table1[[#This Row],[Agreement Days]]&gt;=-60,"Expires &lt; 60 Days",Table1[[#This Row],[Agreement Days]]&lt;-60,"Valid Contract")</f>
        <v>Valid Contract</v>
      </c>
      <c r="W1375" s="14" t="s">
        <v>19</v>
      </c>
      <c r="X1375" s="14" t="s">
        <v>2644</v>
      </c>
      <c r="Y1375" s="43" t="s">
        <v>2645</v>
      </c>
      <c r="Z1375" s="27">
        <v>788878262</v>
      </c>
      <c r="AA1375" s="17"/>
      <c r="AB1375" s="123"/>
      <c r="AC1375" s="123"/>
    </row>
    <row r="1376" spans="1:29" hidden="1" x14ac:dyDescent="0.3">
      <c r="A1376" s="18" t="s">
        <v>2646</v>
      </c>
      <c r="B1376" s="18" t="s">
        <v>203</v>
      </c>
      <c r="C1376" s="18" t="s">
        <v>2647</v>
      </c>
      <c r="D1376" s="14" t="s">
        <v>653</v>
      </c>
      <c r="E1376" s="18" t="s">
        <v>9</v>
      </c>
      <c r="F1376" s="14" t="s">
        <v>1203</v>
      </c>
      <c r="G1376" s="14" t="s">
        <v>518</v>
      </c>
      <c r="H1376" s="18" t="s">
        <v>5</v>
      </c>
      <c r="I1376" s="14" t="s">
        <v>117</v>
      </c>
      <c r="J1376" s="14">
        <v>5</v>
      </c>
      <c r="K1376" s="14" t="s">
        <v>882</v>
      </c>
      <c r="L1376" s="14"/>
      <c r="M1376" s="14">
        <v>1</v>
      </c>
      <c r="N1376" s="15">
        <v>270000</v>
      </c>
      <c r="O1376" s="15">
        <f t="shared" si="51"/>
        <v>270000</v>
      </c>
      <c r="P1376" s="15"/>
      <c r="Q1376" s="14" t="s">
        <v>520</v>
      </c>
      <c r="R1376" s="25">
        <v>45565</v>
      </c>
      <c r="S1376" s="22" t="str">
        <f>TEXT(Table1[[#This Row],[End Date]],"MMMM")</f>
        <v>September</v>
      </c>
      <c r="T1376" s="23" t="str">
        <f>TEXT(Table1[[#This Row],[End Date]],"YYYY")</f>
        <v>2024</v>
      </c>
      <c r="U1376" s="24">
        <f t="shared" ca="1" si="50"/>
        <v>-432</v>
      </c>
      <c r="V1376" s="14" t="str" cm="1">
        <f t="array" aca="1" ref="V1376" ca="1">_xlfn.IFS(Table1[[#This Row],[Agreement Days]]&gt;=0,"Expired",Table1[[#This Row],[Agreement Days]]&gt;=-30,"Expires &lt; 30 Days",Table1[[#This Row],[Agreement Days]]&gt;=-60,"Expires &lt; 60 Days",Table1[[#This Row],[Agreement Days]]&lt;-60,"Valid Contract")</f>
        <v>Valid Contract</v>
      </c>
      <c r="W1376" s="14" t="s">
        <v>19</v>
      </c>
      <c r="X1376" s="14" t="s">
        <v>2648</v>
      </c>
      <c r="Y1376" s="14" t="s">
        <v>2649</v>
      </c>
      <c r="Z1376" s="27">
        <v>785756170</v>
      </c>
      <c r="AA1376" s="17"/>
      <c r="AB1376" s="123"/>
      <c r="AC1376" s="123"/>
    </row>
    <row r="1377" spans="1:29" hidden="1" x14ac:dyDescent="0.3">
      <c r="A1377" s="18" t="s">
        <v>2646</v>
      </c>
      <c r="B1377" s="18" t="s">
        <v>203</v>
      </c>
      <c r="C1377" s="18" t="s">
        <v>2650</v>
      </c>
      <c r="D1377" s="14" t="s">
        <v>653</v>
      </c>
      <c r="E1377" s="18" t="s">
        <v>9</v>
      </c>
      <c r="F1377" s="14" t="s">
        <v>1203</v>
      </c>
      <c r="G1377" s="14" t="s">
        <v>518</v>
      </c>
      <c r="H1377" s="18" t="s">
        <v>5</v>
      </c>
      <c r="I1377" s="14" t="s">
        <v>117</v>
      </c>
      <c r="J1377" s="14">
        <v>30</v>
      </c>
      <c r="K1377" s="14" t="s">
        <v>2386</v>
      </c>
      <c r="L1377" s="14"/>
      <c r="M1377" s="14">
        <v>1</v>
      </c>
      <c r="N1377" s="15">
        <v>1260000</v>
      </c>
      <c r="O1377" s="15">
        <f t="shared" si="51"/>
        <v>1260000</v>
      </c>
      <c r="P1377" s="15"/>
      <c r="Q1377" s="14" t="s">
        <v>520</v>
      </c>
      <c r="R1377" s="25">
        <v>45565</v>
      </c>
      <c r="S1377" s="22" t="str">
        <f>TEXT(Table1[[#This Row],[End Date]],"MMMM")</f>
        <v>September</v>
      </c>
      <c r="T1377" s="23" t="str">
        <f>TEXT(Table1[[#This Row],[End Date]],"YYYY")</f>
        <v>2024</v>
      </c>
      <c r="U1377" s="24">
        <f t="shared" ca="1" si="50"/>
        <v>-432</v>
      </c>
      <c r="V1377" s="14" t="str" cm="1">
        <f t="array" aca="1" ref="V1377" ca="1">_xlfn.IFS(Table1[[#This Row],[Agreement Days]]&gt;=0,"Expired",Table1[[#This Row],[Agreement Days]]&gt;=-30,"Expires &lt; 30 Days",Table1[[#This Row],[Agreement Days]]&gt;=-60,"Expires &lt; 60 Days",Table1[[#This Row],[Agreement Days]]&lt;-60,"Valid Contract")</f>
        <v>Valid Contract</v>
      </c>
      <c r="W1377" s="14" t="s">
        <v>19</v>
      </c>
      <c r="X1377" s="14" t="s">
        <v>2648</v>
      </c>
      <c r="Y1377" s="14" t="s">
        <v>2649</v>
      </c>
      <c r="Z1377" s="27">
        <v>785756170</v>
      </c>
      <c r="AA1377" s="17"/>
      <c r="AB1377" s="123"/>
      <c r="AC1377" s="123"/>
    </row>
    <row r="1378" spans="1:29" hidden="1" x14ac:dyDescent="0.3">
      <c r="A1378" s="18" t="s">
        <v>2646</v>
      </c>
      <c r="B1378" s="18" t="s">
        <v>203</v>
      </c>
      <c r="C1378" s="18" t="s">
        <v>2647</v>
      </c>
      <c r="D1378" s="14" t="s">
        <v>653</v>
      </c>
      <c r="E1378" s="18" t="s">
        <v>9</v>
      </c>
      <c r="F1378" s="14" t="s">
        <v>1203</v>
      </c>
      <c r="G1378" s="14" t="s">
        <v>518</v>
      </c>
      <c r="H1378" s="18" t="s">
        <v>5</v>
      </c>
      <c r="I1378" s="14" t="s">
        <v>117</v>
      </c>
      <c r="J1378" s="14">
        <v>50</v>
      </c>
      <c r="K1378" s="14" t="s">
        <v>2651</v>
      </c>
      <c r="L1378" s="14"/>
      <c r="M1378" s="14">
        <v>1</v>
      </c>
      <c r="N1378" s="15">
        <v>1800000</v>
      </c>
      <c r="O1378" s="15">
        <f t="shared" si="51"/>
        <v>1800000</v>
      </c>
      <c r="P1378" s="15"/>
      <c r="Q1378" s="14" t="s">
        <v>520</v>
      </c>
      <c r="R1378" s="25">
        <v>45565</v>
      </c>
      <c r="S1378" s="22" t="str">
        <f>TEXT(Table1[[#This Row],[End Date]],"MMMM")</f>
        <v>September</v>
      </c>
      <c r="T1378" s="23" t="str">
        <f>TEXT(Table1[[#This Row],[End Date]],"YYYY")</f>
        <v>2024</v>
      </c>
      <c r="U1378" s="24">
        <f t="shared" ca="1" si="50"/>
        <v>-432</v>
      </c>
      <c r="V1378" s="14" t="str" cm="1">
        <f t="array" aca="1" ref="V1378" ca="1">_xlfn.IFS(Table1[[#This Row],[Agreement Days]]&gt;=0,"Expired",Table1[[#This Row],[Agreement Days]]&gt;=-30,"Expires &lt; 30 Days",Table1[[#This Row],[Agreement Days]]&gt;=-60,"Expires &lt; 60 Days",Table1[[#This Row],[Agreement Days]]&lt;-60,"Valid Contract")</f>
        <v>Valid Contract</v>
      </c>
      <c r="W1378" s="14" t="s">
        <v>19</v>
      </c>
      <c r="X1378" s="14" t="s">
        <v>2648</v>
      </c>
      <c r="Y1378" s="14" t="s">
        <v>2649</v>
      </c>
      <c r="Z1378" s="27">
        <v>785756170</v>
      </c>
      <c r="AA1378" s="17"/>
      <c r="AB1378" s="123"/>
      <c r="AC1378" s="123"/>
    </row>
    <row r="1379" spans="1:29" hidden="1" x14ac:dyDescent="0.3">
      <c r="A1379" s="18" t="s">
        <v>2646</v>
      </c>
      <c r="B1379" s="18" t="s">
        <v>203</v>
      </c>
      <c r="C1379" s="18" t="s">
        <v>2647</v>
      </c>
      <c r="D1379" s="14" t="s">
        <v>653</v>
      </c>
      <c r="E1379" s="18" t="s">
        <v>9</v>
      </c>
      <c r="F1379" s="14" t="s">
        <v>1203</v>
      </c>
      <c r="G1379" s="14" t="s">
        <v>518</v>
      </c>
      <c r="H1379" s="18" t="s">
        <v>5</v>
      </c>
      <c r="I1379" s="14" t="s">
        <v>115</v>
      </c>
      <c r="J1379" s="14"/>
      <c r="K1379" s="18" t="s">
        <v>573</v>
      </c>
      <c r="L1379" s="14"/>
      <c r="M1379" s="14">
        <v>1</v>
      </c>
      <c r="N1379" s="15">
        <v>19491.53</v>
      </c>
      <c r="O1379" s="15">
        <f t="shared" si="51"/>
        <v>19491.53</v>
      </c>
      <c r="P1379" s="15"/>
      <c r="Q1379" s="14" t="s">
        <v>520</v>
      </c>
      <c r="R1379" s="25">
        <v>45565</v>
      </c>
      <c r="S1379" s="22" t="str">
        <f>TEXT(Table1[[#This Row],[End Date]],"MMMM")</f>
        <v>September</v>
      </c>
      <c r="T1379" s="23" t="str">
        <f>TEXT(Table1[[#This Row],[End Date]],"YYYY")</f>
        <v>2024</v>
      </c>
      <c r="U1379" s="24">
        <f t="shared" ca="1" si="50"/>
        <v>-432</v>
      </c>
      <c r="V1379" s="14" t="str" cm="1">
        <f t="array" aca="1" ref="V1379" ca="1">_xlfn.IFS(Table1[[#This Row],[Agreement Days]]&gt;=0,"Expired",Table1[[#This Row],[Agreement Days]]&gt;=-30,"Expires &lt; 30 Days",Table1[[#This Row],[Agreement Days]]&gt;=-60,"Expires &lt; 60 Days",Table1[[#This Row],[Agreement Days]]&lt;-60,"Valid Contract")</f>
        <v>Valid Contract</v>
      </c>
      <c r="W1379" s="14" t="s">
        <v>19</v>
      </c>
      <c r="X1379" s="14" t="s">
        <v>2648</v>
      </c>
      <c r="Y1379" s="14" t="s">
        <v>2649</v>
      </c>
      <c r="Z1379" s="27">
        <v>785756170</v>
      </c>
      <c r="AA1379" s="17"/>
      <c r="AB1379" s="123"/>
      <c r="AC1379" s="123"/>
    </row>
    <row r="1380" spans="1:29" hidden="1" x14ac:dyDescent="0.3">
      <c r="A1380" s="18" t="s">
        <v>2646</v>
      </c>
      <c r="B1380" s="18" t="s">
        <v>203</v>
      </c>
      <c r="C1380" s="18" t="s">
        <v>203</v>
      </c>
      <c r="D1380" s="14" t="s">
        <v>653</v>
      </c>
      <c r="E1380" s="18" t="s">
        <v>9</v>
      </c>
      <c r="F1380" s="14" t="s">
        <v>1203</v>
      </c>
      <c r="G1380" s="14" t="s">
        <v>518</v>
      </c>
      <c r="H1380" s="18" t="s">
        <v>5</v>
      </c>
      <c r="I1380" s="14" t="s">
        <v>115</v>
      </c>
      <c r="J1380" s="14"/>
      <c r="K1380" s="18" t="s">
        <v>1246</v>
      </c>
      <c r="L1380" s="14"/>
      <c r="M1380" s="14">
        <v>1</v>
      </c>
      <c r="N1380" s="15">
        <v>54237.288136000003</v>
      </c>
      <c r="O1380" s="15">
        <f t="shared" si="51"/>
        <v>54237.288136000003</v>
      </c>
      <c r="P1380" s="15"/>
      <c r="Q1380" s="14" t="s">
        <v>520</v>
      </c>
      <c r="R1380" s="25">
        <v>45565</v>
      </c>
      <c r="S1380" s="22" t="str">
        <f>TEXT(Table1[[#This Row],[End Date]],"MMMM")</f>
        <v>September</v>
      </c>
      <c r="T1380" s="23" t="str">
        <f>TEXT(Table1[[#This Row],[End Date]],"YYYY")</f>
        <v>2024</v>
      </c>
      <c r="U1380" s="24">
        <f t="shared" ca="1" si="50"/>
        <v>-432</v>
      </c>
      <c r="V1380" s="14" t="str" cm="1">
        <f t="array" aca="1" ref="V1380" ca="1">_xlfn.IFS(Table1[[#This Row],[Agreement Days]]&gt;=0,"Expired",Table1[[#This Row],[Agreement Days]]&gt;=-30,"Expires &lt; 30 Days",Table1[[#This Row],[Agreement Days]]&gt;=-60,"Expires &lt; 60 Days",Table1[[#This Row],[Agreement Days]]&lt;-60,"Valid Contract")</f>
        <v>Valid Contract</v>
      </c>
      <c r="W1380" s="14" t="s">
        <v>19</v>
      </c>
      <c r="X1380" s="14" t="s">
        <v>2648</v>
      </c>
      <c r="Y1380" s="14" t="s">
        <v>2649</v>
      </c>
      <c r="Z1380" s="27">
        <v>785756170</v>
      </c>
      <c r="AA1380" s="17"/>
      <c r="AB1380" s="123"/>
      <c r="AC1380" s="123"/>
    </row>
    <row r="1381" spans="1:29" hidden="1" x14ac:dyDescent="0.3">
      <c r="A1381" s="18" t="s">
        <v>2652</v>
      </c>
      <c r="B1381" s="18" t="s">
        <v>261</v>
      </c>
      <c r="C1381" s="18" t="s">
        <v>544</v>
      </c>
      <c r="D1381" s="14" t="s">
        <v>545</v>
      </c>
      <c r="E1381" s="18" t="s">
        <v>10</v>
      </c>
      <c r="F1381" s="14" t="s">
        <v>888</v>
      </c>
      <c r="G1381" s="14" t="s">
        <v>518</v>
      </c>
      <c r="H1381" s="18" t="s">
        <v>2</v>
      </c>
      <c r="I1381" s="14" t="s">
        <v>134</v>
      </c>
      <c r="J1381" s="14">
        <v>40</v>
      </c>
      <c r="K1381" s="18" t="s">
        <v>664</v>
      </c>
      <c r="L1381" s="18"/>
      <c r="M1381" s="14">
        <v>1</v>
      </c>
      <c r="N1381" s="15">
        <v>1606500</v>
      </c>
      <c r="O1381" s="15">
        <f t="shared" si="51"/>
        <v>1606500</v>
      </c>
      <c r="P1381" s="15"/>
      <c r="Q1381" s="14" t="s">
        <v>520</v>
      </c>
      <c r="R1381" s="25">
        <v>45565</v>
      </c>
      <c r="S1381" s="34" t="str">
        <f>TEXT(Table1[[#This Row],[End Date]],"MMMM")</f>
        <v>September</v>
      </c>
      <c r="T1381" s="34" t="str">
        <f>TEXT(Table1[[#This Row],[End Date]],"YYYY")</f>
        <v>2024</v>
      </c>
      <c r="U1381" s="24">
        <f t="shared" ca="1" si="50"/>
        <v>-432</v>
      </c>
      <c r="V1381" s="14" t="str" cm="1">
        <f t="array" aca="1" ref="V1381" ca="1">_xlfn.IFS(Table1[[#This Row],[Agreement Days]]&gt;=0,"Expired",Table1[[#This Row],[Agreement Days]]&gt;=-30,"Expires &lt; 30 Days",Table1[[#This Row],[Agreement Days]]&gt;=-60,"Expires &lt; 60 Days",Table1[[#This Row],[Agreement Days]]&lt;-60,"Valid Contract")</f>
        <v>Valid Contract</v>
      </c>
      <c r="W1381" s="18" t="s">
        <v>18</v>
      </c>
      <c r="X1381" s="18" t="s">
        <v>2653</v>
      </c>
      <c r="Y1381" s="35" t="s">
        <v>2654</v>
      </c>
      <c r="Z1381" s="27" t="s">
        <v>2655</v>
      </c>
      <c r="AA1381" s="36"/>
      <c r="AB1381" s="123"/>
      <c r="AC1381" s="123"/>
    </row>
    <row r="1382" spans="1:29" hidden="1" x14ac:dyDescent="0.3">
      <c r="A1382" s="18" t="s">
        <v>2656</v>
      </c>
      <c r="B1382" s="18" t="s">
        <v>107</v>
      </c>
      <c r="C1382" s="18" t="s">
        <v>107</v>
      </c>
      <c r="D1382" s="14" t="s">
        <v>848</v>
      </c>
      <c r="E1382" s="18" t="s">
        <v>9</v>
      </c>
      <c r="F1382" s="14" t="s">
        <v>631</v>
      </c>
      <c r="G1382" s="14" t="s">
        <v>518</v>
      </c>
      <c r="H1382" s="18" t="s">
        <v>5</v>
      </c>
      <c r="I1382" s="14" t="s">
        <v>117</v>
      </c>
      <c r="J1382" s="14">
        <v>1</v>
      </c>
      <c r="K1382" s="14" t="s">
        <v>677</v>
      </c>
      <c r="L1382" s="14"/>
      <c r="M1382" s="14">
        <v>1</v>
      </c>
      <c r="N1382" s="15">
        <f>106200/1.18</f>
        <v>90000</v>
      </c>
      <c r="O1382" s="15">
        <f t="shared" si="51"/>
        <v>90000</v>
      </c>
      <c r="P1382" s="15"/>
      <c r="Q1382" s="14" t="s">
        <v>520</v>
      </c>
      <c r="R1382" s="25">
        <v>45565</v>
      </c>
      <c r="S1382" s="22" t="str">
        <f>TEXT(Table1[[#This Row],[End Date]],"MMMM")</f>
        <v>September</v>
      </c>
      <c r="T1382" s="23" t="str">
        <f>TEXT(Table1[[#This Row],[End Date]],"YYYY")</f>
        <v>2024</v>
      </c>
      <c r="U1382" s="24">
        <f t="shared" ca="1" si="50"/>
        <v>-432</v>
      </c>
      <c r="V1382" s="14" t="str" cm="1">
        <f t="array" aca="1" ref="V1382" ca="1">_xlfn.IFS(Table1[[#This Row],[Agreement Days]]&gt;=0,"Expired",Table1[[#This Row],[Agreement Days]]&gt;=-30,"Expires &lt; 30 Days",Table1[[#This Row],[Agreement Days]]&gt;=-60,"Expires &lt; 60 Days",Table1[[#This Row],[Agreement Days]]&lt;-60,"Valid Contract")</f>
        <v>Valid Contract</v>
      </c>
      <c r="W1382" s="14" t="s">
        <v>13</v>
      </c>
      <c r="X1382" s="14" t="s">
        <v>2657</v>
      </c>
      <c r="Y1382" s="43" t="s">
        <v>2658</v>
      </c>
      <c r="Z1382" s="27" t="s">
        <v>2659</v>
      </c>
      <c r="AA1382" s="17"/>
      <c r="AB1382" s="123"/>
      <c r="AC1382" s="123"/>
    </row>
    <row r="1383" spans="1:29" s="11" customFormat="1" hidden="1" x14ac:dyDescent="0.3">
      <c r="A1383" s="18" t="s">
        <v>2327</v>
      </c>
      <c r="B1383" s="18" t="s">
        <v>284</v>
      </c>
      <c r="C1383" s="18" t="s">
        <v>284</v>
      </c>
      <c r="D1383" s="14" t="s">
        <v>653</v>
      </c>
      <c r="E1383" s="18" t="s">
        <v>9</v>
      </c>
      <c r="F1383" s="14" t="s">
        <v>688</v>
      </c>
      <c r="G1383" s="14" t="s">
        <v>518</v>
      </c>
      <c r="H1383" s="18" t="s">
        <v>5</v>
      </c>
      <c r="I1383" s="14" t="s">
        <v>117</v>
      </c>
      <c r="J1383" s="14">
        <v>10</v>
      </c>
      <c r="K1383" s="18" t="s">
        <v>547</v>
      </c>
      <c r="L1383" s="18"/>
      <c r="M1383" s="14">
        <v>1</v>
      </c>
      <c r="N1383" s="15">
        <v>510000</v>
      </c>
      <c r="O1383" s="15">
        <f t="shared" si="51"/>
        <v>510000</v>
      </c>
      <c r="P1383" s="15"/>
      <c r="Q1383" s="14" t="s">
        <v>520</v>
      </c>
      <c r="R1383" s="25">
        <v>45565</v>
      </c>
      <c r="S1383" s="34" t="str">
        <f>TEXT(Table1[[#This Row],[End Date]],"MMMM")</f>
        <v>September</v>
      </c>
      <c r="T1383" s="34" t="str">
        <f>TEXT(Table1[[#This Row],[End Date]],"YYYY")</f>
        <v>2024</v>
      </c>
      <c r="U1383" s="24">
        <f t="shared" ca="1" si="50"/>
        <v>-432</v>
      </c>
      <c r="V1383" s="14" t="str" cm="1">
        <f t="array" aca="1" ref="V1383" ca="1">_xlfn.IFS(Table1[[#This Row],[Agreement Days]]&gt;=0,"Expired",Table1[[#This Row],[Agreement Days]]&gt;=-30,"Expires &lt; 30 Days",Table1[[#This Row],[Agreement Days]]&gt;=-60,"Expires &lt; 60 Days",Table1[[#This Row],[Agreement Days]]&lt;-60,"Valid Contract")</f>
        <v>Valid Contract</v>
      </c>
      <c r="W1383" s="18" t="s">
        <v>21</v>
      </c>
      <c r="X1383" s="18" t="s">
        <v>2329</v>
      </c>
      <c r="Y1383" s="42" t="s">
        <v>2330</v>
      </c>
      <c r="Z1383" s="27">
        <v>786615217</v>
      </c>
      <c r="AA1383" s="27"/>
      <c r="AB1383" s="123"/>
      <c r="AC1383" s="123"/>
    </row>
    <row r="1384" spans="1:29" s="11" customFormat="1" hidden="1" x14ac:dyDescent="0.3">
      <c r="A1384" s="18" t="s">
        <v>2457</v>
      </c>
      <c r="B1384" s="18" t="s">
        <v>280</v>
      </c>
      <c r="C1384" s="18" t="s">
        <v>544</v>
      </c>
      <c r="D1384" s="14" t="s">
        <v>545</v>
      </c>
      <c r="E1384" s="18" t="s">
        <v>9</v>
      </c>
      <c r="F1384" s="14" t="s">
        <v>517</v>
      </c>
      <c r="G1384" s="14" t="s">
        <v>518</v>
      </c>
      <c r="H1384" s="18" t="s">
        <v>5</v>
      </c>
      <c r="I1384" s="14" t="s">
        <v>117</v>
      </c>
      <c r="J1384" s="19">
        <v>15</v>
      </c>
      <c r="K1384" s="26" t="s">
        <v>899</v>
      </c>
      <c r="L1384" s="26"/>
      <c r="M1384" s="19">
        <v>1</v>
      </c>
      <c r="N1384" s="15">
        <v>720000</v>
      </c>
      <c r="O1384" s="15">
        <f t="shared" si="51"/>
        <v>720000</v>
      </c>
      <c r="P1384" s="15"/>
      <c r="Q1384" s="14" t="s">
        <v>520</v>
      </c>
      <c r="R1384" s="25">
        <v>45565</v>
      </c>
      <c r="S1384" s="34" t="str">
        <f>TEXT(Table1[[#This Row],[End Date]],"MMMM")</f>
        <v>September</v>
      </c>
      <c r="T1384" s="34" t="str">
        <f>TEXT(Table1[[#This Row],[End Date]],"YYYY")</f>
        <v>2024</v>
      </c>
      <c r="U1384" s="24">
        <f t="shared" ca="1" si="50"/>
        <v>-432</v>
      </c>
      <c r="V1384" s="14" t="str" cm="1">
        <f t="array" aca="1" ref="V1384" ca="1">_xlfn.IFS(Table1[[#This Row],[Agreement Days]]&gt;=0,"Expired",Table1[[#This Row],[Agreement Days]]&gt;=-30,"Expires &lt; 30 Days",Table1[[#This Row],[Agreement Days]]&gt;=-60,"Expires &lt; 60 Days",Table1[[#This Row],[Agreement Days]]&lt;-60,"Valid Contract")</f>
        <v>Valid Contract</v>
      </c>
      <c r="W1384" s="26" t="s">
        <v>17</v>
      </c>
      <c r="X1384" s="26" t="s">
        <v>2458</v>
      </c>
      <c r="Y1384" s="35" t="s">
        <v>2459</v>
      </c>
      <c r="Z1384" s="27">
        <v>788699349</v>
      </c>
      <c r="AA1384" s="27"/>
      <c r="AB1384" s="123"/>
      <c r="AC1384" s="123"/>
    </row>
    <row r="1385" spans="1:29" s="11" customFormat="1" hidden="1" x14ac:dyDescent="0.3">
      <c r="A1385" s="18" t="s">
        <v>2660</v>
      </c>
      <c r="B1385" s="18" t="s">
        <v>170</v>
      </c>
      <c r="C1385" s="18" t="s">
        <v>544</v>
      </c>
      <c r="D1385" s="14" t="s">
        <v>542</v>
      </c>
      <c r="E1385" s="18" t="s">
        <v>9</v>
      </c>
      <c r="F1385" s="14" t="s">
        <v>517</v>
      </c>
      <c r="G1385" s="14" t="s">
        <v>518</v>
      </c>
      <c r="H1385" s="18" t="s">
        <v>5</v>
      </c>
      <c r="I1385" s="14" t="s">
        <v>117</v>
      </c>
      <c r="J1385" s="14">
        <v>3</v>
      </c>
      <c r="K1385" s="14" t="s">
        <v>646</v>
      </c>
      <c r="L1385" s="14"/>
      <c r="M1385" s="14">
        <v>1</v>
      </c>
      <c r="N1385" s="15">
        <v>180000</v>
      </c>
      <c r="O1385" s="15">
        <f t="shared" si="51"/>
        <v>180000</v>
      </c>
      <c r="P1385" s="15"/>
      <c r="Q1385" s="14" t="s">
        <v>520</v>
      </c>
      <c r="R1385" s="25">
        <v>45565</v>
      </c>
      <c r="S1385" s="22" t="str">
        <f>TEXT(Table1[[#This Row],[End Date]],"MMMM")</f>
        <v>September</v>
      </c>
      <c r="T1385" s="23" t="str">
        <f>TEXT(Table1[[#This Row],[End Date]],"YYYY")</f>
        <v>2024</v>
      </c>
      <c r="U1385" s="24">
        <f t="shared" ca="1" si="50"/>
        <v>-432</v>
      </c>
      <c r="V1385" s="14" t="str" cm="1">
        <f t="array" aca="1" ref="V1385" ca="1">_xlfn.IFS(Table1[[#This Row],[Agreement Days]]&gt;=0,"Expired",Table1[[#This Row],[Agreement Days]]&gt;=-30,"Expires &lt; 30 Days",Table1[[#This Row],[Agreement Days]]&gt;=-60,"Expires &lt; 60 Days",Table1[[#This Row],[Agreement Days]]&lt;-60,"Valid Contract")</f>
        <v>Valid Contract</v>
      </c>
      <c r="W1385" s="14" t="s">
        <v>19</v>
      </c>
      <c r="X1385" s="14" t="s">
        <v>2661</v>
      </c>
      <c r="Y1385" s="14" t="s">
        <v>2662</v>
      </c>
      <c r="Z1385" s="27">
        <v>788783448</v>
      </c>
      <c r="AA1385" s="14"/>
      <c r="AB1385" s="123"/>
      <c r="AC1385" s="123"/>
    </row>
    <row r="1386" spans="1:29" s="11" customFormat="1" hidden="1" x14ac:dyDescent="0.3">
      <c r="A1386" s="18" t="s">
        <v>2660</v>
      </c>
      <c r="B1386" s="18" t="s">
        <v>170</v>
      </c>
      <c r="C1386" s="18" t="s">
        <v>544</v>
      </c>
      <c r="D1386" s="14" t="s">
        <v>542</v>
      </c>
      <c r="E1386" s="18" t="s">
        <v>9</v>
      </c>
      <c r="F1386" s="14" t="s">
        <v>517</v>
      </c>
      <c r="G1386" s="14" t="s">
        <v>518</v>
      </c>
      <c r="H1386" s="18" t="s">
        <v>5</v>
      </c>
      <c r="I1386" s="14" t="s">
        <v>117</v>
      </c>
      <c r="J1386" s="14">
        <v>10</v>
      </c>
      <c r="K1386" s="14" t="s">
        <v>547</v>
      </c>
      <c r="L1386" s="14"/>
      <c r="M1386" s="14">
        <v>1</v>
      </c>
      <c r="N1386" s="15">
        <v>510000</v>
      </c>
      <c r="O1386" s="15">
        <f t="shared" si="51"/>
        <v>510000</v>
      </c>
      <c r="P1386" s="15"/>
      <c r="Q1386" s="14" t="s">
        <v>520</v>
      </c>
      <c r="R1386" s="25">
        <v>45565</v>
      </c>
      <c r="S1386" s="22" t="str">
        <f>TEXT(Table1[[#This Row],[End Date]],"MMMM")</f>
        <v>September</v>
      </c>
      <c r="T1386" s="23" t="str">
        <f>TEXT(Table1[[#This Row],[End Date]],"YYYY")</f>
        <v>2024</v>
      </c>
      <c r="U1386" s="24">
        <f t="shared" ca="1" si="50"/>
        <v>-432</v>
      </c>
      <c r="V1386" s="14" t="str" cm="1">
        <f t="array" aca="1" ref="V1386" ca="1">_xlfn.IFS(Table1[[#This Row],[Agreement Days]]&gt;=0,"Expired",Table1[[#This Row],[Agreement Days]]&gt;=-30,"Expires &lt; 30 Days",Table1[[#This Row],[Agreement Days]]&gt;=-60,"Expires &lt; 60 Days",Table1[[#This Row],[Agreement Days]]&lt;-60,"Valid Contract")</f>
        <v>Valid Contract</v>
      </c>
      <c r="W1386" s="14" t="s">
        <v>19</v>
      </c>
      <c r="X1386" s="14" t="s">
        <v>2661</v>
      </c>
      <c r="Y1386" s="14" t="s">
        <v>2662</v>
      </c>
      <c r="Z1386" s="27">
        <v>788783448</v>
      </c>
      <c r="AA1386" s="17"/>
      <c r="AB1386" s="123"/>
      <c r="AC1386" s="123"/>
    </row>
    <row r="1387" spans="1:29" s="11" customFormat="1" hidden="1" x14ac:dyDescent="0.3">
      <c r="A1387" s="18" t="s">
        <v>2660</v>
      </c>
      <c r="B1387" s="18" t="s">
        <v>170</v>
      </c>
      <c r="C1387" s="18" t="s">
        <v>909</v>
      </c>
      <c r="D1387" s="14" t="s">
        <v>542</v>
      </c>
      <c r="E1387" s="18" t="s">
        <v>9</v>
      </c>
      <c r="F1387" s="14" t="s">
        <v>517</v>
      </c>
      <c r="G1387" s="14" t="s">
        <v>518</v>
      </c>
      <c r="H1387" s="18" t="s">
        <v>5</v>
      </c>
      <c r="I1387" s="14" t="s">
        <v>115</v>
      </c>
      <c r="J1387" s="14"/>
      <c r="K1387" s="18" t="s">
        <v>657</v>
      </c>
      <c r="L1387" s="14"/>
      <c r="M1387" s="14">
        <v>1</v>
      </c>
      <c r="N1387" s="15">
        <v>45338.98</v>
      </c>
      <c r="O1387" s="15">
        <f t="shared" si="51"/>
        <v>45338.98</v>
      </c>
      <c r="P1387" s="15"/>
      <c r="Q1387" s="14" t="s">
        <v>520</v>
      </c>
      <c r="R1387" s="25">
        <v>45565</v>
      </c>
      <c r="S1387" s="22" t="str">
        <f>TEXT(Table1[[#This Row],[End Date]],"MMMM")</f>
        <v>September</v>
      </c>
      <c r="T1387" s="23" t="str">
        <f>TEXT(Table1[[#This Row],[End Date]],"YYYY")</f>
        <v>2024</v>
      </c>
      <c r="U1387" s="24">
        <f t="shared" ca="1" si="50"/>
        <v>-432</v>
      </c>
      <c r="V1387" s="14" t="str" cm="1">
        <f t="array" aca="1" ref="V1387" ca="1">_xlfn.IFS(Table1[[#This Row],[Agreement Days]]&gt;=0,"Expired",Table1[[#This Row],[Agreement Days]]&gt;=-30,"Expires &lt; 30 Days",Table1[[#This Row],[Agreement Days]]&gt;=-60,"Expires &lt; 60 Days",Table1[[#This Row],[Agreement Days]]&lt;-60,"Valid Contract")</f>
        <v>Valid Contract</v>
      </c>
      <c r="W1387" s="14" t="s">
        <v>19</v>
      </c>
      <c r="X1387" s="14" t="s">
        <v>2661</v>
      </c>
      <c r="Y1387" s="14" t="s">
        <v>2662</v>
      </c>
      <c r="Z1387" s="27">
        <v>788783448</v>
      </c>
      <c r="AA1387" s="17"/>
      <c r="AB1387" s="123"/>
      <c r="AC1387" s="123"/>
    </row>
    <row r="1388" spans="1:29" s="11" customFormat="1" hidden="1" x14ac:dyDescent="0.3">
      <c r="A1388" s="18" t="s">
        <v>2660</v>
      </c>
      <c r="B1388" s="18" t="s">
        <v>170</v>
      </c>
      <c r="C1388" s="18" t="s">
        <v>544</v>
      </c>
      <c r="D1388" s="14" t="s">
        <v>542</v>
      </c>
      <c r="E1388" s="18" t="s">
        <v>9</v>
      </c>
      <c r="F1388" s="14" t="s">
        <v>517</v>
      </c>
      <c r="G1388" s="14" t="s">
        <v>518</v>
      </c>
      <c r="H1388" s="18" t="s">
        <v>4</v>
      </c>
      <c r="I1388" s="14" t="s">
        <v>118</v>
      </c>
      <c r="J1388" s="14"/>
      <c r="K1388" s="14" t="s">
        <v>650</v>
      </c>
      <c r="L1388" s="14"/>
      <c r="M1388" s="14">
        <v>1</v>
      </c>
      <c r="N1388" s="15">
        <v>369325.42</v>
      </c>
      <c r="O1388" s="15">
        <f t="shared" si="51"/>
        <v>369325.42</v>
      </c>
      <c r="P1388" s="15"/>
      <c r="Q1388" s="14" t="s">
        <v>520</v>
      </c>
      <c r="R1388" s="25">
        <v>45565</v>
      </c>
      <c r="S1388" s="22" t="str">
        <f>TEXT(Table1[[#This Row],[End Date]],"MMMM")</f>
        <v>September</v>
      </c>
      <c r="T1388" s="23" t="str">
        <f>TEXT(Table1[[#This Row],[End Date]],"YYYY")</f>
        <v>2024</v>
      </c>
      <c r="U1388" s="24">
        <f t="shared" ca="1" si="50"/>
        <v>-432</v>
      </c>
      <c r="V1388" s="14" t="str" cm="1">
        <f t="array" aca="1" ref="V1388" ca="1">_xlfn.IFS(Table1[[#This Row],[Agreement Days]]&gt;=0,"Expired",Table1[[#This Row],[Agreement Days]]&gt;=-30,"Expires &lt; 30 Days",Table1[[#This Row],[Agreement Days]]&gt;=-60,"Expires &lt; 60 Days",Table1[[#This Row],[Agreement Days]]&lt;-60,"Valid Contract")</f>
        <v>Valid Contract</v>
      </c>
      <c r="W1388" s="14" t="s">
        <v>19</v>
      </c>
      <c r="X1388" s="14" t="s">
        <v>2661</v>
      </c>
      <c r="Y1388" s="14" t="s">
        <v>2662</v>
      </c>
      <c r="Z1388" s="27">
        <v>788783448</v>
      </c>
      <c r="AA1388" s="17"/>
      <c r="AB1388" s="123"/>
      <c r="AC1388" s="123"/>
    </row>
    <row r="1389" spans="1:29" s="11" customFormat="1" hidden="1" x14ac:dyDescent="0.3">
      <c r="A1389" s="18" t="s">
        <v>2660</v>
      </c>
      <c r="B1389" s="18" t="s">
        <v>170</v>
      </c>
      <c r="C1389" s="18" t="s">
        <v>544</v>
      </c>
      <c r="D1389" s="14" t="s">
        <v>542</v>
      </c>
      <c r="E1389" s="18" t="s">
        <v>9</v>
      </c>
      <c r="F1389" s="14" t="s">
        <v>517</v>
      </c>
      <c r="G1389" s="14" t="s">
        <v>518</v>
      </c>
      <c r="H1389" s="18" t="s">
        <v>2</v>
      </c>
      <c r="I1389" s="14" t="s">
        <v>120</v>
      </c>
      <c r="J1389" s="14"/>
      <c r="K1389" s="14" t="s">
        <v>649</v>
      </c>
      <c r="L1389" s="14"/>
      <c r="M1389" s="14">
        <v>1</v>
      </c>
      <c r="N1389" s="15">
        <v>258044.92</v>
      </c>
      <c r="O1389" s="15">
        <f t="shared" si="51"/>
        <v>258044.92</v>
      </c>
      <c r="P1389" s="15"/>
      <c r="Q1389" s="14" t="s">
        <v>520</v>
      </c>
      <c r="R1389" s="25">
        <v>45565</v>
      </c>
      <c r="S1389" s="22" t="str">
        <f>TEXT(Table1[[#This Row],[End Date]],"MMMM")</f>
        <v>September</v>
      </c>
      <c r="T1389" s="23" t="str">
        <f>TEXT(Table1[[#This Row],[End Date]],"YYYY")</f>
        <v>2024</v>
      </c>
      <c r="U1389" s="24">
        <f t="shared" ca="1" si="50"/>
        <v>-432</v>
      </c>
      <c r="V1389" s="14" t="str" cm="1">
        <f t="array" aca="1" ref="V1389" ca="1">_xlfn.IFS(Table1[[#This Row],[Agreement Days]]&gt;=0,"Expired",Table1[[#This Row],[Agreement Days]]&gt;=-30,"Expires &lt; 30 Days",Table1[[#This Row],[Agreement Days]]&gt;=-60,"Expires &lt; 60 Days",Table1[[#This Row],[Agreement Days]]&lt;-60,"Valid Contract")</f>
        <v>Valid Contract</v>
      </c>
      <c r="W1389" s="14" t="s">
        <v>19</v>
      </c>
      <c r="X1389" s="14" t="s">
        <v>2661</v>
      </c>
      <c r="Y1389" s="14" t="s">
        <v>2662</v>
      </c>
      <c r="Z1389" s="27">
        <v>788783448</v>
      </c>
      <c r="AA1389" s="17"/>
      <c r="AB1389" s="123"/>
      <c r="AC1389" s="123"/>
    </row>
    <row r="1390" spans="1:29" s="11" customFormat="1" hidden="1" x14ac:dyDescent="0.3">
      <c r="A1390" s="18" t="s">
        <v>2660</v>
      </c>
      <c r="B1390" s="18" t="s">
        <v>170</v>
      </c>
      <c r="C1390" s="18" t="s">
        <v>909</v>
      </c>
      <c r="D1390" s="14" t="s">
        <v>542</v>
      </c>
      <c r="E1390" s="18" t="s">
        <v>9</v>
      </c>
      <c r="F1390" s="14" t="s">
        <v>517</v>
      </c>
      <c r="G1390" s="14" t="s">
        <v>518</v>
      </c>
      <c r="H1390" s="18" t="s">
        <v>5</v>
      </c>
      <c r="I1390" s="14" t="s">
        <v>115</v>
      </c>
      <c r="J1390" s="14"/>
      <c r="K1390" s="14" t="s">
        <v>722</v>
      </c>
      <c r="L1390" s="14"/>
      <c r="M1390" s="14">
        <v>9</v>
      </c>
      <c r="N1390" s="15">
        <v>77711.86</v>
      </c>
      <c r="O1390" s="15">
        <f t="shared" si="51"/>
        <v>699406.74</v>
      </c>
      <c r="P1390" s="15"/>
      <c r="Q1390" s="14" t="s">
        <v>520</v>
      </c>
      <c r="R1390" s="25">
        <v>45565</v>
      </c>
      <c r="S1390" s="22" t="str">
        <f>TEXT(Table1[[#This Row],[End Date]],"MMMM")</f>
        <v>September</v>
      </c>
      <c r="T1390" s="23" t="str">
        <f>TEXT(Table1[[#This Row],[End Date]],"YYYY")</f>
        <v>2024</v>
      </c>
      <c r="U1390" s="24">
        <f t="shared" ca="1" si="50"/>
        <v>-432</v>
      </c>
      <c r="V1390" s="14" t="str" cm="1">
        <f t="array" aca="1" ref="V1390" ca="1">_xlfn.IFS(Table1[[#This Row],[Agreement Days]]&gt;=0,"Expired",Table1[[#This Row],[Agreement Days]]&gt;=-30,"Expires &lt; 30 Days",Table1[[#This Row],[Agreement Days]]&gt;=-60,"Expires &lt; 60 Days",Table1[[#This Row],[Agreement Days]]&lt;-60,"Valid Contract")</f>
        <v>Valid Contract</v>
      </c>
      <c r="W1390" s="14" t="s">
        <v>19</v>
      </c>
      <c r="X1390" s="14" t="s">
        <v>2661</v>
      </c>
      <c r="Y1390" s="14" t="s">
        <v>2662</v>
      </c>
      <c r="Z1390" s="27">
        <v>788783448</v>
      </c>
      <c r="AA1390" s="17"/>
      <c r="AB1390" s="123"/>
      <c r="AC1390" s="123"/>
    </row>
    <row r="1391" spans="1:29" s="11" customFormat="1" hidden="1" x14ac:dyDescent="0.3">
      <c r="A1391" s="18" t="s">
        <v>2660</v>
      </c>
      <c r="B1391" s="18" t="s">
        <v>170</v>
      </c>
      <c r="C1391" s="18" t="s">
        <v>909</v>
      </c>
      <c r="D1391" s="14" t="s">
        <v>542</v>
      </c>
      <c r="E1391" s="18" t="s">
        <v>9</v>
      </c>
      <c r="F1391" s="14" t="s">
        <v>517</v>
      </c>
      <c r="G1391" s="14" t="s">
        <v>518</v>
      </c>
      <c r="H1391" s="18" t="s">
        <v>5</v>
      </c>
      <c r="I1391" s="14" t="s">
        <v>115</v>
      </c>
      <c r="J1391" s="14"/>
      <c r="K1391" s="14" t="s">
        <v>722</v>
      </c>
      <c r="L1391" s="14"/>
      <c r="M1391" s="14">
        <v>10</v>
      </c>
      <c r="N1391" s="15">
        <v>77711.86</v>
      </c>
      <c r="O1391" s="15">
        <f t="shared" si="51"/>
        <v>777118.6</v>
      </c>
      <c r="P1391" s="15"/>
      <c r="Q1391" s="14" t="s">
        <v>520</v>
      </c>
      <c r="R1391" s="25">
        <v>45565</v>
      </c>
      <c r="S1391" s="22" t="str">
        <f>TEXT(Table1[[#This Row],[End Date]],"MMMM")</f>
        <v>September</v>
      </c>
      <c r="T1391" s="23" t="str">
        <f>TEXT(Table1[[#This Row],[End Date]],"YYYY")</f>
        <v>2024</v>
      </c>
      <c r="U1391" s="24">
        <f t="shared" ca="1" si="50"/>
        <v>-432</v>
      </c>
      <c r="V1391" s="14" t="str" cm="1">
        <f t="array" aca="1" ref="V1391" ca="1">_xlfn.IFS(Table1[[#This Row],[Agreement Days]]&gt;=0,"Expired",Table1[[#This Row],[Agreement Days]]&gt;=-30,"Expires &lt; 30 Days",Table1[[#This Row],[Agreement Days]]&gt;=-60,"Expires &lt; 60 Days",Table1[[#This Row],[Agreement Days]]&lt;-60,"Valid Contract")</f>
        <v>Valid Contract</v>
      </c>
      <c r="W1391" s="14" t="s">
        <v>19</v>
      </c>
      <c r="X1391" s="14" t="s">
        <v>2661</v>
      </c>
      <c r="Y1391" s="14" t="s">
        <v>2662</v>
      </c>
      <c r="Z1391" s="27">
        <v>788783448</v>
      </c>
      <c r="AA1391" s="17"/>
      <c r="AB1391" s="123"/>
      <c r="AC1391" s="123"/>
    </row>
    <row r="1392" spans="1:29" s="11" customFormat="1" hidden="1" x14ac:dyDescent="0.3">
      <c r="A1392" s="18" t="s">
        <v>2660</v>
      </c>
      <c r="B1392" s="18" t="s">
        <v>170</v>
      </c>
      <c r="C1392" s="18" t="s">
        <v>909</v>
      </c>
      <c r="D1392" s="14" t="s">
        <v>542</v>
      </c>
      <c r="E1392" s="18" t="s">
        <v>9</v>
      </c>
      <c r="F1392" s="14" t="s">
        <v>517</v>
      </c>
      <c r="G1392" s="14" t="s">
        <v>518</v>
      </c>
      <c r="H1392" s="18" t="s">
        <v>5</v>
      </c>
      <c r="I1392" s="14" t="s">
        <v>115</v>
      </c>
      <c r="J1392" s="14"/>
      <c r="K1392" s="18" t="s">
        <v>573</v>
      </c>
      <c r="L1392" s="14"/>
      <c r="M1392" s="14">
        <v>10</v>
      </c>
      <c r="N1392" s="15">
        <v>19491.53</v>
      </c>
      <c r="O1392" s="15">
        <f t="shared" si="51"/>
        <v>194915.3</v>
      </c>
      <c r="P1392" s="15"/>
      <c r="Q1392" s="14" t="s">
        <v>520</v>
      </c>
      <c r="R1392" s="25">
        <v>45565</v>
      </c>
      <c r="S1392" s="22" t="str">
        <f>TEXT(Table1[[#This Row],[End Date]],"MMMM")</f>
        <v>September</v>
      </c>
      <c r="T1392" s="23" t="str">
        <f>TEXT(Table1[[#This Row],[End Date]],"YYYY")</f>
        <v>2024</v>
      </c>
      <c r="U1392" s="24">
        <f t="shared" ca="1" si="50"/>
        <v>-432</v>
      </c>
      <c r="V1392" s="14" t="str" cm="1">
        <f t="array" aca="1" ref="V1392" ca="1">_xlfn.IFS(Table1[[#This Row],[Agreement Days]]&gt;=0,"Expired",Table1[[#This Row],[Agreement Days]]&gt;=-30,"Expires &lt; 30 Days",Table1[[#This Row],[Agreement Days]]&gt;=-60,"Expires &lt; 60 Days",Table1[[#This Row],[Agreement Days]]&lt;-60,"Valid Contract")</f>
        <v>Valid Contract</v>
      </c>
      <c r="W1392" s="14" t="s">
        <v>19</v>
      </c>
      <c r="X1392" s="14" t="s">
        <v>2661</v>
      </c>
      <c r="Y1392" s="14" t="s">
        <v>2662</v>
      </c>
      <c r="Z1392" s="27">
        <v>788783448</v>
      </c>
      <c r="AA1392" s="17"/>
      <c r="AB1392" s="123"/>
      <c r="AC1392" s="123"/>
    </row>
    <row r="1393" spans="1:29" s="11" customFormat="1" hidden="1" x14ac:dyDescent="0.3">
      <c r="A1393" s="18" t="s">
        <v>2660</v>
      </c>
      <c r="B1393" s="18" t="s">
        <v>170</v>
      </c>
      <c r="C1393" s="18" t="s">
        <v>909</v>
      </c>
      <c r="D1393" s="14" t="s">
        <v>542</v>
      </c>
      <c r="E1393" s="18" t="s">
        <v>9</v>
      </c>
      <c r="F1393" s="14" t="s">
        <v>517</v>
      </c>
      <c r="G1393" s="14" t="s">
        <v>518</v>
      </c>
      <c r="H1393" s="18" t="s">
        <v>5</v>
      </c>
      <c r="I1393" s="14" t="s">
        <v>115</v>
      </c>
      <c r="J1393" s="14"/>
      <c r="K1393" s="18" t="s">
        <v>643</v>
      </c>
      <c r="L1393" s="14"/>
      <c r="M1393" s="14">
        <v>39</v>
      </c>
      <c r="N1393" s="15">
        <v>28305.08</v>
      </c>
      <c r="O1393" s="15">
        <f t="shared" si="51"/>
        <v>1103898.1200000001</v>
      </c>
      <c r="P1393" s="15"/>
      <c r="Q1393" s="14" t="s">
        <v>520</v>
      </c>
      <c r="R1393" s="25">
        <v>45565</v>
      </c>
      <c r="S1393" s="22" t="str">
        <f>TEXT(Table1[[#This Row],[End Date]],"MMMM")</f>
        <v>September</v>
      </c>
      <c r="T1393" s="23" t="str">
        <f>TEXT(Table1[[#This Row],[End Date]],"YYYY")</f>
        <v>2024</v>
      </c>
      <c r="U1393" s="24">
        <f t="shared" ca="1" si="50"/>
        <v>-432</v>
      </c>
      <c r="V1393" s="14" t="str" cm="1">
        <f t="array" aca="1" ref="V1393" ca="1">_xlfn.IFS(Table1[[#This Row],[Agreement Days]]&gt;=0,"Expired",Table1[[#This Row],[Agreement Days]]&gt;=-30,"Expires &lt; 30 Days",Table1[[#This Row],[Agreement Days]]&gt;=-60,"Expires &lt; 60 Days",Table1[[#This Row],[Agreement Days]]&lt;-60,"Valid Contract")</f>
        <v>Valid Contract</v>
      </c>
      <c r="W1393" s="14" t="s">
        <v>19</v>
      </c>
      <c r="X1393" s="14" t="s">
        <v>2661</v>
      </c>
      <c r="Y1393" s="14" t="s">
        <v>2662</v>
      </c>
      <c r="Z1393" s="27">
        <v>788783448</v>
      </c>
      <c r="AA1393" s="17"/>
      <c r="AB1393" s="123"/>
      <c r="AC1393" s="123"/>
    </row>
    <row r="1394" spans="1:29" s="11" customFormat="1" hidden="1" x14ac:dyDescent="0.3">
      <c r="A1394" s="18" t="s">
        <v>2660</v>
      </c>
      <c r="B1394" s="18" t="s">
        <v>170</v>
      </c>
      <c r="C1394" s="18" t="s">
        <v>909</v>
      </c>
      <c r="D1394" s="14" t="s">
        <v>542</v>
      </c>
      <c r="E1394" s="18" t="s">
        <v>9</v>
      </c>
      <c r="F1394" s="14" t="s">
        <v>517</v>
      </c>
      <c r="G1394" s="14" t="s">
        <v>518</v>
      </c>
      <c r="H1394" s="18" t="s">
        <v>5</v>
      </c>
      <c r="I1394" s="14" t="s">
        <v>115</v>
      </c>
      <c r="J1394" s="14"/>
      <c r="K1394" s="18" t="s">
        <v>643</v>
      </c>
      <c r="L1394" s="14"/>
      <c r="M1394" s="14">
        <v>40</v>
      </c>
      <c r="N1394" s="15">
        <v>28305.08</v>
      </c>
      <c r="O1394" s="15">
        <f t="shared" si="51"/>
        <v>1132203.2000000002</v>
      </c>
      <c r="P1394" s="15"/>
      <c r="Q1394" s="14" t="s">
        <v>520</v>
      </c>
      <c r="R1394" s="25">
        <v>45565</v>
      </c>
      <c r="S1394" s="22" t="str">
        <f>TEXT(Table1[[#This Row],[End Date]],"MMMM")</f>
        <v>September</v>
      </c>
      <c r="T1394" s="23" t="str">
        <f>TEXT(Table1[[#This Row],[End Date]],"YYYY")</f>
        <v>2024</v>
      </c>
      <c r="U1394" s="24">
        <f t="shared" ca="1" si="50"/>
        <v>-432</v>
      </c>
      <c r="V1394" s="14" t="str" cm="1">
        <f t="array" aca="1" ref="V1394" ca="1">_xlfn.IFS(Table1[[#This Row],[Agreement Days]]&gt;=0,"Expired",Table1[[#This Row],[Agreement Days]]&gt;=-30,"Expires &lt; 30 Days",Table1[[#This Row],[Agreement Days]]&gt;=-60,"Expires &lt; 60 Days",Table1[[#This Row],[Agreement Days]]&lt;-60,"Valid Contract")</f>
        <v>Valid Contract</v>
      </c>
      <c r="W1394" s="14" t="s">
        <v>19</v>
      </c>
      <c r="X1394" s="14" t="s">
        <v>2661</v>
      </c>
      <c r="Y1394" s="14" t="s">
        <v>2662</v>
      </c>
      <c r="Z1394" s="27">
        <v>788783448</v>
      </c>
      <c r="AA1394" s="17"/>
      <c r="AB1394" s="123"/>
      <c r="AC1394" s="123"/>
    </row>
    <row r="1395" spans="1:29" s="11" customFormat="1" hidden="1" x14ac:dyDescent="0.3">
      <c r="A1395" s="18" t="s">
        <v>2663</v>
      </c>
      <c r="B1395" s="18" t="s">
        <v>359</v>
      </c>
      <c r="C1395" s="18" t="s">
        <v>359</v>
      </c>
      <c r="D1395" s="14" t="s">
        <v>545</v>
      </c>
      <c r="E1395" s="18" t="s">
        <v>10</v>
      </c>
      <c r="F1395" s="14" t="s">
        <v>688</v>
      </c>
      <c r="G1395" s="14" t="s">
        <v>518</v>
      </c>
      <c r="H1395" s="18" t="s">
        <v>2</v>
      </c>
      <c r="I1395" s="14" t="s">
        <v>134</v>
      </c>
      <c r="J1395" s="14">
        <v>10</v>
      </c>
      <c r="K1395" s="20" t="s">
        <v>1257</v>
      </c>
      <c r="L1395" s="14"/>
      <c r="M1395" s="14">
        <v>1</v>
      </c>
      <c r="N1395" s="15">
        <v>510000</v>
      </c>
      <c r="O1395" s="15">
        <f t="shared" si="51"/>
        <v>510000</v>
      </c>
      <c r="P1395" s="15"/>
      <c r="Q1395" s="14" t="s">
        <v>520</v>
      </c>
      <c r="R1395" s="25">
        <v>45569</v>
      </c>
      <c r="S1395" s="22" t="str">
        <f>TEXT(Table1[[#This Row],[End Date]],"MMMM")</f>
        <v>October</v>
      </c>
      <c r="T1395" s="22" t="str">
        <f>TEXT(Table1[[#This Row],[End Date]],"YYYY")</f>
        <v>2024</v>
      </c>
      <c r="U1395" s="24">
        <f t="shared" ca="1" si="50"/>
        <v>-436</v>
      </c>
      <c r="V1395" s="14" t="str" cm="1">
        <f t="array" aca="1" ref="V1395" ca="1">_xlfn.IFS(Table1[[#This Row],[Agreement Days]]&gt;=0,"Expired",Table1[[#This Row],[Agreement Days]]&gt;=-30,"Expires &lt; 30 Days",Table1[[#This Row],[Agreement Days]]&gt;=-60,"Expires &lt; 60 Days",Table1[[#This Row],[Agreement Days]]&lt;-60,"Valid Contract")</f>
        <v>Valid Contract</v>
      </c>
      <c r="W1395" s="14" t="s">
        <v>20</v>
      </c>
      <c r="X1395" s="14" t="s">
        <v>2664</v>
      </c>
      <c r="Y1395" s="16" t="s">
        <v>2665</v>
      </c>
      <c r="Z1395" s="27" t="s">
        <v>2666</v>
      </c>
      <c r="AA1395" s="19"/>
      <c r="AB1395" s="123"/>
      <c r="AC1395" s="123"/>
    </row>
    <row r="1396" spans="1:29" s="11" customFormat="1" hidden="1" x14ac:dyDescent="0.3">
      <c r="A1396" s="18" t="s">
        <v>2667</v>
      </c>
      <c r="B1396" s="18" t="s">
        <v>331</v>
      </c>
      <c r="C1396" s="18" t="s">
        <v>544</v>
      </c>
      <c r="D1396" s="14" t="s">
        <v>545</v>
      </c>
      <c r="E1396" s="18" t="s">
        <v>9</v>
      </c>
      <c r="F1396" s="14" t="s">
        <v>601</v>
      </c>
      <c r="G1396" s="14" t="s">
        <v>518</v>
      </c>
      <c r="H1396" s="18" t="s">
        <v>5</v>
      </c>
      <c r="I1396" s="14" t="s">
        <v>115</v>
      </c>
      <c r="J1396" s="14"/>
      <c r="K1396" s="26" t="s">
        <v>643</v>
      </c>
      <c r="L1396" s="14"/>
      <c r="M1396" s="20">
        <v>2</v>
      </c>
      <c r="N1396" s="15">
        <v>28305.084746</v>
      </c>
      <c r="O1396" s="15">
        <f t="shared" si="51"/>
        <v>56610.169492000001</v>
      </c>
      <c r="P1396" s="15"/>
      <c r="Q1396" s="14" t="s">
        <v>520</v>
      </c>
      <c r="R1396" s="25">
        <v>45584</v>
      </c>
      <c r="S1396" s="22" t="str">
        <f>TEXT(Table1[[#This Row],[End Date]],"MMMM")</f>
        <v>October</v>
      </c>
      <c r="T1396" s="34" t="str">
        <f>TEXT(Table1[[#This Row],[End Date]],"YYYY")</f>
        <v>2024</v>
      </c>
      <c r="U1396" s="24">
        <f t="shared" ca="1" si="50"/>
        <v>-451</v>
      </c>
      <c r="V1396" s="14" t="str" cm="1">
        <f t="array" aca="1" ref="V1396" ca="1">_xlfn.IFS(Table1[[#This Row],[Agreement Days]]&gt;=0,"Expired",Table1[[#This Row],[Agreement Days]]&gt;=-30,"Expires &lt; 30 Days",Table1[[#This Row],[Agreement Days]]&gt;=-60,"Expires &lt; 60 Days",Table1[[#This Row],[Agreement Days]]&lt;-60,"Valid Contract")</f>
        <v>Valid Contract</v>
      </c>
      <c r="W1396" s="18" t="s">
        <v>16</v>
      </c>
      <c r="X1396" s="18" t="s">
        <v>2668</v>
      </c>
      <c r="Y1396" s="18" t="s">
        <v>2669</v>
      </c>
      <c r="Z1396" s="27" t="s">
        <v>2670</v>
      </c>
      <c r="AA1396" s="17"/>
      <c r="AB1396" s="123"/>
      <c r="AC1396" s="123"/>
    </row>
    <row r="1397" spans="1:29" s="11" customFormat="1" hidden="1" x14ac:dyDescent="0.3">
      <c r="A1397" s="18" t="s">
        <v>2667</v>
      </c>
      <c r="B1397" s="18" t="s">
        <v>331</v>
      </c>
      <c r="C1397" s="18" t="s">
        <v>544</v>
      </c>
      <c r="D1397" s="14" t="s">
        <v>545</v>
      </c>
      <c r="E1397" s="18" t="s">
        <v>9</v>
      </c>
      <c r="F1397" s="14" t="s">
        <v>601</v>
      </c>
      <c r="G1397" s="14" t="s">
        <v>518</v>
      </c>
      <c r="H1397" s="18" t="s">
        <v>5</v>
      </c>
      <c r="I1397" s="14" t="s">
        <v>115</v>
      </c>
      <c r="J1397" s="18"/>
      <c r="K1397" s="26" t="s">
        <v>1245</v>
      </c>
      <c r="L1397" s="18"/>
      <c r="M1397" s="20">
        <v>9</v>
      </c>
      <c r="N1397" s="15">
        <v>45338.983051000003</v>
      </c>
      <c r="O1397" s="15">
        <f t="shared" si="51"/>
        <v>408050.84745900001</v>
      </c>
      <c r="P1397" s="15"/>
      <c r="Q1397" s="14" t="s">
        <v>520</v>
      </c>
      <c r="R1397" s="25">
        <v>45584</v>
      </c>
      <c r="S1397" s="34" t="str">
        <f>TEXT(Table1[[#This Row],[End Date]],"MMMM")</f>
        <v>October</v>
      </c>
      <c r="T1397" s="34" t="str">
        <f>TEXT(Table1[[#This Row],[End Date]],"YYYY")</f>
        <v>2024</v>
      </c>
      <c r="U1397" s="24">
        <f t="shared" ca="1" si="50"/>
        <v>-451</v>
      </c>
      <c r="V1397" s="14" t="str" cm="1">
        <f t="array" aca="1" ref="V1397" ca="1">_xlfn.IFS(Table1[[#This Row],[Agreement Days]]&gt;=0,"Expired",Table1[[#This Row],[Agreement Days]]&gt;=-30,"Expires &lt; 30 Days",Table1[[#This Row],[Agreement Days]]&gt;=-60,"Expires &lt; 60 Days",Table1[[#This Row],[Agreement Days]]&lt;-60,"Valid Contract")</f>
        <v>Valid Contract</v>
      </c>
      <c r="W1397" s="18" t="s">
        <v>16</v>
      </c>
      <c r="X1397" s="18" t="s">
        <v>2668</v>
      </c>
      <c r="Y1397" s="18" t="s">
        <v>2669</v>
      </c>
      <c r="Z1397" s="27" t="s">
        <v>2670</v>
      </c>
      <c r="AA1397" s="27"/>
      <c r="AB1397" s="123"/>
      <c r="AC1397" s="123"/>
    </row>
    <row r="1398" spans="1:29" s="11" customFormat="1" hidden="1" x14ac:dyDescent="0.3">
      <c r="A1398" s="18" t="s">
        <v>2667</v>
      </c>
      <c r="B1398" s="18" t="s">
        <v>331</v>
      </c>
      <c r="C1398" s="18" t="s">
        <v>544</v>
      </c>
      <c r="D1398" s="14" t="s">
        <v>545</v>
      </c>
      <c r="E1398" s="18" t="s">
        <v>9</v>
      </c>
      <c r="F1398" s="14" t="s">
        <v>601</v>
      </c>
      <c r="G1398" s="14" t="s">
        <v>518</v>
      </c>
      <c r="H1398" s="18" t="s">
        <v>5</v>
      </c>
      <c r="I1398" s="14" t="s">
        <v>115</v>
      </c>
      <c r="J1398" s="14"/>
      <c r="K1398" s="26" t="s">
        <v>573</v>
      </c>
      <c r="L1398" s="14"/>
      <c r="M1398" s="20">
        <v>14</v>
      </c>
      <c r="N1398" s="15">
        <v>19491.525423999999</v>
      </c>
      <c r="O1398" s="15">
        <f t="shared" si="51"/>
        <v>272881.35593600001</v>
      </c>
      <c r="P1398" s="15"/>
      <c r="Q1398" s="14" t="s">
        <v>520</v>
      </c>
      <c r="R1398" s="25">
        <v>45584</v>
      </c>
      <c r="S1398" s="22" t="str">
        <f>TEXT(Table1[[#This Row],[End Date]],"MMMM")</f>
        <v>October</v>
      </c>
      <c r="T1398" s="34" t="str">
        <f>TEXT(Table1[[#This Row],[End Date]],"YYYY")</f>
        <v>2024</v>
      </c>
      <c r="U1398" s="24">
        <f t="shared" ca="1" si="50"/>
        <v>-451</v>
      </c>
      <c r="V1398" s="14" t="str" cm="1">
        <f t="array" aca="1" ref="V1398" ca="1">_xlfn.IFS(Table1[[#This Row],[Agreement Days]]&gt;=0,"Expired",Table1[[#This Row],[Agreement Days]]&gt;=-30,"Expires &lt; 30 Days",Table1[[#This Row],[Agreement Days]]&gt;=-60,"Expires &lt; 60 Days",Table1[[#This Row],[Agreement Days]]&lt;-60,"Valid Contract")</f>
        <v>Valid Contract</v>
      </c>
      <c r="W1398" s="18" t="s">
        <v>16</v>
      </c>
      <c r="X1398" s="18" t="s">
        <v>2668</v>
      </c>
      <c r="Y1398" s="18" t="s">
        <v>2669</v>
      </c>
      <c r="Z1398" s="27" t="s">
        <v>2670</v>
      </c>
      <c r="AA1398" s="17"/>
      <c r="AB1398" s="123"/>
      <c r="AC1398" s="123"/>
    </row>
    <row r="1399" spans="1:29" s="11" customFormat="1" hidden="1" x14ac:dyDescent="0.3">
      <c r="A1399" s="18" t="s">
        <v>2671</v>
      </c>
      <c r="B1399" s="18" t="s">
        <v>409</v>
      </c>
      <c r="C1399" s="18" t="s">
        <v>2672</v>
      </c>
      <c r="D1399" s="14" t="s">
        <v>739</v>
      </c>
      <c r="E1399" s="18" t="s">
        <v>10</v>
      </c>
      <c r="F1399" s="14" t="s">
        <v>527</v>
      </c>
      <c r="G1399" s="14" t="s">
        <v>546</v>
      </c>
      <c r="H1399" s="18" t="s">
        <v>2</v>
      </c>
      <c r="I1399" s="14" t="s">
        <v>123</v>
      </c>
      <c r="J1399" s="14"/>
      <c r="K1399" s="20" t="s">
        <v>1100</v>
      </c>
      <c r="L1399" s="14"/>
      <c r="M1399" s="14">
        <v>4</v>
      </c>
      <c r="N1399" s="15">
        <v>53563</v>
      </c>
      <c r="O1399" s="15">
        <f t="shared" si="51"/>
        <v>214252</v>
      </c>
      <c r="P1399" s="15"/>
      <c r="Q1399" s="14" t="s">
        <v>520</v>
      </c>
      <c r="R1399" s="25">
        <v>45586</v>
      </c>
      <c r="S1399" s="22" t="str">
        <f>TEXT(Table1[[#This Row],[End Date]],"MMMM")</f>
        <v>October</v>
      </c>
      <c r="T1399" s="23" t="str">
        <f>TEXT(Table1[[#This Row],[End Date]],"YYYY")</f>
        <v>2024</v>
      </c>
      <c r="U1399" s="24">
        <f t="shared" ca="1" si="50"/>
        <v>-453</v>
      </c>
      <c r="V1399" s="14" t="str" cm="1">
        <f t="array" aca="1" ref="V1399" ca="1">_xlfn.IFS(Table1[[#This Row],[Agreement Days]]&gt;=0,"Expired",Table1[[#This Row],[Agreement Days]]&gt;=-30,"Expires &lt; 30 Days",Table1[[#This Row],[Agreement Days]]&gt;=-60,"Expires &lt; 60 Days",Table1[[#This Row],[Agreement Days]]&lt;-60,"Valid Contract")</f>
        <v>Valid Contract</v>
      </c>
      <c r="W1399" s="14" t="s">
        <v>20</v>
      </c>
      <c r="X1399" s="26" t="s">
        <v>2673</v>
      </c>
      <c r="Y1399" s="45" t="s">
        <v>2674</v>
      </c>
      <c r="Z1399" s="27" t="s">
        <v>2675</v>
      </c>
      <c r="AA1399" s="19"/>
      <c r="AB1399" s="123"/>
      <c r="AC1399" s="123"/>
    </row>
    <row r="1400" spans="1:29" s="11" customFormat="1" hidden="1" x14ac:dyDescent="0.3">
      <c r="A1400" s="18" t="s">
        <v>2676</v>
      </c>
      <c r="B1400" s="18" t="s">
        <v>466</v>
      </c>
      <c r="C1400" s="18" t="s">
        <v>466</v>
      </c>
      <c r="D1400" s="14" t="s">
        <v>540</v>
      </c>
      <c r="E1400" s="18" t="s">
        <v>10</v>
      </c>
      <c r="F1400" s="14" t="s">
        <v>527</v>
      </c>
      <c r="G1400" s="14" t="s">
        <v>518</v>
      </c>
      <c r="H1400" s="18" t="s">
        <v>2</v>
      </c>
      <c r="I1400" s="14" t="s">
        <v>123</v>
      </c>
      <c r="J1400" s="14"/>
      <c r="K1400" s="14" t="s">
        <v>2677</v>
      </c>
      <c r="L1400" s="14"/>
      <c r="M1400" s="14">
        <v>1</v>
      </c>
      <c r="N1400" s="15">
        <v>61594.33</v>
      </c>
      <c r="O1400" s="15">
        <f t="shared" si="51"/>
        <v>61594.33</v>
      </c>
      <c r="P1400" s="15"/>
      <c r="Q1400" s="14" t="s">
        <v>520</v>
      </c>
      <c r="R1400" s="25">
        <v>45592</v>
      </c>
      <c r="S1400" s="22" t="str">
        <f>TEXT(Table1[[#This Row],[End Date]],"MMMM")</f>
        <v>October</v>
      </c>
      <c r="T1400" s="23" t="str">
        <f>TEXT(Table1[[#This Row],[End Date]],"YYYY")</f>
        <v>2024</v>
      </c>
      <c r="U1400" s="24">
        <f t="shared" ca="1" si="50"/>
        <v>-459</v>
      </c>
      <c r="V1400" s="14" t="str" cm="1">
        <f t="array" aca="1" ref="V1400" ca="1">_xlfn.IFS(Table1[[#This Row],[Agreement Days]]&gt;=0,"Expired",Table1[[#This Row],[Agreement Days]]&gt;=-30,"Expires &lt; 30 Days",Table1[[#This Row],[Agreement Days]]&gt;=-60,"Expires &lt; 60 Days",Table1[[#This Row],[Agreement Days]]&lt;-60,"Valid Contract")</f>
        <v>Valid Contract</v>
      </c>
      <c r="W1400" s="14" t="s">
        <v>20</v>
      </c>
      <c r="X1400" s="55" t="s">
        <v>2678</v>
      </c>
      <c r="Y1400" s="43" t="s">
        <v>2679</v>
      </c>
      <c r="Z1400" s="27" t="s">
        <v>2680</v>
      </c>
      <c r="AA1400" s="19"/>
      <c r="AB1400" s="123"/>
      <c r="AC1400" s="123"/>
    </row>
    <row r="1401" spans="1:29" s="11" customFormat="1" hidden="1" x14ac:dyDescent="0.3">
      <c r="A1401" s="18" t="s">
        <v>2681</v>
      </c>
      <c r="B1401" s="18" t="s">
        <v>368</v>
      </c>
      <c r="C1401" s="18" t="s">
        <v>544</v>
      </c>
      <c r="D1401" s="14" t="s">
        <v>653</v>
      </c>
      <c r="E1401" s="18" t="s">
        <v>9</v>
      </c>
      <c r="F1401" s="14" t="s">
        <v>517</v>
      </c>
      <c r="G1401" s="14" t="s">
        <v>518</v>
      </c>
      <c r="H1401" s="18" t="s">
        <v>5</v>
      </c>
      <c r="I1401" s="14" t="s">
        <v>115</v>
      </c>
      <c r="J1401" s="18"/>
      <c r="K1401" s="18" t="s">
        <v>642</v>
      </c>
      <c r="L1401" s="18"/>
      <c r="M1401" s="14">
        <v>1</v>
      </c>
      <c r="N1401" s="15">
        <v>101694.92</v>
      </c>
      <c r="O1401" s="15">
        <f t="shared" si="51"/>
        <v>101694.92</v>
      </c>
      <c r="P1401" s="15"/>
      <c r="Q1401" s="14" t="s">
        <v>520</v>
      </c>
      <c r="R1401" s="25">
        <v>45595</v>
      </c>
      <c r="S1401" s="34" t="str">
        <f>TEXT(Table1[[#This Row],[End Date]],"MMMM")</f>
        <v>October</v>
      </c>
      <c r="T1401" s="34" t="str">
        <f>TEXT(Table1[[#This Row],[End Date]],"YYYY")</f>
        <v>2024</v>
      </c>
      <c r="U1401" s="24">
        <f t="shared" ca="1" si="50"/>
        <v>-462</v>
      </c>
      <c r="V1401" s="14" t="str" cm="1">
        <f t="array" aca="1" ref="V1401" ca="1">_xlfn.IFS(Table1[[#This Row],[Agreement Days]]&gt;=0,"Expired",Table1[[#This Row],[Agreement Days]]&gt;=-30,"Expires &lt; 30 Days",Table1[[#This Row],[Agreement Days]]&gt;=-60,"Expires &lt; 60 Days",Table1[[#This Row],[Agreement Days]]&lt;-60,"Valid Contract")</f>
        <v>Valid Contract</v>
      </c>
      <c r="W1401" s="18" t="s">
        <v>18</v>
      </c>
      <c r="X1401" s="18" t="s">
        <v>2682</v>
      </c>
      <c r="Y1401" s="35" t="s">
        <v>2683</v>
      </c>
      <c r="Z1401" s="27" t="s">
        <v>2684</v>
      </c>
      <c r="AA1401" s="36"/>
      <c r="AB1401" s="123"/>
      <c r="AC1401" s="123"/>
    </row>
    <row r="1402" spans="1:29" s="11" customFormat="1" hidden="1" x14ac:dyDescent="0.3">
      <c r="A1402" s="18" t="s">
        <v>2681</v>
      </c>
      <c r="B1402" s="18" t="s">
        <v>368</v>
      </c>
      <c r="C1402" s="18" t="s">
        <v>544</v>
      </c>
      <c r="D1402" s="14" t="s">
        <v>653</v>
      </c>
      <c r="E1402" s="18" t="s">
        <v>9</v>
      </c>
      <c r="F1402" s="14" t="s">
        <v>517</v>
      </c>
      <c r="G1402" s="14" t="s">
        <v>518</v>
      </c>
      <c r="H1402" s="18" t="s">
        <v>5</v>
      </c>
      <c r="I1402" s="14" t="s">
        <v>115</v>
      </c>
      <c r="J1402" s="18"/>
      <c r="K1402" s="18" t="s">
        <v>651</v>
      </c>
      <c r="L1402" s="18"/>
      <c r="M1402" s="14">
        <v>3</v>
      </c>
      <c r="N1402" s="15">
        <f>96000/1.18</f>
        <v>81355.932203389835</v>
      </c>
      <c r="O1402" s="15">
        <f t="shared" si="51"/>
        <v>244067.79661016952</v>
      </c>
      <c r="P1402" s="15"/>
      <c r="Q1402" s="14" t="s">
        <v>520</v>
      </c>
      <c r="R1402" s="25">
        <v>45595</v>
      </c>
      <c r="S1402" s="34" t="str">
        <f>TEXT(Table1[[#This Row],[End Date]],"MMMM")</f>
        <v>October</v>
      </c>
      <c r="T1402" s="34" t="str">
        <f>TEXT(Table1[[#This Row],[End Date]],"YYYY")</f>
        <v>2024</v>
      </c>
      <c r="U1402" s="24">
        <f t="shared" ca="1" si="50"/>
        <v>-462</v>
      </c>
      <c r="V1402" s="14" t="str" cm="1">
        <f t="array" aca="1" ref="V1402" ca="1">_xlfn.IFS(Table1[[#This Row],[Agreement Days]]&gt;=0,"Expired",Table1[[#This Row],[Agreement Days]]&gt;=-30,"Expires &lt; 30 Days",Table1[[#This Row],[Agreement Days]]&gt;=-60,"Expires &lt; 60 Days",Table1[[#This Row],[Agreement Days]]&lt;-60,"Valid Contract")</f>
        <v>Valid Contract</v>
      </c>
      <c r="W1402" s="18" t="s">
        <v>18</v>
      </c>
      <c r="X1402" s="18" t="s">
        <v>2682</v>
      </c>
      <c r="Y1402" s="35" t="s">
        <v>2683</v>
      </c>
      <c r="Z1402" s="27" t="s">
        <v>2684</v>
      </c>
      <c r="AA1402" s="27"/>
      <c r="AB1402" s="123"/>
      <c r="AC1402" s="123"/>
    </row>
    <row r="1403" spans="1:29" s="11" customFormat="1" hidden="1" x14ac:dyDescent="0.3">
      <c r="A1403" s="18" t="s">
        <v>2681</v>
      </c>
      <c r="B1403" s="18" t="s">
        <v>368</v>
      </c>
      <c r="C1403" s="18" t="s">
        <v>544</v>
      </c>
      <c r="D1403" s="14" t="s">
        <v>653</v>
      </c>
      <c r="E1403" s="18" t="s">
        <v>9</v>
      </c>
      <c r="F1403" s="14" t="s">
        <v>517</v>
      </c>
      <c r="G1403" s="14" t="s">
        <v>518</v>
      </c>
      <c r="H1403" s="18" t="s">
        <v>5</v>
      </c>
      <c r="I1403" s="14" t="s">
        <v>115</v>
      </c>
      <c r="J1403" s="18"/>
      <c r="K1403" s="18" t="s">
        <v>643</v>
      </c>
      <c r="L1403" s="18"/>
      <c r="M1403" s="14">
        <v>5</v>
      </c>
      <c r="N1403" s="15">
        <v>28305.08</v>
      </c>
      <c r="O1403" s="15">
        <f t="shared" si="51"/>
        <v>141525.40000000002</v>
      </c>
      <c r="P1403" s="15"/>
      <c r="Q1403" s="14" t="s">
        <v>520</v>
      </c>
      <c r="R1403" s="25">
        <v>45595</v>
      </c>
      <c r="S1403" s="34" t="str">
        <f>TEXT(Table1[[#This Row],[End Date]],"MMMM")</f>
        <v>October</v>
      </c>
      <c r="T1403" s="34" t="str">
        <f>TEXT(Table1[[#This Row],[End Date]],"YYYY")</f>
        <v>2024</v>
      </c>
      <c r="U1403" s="24">
        <f t="shared" ca="1" si="50"/>
        <v>-462</v>
      </c>
      <c r="V1403" s="14" t="str" cm="1">
        <f t="array" aca="1" ref="V1403" ca="1">_xlfn.IFS(Table1[[#This Row],[Agreement Days]]&gt;=0,"Expired",Table1[[#This Row],[Agreement Days]]&gt;=-30,"Expires &lt; 30 Days",Table1[[#This Row],[Agreement Days]]&gt;=-60,"Expires &lt; 60 Days",Table1[[#This Row],[Agreement Days]]&lt;-60,"Valid Contract")</f>
        <v>Valid Contract</v>
      </c>
      <c r="W1403" s="18" t="s">
        <v>18</v>
      </c>
      <c r="X1403" s="18" t="s">
        <v>2682</v>
      </c>
      <c r="Y1403" s="35" t="s">
        <v>2683</v>
      </c>
      <c r="Z1403" s="27" t="s">
        <v>2684</v>
      </c>
      <c r="AA1403" s="27"/>
      <c r="AB1403" s="123"/>
      <c r="AC1403" s="123"/>
    </row>
    <row r="1404" spans="1:29" s="11" customFormat="1" hidden="1" x14ac:dyDescent="0.3">
      <c r="A1404" s="18" t="s">
        <v>2685</v>
      </c>
      <c r="B1404" s="18" t="s">
        <v>103</v>
      </c>
      <c r="C1404" s="18" t="s">
        <v>103</v>
      </c>
      <c r="D1404" s="14" t="s">
        <v>848</v>
      </c>
      <c r="E1404" s="18" t="s">
        <v>9</v>
      </c>
      <c r="F1404" s="14" t="s">
        <v>631</v>
      </c>
      <c r="G1404" s="14" t="s">
        <v>518</v>
      </c>
      <c r="H1404" s="18" t="s">
        <v>5</v>
      </c>
      <c r="I1404" s="14" t="s">
        <v>117</v>
      </c>
      <c r="J1404" s="18">
        <v>1</v>
      </c>
      <c r="K1404" s="18" t="s">
        <v>677</v>
      </c>
      <c r="L1404" s="18"/>
      <c r="M1404" s="14">
        <v>1</v>
      </c>
      <c r="N1404" s="15">
        <f>106200/1.18</f>
        <v>90000</v>
      </c>
      <c r="O1404" s="15">
        <f t="shared" si="51"/>
        <v>90000</v>
      </c>
      <c r="P1404" s="15"/>
      <c r="Q1404" s="14" t="s">
        <v>520</v>
      </c>
      <c r="R1404" s="25">
        <v>45596</v>
      </c>
      <c r="S1404" s="34" t="str">
        <f>TEXT(Table1[[#This Row],[End Date]],"MMMM")</f>
        <v>October</v>
      </c>
      <c r="T1404" s="34" t="str">
        <f>TEXT(Table1[[#This Row],[End Date]],"YYYY")</f>
        <v>2024</v>
      </c>
      <c r="U1404" s="24">
        <f t="shared" ca="1" si="50"/>
        <v>-463</v>
      </c>
      <c r="V1404" s="14" t="str" cm="1">
        <f t="array" aca="1" ref="V1404" ca="1">_xlfn.IFS(Table1[[#This Row],[Agreement Days]]&gt;=0,"Expired",Table1[[#This Row],[Agreement Days]]&gt;=-30,"Expires &lt; 30 Days",Table1[[#This Row],[Agreement Days]]&gt;=-60,"Expires &lt; 60 Days",Table1[[#This Row],[Agreement Days]]&lt;-60,"Valid Contract")</f>
        <v>Valid Contract</v>
      </c>
      <c r="W1404" s="18" t="s">
        <v>13</v>
      </c>
      <c r="X1404" s="18" t="s">
        <v>2686</v>
      </c>
      <c r="Y1404" s="35" t="s">
        <v>2687</v>
      </c>
      <c r="Z1404" s="27">
        <v>788440262</v>
      </c>
      <c r="AA1404" s="27"/>
      <c r="AB1404" s="123"/>
      <c r="AC1404" s="123"/>
    </row>
    <row r="1405" spans="1:29" s="11" customFormat="1" hidden="1" x14ac:dyDescent="0.3">
      <c r="A1405" s="18" t="s">
        <v>2688</v>
      </c>
      <c r="B1405" s="18" t="s">
        <v>145</v>
      </c>
      <c r="C1405" s="18" t="s">
        <v>2689</v>
      </c>
      <c r="D1405" s="14" t="s">
        <v>2690</v>
      </c>
      <c r="E1405" s="18" t="s">
        <v>9</v>
      </c>
      <c r="F1405" s="14" t="s">
        <v>1518</v>
      </c>
      <c r="G1405" s="14" t="s">
        <v>518</v>
      </c>
      <c r="H1405" s="18" t="s">
        <v>2</v>
      </c>
      <c r="I1405" s="14" t="s">
        <v>121</v>
      </c>
      <c r="J1405" s="20">
        <v>8</v>
      </c>
      <c r="K1405" s="14" t="s">
        <v>602</v>
      </c>
      <c r="L1405" s="14"/>
      <c r="M1405" s="14">
        <v>1</v>
      </c>
      <c r="N1405" s="15">
        <v>5926000</v>
      </c>
      <c r="O1405" s="15">
        <f t="shared" si="51"/>
        <v>5926000</v>
      </c>
      <c r="P1405" s="15"/>
      <c r="Q1405" s="14" t="s">
        <v>520</v>
      </c>
      <c r="R1405" s="25">
        <v>45596</v>
      </c>
      <c r="S1405" s="22" t="str">
        <f>TEXT(Table1[[#This Row],[End Date]],"MMMM")</f>
        <v>October</v>
      </c>
      <c r="T1405" s="23" t="str">
        <f>TEXT(Table1[[#This Row],[End Date]],"YYYY")</f>
        <v>2024</v>
      </c>
      <c r="U1405" s="24">
        <f t="shared" ca="1" si="50"/>
        <v>-463</v>
      </c>
      <c r="V1405" s="14" t="str" cm="1">
        <f t="array" aca="1" ref="V1405" ca="1">_xlfn.IFS(Table1[[#This Row],[Agreement Days]]&gt;=0,"Expired",Table1[[#This Row],[Agreement Days]]&gt;=-30,"Expires &lt; 30 Days",Table1[[#This Row],[Agreement Days]]&gt;=-60,"Expires &lt; 60 Days",Table1[[#This Row],[Agreement Days]]&lt;-60,"Valid Contract")</f>
        <v>Valid Contract</v>
      </c>
      <c r="W1405" s="14" t="s">
        <v>20</v>
      </c>
      <c r="X1405" s="26" t="s">
        <v>2691</v>
      </c>
      <c r="Y1405" s="16" t="s">
        <v>2692</v>
      </c>
      <c r="Z1405" s="27" t="s">
        <v>2693</v>
      </c>
      <c r="AA1405" s="19"/>
      <c r="AB1405" s="123"/>
      <c r="AC1405" s="123"/>
    </row>
    <row r="1406" spans="1:29" s="11" customFormat="1" hidden="1" x14ac:dyDescent="0.3">
      <c r="A1406" s="18" t="s">
        <v>2688</v>
      </c>
      <c r="B1406" s="18" t="s">
        <v>145</v>
      </c>
      <c r="C1406" s="18" t="s">
        <v>2694</v>
      </c>
      <c r="D1406" s="14" t="s">
        <v>545</v>
      </c>
      <c r="E1406" s="18" t="s">
        <v>9</v>
      </c>
      <c r="F1406" s="14" t="s">
        <v>517</v>
      </c>
      <c r="G1406" s="14" t="s">
        <v>518</v>
      </c>
      <c r="H1406" s="18" t="s">
        <v>5</v>
      </c>
      <c r="I1406" s="14" t="s">
        <v>117</v>
      </c>
      <c r="J1406" s="14">
        <v>10</v>
      </c>
      <c r="K1406" s="14" t="s">
        <v>547</v>
      </c>
      <c r="L1406" s="14"/>
      <c r="M1406" s="14">
        <v>1</v>
      </c>
      <c r="N1406" s="15">
        <v>510000</v>
      </c>
      <c r="O1406" s="15">
        <f t="shared" si="51"/>
        <v>510000</v>
      </c>
      <c r="P1406" s="15"/>
      <c r="Q1406" s="14" t="s">
        <v>520</v>
      </c>
      <c r="R1406" s="25">
        <v>45596</v>
      </c>
      <c r="S1406" s="22" t="str">
        <f>TEXT(Table1[[#This Row],[End Date]],"MMMM")</f>
        <v>October</v>
      </c>
      <c r="T1406" s="23" t="str">
        <f>TEXT(Table1[[#This Row],[End Date]],"YYYY")</f>
        <v>2024</v>
      </c>
      <c r="U1406" s="24">
        <f t="shared" ca="1" si="50"/>
        <v>-463</v>
      </c>
      <c r="V1406" s="14" t="str" cm="1">
        <f t="array" aca="1" ref="V1406" ca="1">_xlfn.IFS(Table1[[#This Row],[Agreement Days]]&gt;=0,"Expired",Table1[[#This Row],[Agreement Days]]&gt;=-30,"Expires &lt; 30 Days",Table1[[#This Row],[Agreement Days]]&gt;=-60,"Expires &lt; 60 Days",Table1[[#This Row],[Agreement Days]]&lt;-60,"Valid Contract")</f>
        <v>Valid Contract</v>
      </c>
      <c r="W1406" s="14" t="s">
        <v>20</v>
      </c>
      <c r="X1406" s="26" t="s">
        <v>2691</v>
      </c>
      <c r="Y1406" s="45" t="s">
        <v>2692</v>
      </c>
      <c r="Z1406" s="27" t="s">
        <v>2695</v>
      </c>
      <c r="AA1406" s="19"/>
      <c r="AB1406" s="123"/>
      <c r="AC1406" s="123"/>
    </row>
    <row r="1407" spans="1:29" s="11" customFormat="1" hidden="1" x14ac:dyDescent="0.3">
      <c r="A1407" s="18" t="s">
        <v>2688</v>
      </c>
      <c r="B1407" s="18" t="s">
        <v>145</v>
      </c>
      <c r="C1407" s="18" t="s">
        <v>2694</v>
      </c>
      <c r="D1407" s="14" t="s">
        <v>545</v>
      </c>
      <c r="E1407" s="18" t="s">
        <v>9</v>
      </c>
      <c r="F1407" s="14" t="s">
        <v>517</v>
      </c>
      <c r="G1407" s="14" t="s">
        <v>518</v>
      </c>
      <c r="H1407" s="18" t="s">
        <v>5</v>
      </c>
      <c r="I1407" s="14" t="s">
        <v>117</v>
      </c>
      <c r="J1407" s="14">
        <v>30</v>
      </c>
      <c r="K1407" s="14" t="s">
        <v>694</v>
      </c>
      <c r="L1407" s="14"/>
      <c r="M1407" s="14">
        <v>1</v>
      </c>
      <c r="N1407" s="15">
        <v>1260000</v>
      </c>
      <c r="O1407" s="15">
        <f t="shared" si="51"/>
        <v>1260000</v>
      </c>
      <c r="P1407" s="15"/>
      <c r="Q1407" s="14" t="s">
        <v>520</v>
      </c>
      <c r="R1407" s="25">
        <v>45596</v>
      </c>
      <c r="S1407" s="22" t="str">
        <f>TEXT(Table1[[#This Row],[End Date]],"MMMM")</f>
        <v>October</v>
      </c>
      <c r="T1407" s="23" t="str">
        <f>TEXT(Table1[[#This Row],[End Date]],"YYYY")</f>
        <v>2024</v>
      </c>
      <c r="U1407" s="24">
        <f t="shared" ca="1" si="50"/>
        <v>-463</v>
      </c>
      <c r="V1407" s="14" t="str" cm="1">
        <f t="array" aca="1" ref="V1407" ca="1">_xlfn.IFS(Table1[[#This Row],[Agreement Days]]&gt;=0,"Expired",Table1[[#This Row],[Agreement Days]]&gt;=-30,"Expires &lt; 30 Days",Table1[[#This Row],[Agreement Days]]&gt;=-60,"Expires &lt; 60 Days",Table1[[#This Row],[Agreement Days]]&lt;-60,"Valid Contract")</f>
        <v>Valid Contract</v>
      </c>
      <c r="W1407" s="14" t="s">
        <v>20</v>
      </c>
      <c r="X1407" s="26" t="s">
        <v>2691</v>
      </c>
      <c r="Y1407" s="16" t="s">
        <v>2692</v>
      </c>
      <c r="Z1407" s="27" t="s">
        <v>2696</v>
      </c>
      <c r="AA1407" s="19"/>
      <c r="AB1407" s="123"/>
      <c r="AC1407" s="123"/>
    </row>
    <row r="1408" spans="1:29" s="11" customFormat="1" hidden="1" x14ac:dyDescent="0.3">
      <c r="A1408" s="18" t="s">
        <v>2688</v>
      </c>
      <c r="B1408" s="18" t="s">
        <v>145</v>
      </c>
      <c r="C1408" s="18" t="s">
        <v>2694</v>
      </c>
      <c r="D1408" s="14" t="s">
        <v>545</v>
      </c>
      <c r="E1408" s="18" t="s">
        <v>9</v>
      </c>
      <c r="F1408" s="14" t="s">
        <v>517</v>
      </c>
      <c r="G1408" s="14" t="s">
        <v>518</v>
      </c>
      <c r="H1408" s="18" t="s">
        <v>2</v>
      </c>
      <c r="I1408" s="14" t="s">
        <v>131</v>
      </c>
      <c r="J1408" s="14"/>
      <c r="K1408" s="14" t="s">
        <v>2697</v>
      </c>
      <c r="L1408" s="14"/>
      <c r="M1408" s="14">
        <v>1</v>
      </c>
      <c r="N1408" s="15">
        <v>60000</v>
      </c>
      <c r="O1408" s="15">
        <f t="shared" si="51"/>
        <v>60000</v>
      </c>
      <c r="P1408" s="15"/>
      <c r="Q1408" s="14" t="s">
        <v>520</v>
      </c>
      <c r="R1408" s="25">
        <v>45596</v>
      </c>
      <c r="S1408" s="22" t="str">
        <f>TEXT(Table1[[#This Row],[End Date]],"MMMM")</f>
        <v>October</v>
      </c>
      <c r="T1408" s="23" t="str">
        <f>TEXT(Table1[[#This Row],[End Date]],"YYYY")</f>
        <v>2024</v>
      </c>
      <c r="U1408" s="24">
        <f t="shared" ca="1" si="50"/>
        <v>-463</v>
      </c>
      <c r="V1408" s="14" t="str" cm="1">
        <f t="array" aca="1" ref="V1408" ca="1">_xlfn.IFS(Table1[[#This Row],[Agreement Days]]&gt;=0,"Expired",Table1[[#This Row],[Agreement Days]]&gt;=-30,"Expires &lt; 30 Days",Table1[[#This Row],[Agreement Days]]&gt;=-60,"Expires &lt; 60 Days",Table1[[#This Row],[Agreement Days]]&lt;-60,"Valid Contract")</f>
        <v>Valid Contract</v>
      </c>
      <c r="W1408" s="14" t="s">
        <v>20</v>
      </c>
      <c r="X1408" s="26" t="s">
        <v>2691</v>
      </c>
      <c r="Y1408" s="16" t="s">
        <v>2692</v>
      </c>
      <c r="Z1408" s="27" t="s">
        <v>2698</v>
      </c>
      <c r="AA1408" s="19"/>
      <c r="AB1408" s="123"/>
      <c r="AC1408" s="123"/>
    </row>
    <row r="1409" spans="1:29" s="11" customFormat="1" hidden="1" x14ac:dyDescent="0.3">
      <c r="A1409" s="18" t="s">
        <v>2688</v>
      </c>
      <c r="B1409" s="18" t="s">
        <v>145</v>
      </c>
      <c r="C1409" s="18" t="s">
        <v>2694</v>
      </c>
      <c r="D1409" s="14" t="s">
        <v>545</v>
      </c>
      <c r="E1409" s="18" t="s">
        <v>9</v>
      </c>
      <c r="F1409" s="14" t="s">
        <v>517</v>
      </c>
      <c r="G1409" s="14" t="s">
        <v>518</v>
      </c>
      <c r="H1409" s="18" t="s">
        <v>2</v>
      </c>
      <c r="I1409" s="14" t="s">
        <v>131</v>
      </c>
      <c r="J1409" s="14"/>
      <c r="K1409" s="14" t="s">
        <v>1954</v>
      </c>
      <c r="L1409" s="14"/>
      <c r="M1409" s="14">
        <v>1</v>
      </c>
      <c r="N1409" s="15">
        <v>100500</v>
      </c>
      <c r="O1409" s="15">
        <f t="shared" si="51"/>
        <v>100500</v>
      </c>
      <c r="P1409" s="15"/>
      <c r="Q1409" s="14" t="s">
        <v>520</v>
      </c>
      <c r="R1409" s="25">
        <v>45596</v>
      </c>
      <c r="S1409" s="22" t="str">
        <f>TEXT(Table1[[#This Row],[End Date]],"MMMM")</f>
        <v>October</v>
      </c>
      <c r="T1409" s="23" t="str">
        <f>TEXT(Table1[[#This Row],[End Date]],"YYYY")</f>
        <v>2024</v>
      </c>
      <c r="U1409" s="24">
        <f t="shared" ca="1" si="50"/>
        <v>-463</v>
      </c>
      <c r="V1409" s="14" t="str" cm="1">
        <f t="array" aca="1" ref="V1409" ca="1">_xlfn.IFS(Table1[[#This Row],[Agreement Days]]&gt;=0,"Expired",Table1[[#This Row],[Agreement Days]]&gt;=-30,"Expires &lt; 30 Days",Table1[[#This Row],[Agreement Days]]&gt;=-60,"Expires &lt; 60 Days",Table1[[#This Row],[Agreement Days]]&lt;-60,"Valid Contract")</f>
        <v>Valid Contract</v>
      </c>
      <c r="W1409" s="14" t="s">
        <v>20</v>
      </c>
      <c r="X1409" s="26" t="s">
        <v>2691</v>
      </c>
      <c r="Y1409" s="16" t="s">
        <v>2692</v>
      </c>
      <c r="Z1409" s="27" t="s">
        <v>2699</v>
      </c>
      <c r="AA1409" s="19"/>
      <c r="AB1409" s="123"/>
      <c r="AC1409" s="123"/>
    </row>
    <row r="1410" spans="1:29" s="11" customFormat="1" hidden="1" x14ac:dyDescent="0.3">
      <c r="A1410" s="18" t="s">
        <v>2688</v>
      </c>
      <c r="B1410" s="18" t="s">
        <v>145</v>
      </c>
      <c r="C1410" s="18" t="s">
        <v>2694</v>
      </c>
      <c r="D1410" s="14" t="s">
        <v>545</v>
      </c>
      <c r="E1410" s="18" t="s">
        <v>9</v>
      </c>
      <c r="F1410" s="14" t="s">
        <v>517</v>
      </c>
      <c r="G1410" s="14" t="s">
        <v>518</v>
      </c>
      <c r="H1410" s="18" t="s">
        <v>4</v>
      </c>
      <c r="I1410" s="14" t="s">
        <v>118</v>
      </c>
      <c r="J1410" s="14"/>
      <c r="K1410" s="14" t="s">
        <v>1235</v>
      </c>
      <c r="L1410" s="14"/>
      <c r="M1410" s="14">
        <v>1</v>
      </c>
      <c r="N1410" s="15">
        <v>1478575</v>
      </c>
      <c r="O1410" s="15">
        <f t="shared" si="51"/>
        <v>1478575</v>
      </c>
      <c r="P1410" s="15"/>
      <c r="Q1410" s="14" t="s">
        <v>520</v>
      </c>
      <c r="R1410" s="25">
        <v>45596</v>
      </c>
      <c r="S1410" s="22" t="str">
        <f>TEXT(Table1[[#This Row],[End Date]],"MMMM")</f>
        <v>October</v>
      </c>
      <c r="T1410" s="23" t="str">
        <f>TEXT(Table1[[#This Row],[End Date]],"YYYY")</f>
        <v>2024</v>
      </c>
      <c r="U1410" s="24">
        <f t="shared" ca="1" si="50"/>
        <v>-463</v>
      </c>
      <c r="V1410" s="14" t="str" cm="1">
        <f t="array" aca="1" ref="V1410" ca="1">_xlfn.IFS(Table1[[#This Row],[Agreement Days]]&gt;=0,"Expired",Table1[[#This Row],[Agreement Days]]&gt;=-30,"Expires &lt; 30 Days",Table1[[#This Row],[Agreement Days]]&gt;=-60,"Expires &lt; 60 Days",Table1[[#This Row],[Agreement Days]]&lt;-60,"Valid Contract")</f>
        <v>Valid Contract</v>
      </c>
      <c r="W1410" s="14" t="s">
        <v>20</v>
      </c>
      <c r="X1410" s="26" t="s">
        <v>2691</v>
      </c>
      <c r="Y1410" s="16" t="s">
        <v>2692</v>
      </c>
      <c r="Z1410" s="27" t="s">
        <v>2700</v>
      </c>
      <c r="AA1410" s="19"/>
      <c r="AB1410" s="123"/>
      <c r="AC1410" s="123"/>
    </row>
    <row r="1411" spans="1:29" s="11" customFormat="1" hidden="1" x14ac:dyDescent="0.3">
      <c r="A1411" s="18" t="s">
        <v>2688</v>
      </c>
      <c r="B1411" s="18" t="s">
        <v>145</v>
      </c>
      <c r="C1411" s="18" t="s">
        <v>2694</v>
      </c>
      <c r="D1411" s="14" t="s">
        <v>545</v>
      </c>
      <c r="E1411" s="18" t="s">
        <v>9</v>
      </c>
      <c r="F1411" s="14" t="s">
        <v>517</v>
      </c>
      <c r="G1411" s="14" t="s">
        <v>518</v>
      </c>
      <c r="H1411" s="18" t="s">
        <v>2</v>
      </c>
      <c r="I1411" s="14" t="s">
        <v>120</v>
      </c>
      <c r="J1411" s="14"/>
      <c r="K1411" s="14" t="s">
        <v>649</v>
      </c>
      <c r="L1411" s="14"/>
      <c r="M1411" s="14">
        <v>1</v>
      </c>
      <c r="N1411" s="15">
        <v>258044.92</v>
      </c>
      <c r="O1411" s="15">
        <f t="shared" si="51"/>
        <v>258044.92</v>
      </c>
      <c r="P1411" s="15"/>
      <c r="Q1411" s="14" t="s">
        <v>520</v>
      </c>
      <c r="R1411" s="25">
        <v>45596</v>
      </c>
      <c r="S1411" s="22" t="str">
        <f>TEXT(Table1[[#This Row],[End Date]],"MMMM")</f>
        <v>October</v>
      </c>
      <c r="T1411" s="23" t="str">
        <f>TEXT(Table1[[#This Row],[End Date]],"YYYY")</f>
        <v>2024</v>
      </c>
      <c r="U1411" s="24">
        <f t="shared" ca="1" si="50"/>
        <v>-463</v>
      </c>
      <c r="V1411" s="14" t="str" cm="1">
        <f t="array" aca="1" ref="V1411" ca="1">_xlfn.IFS(Table1[[#This Row],[Agreement Days]]&gt;=0,"Expired",Table1[[#This Row],[Agreement Days]]&gt;=-30,"Expires &lt; 30 Days",Table1[[#This Row],[Agreement Days]]&gt;=-60,"Expires &lt; 60 Days",Table1[[#This Row],[Agreement Days]]&lt;-60,"Valid Contract")</f>
        <v>Valid Contract</v>
      </c>
      <c r="W1411" s="14" t="s">
        <v>20</v>
      </c>
      <c r="X1411" s="26" t="s">
        <v>2691</v>
      </c>
      <c r="Y1411" s="16" t="s">
        <v>2692</v>
      </c>
      <c r="Z1411" s="27" t="s">
        <v>2701</v>
      </c>
      <c r="AA1411" s="19"/>
      <c r="AB1411" s="123"/>
      <c r="AC1411" s="123"/>
    </row>
    <row r="1412" spans="1:29" s="11" customFormat="1" hidden="1" x14ac:dyDescent="0.3">
      <c r="A1412" s="18" t="s">
        <v>2688</v>
      </c>
      <c r="B1412" s="18" t="s">
        <v>145</v>
      </c>
      <c r="C1412" s="18" t="s">
        <v>2694</v>
      </c>
      <c r="D1412" s="14" t="s">
        <v>545</v>
      </c>
      <c r="E1412" s="18" t="s">
        <v>9</v>
      </c>
      <c r="F1412" s="14" t="s">
        <v>517</v>
      </c>
      <c r="G1412" s="14" t="s">
        <v>518</v>
      </c>
      <c r="H1412" s="18" t="s">
        <v>5</v>
      </c>
      <c r="I1412" s="14" t="s">
        <v>115</v>
      </c>
      <c r="J1412" s="14"/>
      <c r="K1412" s="18" t="s">
        <v>657</v>
      </c>
      <c r="L1412" s="14"/>
      <c r="M1412" s="14">
        <v>4</v>
      </c>
      <c r="N1412" s="15">
        <v>45338.98</v>
      </c>
      <c r="O1412" s="15">
        <f t="shared" si="51"/>
        <v>181355.92</v>
      </c>
      <c r="P1412" s="15"/>
      <c r="Q1412" s="14" t="s">
        <v>520</v>
      </c>
      <c r="R1412" s="25">
        <v>45596</v>
      </c>
      <c r="S1412" s="22" t="str">
        <f>TEXT(Table1[[#This Row],[End Date]],"MMMM")</f>
        <v>October</v>
      </c>
      <c r="T1412" s="23" t="str">
        <f>TEXT(Table1[[#This Row],[End Date]],"YYYY")</f>
        <v>2024</v>
      </c>
      <c r="U1412" s="24">
        <f t="shared" ca="1" si="50"/>
        <v>-463</v>
      </c>
      <c r="V1412" s="14" t="str" cm="1">
        <f t="array" aca="1" ref="V1412" ca="1">_xlfn.IFS(Table1[[#This Row],[Agreement Days]]&gt;=0,"Expired",Table1[[#This Row],[Agreement Days]]&gt;=-30,"Expires &lt; 30 Days",Table1[[#This Row],[Agreement Days]]&gt;=-60,"Expires &lt; 60 Days",Table1[[#This Row],[Agreement Days]]&lt;-60,"Valid Contract")</f>
        <v>Valid Contract</v>
      </c>
      <c r="W1412" s="14" t="s">
        <v>20</v>
      </c>
      <c r="X1412" s="14" t="s">
        <v>2691</v>
      </c>
      <c r="Y1412" s="16" t="s">
        <v>2692</v>
      </c>
      <c r="Z1412" s="27" t="s">
        <v>2702</v>
      </c>
      <c r="AA1412" s="19"/>
      <c r="AB1412" s="123"/>
      <c r="AC1412" s="123"/>
    </row>
    <row r="1413" spans="1:29" s="11" customFormat="1" hidden="1" x14ac:dyDescent="0.3">
      <c r="A1413" s="18" t="s">
        <v>2688</v>
      </c>
      <c r="B1413" s="18" t="s">
        <v>145</v>
      </c>
      <c r="C1413" s="18" t="s">
        <v>2694</v>
      </c>
      <c r="D1413" s="14" t="s">
        <v>545</v>
      </c>
      <c r="E1413" s="18" t="s">
        <v>9</v>
      </c>
      <c r="F1413" s="14" t="s">
        <v>517</v>
      </c>
      <c r="G1413" s="14" t="s">
        <v>518</v>
      </c>
      <c r="H1413" s="18" t="s">
        <v>5</v>
      </c>
      <c r="I1413" s="14" t="s">
        <v>115</v>
      </c>
      <c r="J1413" s="14"/>
      <c r="K1413" s="18" t="s">
        <v>643</v>
      </c>
      <c r="L1413" s="14"/>
      <c r="M1413" s="14">
        <v>26</v>
      </c>
      <c r="N1413" s="15">
        <v>28305.08</v>
      </c>
      <c r="O1413" s="15">
        <f t="shared" si="51"/>
        <v>735932.08000000007</v>
      </c>
      <c r="P1413" s="15"/>
      <c r="Q1413" s="14" t="s">
        <v>520</v>
      </c>
      <c r="R1413" s="25">
        <v>45596</v>
      </c>
      <c r="S1413" s="22" t="str">
        <f>TEXT(Table1[[#This Row],[End Date]],"MMMM")</f>
        <v>October</v>
      </c>
      <c r="T1413" s="23" t="str">
        <f>TEXT(Table1[[#This Row],[End Date]],"YYYY")</f>
        <v>2024</v>
      </c>
      <c r="U1413" s="24">
        <f t="shared" ca="1" si="50"/>
        <v>-463</v>
      </c>
      <c r="V1413" s="14" t="str" cm="1">
        <f t="array" aca="1" ref="V1413" ca="1">_xlfn.IFS(Table1[[#This Row],[Agreement Days]]&gt;=0,"Expired",Table1[[#This Row],[Agreement Days]]&gt;=-30,"Expires &lt; 30 Days",Table1[[#This Row],[Agreement Days]]&gt;=-60,"Expires &lt; 60 Days",Table1[[#This Row],[Agreement Days]]&lt;-60,"Valid Contract")</f>
        <v>Valid Contract</v>
      </c>
      <c r="W1413" s="14" t="s">
        <v>20</v>
      </c>
      <c r="X1413" s="14" t="s">
        <v>2691</v>
      </c>
      <c r="Y1413" s="16" t="s">
        <v>2692</v>
      </c>
      <c r="Z1413" s="27" t="s">
        <v>2703</v>
      </c>
      <c r="AA1413" s="19"/>
      <c r="AB1413" s="123"/>
      <c r="AC1413" s="123"/>
    </row>
    <row r="1414" spans="1:29" s="11" customFormat="1" hidden="1" x14ac:dyDescent="0.3">
      <c r="A1414" s="18" t="s">
        <v>2704</v>
      </c>
      <c r="B1414" s="18" t="s">
        <v>362</v>
      </c>
      <c r="C1414" s="18" t="s">
        <v>544</v>
      </c>
      <c r="D1414" s="14" t="s">
        <v>653</v>
      </c>
      <c r="E1414" s="18" t="s">
        <v>9</v>
      </c>
      <c r="F1414" s="14" t="s">
        <v>688</v>
      </c>
      <c r="G1414" s="14" t="s">
        <v>518</v>
      </c>
      <c r="H1414" s="18" t="s">
        <v>5</v>
      </c>
      <c r="I1414" s="14" t="s">
        <v>117</v>
      </c>
      <c r="J1414" s="14">
        <v>10</v>
      </c>
      <c r="K1414" s="18" t="s">
        <v>547</v>
      </c>
      <c r="L1414" s="18"/>
      <c r="M1414" s="14">
        <v>1</v>
      </c>
      <c r="N1414" s="15">
        <f>601800/1.18</f>
        <v>510000</v>
      </c>
      <c r="O1414" s="15">
        <f t="shared" si="51"/>
        <v>510000</v>
      </c>
      <c r="P1414" s="15"/>
      <c r="Q1414" s="14" t="s">
        <v>520</v>
      </c>
      <c r="R1414" s="25">
        <v>45596</v>
      </c>
      <c r="S1414" s="34" t="str">
        <f>TEXT(Table1[[#This Row],[End Date]],"MMMM")</f>
        <v>October</v>
      </c>
      <c r="T1414" s="34" t="str">
        <f>TEXT(Table1[[#This Row],[End Date]],"YYYY")</f>
        <v>2024</v>
      </c>
      <c r="U1414" s="24">
        <f t="shared" ca="1" si="50"/>
        <v>-463</v>
      </c>
      <c r="V1414" s="14" t="str" cm="1">
        <f t="array" aca="1" ref="V1414" ca="1">_xlfn.IFS(Table1[[#This Row],[Agreement Days]]&gt;=0,"Expired",Table1[[#This Row],[Agreement Days]]&gt;=-30,"Expires &lt; 30 Days",Table1[[#This Row],[Agreement Days]]&gt;=-60,"Expires &lt; 60 Days",Table1[[#This Row],[Agreement Days]]&lt;-60,"Valid Contract")</f>
        <v>Valid Contract</v>
      </c>
      <c r="W1414" s="18" t="s">
        <v>18</v>
      </c>
      <c r="X1414" s="18" t="s">
        <v>2705</v>
      </c>
      <c r="Y1414" s="35" t="s">
        <v>2706</v>
      </c>
      <c r="Z1414" s="27" t="s">
        <v>2707</v>
      </c>
      <c r="AA1414" s="36"/>
      <c r="AB1414" s="123"/>
      <c r="AC1414" s="123"/>
    </row>
    <row r="1415" spans="1:29" s="11" customFormat="1" hidden="1" x14ac:dyDescent="0.3">
      <c r="A1415" s="18" t="s">
        <v>2708</v>
      </c>
      <c r="B1415" s="18" t="s">
        <v>361</v>
      </c>
      <c r="C1415" s="18" t="s">
        <v>544</v>
      </c>
      <c r="D1415" s="14" t="s">
        <v>545</v>
      </c>
      <c r="E1415" s="18" t="s">
        <v>9</v>
      </c>
      <c r="F1415" s="26" t="s">
        <v>1518</v>
      </c>
      <c r="G1415" s="14" t="s">
        <v>546</v>
      </c>
      <c r="H1415" s="18" t="s">
        <v>5</v>
      </c>
      <c r="I1415" s="14" t="s">
        <v>117</v>
      </c>
      <c r="J1415" s="19">
        <v>10</v>
      </c>
      <c r="K1415" s="26" t="s">
        <v>805</v>
      </c>
      <c r="L1415" s="26"/>
      <c r="M1415" s="19">
        <v>1</v>
      </c>
      <c r="N1415" s="15">
        <v>510000</v>
      </c>
      <c r="O1415" s="15">
        <f t="shared" si="51"/>
        <v>510000</v>
      </c>
      <c r="P1415" s="15"/>
      <c r="Q1415" s="14" t="s">
        <v>520</v>
      </c>
      <c r="R1415" s="25">
        <v>45596</v>
      </c>
      <c r="S1415" s="34" t="str">
        <f>TEXT(Table1[[#This Row],[End Date]],"MMMM")</f>
        <v>October</v>
      </c>
      <c r="T1415" s="34" t="str">
        <f>TEXT(Table1[[#This Row],[End Date]],"YYYY")</f>
        <v>2024</v>
      </c>
      <c r="U1415" s="24">
        <f t="shared" ref="U1415:U1478" ca="1" si="52">TODAY()-R1415</f>
        <v>-463</v>
      </c>
      <c r="V1415" s="14" t="str" cm="1">
        <f t="array" aca="1" ref="V1415" ca="1">_xlfn.IFS(Table1[[#This Row],[Agreement Days]]&gt;=0,"Expired",Table1[[#This Row],[Agreement Days]]&gt;=-30,"Expires &lt; 30 Days",Table1[[#This Row],[Agreement Days]]&gt;=-60,"Expires &lt; 60 Days",Table1[[#This Row],[Agreement Days]]&lt;-60,"Valid Contract")</f>
        <v>Valid Contract</v>
      </c>
      <c r="W1415" s="26" t="s">
        <v>17</v>
      </c>
      <c r="X1415" s="26" t="s">
        <v>2709</v>
      </c>
      <c r="Y1415" s="35" t="s">
        <v>2710</v>
      </c>
      <c r="Z1415" s="27">
        <v>784678900</v>
      </c>
      <c r="AA1415" s="27"/>
      <c r="AB1415" s="123"/>
      <c r="AC1415" s="123"/>
    </row>
    <row r="1416" spans="1:29" s="11" customFormat="1" hidden="1" x14ac:dyDescent="0.3">
      <c r="A1416" s="18" t="s">
        <v>2711</v>
      </c>
      <c r="B1416" s="18" t="s">
        <v>422</v>
      </c>
      <c r="C1416" s="18" t="s">
        <v>544</v>
      </c>
      <c r="D1416" s="14" t="s">
        <v>545</v>
      </c>
      <c r="E1416" s="18" t="s">
        <v>10</v>
      </c>
      <c r="F1416" s="14" t="s">
        <v>560</v>
      </c>
      <c r="G1416" s="14" t="s">
        <v>518</v>
      </c>
      <c r="H1416" s="18" t="s">
        <v>5</v>
      </c>
      <c r="I1416" s="14" t="s">
        <v>134</v>
      </c>
      <c r="J1416" s="14">
        <v>3</v>
      </c>
      <c r="K1416" s="14" t="s">
        <v>580</v>
      </c>
      <c r="L1416" s="18"/>
      <c r="M1416" s="14">
        <v>1</v>
      </c>
      <c r="N1416" s="15">
        <v>180000</v>
      </c>
      <c r="O1416" s="15">
        <f t="shared" si="51"/>
        <v>180000</v>
      </c>
      <c r="P1416" s="15"/>
      <c r="Q1416" s="14" t="s">
        <v>520</v>
      </c>
      <c r="R1416" s="25">
        <v>45597</v>
      </c>
      <c r="S1416" s="34" t="str">
        <f>TEXT(Table1[[#This Row],[End Date]],"MMMM")</f>
        <v>November</v>
      </c>
      <c r="T1416" s="34" t="str">
        <f>TEXT(Table1[[#This Row],[End Date]],"YYYY")</f>
        <v>2024</v>
      </c>
      <c r="U1416" s="24">
        <f t="shared" ca="1" si="52"/>
        <v>-464</v>
      </c>
      <c r="V1416" s="14" t="str" cm="1">
        <f t="array" aca="1" ref="V1416" ca="1">_xlfn.IFS(Table1[[#This Row],[Agreement Days]]&gt;=0,"Expired",Table1[[#This Row],[Agreement Days]]&gt;=-30,"Expires &lt; 30 Days",Table1[[#This Row],[Agreement Days]]&gt;=-60,"Expires &lt; 60 Days",Table1[[#This Row],[Agreement Days]]&lt;-60,"Valid Contract")</f>
        <v>Valid Contract</v>
      </c>
      <c r="W1416" s="18" t="s">
        <v>18</v>
      </c>
      <c r="X1416" s="18" t="s">
        <v>2712</v>
      </c>
      <c r="Y1416" s="35" t="s">
        <v>2713</v>
      </c>
      <c r="Z1416" s="27" t="s">
        <v>2714</v>
      </c>
      <c r="AA1416" s="36"/>
      <c r="AB1416" s="123"/>
      <c r="AC1416" s="123"/>
    </row>
    <row r="1417" spans="1:29" s="11" customFormat="1" hidden="1" x14ac:dyDescent="0.3">
      <c r="A1417" s="18" t="s">
        <v>814</v>
      </c>
      <c r="B1417" s="18" t="s">
        <v>214</v>
      </c>
      <c r="C1417" s="18" t="s">
        <v>2715</v>
      </c>
      <c r="D1417" s="14" t="s">
        <v>545</v>
      </c>
      <c r="E1417" s="18" t="s">
        <v>9</v>
      </c>
      <c r="F1417" s="14" t="s">
        <v>601</v>
      </c>
      <c r="G1417" s="14" t="s">
        <v>518</v>
      </c>
      <c r="H1417" s="18" t="s">
        <v>4</v>
      </c>
      <c r="I1417" s="14" t="s">
        <v>118</v>
      </c>
      <c r="J1417" s="14"/>
      <c r="K1417" s="14" t="s">
        <v>650</v>
      </c>
      <c r="L1417" s="14"/>
      <c r="M1417" s="14">
        <v>1</v>
      </c>
      <c r="N1417" s="15">
        <v>369325</v>
      </c>
      <c r="O1417" s="15">
        <f t="shared" si="51"/>
        <v>369325</v>
      </c>
      <c r="P1417" s="15"/>
      <c r="Q1417" s="14" t="s">
        <v>520</v>
      </c>
      <c r="R1417" s="25">
        <v>45599</v>
      </c>
      <c r="S1417" s="22" t="str">
        <f>TEXT(Table1[[#This Row],[End Date]],"MMMM")</f>
        <v>November</v>
      </c>
      <c r="T1417" s="23" t="str">
        <f>TEXT(Table1[[#This Row],[End Date]],"YYYY")</f>
        <v>2024</v>
      </c>
      <c r="U1417" s="24">
        <f t="shared" ca="1" si="52"/>
        <v>-466</v>
      </c>
      <c r="V1417" s="14" t="str" cm="1">
        <f t="array" aca="1" ref="V1417" ca="1">_xlfn.IFS(Table1[[#This Row],[Agreement Days]]&gt;=0,"Expired",Table1[[#This Row],[Agreement Days]]&gt;=-30,"Expires &lt; 30 Days",Table1[[#This Row],[Agreement Days]]&gt;=-60,"Expires &lt; 60 Days",Table1[[#This Row],[Agreement Days]]&lt;-60,"Valid Contract")</f>
        <v>Valid Contract</v>
      </c>
      <c r="W1417" s="14" t="s">
        <v>20</v>
      </c>
      <c r="X1417" s="26" t="s">
        <v>817</v>
      </c>
      <c r="Y1417" s="16" t="s">
        <v>818</v>
      </c>
      <c r="Z1417" s="27" t="s">
        <v>819</v>
      </c>
      <c r="AA1417" s="19"/>
      <c r="AB1417" s="123"/>
      <c r="AC1417" s="123"/>
    </row>
    <row r="1418" spans="1:29" s="11" customFormat="1" hidden="1" x14ac:dyDescent="0.3">
      <c r="A1418" s="18" t="s">
        <v>2716</v>
      </c>
      <c r="B1418" s="18" t="s">
        <v>90</v>
      </c>
      <c r="C1418" s="18" t="s">
        <v>90</v>
      </c>
      <c r="D1418" s="14" t="s">
        <v>630</v>
      </c>
      <c r="E1418" s="18" t="s">
        <v>10</v>
      </c>
      <c r="F1418" s="14" t="s">
        <v>631</v>
      </c>
      <c r="G1418" s="14" t="s">
        <v>518</v>
      </c>
      <c r="H1418" s="18" t="s">
        <v>5</v>
      </c>
      <c r="I1418" s="14" t="s">
        <v>134</v>
      </c>
      <c r="J1418" s="14">
        <v>3</v>
      </c>
      <c r="K1418" s="18" t="s">
        <v>646</v>
      </c>
      <c r="L1418" s="18"/>
      <c r="M1418" s="14">
        <v>1</v>
      </c>
      <c r="N1418" s="15">
        <v>270000</v>
      </c>
      <c r="O1418" s="15">
        <f t="shared" si="51"/>
        <v>270000</v>
      </c>
      <c r="P1418" s="15"/>
      <c r="Q1418" s="14" t="s">
        <v>520</v>
      </c>
      <c r="R1418" s="25">
        <v>45607</v>
      </c>
      <c r="S1418" s="34" t="str">
        <f>TEXT(Table1[[#This Row],[End Date]],"MMMM")</f>
        <v>November</v>
      </c>
      <c r="T1418" s="34" t="str">
        <f>TEXT(Table1[[#This Row],[End Date]],"YYYY")</f>
        <v>2024</v>
      </c>
      <c r="U1418" s="24">
        <f t="shared" ca="1" si="52"/>
        <v>-474</v>
      </c>
      <c r="V1418" s="14" t="str" cm="1">
        <f t="array" aca="1" ref="V1418" ca="1">_xlfn.IFS(Table1[[#This Row],[Agreement Days]]&gt;=0,"Expired",Table1[[#This Row],[Agreement Days]]&gt;=-30,"Expires &lt; 30 Days",Table1[[#This Row],[Agreement Days]]&gt;=-60,"Expires &lt; 60 Days",Table1[[#This Row],[Agreement Days]]&lt;-60,"Valid Contract")</f>
        <v>Valid Contract</v>
      </c>
      <c r="W1418" s="18" t="s">
        <v>21</v>
      </c>
      <c r="X1418" s="18" t="s">
        <v>2717</v>
      </c>
      <c r="Y1418" s="68" t="s">
        <v>2718</v>
      </c>
      <c r="Z1418" s="27">
        <v>782285016</v>
      </c>
      <c r="AA1418" s="27"/>
      <c r="AB1418" s="123"/>
      <c r="AC1418" s="123"/>
    </row>
    <row r="1419" spans="1:29" s="11" customFormat="1" hidden="1" x14ac:dyDescent="0.3">
      <c r="A1419" s="18" t="s">
        <v>2719</v>
      </c>
      <c r="B1419" s="18" t="s">
        <v>80</v>
      </c>
      <c r="C1419" s="18" t="s">
        <v>80</v>
      </c>
      <c r="D1419" s="14" t="s">
        <v>532</v>
      </c>
      <c r="E1419" s="18" t="s">
        <v>9</v>
      </c>
      <c r="F1419" s="14" t="s">
        <v>631</v>
      </c>
      <c r="G1419" s="14" t="s">
        <v>518</v>
      </c>
      <c r="H1419" s="18" t="s">
        <v>5</v>
      </c>
      <c r="I1419" s="14" t="s">
        <v>117</v>
      </c>
      <c r="J1419" s="14">
        <v>3</v>
      </c>
      <c r="K1419" s="18" t="s">
        <v>646</v>
      </c>
      <c r="L1419" s="18"/>
      <c r="M1419" s="14">
        <v>1</v>
      </c>
      <c r="N1419" s="15">
        <v>180000</v>
      </c>
      <c r="O1419" s="15">
        <f t="shared" si="51"/>
        <v>180000</v>
      </c>
      <c r="P1419" s="15"/>
      <c r="Q1419" s="14" t="s">
        <v>520</v>
      </c>
      <c r="R1419" s="25">
        <v>45626</v>
      </c>
      <c r="S1419" s="34" t="str">
        <f>TEXT(Table1[[#This Row],[End Date]],"MMMM")</f>
        <v>November</v>
      </c>
      <c r="T1419" s="34" t="str">
        <f>TEXT(Table1[[#This Row],[End Date]],"YYYY")</f>
        <v>2024</v>
      </c>
      <c r="U1419" s="24">
        <f t="shared" ca="1" si="52"/>
        <v>-493</v>
      </c>
      <c r="V1419" s="14" t="str" cm="1">
        <f t="array" aca="1" ref="V1419" ca="1">_xlfn.IFS(Table1[[#This Row],[Agreement Days]]&gt;=0,"Expired",Table1[[#This Row],[Agreement Days]]&gt;=-30,"Expires &lt; 30 Days",Table1[[#This Row],[Agreement Days]]&gt;=-60,"Expires &lt; 60 Days",Table1[[#This Row],[Agreement Days]]&lt;-60,"Valid Contract")</f>
        <v>Valid Contract</v>
      </c>
      <c r="W1419" s="18" t="s">
        <v>21</v>
      </c>
      <c r="X1419" s="18" t="s">
        <v>2720</v>
      </c>
      <c r="Y1419" s="42" t="s">
        <v>2721</v>
      </c>
      <c r="Z1419" s="27">
        <v>783266356</v>
      </c>
      <c r="AA1419" s="27"/>
      <c r="AB1419" s="123"/>
      <c r="AC1419" s="123"/>
    </row>
    <row r="1420" spans="1:29" s="11" customFormat="1" hidden="1" x14ac:dyDescent="0.3">
      <c r="A1420" s="18" t="s">
        <v>2722</v>
      </c>
      <c r="B1420" s="18" t="s">
        <v>178</v>
      </c>
      <c r="C1420" s="18" t="s">
        <v>1145</v>
      </c>
      <c r="D1420" s="14" t="s">
        <v>616</v>
      </c>
      <c r="E1420" s="18" t="s">
        <v>9</v>
      </c>
      <c r="F1420" s="14" t="s">
        <v>517</v>
      </c>
      <c r="G1420" s="14" t="s">
        <v>518</v>
      </c>
      <c r="H1420" s="18" t="s">
        <v>5</v>
      </c>
      <c r="I1420" s="14" t="s">
        <v>117</v>
      </c>
      <c r="J1420" s="14">
        <v>3</v>
      </c>
      <c r="K1420" s="14" t="s">
        <v>646</v>
      </c>
      <c r="L1420" s="14"/>
      <c r="M1420" s="14">
        <v>1</v>
      </c>
      <c r="N1420" s="15">
        <v>180000</v>
      </c>
      <c r="O1420" s="15">
        <f t="shared" si="51"/>
        <v>180000</v>
      </c>
      <c r="P1420" s="15"/>
      <c r="Q1420" s="14" t="s">
        <v>520</v>
      </c>
      <c r="R1420" s="25">
        <v>45626</v>
      </c>
      <c r="S1420" s="22" t="str">
        <f>TEXT(Table1[[#This Row],[End Date]],"MMMM")</f>
        <v>November</v>
      </c>
      <c r="T1420" s="23" t="str">
        <f>TEXT(Table1[[#This Row],[End Date]],"YYYY")</f>
        <v>2024</v>
      </c>
      <c r="U1420" s="24">
        <f t="shared" ca="1" si="52"/>
        <v>-493</v>
      </c>
      <c r="V1420" s="14" t="str" cm="1">
        <f t="array" aca="1" ref="V1420" ca="1">_xlfn.IFS(Table1[[#This Row],[Agreement Days]]&gt;=0,"Expired",Table1[[#This Row],[Agreement Days]]&gt;=-30,"Expires &lt; 30 Days",Table1[[#This Row],[Agreement Days]]&gt;=-60,"Expires &lt; 60 Days",Table1[[#This Row],[Agreement Days]]&lt;-60,"Valid Contract")</f>
        <v>Valid Contract</v>
      </c>
      <c r="W1420" s="14" t="s">
        <v>19</v>
      </c>
      <c r="X1420" s="43" t="s">
        <v>2723</v>
      </c>
      <c r="Y1420" s="43" t="s">
        <v>2724</v>
      </c>
      <c r="Z1420" s="27">
        <v>788534669</v>
      </c>
      <c r="AA1420" s="17"/>
      <c r="AB1420" s="123"/>
      <c r="AC1420" s="123"/>
    </row>
    <row r="1421" spans="1:29" s="11" customFormat="1" hidden="1" x14ac:dyDescent="0.3">
      <c r="A1421" s="18" t="s">
        <v>2722</v>
      </c>
      <c r="B1421" s="18" t="s">
        <v>178</v>
      </c>
      <c r="C1421" s="18" t="s">
        <v>2725</v>
      </c>
      <c r="D1421" s="14" t="s">
        <v>616</v>
      </c>
      <c r="E1421" s="18" t="s">
        <v>9</v>
      </c>
      <c r="F1421" s="14" t="s">
        <v>517</v>
      </c>
      <c r="G1421" s="14" t="s">
        <v>518</v>
      </c>
      <c r="H1421" s="18" t="s">
        <v>5</v>
      </c>
      <c r="I1421" s="14" t="s">
        <v>117</v>
      </c>
      <c r="J1421" s="14">
        <v>5</v>
      </c>
      <c r="K1421" s="14" t="s">
        <v>519</v>
      </c>
      <c r="L1421" s="14"/>
      <c r="M1421" s="14">
        <v>1</v>
      </c>
      <c r="N1421" s="15">
        <v>270000</v>
      </c>
      <c r="O1421" s="15">
        <f t="shared" si="51"/>
        <v>270000</v>
      </c>
      <c r="P1421" s="15"/>
      <c r="Q1421" s="14" t="s">
        <v>520</v>
      </c>
      <c r="R1421" s="25">
        <v>45626</v>
      </c>
      <c r="S1421" s="22" t="str">
        <f>TEXT(Table1[[#This Row],[End Date]],"MMMM")</f>
        <v>November</v>
      </c>
      <c r="T1421" s="23" t="str">
        <f>TEXT(Table1[[#This Row],[End Date]],"YYYY")</f>
        <v>2024</v>
      </c>
      <c r="U1421" s="24">
        <f t="shared" ca="1" si="52"/>
        <v>-493</v>
      </c>
      <c r="V1421" s="14" t="str" cm="1">
        <f t="array" aca="1" ref="V1421" ca="1">_xlfn.IFS(Table1[[#This Row],[Agreement Days]]&gt;=0,"Expired",Table1[[#This Row],[Agreement Days]]&gt;=-30,"Expires &lt; 30 Days",Table1[[#This Row],[Agreement Days]]&gt;=-60,"Expires &lt; 60 Days",Table1[[#This Row],[Agreement Days]]&lt;-60,"Valid Contract")</f>
        <v>Valid Contract</v>
      </c>
      <c r="W1421" s="14" t="s">
        <v>19</v>
      </c>
      <c r="X1421" s="43" t="s">
        <v>2723</v>
      </c>
      <c r="Y1421" s="43" t="s">
        <v>2724</v>
      </c>
      <c r="Z1421" s="27">
        <v>788534669</v>
      </c>
      <c r="AA1421" s="17"/>
      <c r="AB1421" s="123"/>
      <c r="AC1421" s="123"/>
    </row>
    <row r="1422" spans="1:29" s="11" customFormat="1" hidden="1" x14ac:dyDescent="0.3">
      <c r="A1422" s="18" t="s">
        <v>2722</v>
      </c>
      <c r="B1422" s="18" t="s">
        <v>178</v>
      </c>
      <c r="C1422" s="18" t="s">
        <v>2726</v>
      </c>
      <c r="D1422" s="14" t="s">
        <v>616</v>
      </c>
      <c r="E1422" s="18" t="s">
        <v>9</v>
      </c>
      <c r="F1422" s="14" t="s">
        <v>517</v>
      </c>
      <c r="G1422" s="14" t="s">
        <v>518</v>
      </c>
      <c r="H1422" s="18" t="s">
        <v>5</v>
      </c>
      <c r="I1422" s="14" t="s">
        <v>115</v>
      </c>
      <c r="J1422" s="14"/>
      <c r="K1422" s="18" t="s">
        <v>643</v>
      </c>
      <c r="L1422" s="14"/>
      <c r="M1422" s="14">
        <v>1</v>
      </c>
      <c r="N1422" s="15">
        <v>28305.08</v>
      </c>
      <c r="O1422" s="15">
        <f t="shared" ref="O1422:O1485" si="53">N1422*M1422</f>
        <v>28305.08</v>
      </c>
      <c r="P1422" s="15"/>
      <c r="Q1422" s="14" t="s">
        <v>520</v>
      </c>
      <c r="R1422" s="25">
        <v>45626</v>
      </c>
      <c r="S1422" s="22" t="str">
        <f>TEXT(Table1[[#This Row],[End Date]],"MMMM")</f>
        <v>November</v>
      </c>
      <c r="T1422" s="23" t="str">
        <f>TEXT(Table1[[#This Row],[End Date]],"YYYY")</f>
        <v>2024</v>
      </c>
      <c r="U1422" s="24">
        <f t="shared" ca="1" si="52"/>
        <v>-493</v>
      </c>
      <c r="V1422" s="14" t="str" cm="1">
        <f t="array" aca="1" ref="V1422" ca="1">_xlfn.IFS(Table1[[#This Row],[Agreement Days]]&gt;=0,"Expired",Table1[[#This Row],[Agreement Days]]&gt;=-30,"Expires &lt; 30 Days",Table1[[#This Row],[Agreement Days]]&gt;=-60,"Expires &lt; 60 Days",Table1[[#This Row],[Agreement Days]]&lt;-60,"Valid Contract")</f>
        <v>Valid Contract</v>
      </c>
      <c r="W1422" s="14" t="s">
        <v>19</v>
      </c>
      <c r="X1422" s="43" t="s">
        <v>2723</v>
      </c>
      <c r="Y1422" s="43" t="s">
        <v>2724</v>
      </c>
      <c r="Z1422" s="27">
        <v>788534669</v>
      </c>
      <c r="AA1422" s="17"/>
      <c r="AB1422" s="123"/>
      <c r="AC1422" s="123"/>
    </row>
    <row r="1423" spans="1:29" s="11" customFormat="1" hidden="1" x14ac:dyDescent="0.3">
      <c r="A1423" s="18" t="s">
        <v>2722</v>
      </c>
      <c r="B1423" s="18" t="s">
        <v>178</v>
      </c>
      <c r="C1423" s="18" t="s">
        <v>2725</v>
      </c>
      <c r="D1423" s="14" t="s">
        <v>616</v>
      </c>
      <c r="E1423" s="18" t="s">
        <v>9</v>
      </c>
      <c r="F1423" s="14" t="s">
        <v>517</v>
      </c>
      <c r="G1423" s="14" t="s">
        <v>518</v>
      </c>
      <c r="H1423" s="18" t="s">
        <v>4</v>
      </c>
      <c r="I1423" s="14" t="s">
        <v>118</v>
      </c>
      <c r="J1423" s="14"/>
      <c r="K1423" s="14" t="s">
        <v>650</v>
      </c>
      <c r="L1423" s="14"/>
      <c r="M1423" s="14">
        <v>1</v>
      </c>
      <c r="N1423" s="15">
        <v>369325</v>
      </c>
      <c r="O1423" s="15">
        <f t="shared" si="53"/>
        <v>369325</v>
      </c>
      <c r="P1423" s="15"/>
      <c r="Q1423" s="14" t="s">
        <v>520</v>
      </c>
      <c r="R1423" s="25">
        <v>45626</v>
      </c>
      <c r="S1423" s="22" t="str">
        <f>TEXT(Table1[[#This Row],[End Date]],"MMMM")</f>
        <v>November</v>
      </c>
      <c r="T1423" s="23" t="str">
        <f>TEXT(Table1[[#This Row],[End Date]],"YYYY")</f>
        <v>2024</v>
      </c>
      <c r="U1423" s="24">
        <f t="shared" ca="1" si="52"/>
        <v>-493</v>
      </c>
      <c r="V1423" s="14" t="str" cm="1">
        <f t="array" aca="1" ref="V1423" ca="1">_xlfn.IFS(Table1[[#This Row],[Agreement Days]]&gt;=0,"Expired",Table1[[#This Row],[Agreement Days]]&gt;=-30,"Expires &lt; 30 Days",Table1[[#This Row],[Agreement Days]]&gt;=-60,"Expires &lt; 60 Days",Table1[[#This Row],[Agreement Days]]&lt;-60,"Valid Contract")</f>
        <v>Valid Contract</v>
      </c>
      <c r="W1423" s="14" t="s">
        <v>19</v>
      </c>
      <c r="X1423" s="43" t="s">
        <v>2723</v>
      </c>
      <c r="Y1423" s="43" t="s">
        <v>2724</v>
      </c>
      <c r="Z1423" s="27">
        <v>788534669</v>
      </c>
      <c r="AA1423" s="17"/>
      <c r="AB1423" s="123"/>
      <c r="AC1423" s="123"/>
    </row>
    <row r="1424" spans="1:29" s="11" customFormat="1" hidden="1" x14ac:dyDescent="0.3">
      <c r="A1424" s="18" t="s">
        <v>2722</v>
      </c>
      <c r="B1424" s="18" t="s">
        <v>178</v>
      </c>
      <c r="C1424" s="18" t="s">
        <v>2726</v>
      </c>
      <c r="D1424" s="14" t="s">
        <v>616</v>
      </c>
      <c r="E1424" s="18" t="s">
        <v>9</v>
      </c>
      <c r="F1424" s="14" t="s">
        <v>517</v>
      </c>
      <c r="G1424" s="14" t="s">
        <v>518</v>
      </c>
      <c r="H1424" s="18" t="s">
        <v>5</v>
      </c>
      <c r="I1424" s="14" t="s">
        <v>115</v>
      </c>
      <c r="J1424" s="14"/>
      <c r="K1424" s="18" t="s">
        <v>1246</v>
      </c>
      <c r="L1424" s="14"/>
      <c r="M1424" s="14">
        <v>4</v>
      </c>
      <c r="N1424" s="15">
        <v>54237</v>
      </c>
      <c r="O1424" s="15">
        <f t="shared" si="53"/>
        <v>216948</v>
      </c>
      <c r="P1424" s="15"/>
      <c r="Q1424" s="14" t="s">
        <v>520</v>
      </c>
      <c r="R1424" s="25">
        <v>45626</v>
      </c>
      <c r="S1424" s="22" t="str">
        <f>TEXT(Table1[[#This Row],[End Date]],"MMMM")</f>
        <v>November</v>
      </c>
      <c r="T1424" s="23" t="str">
        <f>TEXT(Table1[[#This Row],[End Date]],"YYYY")</f>
        <v>2024</v>
      </c>
      <c r="U1424" s="24">
        <f t="shared" ca="1" si="52"/>
        <v>-493</v>
      </c>
      <c r="V1424" s="14" t="str" cm="1">
        <f t="array" aca="1" ref="V1424" ca="1">_xlfn.IFS(Table1[[#This Row],[Agreement Days]]&gt;=0,"Expired",Table1[[#This Row],[Agreement Days]]&gt;=-30,"Expires &lt; 30 Days",Table1[[#This Row],[Agreement Days]]&gt;=-60,"Expires &lt; 60 Days",Table1[[#This Row],[Agreement Days]]&lt;-60,"Valid Contract")</f>
        <v>Valid Contract</v>
      </c>
      <c r="W1424" s="14" t="s">
        <v>19</v>
      </c>
      <c r="X1424" s="43" t="s">
        <v>2723</v>
      </c>
      <c r="Y1424" s="43" t="s">
        <v>2724</v>
      </c>
      <c r="Z1424" s="27">
        <v>788534669</v>
      </c>
      <c r="AA1424" s="17"/>
      <c r="AB1424" s="123"/>
      <c r="AC1424" s="123"/>
    </row>
    <row r="1425" spans="1:29" s="11" customFormat="1" hidden="1" x14ac:dyDescent="0.3">
      <c r="A1425" s="18" t="s">
        <v>2722</v>
      </c>
      <c r="B1425" s="18" t="s">
        <v>178</v>
      </c>
      <c r="C1425" s="18" t="s">
        <v>2726</v>
      </c>
      <c r="D1425" s="14" t="s">
        <v>616</v>
      </c>
      <c r="E1425" s="18" t="s">
        <v>9</v>
      </c>
      <c r="F1425" s="14" t="s">
        <v>517</v>
      </c>
      <c r="G1425" s="14" t="s">
        <v>518</v>
      </c>
      <c r="H1425" s="18" t="s">
        <v>5</v>
      </c>
      <c r="I1425" s="14" t="s">
        <v>115</v>
      </c>
      <c r="J1425" s="14"/>
      <c r="K1425" s="18" t="s">
        <v>573</v>
      </c>
      <c r="L1425" s="14"/>
      <c r="M1425" s="14">
        <v>21</v>
      </c>
      <c r="N1425" s="15">
        <v>19491.53</v>
      </c>
      <c r="O1425" s="15">
        <f t="shared" si="53"/>
        <v>409322.13</v>
      </c>
      <c r="P1425" s="15"/>
      <c r="Q1425" s="14" t="s">
        <v>520</v>
      </c>
      <c r="R1425" s="25">
        <v>45626</v>
      </c>
      <c r="S1425" s="22" t="str">
        <f>TEXT(Table1[[#This Row],[End Date]],"MMMM")</f>
        <v>November</v>
      </c>
      <c r="T1425" s="23" t="str">
        <f>TEXT(Table1[[#This Row],[End Date]],"YYYY")</f>
        <v>2024</v>
      </c>
      <c r="U1425" s="24">
        <f t="shared" ca="1" si="52"/>
        <v>-493</v>
      </c>
      <c r="V1425" s="14" t="str" cm="1">
        <f t="array" aca="1" ref="V1425" ca="1">_xlfn.IFS(Table1[[#This Row],[Agreement Days]]&gt;=0,"Expired",Table1[[#This Row],[Agreement Days]]&gt;=-30,"Expires &lt; 30 Days",Table1[[#This Row],[Agreement Days]]&gt;=-60,"Expires &lt; 60 Days",Table1[[#This Row],[Agreement Days]]&lt;-60,"Valid Contract")</f>
        <v>Valid Contract</v>
      </c>
      <c r="W1425" s="14" t="s">
        <v>19</v>
      </c>
      <c r="X1425" s="43" t="s">
        <v>2723</v>
      </c>
      <c r="Y1425" s="43" t="s">
        <v>2724</v>
      </c>
      <c r="Z1425" s="27">
        <v>788534669</v>
      </c>
      <c r="AA1425" s="17"/>
      <c r="AB1425" s="123"/>
      <c r="AC1425" s="123"/>
    </row>
    <row r="1426" spans="1:29" s="11" customFormat="1" hidden="1" x14ac:dyDescent="0.3">
      <c r="A1426" s="18" t="s">
        <v>2722</v>
      </c>
      <c r="B1426" s="18" t="s">
        <v>178</v>
      </c>
      <c r="C1426" s="18" t="s">
        <v>2726</v>
      </c>
      <c r="D1426" s="14" t="s">
        <v>616</v>
      </c>
      <c r="E1426" s="18" t="s">
        <v>9</v>
      </c>
      <c r="F1426" s="14" t="s">
        <v>517</v>
      </c>
      <c r="G1426" s="14" t="s">
        <v>518</v>
      </c>
      <c r="H1426" s="18" t="s">
        <v>5</v>
      </c>
      <c r="I1426" s="14" t="s">
        <v>115</v>
      </c>
      <c r="J1426" s="14"/>
      <c r="K1426" s="18" t="s">
        <v>651</v>
      </c>
      <c r="L1426" s="14"/>
      <c r="M1426" s="14">
        <v>21</v>
      </c>
      <c r="N1426" s="15">
        <f>96000/1.18</f>
        <v>81355.932203389835</v>
      </c>
      <c r="O1426" s="15">
        <f t="shared" si="53"/>
        <v>1708474.5762711866</v>
      </c>
      <c r="P1426" s="15"/>
      <c r="Q1426" s="14" t="s">
        <v>520</v>
      </c>
      <c r="R1426" s="25">
        <v>45626</v>
      </c>
      <c r="S1426" s="22" t="str">
        <f>TEXT(Table1[[#This Row],[End Date]],"MMMM")</f>
        <v>November</v>
      </c>
      <c r="T1426" s="23" t="str">
        <f>TEXT(Table1[[#This Row],[End Date]],"YYYY")</f>
        <v>2024</v>
      </c>
      <c r="U1426" s="24">
        <f t="shared" ca="1" si="52"/>
        <v>-493</v>
      </c>
      <c r="V1426" s="14" t="str" cm="1">
        <f t="array" aca="1" ref="V1426" ca="1">_xlfn.IFS(Table1[[#This Row],[Agreement Days]]&gt;=0,"Expired",Table1[[#This Row],[Agreement Days]]&gt;=-30,"Expires &lt; 30 Days",Table1[[#This Row],[Agreement Days]]&gt;=-60,"Expires &lt; 60 Days",Table1[[#This Row],[Agreement Days]]&lt;-60,"Valid Contract")</f>
        <v>Valid Contract</v>
      </c>
      <c r="W1426" s="14" t="s">
        <v>19</v>
      </c>
      <c r="X1426" s="43" t="s">
        <v>2723</v>
      </c>
      <c r="Y1426" s="43" t="s">
        <v>2724</v>
      </c>
      <c r="Z1426" s="27">
        <v>788534669</v>
      </c>
      <c r="AA1426" s="17"/>
      <c r="AB1426" s="123"/>
      <c r="AC1426" s="123"/>
    </row>
    <row r="1427" spans="1:29" s="11" customFormat="1" hidden="1" x14ac:dyDescent="0.3">
      <c r="A1427" s="18" t="s">
        <v>2722</v>
      </c>
      <c r="B1427" s="18" t="s">
        <v>178</v>
      </c>
      <c r="C1427" s="18" t="s">
        <v>2726</v>
      </c>
      <c r="D1427" s="14" t="s">
        <v>616</v>
      </c>
      <c r="E1427" s="18" t="s">
        <v>9</v>
      </c>
      <c r="F1427" s="14" t="s">
        <v>517</v>
      </c>
      <c r="G1427" s="14" t="s">
        <v>518</v>
      </c>
      <c r="H1427" s="18" t="s">
        <v>5</v>
      </c>
      <c r="I1427" s="14" t="s">
        <v>115</v>
      </c>
      <c r="J1427" s="14"/>
      <c r="K1427" s="18" t="s">
        <v>573</v>
      </c>
      <c r="L1427" s="14"/>
      <c r="M1427" s="14">
        <v>30</v>
      </c>
      <c r="N1427" s="15">
        <v>19491.53</v>
      </c>
      <c r="O1427" s="15">
        <f t="shared" si="53"/>
        <v>584745.89999999991</v>
      </c>
      <c r="P1427" s="15"/>
      <c r="Q1427" s="14" t="s">
        <v>520</v>
      </c>
      <c r="R1427" s="25">
        <v>45626</v>
      </c>
      <c r="S1427" s="22" t="str">
        <f>TEXT(Table1[[#This Row],[End Date]],"MMMM")</f>
        <v>November</v>
      </c>
      <c r="T1427" s="23" t="str">
        <f>TEXT(Table1[[#This Row],[End Date]],"YYYY")</f>
        <v>2024</v>
      </c>
      <c r="U1427" s="24">
        <f t="shared" ca="1" si="52"/>
        <v>-493</v>
      </c>
      <c r="V1427" s="14" t="str" cm="1">
        <f t="array" aca="1" ref="V1427" ca="1">_xlfn.IFS(Table1[[#This Row],[Agreement Days]]&gt;=0,"Expired",Table1[[#This Row],[Agreement Days]]&gt;=-30,"Expires &lt; 30 Days",Table1[[#This Row],[Agreement Days]]&gt;=-60,"Expires &lt; 60 Days",Table1[[#This Row],[Agreement Days]]&lt;-60,"Valid Contract")</f>
        <v>Valid Contract</v>
      </c>
      <c r="W1427" s="14" t="s">
        <v>19</v>
      </c>
      <c r="X1427" s="43" t="s">
        <v>2723</v>
      </c>
      <c r="Y1427" s="43" t="s">
        <v>2724</v>
      </c>
      <c r="Z1427" s="27">
        <v>788534669</v>
      </c>
      <c r="AA1427" s="17"/>
      <c r="AB1427" s="123"/>
      <c r="AC1427" s="123"/>
    </row>
    <row r="1428" spans="1:29" s="11" customFormat="1" hidden="1" x14ac:dyDescent="0.3">
      <c r="A1428" s="18" t="s">
        <v>2722</v>
      </c>
      <c r="B1428" s="18" t="s">
        <v>178</v>
      </c>
      <c r="C1428" s="18" t="s">
        <v>2726</v>
      </c>
      <c r="D1428" s="14" t="s">
        <v>616</v>
      </c>
      <c r="E1428" s="18" t="s">
        <v>9</v>
      </c>
      <c r="F1428" s="14" t="s">
        <v>517</v>
      </c>
      <c r="G1428" s="14" t="s">
        <v>518</v>
      </c>
      <c r="H1428" s="18" t="s">
        <v>5</v>
      </c>
      <c r="I1428" s="14" t="s">
        <v>115</v>
      </c>
      <c r="J1428" s="14"/>
      <c r="K1428" s="18" t="s">
        <v>573</v>
      </c>
      <c r="L1428" s="14"/>
      <c r="M1428" s="14">
        <v>48</v>
      </c>
      <c r="N1428" s="15">
        <v>19491.53</v>
      </c>
      <c r="O1428" s="15">
        <f t="shared" si="53"/>
        <v>935593.44</v>
      </c>
      <c r="P1428" s="15"/>
      <c r="Q1428" s="14" t="s">
        <v>520</v>
      </c>
      <c r="R1428" s="25">
        <v>45626</v>
      </c>
      <c r="S1428" s="22" t="str">
        <f>TEXT(Table1[[#This Row],[End Date]],"MMMM")</f>
        <v>November</v>
      </c>
      <c r="T1428" s="23" t="str">
        <f>TEXT(Table1[[#This Row],[End Date]],"YYYY")</f>
        <v>2024</v>
      </c>
      <c r="U1428" s="24">
        <f t="shared" ca="1" si="52"/>
        <v>-493</v>
      </c>
      <c r="V1428" s="14" t="str" cm="1">
        <f t="array" aca="1" ref="V1428" ca="1">_xlfn.IFS(Table1[[#This Row],[Agreement Days]]&gt;=0,"Expired",Table1[[#This Row],[Agreement Days]]&gt;=-30,"Expires &lt; 30 Days",Table1[[#This Row],[Agreement Days]]&gt;=-60,"Expires &lt; 60 Days",Table1[[#This Row],[Agreement Days]]&lt;-60,"Valid Contract")</f>
        <v>Valid Contract</v>
      </c>
      <c r="W1428" s="14" t="s">
        <v>19</v>
      </c>
      <c r="X1428" s="43" t="s">
        <v>2723</v>
      </c>
      <c r="Y1428" s="43" t="s">
        <v>2724</v>
      </c>
      <c r="Z1428" s="27">
        <v>788534669</v>
      </c>
      <c r="AA1428" s="17"/>
      <c r="AB1428" s="123"/>
      <c r="AC1428" s="123"/>
    </row>
    <row r="1429" spans="1:29" s="11" customFormat="1" hidden="1" x14ac:dyDescent="0.3">
      <c r="A1429" s="18" t="s">
        <v>2727</v>
      </c>
      <c r="B1429" s="18" t="s">
        <v>66</v>
      </c>
      <c r="C1429" s="18" t="s">
        <v>66</v>
      </c>
      <c r="D1429" s="14" t="s">
        <v>739</v>
      </c>
      <c r="E1429" s="18" t="s">
        <v>9</v>
      </c>
      <c r="F1429" s="14" t="s">
        <v>631</v>
      </c>
      <c r="G1429" s="14" t="s">
        <v>518</v>
      </c>
      <c r="H1429" s="18" t="s">
        <v>5</v>
      </c>
      <c r="I1429" s="14" t="s">
        <v>117</v>
      </c>
      <c r="J1429" s="14">
        <v>5</v>
      </c>
      <c r="K1429" s="14" t="s">
        <v>763</v>
      </c>
      <c r="L1429" s="14"/>
      <c r="M1429" s="14">
        <v>1</v>
      </c>
      <c r="N1429" s="15">
        <v>270000</v>
      </c>
      <c r="O1429" s="15">
        <f t="shared" si="53"/>
        <v>270000</v>
      </c>
      <c r="P1429" s="15"/>
      <c r="Q1429" s="14" t="s">
        <v>520</v>
      </c>
      <c r="R1429" s="25">
        <v>45626</v>
      </c>
      <c r="S1429" s="22" t="str">
        <f>TEXT(Table1[[#This Row],[End Date]],"MMMM")</f>
        <v>November</v>
      </c>
      <c r="T1429" s="23" t="str">
        <f>TEXT(Table1[[#This Row],[End Date]],"YYYY")</f>
        <v>2024</v>
      </c>
      <c r="U1429" s="24">
        <f t="shared" ca="1" si="52"/>
        <v>-493</v>
      </c>
      <c r="V1429" s="14" t="str" cm="1">
        <f t="array" aca="1" ref="V1429" ca="1">_xlfn.IFS(Table1[[#This Row],[Agreement Days]]&gt;=0,"Expired",Table1[[#This Row],[Agreement Days]]&gt;=-30,"Expires &lt; 30 Days",Table1[[#This Row],[Agreement Days]]&gt;=-60,"Expires &lt; 60 Days",Table1[[#This Row],[Agreement Days]]&lt;-60,"Valid Contract")</f>
        <v>Valid Contract</v>
      </c>
      <c r="W1429" s="14" t="s">
        <v>13</v>
      </c>
      <c r="X1429" s="14" t="s">
        <v>1524</v>
      </c>
      <c r="Y1429" s="43" t="s">
        <v>2728</v>
      </c>
      <c r="Z1429" s="27" t="s">
        <v>2729</v>
      </c>
      <c r="AA1429" s="17"/>
      <c r="AB1429" s="123"/>
      <c r="AC1429" s="123"/>
    </row>
    <row r="1430" spans="1:29" s="11" customFormat="1" hidden="1" x14ac:dyDescent="0.3">
      <c r="A1430" s="18" t="s">
        <v>2730</v>
      </c>
      <c r="B1430" s="18" t="s">
        <v>426</v>
      </c>
      <c r="C1430" s="18" t="s">
        <v>544</v>
      </c>
      <c r="D1430" s="14" t="s">
        <v>545</v>
      </c>
      <c r="E1430" s="18" t="s">
        <v>9</v>
      </c>
      <c r="F1430" s="14" t="s">
        <v>517</v>
      </c>
      <c r="G1430" s="14" t="s">
        <v>518</v>
      </c>
      <c r="H1430" s="18" t="s">
        <v>5</v>
      </c>
      <c r="I1430" s="14" t="s">
        <v>115</v>
      </c>
      <c r="J1430" s="26"/>
      <c r="K1430" s="18" t="s">
        <v>643</v>
      </c>
      <c r="L1430" s="26"/>
      <c r="M1430" s="19">
        <v>6</v>
      </c>
      <c r="N1430" s="15">
        <v>28305.08</v>
      </c>
      <c r="O1430" s="15">
        <f t="shared" si="53"/>
        <v>169830.48</v>
      </c>
      <c r="P1430" s="15"/>
      <c r="Q1430" s="14" t="s">
        <v>520</v>
      </c>
      <c r="R1430" s="25">
        <v>45626</v>
      </c>
      <c r="S1430" s="34" t="str">
        <f>TEXT(Table1[[#This Row],[End Date]],"MMMM")</f>
        <v>November</v>
      </c>
      <c r="T1430" s="34" t="str">
        <f>TEXT(Table1[[#This Row],[End Date]],"YYYY")</f>
        <v>2024</v>
      </c>
      <c r="U1430" s="24">
        <f t="shared" ca="1" si="52"/>
        <v>-493</v>
      </c>
      <c r="V1430" s="14" t="str" cm="1">
        <f t="array" aca="1" ref="V1430" ca="1">_xlfn.IFS(Table1[[#This Row],[Agreement Days]]&gt;=0,"Expired",Table1[[#This Row],[Agreement Days]]&gt;=-30,"Expires &lt; 30 Days",Table1[[#This Row],[Agreement Days]]&gt;=-60,"Expires &lt; 60 Days",Table1[[#This Row],[Agreement Days]]&lt;-60,"Valid Contract")</f>
        <v>Valid Contract</v>
      </c>
      <c r="W1430" s="26" t="s">
        <v>17</v>
      </c>
      <c r="X1430" s="55" t="s">
        <v>1441</v>
      </c>
      <c r="Y1430" s="35" t="s">
        <v>1442</v>
      </c>
      <c r="Z1430" s="27">
        <v>788882605</v>
      </c>
      <c r="AA1430" s="55"/>
      <c r="AB1430" s="123"/>
      <c r="AC1430" s="123"/>
    </row>
    <row r="1431" spans="1:29" s="11" customFormat="1" hidden="1" x14ac:dyDescent="0.3">
      <c r="A1431" s="18" t="s">
        <v>2457</v>
      </c>
      <c r="B1431" s="18" t="s">
        <v>280</v>
      </c>
      <c r="C1431" s="18" t="s">
        <v>544</v>
      </c>
      <c r="D1431" s="14" t="s">
        <v>545</v>
      </c>
      <c r="E1431" s="18" t="s">
        <v>9</v>
      </c>
      <c r="F1431" s="20" t="s">
        <v>517</v>
      </c>
      <c r="G1431" s="20" t="s">
        <v>518</v>
      </c>
      <c r="H1431" s="18" t="s">
        <v>5</v>
      </c>
      <c r="I1431" s="14" t="s">
        <v>118</v>
      </c>
      <c r="J1431" s="14"/>
      <c r="K1431" s="18" t="s">
        <v>1021</v>
      </c>
      <c r="L1431" s="18"/>
      <c r="M1431" s="14">
        <v>1</v>
      </c>
      <c r="N1431" s="15">
        <v>369325</v>
      </c>
      <c r="O1431" s="15">
        <f t="shared" si="53"/>
        <v>369325</v>
      </c>
      <c r="P1431" s="15"/>
      <c r="Q1431" s="14" t="s">
        <v>520</v>
      </c>
      <c r="R1431" s="25">
        <v>45626</v>
      </c>
      <c r="S1431" s="34" t="str">
        <f>TEXT(Table1[[#This Row],[End Date]],"MMMM")</f>
        <v>November</v>
      </c>
      <c r="T1431" s="34" t="str">
        <f>TEXT(Table1[[#This Row],[End Date]],"YYYY")</f>
        <v>2024</v>
      </c>
      <c r="U1431" s="24">
        <f t="shared" ca="1" si="52"/>
        <v>-493</v>
      </c>
      <c r="V1431" s="14" t="str" cm="1">
        <f t="array" aca="1" ref="V1431" ca="1">_xlfn.IFS(Table1[[#This Row],[Agreement Days]]&gt;=0,"Expired",Table1[[#This Row],[Agreement Days]]&gt;=-30,"Expires &lt; 30 Days",Table1[[#This Row],[Agreement Days]]&gt;=-60,"Expires &lt; 60 Days",Table1[[#This Row],[Agreement Days]]&lt;-60,"Valid Contract")</f>
        <v>Valid Contract</v>
      </c>
      <c r="W1431" s="18" t="s">
        <v>17</v>
      </c>
      <c r="X1431" s="18" t="s">
        <v>2458</v>
      </c>
      <c r="Y1431" s="35" t="s">
        <v>2459</v>
      </c>
      <c r="Z1431" s="27">
        <v>788699349</v>
      </c>
      <c r="AA1431" s="27"/>
      <c r="AB1431" s="123"/>
      <c r="AC1431" s="123"/>
    </row>
    <row r="1432" spans="1:29" s="11" customFormat="1" x14ac:dyDescent="0.3">
      <c r="A1432" s="18" t="s">
        <v>2731</v>
      </c>
      <c r="B1432" s="18" t="s">
        <v>339</v>
      </c>
      <c r="C1432" s="18" t="s">
        <v>1021</v>
      </c>
      <c r="D1432" s="14" t="s">
        <v>545</v>
      </c>
      <c r="E1432" s="18" t="s">
        <v>9</v>
      </c>
      <c r="F1432" s="14" t="s">
        <v>517</v>
      </c>
      <c r="G1432" s="14" t="s">
        <v>518</v>
      </c>
      <c r="H1432" s="18" t="s">
        <v>2</v>
      </c>
      <c r="I1432" s="14" t="s">
        <v>118</v>
      </c>
      <c r="J1432" s="14"/>
      <c r="K1432" s="14" t="s">
        <v>721</v>
      </c>
      <c r="L1432" s="14"/>
      <c r="M1432" s="14">
        <v>1</v>
      </c>
      <c r="N1432" s="15">
        <f>435804/1.18</f>
        <v>369325.42372881359</v>
      </c>
      <c r="O1432" s="15">
        <f t="shared" si="53"/>
        <v>369325.42372881359</v>
      </c>
      <c r="P1432" s="15"/>
      <c r="Q1432" s="14" t="s">
        <v>520</v>
      </c>
      <c r="R1432" s="25">
        <v>45634</v>
      </c>
      <c r="S1432" s="22" t="str">
        <f>TEXT(Table1[[#This Row],[End Date]],"MMMM")</f>
        <v>December</v>
      </c>
      <c r="T1432" s="23" t="str">
        <f>TEXT(Table1[[#This Row],[End Date]],"YYYY")</f>
        <v>2024</v>
      </c>
      <c r="U1432" s="24">
        <f t="shared" ca="1" si="52"/>
        <v>-501</v>
      </c>
      <c r="V1432" s="14" t="str" cm="1">
        <f t="array" aca="1" ref="V1432" ca="1">_xlfn.IFS(Table1[[#This Row],[Agreement Days]]&gt;=0,"Expired",Table1[[#This Row],[Agreement Days]]&gt;=-30,"Expires &lt; 30 Days",Table1[[#This Row],[Agreement Days]]&gt;=-60,"Expires &lt; 60 Days",Table1[[#This Row],[Agreement Days]]&lt;-60,"Valid Contract")</f>
        <v>Valid Contract</v>
      </c>
      <c r="W1432" s="14" t="s">
        <v>12</v>
      </c>
      <c r="X1432" s="14" t="s">
        <v>2732</v>
      </c>
      <c r="Y1432" s="16" t="s">
        <v>2733</v>
      </c>
      <c r="Z1432" s="27" t="s">
        <v>2734</v>
      </c>
      <c r="AA1432" s="17"/>
      <c r="AB1432" s="123"/>
      <c r="AC1432" s="123"/>
    </row>
    <row r="1433" spans="1:29" s="11" customFormat="1" hidden="1" x14ac:dyDescent="0.3">
      <c r="A1433" s="18" t="s">
        <v>2735</v>
      </c>
      <c r="B1433" s="18" t="s">
        <v>391</v>
      </c>
      <c r="C1433" s="18" t="s">
        <v>544</v>
      </c>
      <c r="D1433" s="14" t="s">
        <v>545</v>
      </c>
      <c r="E1433" s="18" t="s">
        <v>10</v>
      </c>
      <c r="F1433" s="14" t="s">
        <v>560</v>
      </c>
      <c r="G1433" s="14" t="s">
        <v>518</v>
      </c>
      <c r="H1433" s="18" t="s">
        <v>2</v>
      </c>
      <c r="I1433" s="14" t="s">
        <v>126</v>
      </c>
      <c r="J1433" s="14">
        <v>5</v>
      </c>
      <c r="K1433" s="18" t="s">
        <v>622</v>
      </c>
      <c r="L1433" s="18"/>
      <c r="M1433" s="14">
        <v>1</v>
      </c>
      <c r="N1433" s="15">
        <f>245000/1.18</f>
        <v>207627.11864406781</v>
      </c>
      <c r="O1433" s="15">
        <f t="shared" si="53"/>
        <v>207627.11864406781</v>
      </c>
      <c r="P1433" s="15"/>
      <c r="Q1433" s="14" t="s">
        <v>520</v>
      </c>
      <c r="R1433" s="25">
        <v>45640</v>
      </c>
      <c r="S1433" s="34" t="str">
        <f>TEXT(Table1[[#This Row],[End Date]],"MMMM")</f>
        <v>December</v>
      </c>
      <c r="T1433" s="34" t="str">
        <f>TEXT(Table1[[#This Row],[End Date]],"YYYY")</f>
        <v>2024</v>
      </c>
      <c r="U1433" s="24">
        <f t="shared" ca="1" si="52"/>
        <v>-507</v>
      </c>
      <c r="V1433" s="14" t="str" cm="1">
        <f t="array" aca="1" ref="V1433" ca="1">_xlfn.IFS(Table1[[#This Row],[Agreement Days]]&gt;=0,"Expired",Table1[[#This Row],[Agreement Days]]&gt;=-30,"Expires &lt; 30 Days",Table1[[#This Row],[Agreement Days]]&gt;=-60,"Expires &lt; 60 Days",Table1[[#This Row],[Agreement Days]]&lt;-60,"Valid Contract")</f>
        <v>Valid Contract</v>
      </c>
      <c r="W1433" s="18" t="s">
        <v>18</v>
      </c>
      <c r="X1433" s="18" t="s">
        <v>623</v>
      </c>
      <c r="Y1433" s="35" t="s">
        <v>624</v>
      </c>
      <c r="Z1433" s="27" t="s">
        <v>625</v>
      </c>
      <c r="AA1433" s="36"/>
      <c r="AB1433" s="123"/>
      <c r="AC1433" s="123"/>
    </row>
    <row r="1434" spans="1:29" s="11" customFormat="1" hidden="1" x14ac:dyDescent="0.3">
      <c r="A1434" s="18" t="s">
        <v>2735</v>
      </c>
      <c r="B1434" s="18" t="s">
        <v>391</v>
      </c>
      <c r="C1434" s="18" t="s">
        <v>544</v>
      </c>
      <c r="D1434" s="14" t="s">
        <v>545</v>
      </c>
      <c r="E1434" s="18" t="s">
        <v>10</v>
      </c>
      <c r="F1434" s="14" t="s">
        <v>560</v>
      </c>
      <c r="G1434" s="14" t="s">
        <v>518</v>
      </c>
      <c r="H1434" s="18" t="s">
        <v>5</v>
      </c>
      <c r="I1434" s="14" t="s">
        <v>115</v>
      </c>
      <c r="J1434" s="18"/>
      <c r="K1434" s="18" t="s">
        <v>1249</v>
      </c>
      <c r="L1434" s="18"/>
      <c r="M1434" s="14">
        <v>1</v>
      </c>
      <c r="N1434" s="15">
        <f>85000/1.18</f>
        <v>72033.898305084746</v>
      </c>
      <c r="O1434" s="15">
        <f t="shared" si="53"/>
        <v>72033.898305084746</v>
      </c>
      <c r="P1434" s="15"/>
      <c r="Q1434" s="14" t="s">
        <v>520</v>
      </c>
      <c r="R1434" s="25">
        <v>45640</v>
      </c>
      <c r="S1434" s="34" t="str">
        <f>TEXT(Table1[[#This Row],[End Date]],"MMMM")</f>
        <v>December</v>
      </c>
      <c r="T1434" s="34" t="str">
        <f>TEXT(Table1[[#This Row],[End Date]],"YYYY")</f>
        <v>2024</v>
      </c>
      <c r="U1434" s="24">
        <f t="shared" ca="1" si="52"/>
        <v>-507</v>
      </c>
      <c r="V1434" s="14" t="str" cm="1">
        <f t="array" aca="1" ref="V1434" ca="1">_xlfn.IFS(Table1[[#This Row],[Agreement Days]]&gt;=0,"Expired",Table1[[#This Row],[Agreement Days]]&gt;=-30,"Expires &lt; 30 Days",Table1[[#This Row],[Agreement Days]]&gt;=-60,"Expires &lt; 60 Days",Table1[[#This Row],[Agreement Days]]&lt;-60,"Valid Contract")</f>
        <v>Valid Contract</v>
      </c>
      <c r="W1434" s="18" t="s">
        <v>18</v>
      </c>
      <c r="X1434" s="18" t="s">
        <v>623</v>
      </c>
      <c r="Y1434" s="35" t="s">
        <v>624</v>
      </c>
      <c r="Z1434" s="27" t="s">
        <v>625</v>
      </c>
      <c r="AA1434" s="36"/>
      <c r="AB1434" s="123"/>
      <c r="AC1434" s="123"/>
    </row>
    <row r="1435" spans="1:29" s="11" customFormat="1" hidden="1" x14ac:dyDescent="0.3">
      <c r="A1435" s="18" t="s">
        <v>2735</v>
      </c>
      <c r="B1435" s="18" t="s">
        <v>391</v>
      </c>
      <c r="C1435" s="18" t="s">
        <v>544</v>
      </c>
      <c r="D1435" s="14" t="s">
        <v>545</v>
      </c>
      <c r="E1435" s="18" t="s">
        <v>10</v>
      </c>
      <c r="F1435" s="14" t="s">
        <v>560</v>
      </c>
      <c r="G1435" s="14" t="s">
        <v>518</v>
      </c>
      <c r="H1435" s="18" t="s">
        <v>5</v>
      </c>
      <c r="I1435" s="14" t="s">
        <v>115</v>
      </c>
      <c r="J1435" s="18"/>
      <c r="K1435" s="18" t="s">
        <v>1618</v>
      </c>
      <c r="L1435" s="18"/>
      <c r="M1435" s="14">
        <v>1</v>
      </c>
      <c r="N1435" s="15">
        <v>20338.98</v>
      </c>
      <c r="O1435" s="15">
        <f t="shared" si="53"/>
        <v>20338.98</v>
      </c>
      <c r="P1435" s="15"/>
      <c r="Q1435" s="14" t="s">
        <v>520</v>
      </c>
      <c r="R1435" s="25">
        <v>45640</v>
      </c>
      <c r="S1435" s="34" t="str">
        <f>TEXT(Table1[[#This Row],[End Date]],"MMMM")</f>
        <v>December</v>
      </c>
      <c r="T1435" s="34" t="str">
        <f>TEXT(Table1[[#This Row],[End Date]],"YYYY")</f>
        <v>2024</v>
      </c>
      <c r="U1435" s="24">
        <f t="shared" ca="1" si="52"/>
        <v>-507</v>
      </c>
      <c r="V1435" s="14" t="str" cm="1">
        <f t="array" aca="1" ref="V1435" ca="1">_xlfn.IFS(Table1[[#This Row],[Agreement Days]]&gt;=0,"Expired",Table1[[#This Row],[Agreement Days]]&gt;=-30,"Expires &lt; 30 Days",Table1[[#This Row],[Agreement Days]]&gt;=-60,"Expires &lt; 60 Days",Table1[[#This Row],[Agreement Days]]&lt;-60,"Valid Contract")</f>
        <v>Valid Contract</v>
      </c>
      <c r="W1435" s="18" t="s">
        <v>18</v>
      </c>
      <c r="X1435" s="18" t="s">
        <v>623</v>
      </c>
      <c r="Y1435" s="35" t="s">
        <v>624</v>
      </c>
      <c r="Z1435" s="27" t="s">
        <v>625</v>
      </c>
      <c r="AA1435" s="36"/>
      <c r="AB1435" s="123"/>
      <c r="AC1435" s="123"/>
    </row>
    <row r="1436" spans="1:29" s="11" customFormat="1" hidden="1" x14ac:dyDescent="0.3">
      <c r="A1436" s="18" t="s">
        <v>2736</v>
      </c>
      <c r="B1436" s="18" t="s">
        <v>435</v>
      </c>
      <c r="C1436" s="18" t="s">
        <v>544</v>
      </c>
      <c r="D1436" s="18" t="s">
        <v>540</v>
      </c>
      <c r="E1436" s="18" t="s">
        <v>9</v>
      </c>
      <c r="F1436" s="20" t="s">
        <v>822</v>
      </c>
      <c r="G1436" s="20" t="s">
        <v>518</v>
      </c>
      <c r="H1436" s="18" t="s">
        <v>5</v>
      </c>
      <c r="I1436" s="20" t="s">
        <v>115</v>
      </c>
      <c r="J1436" s="20"/>
      <c r="K1436" s="18" t="s">
        <v>642</v>
      </c>
      <c r="L1436" s="18"/>
      <c r="M1436" s="20">
        <v>1</v>
      </c>
      <c r="N1436" s="15">
        <v>101695</v>
      </c>
      <c r="O1436" s="15">
        <f t="shared" si="53"/>
        <v>101695</v>
      </c>
      <c r="P1436" s="15"/>
      <c r="Q1436" s="14" t="s">
        <v>520</v>
      </c>
      <c r="R1436" s="25">
        <v>45656</v>
      </c>
      <c r="S1436" s="22" t="str">
        <f>TEXT(Table1[[#This Row],[End Date]],"MMMM")</f>
        <v>December</v>
      </c>
      <c r="T1436" s="22" t="str">
        <f>TEXT(Table1[[#This Row],[End Date]],"YYYY")</f>
        <v>2024</v>
      </c>
      <c r="U1436" s="24">
        <f t="shared" ca="1" si="52"/>
        <v>-523</v>
      </c>
      <c r="V1436" s="14" t="str" cm="1">
        <f t="array" aca="1" ref="V1436" ca="1">_xlfn.IFS(Table1[[#This Row],[Agreement Days]]&gt;=0,"Expired",Table1[[#This Row],[Agreement Days]]&gt;=-30,"Expires &lt; 30 Days",Table1[[#This Row],[Agreement Days]]&gt;=-60,"Expires &lt; 60 Days",Table1[[#This Row],[Agreement Days]]&lt;-60,"Valid Contract")</f>
        <v>Valid Contract</v>
      </c>
      <c r="W1436" s="18" t="s">
        <v>15</v>
      </c>
      <c r="X1436" s="18" t="s">
        <v>2737</v>
      </c>
      <c r="Y1436" s="42" t="s">
        <v>2738</v>
      </c>
      <c r="Z1436" s="27" t="s">
        <v>2739</v>
      </c>
      <c r="AA1436" s="20"/>
      <c r="AB1436" s="123"/>
      <c r="AC1436" s="123"/>
    </row>
    <row r="1437" spans="1:29" s="11" customFormat="1" hidden="1" x14ac:dyDescent="0.3">
      <c r="A1437" s="18" t="s">
        <v>2740</v>
      </c>
      <c r="B1437" s="18" t="s">
        <v>408</v>
      </c>
      <c r="C1437" s="18" t="s">
        <v>544</v>
      </c>
      <c r="D1437" s="14" t="s">
        <v>545</v>
      </c>
      <c r="E1437" s="18" t="s">
        <v>10</v>
      </c>
      <c r="F1437" s="14" t="s">
        <v>693</v>
      </c>
      <c r="G1437" s="20" t="s">
        <v>518</v>
      </c>
      <c r="H1437" s="18" t="s">
        <v>5</v>
      </c>
      <c r="I1437" s="14" t="s">
        <v>115</v>
      </c>
      <c r="J1437" s="14"/>
      <c r="K1437" s="20" t="s">
        <v>651</v>
      </c>
      <c r="L1437" s="14"/>
      <c r="M1437" s="14">
        <v>1</v>
      </c>
      <c r="N1437" s="15">
        <v>81355.932203000004</v>
      </c>
      <c r="O1437" s="15">
        <f t="shared" si="53"/>
        <v>81355.932203000004</v>
      </c>
      <c r="P1437" s="15"/>
      <c r="Q1437" s="14" t="s">
        <v>520</v>
      </c>
      <c r="R1437" s="25">
        <v>45656</v>
      </c>
      <c r="S1437" s="22" t="str">
        <f>TEXT(Table1[[#This Row],[End Date]],"MMMM")</f>
        <v>December</v>
      </c>
      <c r="T1437" s="34" t="str">
        <f>TEXT(Table1[[#This Row],[End Date]],"YYYY")</f>
        <v>2024</v>
      </c>
      <c r="U1437" s="24">
        <f t="shared" ca="1" si="52"/>
        <v>-523</v>
      </c>
      <c r="V1437" s="14" t="str" cm="1">
        <f t="array" aca="1" ref="V1437" ca="1">_xlfn.IFS(Table1[[#This Row],[Agreement Days]]&gt;=0,"Expired",Table1[[#This Row],[Agreement Days]]&gt;=-30,"Expires &lt; 30 Days",Table1[[#This Row],[Agreement Days]]&gt;=-60,"Expires &lt; 60 Days",Table1[[#This Row],[Agreement Days]]&lt;-60,"Valid Contract")</f>
        <v>Valid Contract</v>
      </c>
      <c r="W1437" s="14" t="s">
        <v>16</v>
      </c>
      <c r="X1437" s="18" t="s">
        <v>2741</v>
      </c>
      <c r="Y1437" s="33" t="s">
        <v>2742</v>
      </c>
      <c r="Z1437" s="27" t="s">
        <v>2743</v>
      </c>
      <c r="AA1437" s="17"/>
      <c r="AB1437" s="123"/>
      <c r="AC1437" s="123"/>
    </row>
    <row r="1438" spans="1:29" s="11" customFormat="1" hidden="1" x14ac:dyDescent="0.3">
      <c r="A1438" s="18" t="s">
        <v>2740</v>
      </c>
      <c r="B1438" s="18" t="s">
        <v>408</v>
      </c>
      <c r="C1438" s="18" t="s">
        <v>544</v>
      </c>
      <c r="D1438" s="20" t="s">
        <v>545</v>
      </c>
      <c r="E1438" s="18" t="s">
        <v>10</v>
      </c>
      <c r="F1438" s="20" t="s">
        <v>693</v>
      </c>
      <c r="G1438" s="20" t="s">
        <v>518</v>
      </c>
      <c r="H1438" s="18" t="s">
        <v>5</v>
      </c>
      <c r="I1438" s="20" t="s">
        <v>115</v>
      </c>
      <c r="J1438" s="18"/>
      <c r="K1438" s="26" t="s">
        <v>1245</v>
      </c>
      <c r="L1438" s="18"/>
      <c r="M1438" s="20">
        <v>3</v>
      </c>
      <c r="N1438" s="15">
        <v>45338.983051000003</v>
      </c>
      <c r="O1438" s="15">
        <f t="shared" si="53"/>
        <v>136016.94915300002</v>
      </c>
      <c r="P1438" s="15"/>
      <c r="Q1438" s="14" t="s">
        <v>520</v>
      </c>
      <c r="R1438" s="25">
        <v>45656</v>
      </c>
      <c r="S1438" s="34" t="str">
        <f>TEXT(Table1[[#This Row],[End Date]],"MMMM")</f>
        <v>December</v>
      </c>
      <c r="T1438" s="34" t="str">
        <f>TEXT(Table1[[#This Row],[End Date]],"YYYY")</f>
        <v>2024</v>
      </c>
      <c r="U1438" s="24">
        <f t="shared" ca="1" si="52"/>
        <v>-523</v>
      </c>
      <c r="V1438" s="14" t="str" cm="1">
        <f t="array" aca="1" ref="V1438" ca="1">_xlfn.IFS(Table1[[#This Row],[Agreement Days]]&gt;=0,"Expired",Table1[[#This Row],[Agreement Days]]&gt;=-30,"Expires &lt; 30 Days",Table1[[#This Row],[Agreement Days]]&gt;=-60,"Expires &lt; 60 Days",Table1[[#This Row],[Agreement Days]]&lt;-60,"Valid Contract")</f>
        <v>Valid Contract</v>
      </c>
      <c r="W1438" s="18" t="s">
        <v>16</v>
      </c>
      <c r="X1438" s="18" t="s">
        <v>2744</v>
      </c>
      <c r="Y1438" s="18" t="s">
        <v>2745</v>
      </c>
      <c r="Z1438" s="27" t="s">
        <v>2746</v>
      </c>
      <c r="AA1438" s="27"/>
      <c r="AB1438" s="123"/>
      <c r="AC1438" s="123"/>
    </row>
    <row r="1439" spans="1:29" s="11" customFormat="1" hidden="1" x14ac:dyDescent="0.3">
      <c r="A1439" s="18" t="s">
        <v>2747</v>
      </c>
      <c r="B1439" s="18" t="s">
        <v>147</v>
      </c>
      <c r="C1439" s="18" t="s">
        <v>2748</v>
      </c>
      <c r="D1439" s="14" t="s">
        <v>532</v>
      </c>
      <c r="E1439" s="18" t="s">
        <v>9</v>
      </c>
      <c r="F1439" s="14" t="s">
        <v>517</v>
      </c>
      <c r="G1439" s="14" t="s">
        <v>518</v>
      </c>
      <c r="H1439" s="18" t="s">
        <v>5</v>
      </c>
      <c r="I1439" s="14" t="s">
        <v>117</v>
      </c>
      <c r="J1439" s="14">
        <v>3</v>
      </c>
      <c r="K1439" s="14" t="s">
        <v>580</v>
      </c>
      <c r="L1439" s="14"/>
      <c r="M1439" s="14">
        <v>1</v>
      </c>
      <c r="N1439" s="15">
        <v>180000</v>
      </c>
      <c r="O1439" s="15">
        <f t="shared" si="53"/>
        <v>180000</v>
      </c>
      <c r="P1439" s="15"/>
      <c r="Q1439" s="14" t="s">
        <v>520</v>
      </c>
      <c r="R1439" s="25">
        <v>45657</v>
      </c>
      <c r="S1439" s="22" t="str">
        <f>TEXT(Table1[[#This Row],[End Date]],"MMMM")</f>
        <v>December</v>
      </c>
      <c r="T1439" s="23" t="str">
        <f>TEXT(Table1[[#This Row],[End Date]],"YYYY")</f>
        <v>2024</v>
      </c>
      <c r="U1439" s="24">
        <f t="shared" ca="1" si="52"/>
        <v>-524</v>
      </c>
      <c r="V1439" s="14" t="str" cm="1">
        <f t="array" aca="1" ref="V1439" ca="1">_xlfn.IFS(Table1[[#This Row],[Agreement Days]]&gt;=0,"Expired",Table1[[#This Row],[Agreement Days]]&gt;=-30,"Expires &lt; 30 Days",Table1[[#This Row],[Agreement Days]]&gt;=-60,"Expires &lt; 60 Days",Table1[[#This Row],[Agreement Days]]&lt;-60,"Valid Contract")</f>
        <v>Valid Contract</v>
      </c>
      <c r="W1439" s="14" t="s">
        <v>19</v>
      </c>
      <c r="X1439" s="14" t="s">
        <v>2749</v>
      </c>
      <c r="Y1439" s="14" t="s">
        <v>2750</v>
      </c>
      <c r="Z1439" s="27">
        <v>788447830</v>
      </c>
      <c r="AA1439" s="14"/>
      <c r="AB1439" s="123"/>
      <c r="AC1439" s="123"/>
    </row>
    <row r="1440" spans="1:29" s="11" customFormat="1" hidden="1" x14ac:dyDescent="0.3">
      <c r="A1440" s="18" t="s">
        <v>2747</v>
      </c>
      <c r="B1440" s="18" t="s">
        <v>147</v>
      </c>
      <c r="C1440" s="18" t="s">
        <v>147</v>
      </c>
      <c r="D1440" s="14" t="s">
        <v>532</v>
      </c>
      <c r="E1440" s="18" t="s">
        <v>9</v>
      </c>
      <c r="F1440" s="14" t="s">
        <v>517</v>
      </c>
      <c r="G1440" s="14" t="s">
        <v>518</v>
      </c>
      <c r="H1440" s="18" t="s">
        <v>5</v>
      </c>
      <c r="I1440" s="14" t="s">
        <v>117</v>
      </c>
      <c r="J1440" s="14">
        <v>10</v>
      </c>
      <c r="K1440" s="14" t="s">
        <v>1160</v>
      </c>
      <c r="L1440" s="14"/>
      <c r="M1440" s="14">
        <v>1</v>
      </c>
      <c r="N1440" s="15">
        <v>510000</v>
      </c>
      <c r="O1440" s="15">
        <f t="shared" si="53"/>
        <v>510000</v>
      </c>
      <c r="P1440" s="15"/>
      <c r="Q1440" s="14" t="s">
        <v>520</v>
      </c>
      <c r="R1440" s="25">
        <v>45657</v>
      </c>
      <c r="S1440" s="22" t="str">
        <f>TEXT(Table1[[#This Row],[End Date]],"MMMM")</f>
        <v>December</v>
      </c>
      <c r="T1440" s="23" t="str">
        <f>TEXT(Table1[[#This Row],[End Date]],"YYYY")</f>
        <v>2024</v>
      </c>
      <c r="U1440" s="24">
        <f t="shared" ca="1" si="52"/>
        <v>-524</v>
      </c>
      <c r="V1440" s="14" t="str" cm="1">
        <f t="array" aca="1" ref="V1440" ca="1">_xlfn.IFS(Table1[[#This Row],[Agreement Days]]&gt;=0,"Expired",Table1[[#This Row],[Agreement Days]]&gt;=-30,"Expires &lt; 30 Days",Table1[[#This Row],[Agreement Days]]&gt;=-60,"Expires &lt; 60 Days",Table1[[#This Row],[Agreement Days]]&lt;-60,"Valid Contract")</f>
        <v>Valid Contract</v>
      </c>
      <c r="W1440" s="14" t="s">
        <v>19</v>
      </c>
      <c r="X1440" s="14" t="s">
        <v>2749</v>
      </c>
      <c r="Y1440" s="14" t="s">
        <v>2750</v>
      </c>
      <c r="Z1440" s="27">
        <v>788447830</v>
      </c>
      <c r="AA1440" s="17"/>
      <c r="AB1440" s="123"/>
      <c r="AC1440" s="123"/>
    </row>
    <row r="1441" spans="1:29" s="11" customFormat="1" hidden="1" x14ac:dyDescent="0.3">
      <c r="A1441" s="18" t="s">
        <v>2747</v>
      </c>
      <c r="B1441" s="18" t="s">
        <v>147</v>
      </c>
      <c r="C1441" s="18" t="s">
        <v>147</v>
      </c>
      <c r="D1441" s="14" t="s">
        <v>532</v>
      </c>
      <c r="E1441" s="18" t="s">
        <v>9</v>
      </c>
      <c r="F1441" s="14" t="s">
        <v>517</v>
      </c>
      <c r="G1441" s="14" t="s">
        <v>518</v>
      </c>
      <c r="H1441" s="18" t="s">
        <v>5</v>
      </c>
      <c r="I1441" s="14" t="s">
        <v>120</v>
      </c>
      <c r="J1441" s="14"/>
      <c r="K1441" s="14" t="s">
        <v>659</v>
      </c>
      <c r="L1441" s="14"/>
      <c r="M1441" s="14">
        <v>1</v>
      </c>
      <c r="N1441" s="15">
        <v>258044.9152542373</v>
      </c>
      <c r="O1441" s="15">
        <f t="shared" si="53"/>
        <v>258044.9152542373</v>
      </c>
      <c r="P1441" s="15"/>
      <c r="Q1441" s="14" t="s">
        <v>520</v>
      </c>
      <c r="R1441" s="25">
        <v>45657</v>
      </c>
      <c r="S1441" s="22" t="str">
        <f>TEXT(Table1[[#This Row],[End Date]],"MMMM")</f>
        <v>December</v>
      </c>
      <c r="T1441" s="23" t="str">
        <f>TEXT(Table1[[#This Row],[End Date]],"YYYY")</f>
        <v>2024</v>
      </c>
      <c r="U1441" s="24">
        <f t="shared" ca="1" si="52"/>
        <v>-524</v>
      </c>
      <c r="V1441" s="14" t="str" cm="1">
        <f t="array" aca="1" ref="V1441" ca="1">_xlfn.IFS(Table1[[#This Row],[Agreement Days]]&gt;=0,"Expired",Table1[[#This Row],[Agreement Days]]&gt;=-30,"Expires &lt; 30 Days",Table1[[#This Row],[Agreement Days]]&gt;=-60,"Expires &lt; 60 Days",Table1[[#This Row],[Agreement Days]]&lt;-60,"Valid Contract")</f>
        <v>Valid Contract</v>
      </c>
      <c r="W1441" s="14" t="s">
        <v>19</v>
      </c>
      <c r="X1441" s="14" t="s">
        <v>2749</v>
      </c>
      <c r="Y1441" s="14" t="s">
        <v>2750</v>
      </c>
      <c r="Z1441" s="27">
        <v>788447830</v>
      </c>
      <c r="AA1441" s="17"/>
      <c r="AB1441" s="123"/>
      <c r="AC1441" s="123"/>
    </row>
    <row r="1442" spans="1:29" s="11" customFormat="1" hidden="1" x14ac:dyDescent="0.3">
      <c r="A1442" s="18" t="s">
        <v>2747</v>
      </c>
      <c r="B1442" s="18" t="s">
        <v>147</v>
      </c>
      <c r="C1442" s="18" t="s">
        <v>147</v>
      </c>
      <c r="D1442" s="14" t="s">
        <v>532</v>
      </c>
      <c r="E1442" s="18" t="s">
        <v>9</v>
      </c>
      <c r="F1442" s="14" t="s">
        <v>517</v>
      </c>
      <c r="G1442" s="14" t="s">
        <v>518</v>
      </c>
      <c r="H1442" s="18" t="s">
        <v>5</v>
      </c>
      <c r="I1442" s="14" t="s">
        <v>118</v>
      </c>
      <c r="J1442" s="14"/>
      <c r="K1442" s="14" t="s">
        <v>2751</v>
      </c>
      <c r="L1442" s="14"/>
      <c r="M1442" s="14">
        <v>1</v>
      </c>
      <c r="N1442" s="15">
        <v>990495</v>
      </c>
      <c r="O1442" s="15">
        <f t="shared" si="53"/>
        <v>990495</v>
      </c>
      <c r="P1442" s="15"/>
      <c r="Q1442" s="14" t="s">
        <v>520</v>
      </c>
      <c r="R1442" s="25">
        <v>45657</v>
      </c>
      <c r="S1442" s="22" t="str">
        <f>TEXT(Table1[[#This Row],[End Date]],"MMMM")</f>
        <v>December</v>
      </c>
      <c r="T1442" s="23" t="str">
        <f>TEXT(Table1[[#This Row],[End Date]],"YYYY")</f>
        <v>2024</v>
      </c>
      <c r="U1442" s="24">
        <f t="shared" ca="1" si="52"/>
        <v>-524</v>
      </c>
      <c r="V1442" s="14" t="str" cm="1">
        <f t="array" aca="1" ref="V1442" ca="1">_xlfn.IFS(Table1[[#This Row],[Agreement Days]]&gt;=0,"Expired",Table1[[#This Row],[Agreement Days]]&gt;=-30,"Expires &lt; 30 Days",Table1[[#This Row],[Agreement Days]]&gt;=-60,"Expires &lt; 60 Days",Table1[[#This Row],[Agreement Days]]&lt;-60,"Valid Contract")</f>
        <v>Valid Contract</v>
      </c>
      <c r="W1442" s="14" t="s">
        <v>19</v>
      </c>
      <c r="X1442" s="14" t="s">
        <v>2749</v>
      </c>
      <c r="Y1442" s="14" t="s">
        <v>2750</v>
      </c>
      <c r="Z1442" s="27">
        <v>788447830</v>
      </c>
      <c r="AA1442" s="17"/>
      <c r="AB1442" s="123"/>
      <c r="AC1442" s="123"/>
    </row>
    <row r="1443" spans="1:29" s="11" customFormat="1" hidden="1" x14ac:dyDescent="0.3">
      <c r="A1443" s="18" t="s">
        <v>2747</v>
      </c>
      <c r="B1443" s="18" t="s">
        <v>147</v>
      </c>
      <c r="C1443" s="18" t="s">
        <v>147</v>
      </c>
      <c r="D1443" s="14" t="s">
        <v>532</v>
      </c>
      <c r="E1443" s="18" t="s">
        <v>9</v>
      </c>
      <c r="F1443" s="14" t="s">
        <v>517</v>
      </c>
      <c r="G1443" s="14" t="s">
        <v>518</v>
      </c>
      <c r="H1443" s="18" t="s">
        <v>5</v>
      </c>
      <c r="I1443" s="14" t="s">
        <v>115</v>
      </c>
      <c r="J1443" s="14"/>
      <c r="K1443" s="18" t="s">
        <v>657</v>
      </c>
      <c r="L1443" s="14"/>
      <c r="M1443" s="14">
        <v>1</v>
      </c>
      <c r="N1443" s="15">
        <v>45338.98</v>
      </c>
      <c r="O1443" s="15">
        <f t="shared" si="53"/>
        <v>45338.98</v>
      </c>
      <c r="P1443" s="15"/>
      <c r="Q1443" s="14" t="s">
        <v>520</v>
      </c>
      <c r="R1443" s="25">
        <v>45657</v>
      </c>
      <c r="S1443" s="22" t="str">
        <f>TEXT(Table1[[#This Row],[End Date]],"MMMM")</f>
        <v>December</v>
      </c>
      <c r="T1443" s="23" t="str">
        <f>TEXT(Table1[[#This Row],[End Date]],"YYYY")</f>
        <v>2024</v>
      </c>
      <c r="U1443" s="24">
        <f t="shared" ca="1" si="52"/>
        <v>-524</v>
      </c>
      <c r="V1443" s="14" t="str" cm="1">
        <f t="array" aca="1" ref="V1443" ca="1">_xlfn.IFS(Table1[[#This Row],[Agreement Days]]&gt;=0,"Expired",Table1[[#This Row],[Agreement Days]]&gt;=-30,"Expires &lt; 30 Days",Table1[[#This Row],[Agreement Days]]&gt;=-60,"Expires &lt; 60 Days",Table1[[#This Row],[Agreement Days]]&lt;-60,"Valid Contract")</f>
        <v>Valid Contract</v>
      </c>
      <c r="W1443" s="14" t="s">
        <v>19</v>
      </c>
      <c r="X1443" s="14" t="s">
        <v>2749</v>
      </c>
      <c r="Y1443" s="14" t="s">
        <v>2750</v>
      </c>
      <c r="Z1443" s="27">
        <v>788447830</v>
      </c>
      <c r="AA1443" s="17"/>
      <c r="AB1443" s="123"/>
      <c r="AC1443" s="123"/>
    </row>
    <row r="1444" spans="1:29" s="11" customFormat="1" hidden="1" x14ac:dyDescent="0.3">
      <c r="A1444" s="18" t="s">
        <v>2747</v>
      </c>
      <c r="B1444" s="18" t="s">
        <v>147</v>
      </c>
      <c r="C1444" s="18" t="s">
        <v>147</v>
      </c>
      <c r="D1444" s="14" t="s">
        <v>532</v>
      </c>
      <c r="E1444" s="18" t="s">
        <v>9</v>
      </c>
      <c r="F1444" s="14" t="s">
        <v>517</v>
      </c>
      <c r="G1444" s="14" t="s">
        <v>518</v>
      </c>
      <c r="H1444" s="18" t="s">
        <v>5</v>
      </c>
      <c r="I1444" s="14" t="s">
        <v>115</v>
      </c>
      <c r="J1444" s="20"/>
      <c r="K1444" s="20" t="s">
        <v>2752</v>
      </c>
      <c r="L1444" s="14"/>
      <c r="M1444" s="14">
        <v>1</v>
      </c>
      <c r="N1444" s="15">
        <v>12711.8</v>
      </c>
      <c r="O1444" s="15">
        <f t="shared" si="53"/>
        <v>12711.8</v>
      </c>
      <c r="P1444" s="15"/>
      <c r="Q1444" s="14" t="s">
        <v>520</v>
      </c>
      <c r="R1444" s="25">
        <v>45657</v>
      </c>
      <c r="S1444" s="22" t="str">
        <f>TEXT(Table1[[#This Row],[End Date]],"MMMM")</f>
        <v>December</v>
      </c>
      <c r="T1444" s="23" t="str">
        <f>TEXT(Table1[[#This Row],[End Date]],"YYYY")</f>
        <v>2024</v>
      </c>
      <c r="U1444" s="24">
        <f t="shared" ca="1" si="52"/>
        <v>-524</v>
      </c>
      <c r="V1444" s="14" t="str" cm="1">
        <f t="array" aca="1" ref="V1444" ca="1">_xlfn.IFS(Table1[[#This Row],[Agreement Days]]&gt;=0,"Expired",Table1[[#This Row],[Agreement Days]]&gt;=-30,"Expires &lt; 30 Days",Table1[[#This Row],[Agreement Days]]&gt;=-60,"Expires &lt; 60 Days",Table1[[#This Row],[Agreement Days]]&lt;-60,"Valid Contract")</f>
        <v>Valid Contract</v>
      </c>
      <c r="W1444" s="14" t="s">
        <v>19</v>
      </c>
      <c r="X1444" s="14" t="s">
        <v>2749</v>
      </c>
      <c r="Y1444" s="14" t="s">
        <v>2750</v>
      </c>
      <c r="Z1444" s="27">
        <v>788447830</v>
      </c>
      <c r="AA1444" s="17"/>
      <c r="AB1444" s="123"/>
      <c r="AC1444" s="123"/>
    </row>
    <row r="1445" spans="1:29" s="11" customFormat="1" hidden="1" x14ac:dyDescent="0.3">
      <c r="A1445" s="18" t="s">
        <v>2747</v>
      </c>
      <c r="B1445" s="18" t="s">
        <v>147</v>
      </c>
      <c r="C1445" s="18" t="s">
        <v>147</v>
      </c>
      <c r="D1445" s="14" t="s">
        <v>532</v>
      </c>
      <c r="E1445" s="18" t="s">
        <v>9</v>
      </c>
      <c r="F1445" s="14" t="s">
        <v>517</v>
      </c>
      <c r="G1445" s="14" t="s">
        <v>518</v>
      </c>
      <c r="H1445" s="18" t="s">
        <v>5</v>
      </c>
      <c r="I1445" s="14" t="s">
        <v>115</v>
      </c>
      <c r="J1445" s="14"/>
      <c r="K1445" s="18" t="s">
        <v>573</v>
      </c>
      <c r="L1445" s="14"/>
      <c r="M1445" s="14">
        <v>30</v>
      </c>
      <c r="N1445" s="15">
        <v>19491.53</v>
      </c>
      <c r="O1445" s="15">
        <f t="shared" si="53"/>
        <v>584745.89999999991</v>
      </c>
      <c r="P1445" s="15"/>
      <c r="Q1445" s="14" t="s">
        <v>520</v>
      </c>
      <c r="R1445" s="25">
        <v>45657</v>
      </c>
      <c r="S1445" s="22" t="str">
        <f>TEXT(Table1[[#This Row],[End Date]],"MMMM")</f>
        <v>December</v>
      </c>
      <c r="T1445" s="23" t="str">
        <f>TEXT(Table1[[#This Row],[End Date]],"YYYY")</f>
        <v>2024</v>
      </c>
      <c r="U1445" s="24">
        <f t="shared" ca="1" si="52"/>
        <v>-524</v>
      </c>
      <c r="V1445" s="14" t="str" cm="1">
        <f t="array" aca="1" ref="V1445" ca="1">_xlfn.IFS(Table1[[#This Row],[Agreement Days]]&gt;=0,"Expired",Table1[[#This Row],[Agreement Days]]&gt;=-30,"Expires &lt; 30 Days",Table1[[#This Row],[Agreement Days]]&gt;=-60,"Expires &lt; 60 Days",Table1[[#This Row],[Agreement Days]]&lt;-60,"Valid Contract")</f>
        <v>Valid Contract</v>
      </c>
      <c r="W1445" s="14" t="s">
        <v>19</v>
      </c>
      <c r="X1445" s="14" t="s">
        <v>2749</v>
      </c>
      <c r="Y1445" s="14" t="s">
        <v>2750</v>
      </c>
      <c r="Z1445" s="27">
        <v>788447830</v>
      </c>
      <c r="AA1445" s="17"/>
      <c r="AB1445" s="123"/>
      <c r="AC1445" s="123"/>
    </row>
    <row r="1446" spans="1:29" s="11" customFormat="1" hidden="1" x14ac:dyDescent="0.3">
      <c r="A1446" s="18" t="s">
        <v>2747</v>
      </c>
      <c r="B1446" s="18" t="s">
        <v>147</v>
      </c>
      <c r="C1446" s="18" t="s">
        <v>147</v>
      </c>
      <c r="D1446" s="14" t="s">
        <v>532</v>
      </c>
      <c r="E1446" s="18" t="s">
        <v>9</v>
      </c>
      <c r="F1446" s="14" t="s">
        <v>517</v>
      </c>
      <c r="G1446" s="14" t="s">
        <v>518</v>
      </c>
      <c r="H1446" s="18" t="s">
        <v>5</v>
      </c>
      <c r="I1446" s="14" t="s">
        <v>115</v>
      </c>
      <c r="J1446" s="14"/>
      <c r="K1446" s="18" t="s">
        <v>651</v>
      </c>
      <c r="L1446" s="14"/>
      <c r="M1446" s="14">
        <v>50</v>
      </c>
      <c r="N1446" s="15">
        <f>96000/1.18</f>
        <v>81355.932203389835</v>
      </c>
      <c r="O1446" s="15">
        <f t="shared" si="53"/>
        <v>4067796.6101694917</v>
      </c>
      <c r="P1446" s="15"/>
      <c r="Q1446" s="14" t="s">
        <v>520</v>
      </c>
      <c r="R1446" s="25">
        <v>45657</v>
      </c>
      <c r="S1446" s="22" t="str">
        <f>TEXT(Table1[[#This Row],[End Date]],"MMMM")</f>
        <v>December</v>
      </c>
      <c r="T1446" s="23" t="str">
        <f>TEXT(Table1[[#This Row],[End Date]],"YYYY")</f>
        <v>2024</v>
      </c>
      <c r="U1446" s="24">
        <f t="shared" ca="1" si="52"/>
        <v>-524</v>
      </c>
      <c r="V1446" s="14" t="str" cm="1">
        <f t="array" aca="1" ref="V1446" ca="1">_xlfn.IFS(Table1[[#This Row],[Agreement Days]]&gt;=0,"Expired",Table1[[#This Row],[Agreement Days]]&gt;=-30,"Expires &lt; 30 Days",Table1[[#This Row],[Agreement Days]]&gt;=-60,"Expires &lt; 60 Days",Table1[[#This Row],[Agreement Days]]&lt;-60,"Valid Contract")</f>
        <v>Valid Contract</v>
      </c>
      <c r="W1446" s="14" t="s">
        <v>19</v>
      </c>
      <c r="X1446" s="14" t="s">
        <v>2749</v>
      </c>
      <c r="Y1446" s="14" t="s">
        <v>2750</v>
      </c>
      <c r="Z1446" s="27">
        <v>788447830</v>
      </c>
      <c r="AA1446" s="17"/>
      <c r="AB1446" s="123"/>
      <c r="AC1446" s="123"/>
    </row>
    <row r="1447" spans="1:29" s="11" customFormat="1" hidden="1" x14ac:dyDescent="0.3">
      <c r="A1447" s="18" t="s">
        <v>2747</v>
      </c>
      <c r="B1447" s="18" t="s">
        <v>147</v>
      </c>
      <c r="C1447" s="18" t="s">
        <v>147</v>
      </c>
      <c r="D1447" s="14" t="s">
        <v>532</v>
      </c>
      <c r="E1447" s="18" t="s">
        <v>9</v>
      </c>
      <c r="F1447" s="14" t="s">
        <v>517</v>
      </c>
      <c r="G1447" s="14" t="s">
        <v>518</v>
      </c>
      <c r="H1447" s="18" t="s">
        <v>5</v>
      </c>
      <c r="I1447" s="14" t="s">
        <v>115</v>
      </c>
      <c r="J1447" s="14"/>
      <c r="K1447" s="18" t="s">
        <v>643</v>
      </c>
      <c r="L1447" s="14"/>
      <c r="M1447" s="14">
        <v>82</v>
      </c>
      <c r="N1447" s="15">
        <v>28305.08</v>
      </c>
      <c r="O1447" s="15">
        <f t="shared" si="53"/>
        <v>2321016.56</v>
      </c>
      <c r="P1447" s="15"/>
      <c r="Q1447" s="14" t="s">
        <v>520</v>
      </c>
      <c r="R1447" s="25">
        <v>45657</v>
      </c>
      <c r="S1447" s="22" t="str">
        <f>TEXT(Table1[[#This Row],[End Date]],"MMMM")</f>
        <v>December</v>
      </c>
      <c r="T1447" s="23" t="str">
        <f>TEXT(Table1[[#This Row],[End Date]],"YYYY")</f>
        <v>2024</v>
      </c>
      <c r="U1447" s="24">
        <f t="shared" ca="1" si="52"/>
        <v>-524</v>
      </c>
      <c r="V1447" s="14" t="str" cm="1">
        <f t="array" aca="1" ref="V1447" ca="1">_xlfn.IFS(Table1[[#This Row],[Agreement Days]]&gt;=0,"Expired",Table1[[#This Row],[Agreement Days]]&gt;=-30,"Expires &lt; 30 Days",Table1[[#This Row],[Agreement Days]]&gt;=-60,"Expires &lt; 60 Days",Table1[[#This Row],[Agreement Days]]&lt;-60,"Valid Contract")</f>
        <v>Valid Contract</v>
      </c>
      <c r="W1447" s="14" t="s">
        <v>19</v>
      </c>
      <c r="X1447" s="14" t="s">
        <v>2749</v>
      </c>
      <c r="Y1447" s="14" t="s">
        <v>2750</v>
      </c>
      <c r="Z1447" s="27">
        <v>788447830</v>
      </c>
      <c r="AA1447" s="17"/>
      <c r="AB1447" s="123"/>
      <c r="AC1447" s="123"/>
    </row>
    <row r="1448" spans="1:29" s="11" customFormat="1" hidden="1" x14ac:dyDescent="0.3">
      <c r="A1448" s="18" t="s">
        <v>2753</v>
      </c>
      <c r="B1448" s="18" t="s">
        <v>244</v>
      </c>
      <c r="C1448" s="18" t="s">
        <v>544</v>
      </c>
      <c r="D1448" s="14" t="s">
        <v>545</v>
      </c>
      <c r="E1448" s="18" t="s">
        <v>10</v>
      </c>
      <c r="F1448" s="14" t="s">
        <v>560</v>
      </c>
      <c r="G1448" s="14" t="s">
        <v>518</v>
      </c>
      <c r="H1448" s="18" t="s">
        <v>5</v>
      </c>
      <c r="I1448" s="14" t="s">
        <v>134</v>
      </c>
      <c r="J1448" s="19">
        <v>30</v>
      </c>
      <c r="K1448" s="26" t="s">
        <v>1617</v>
      </c>
      <c r="L1448" s="26"/>
      <c r="M1448" s="19">
        <v>1</v>
      </c>
      <c r="N1448" s="15">
        <v>1964000</v>
      </c>
      <c r="O1448" s="15">
        <f t="shared" si="53"/>
        <v>1964000</v>
      </c>
      <c r="P1448" s="15"/>
      <c r="Q1448" s="14" t="s">
        <v>520</v>
      </c>
      <c r="R1448" s="25">
        <v>45657</v>
      </c>
      <c r="S1448" s="34" t="str">
        <f>TEXT(Table1[[#This Row],[End Date]],"MMMM")</f>
        <v>December</v>
      </c>
      <c r="T1448" s="34" t="str">
        <f>TEXT(Table1[[#This Row],[End Date]],"YYYY")</f>
        <v>2024</v>
      </c>
      <c r="U1448" s="24">
        <f t="shared" ca="1" si="52"/>
        <v>-524</v>
      </c>
      <c r="V1448" s="14" t="str" cm="1">
        <f t="array" aca="1" ref="V1448" ca="1">_xlfn.IFS(Table1[[#This Row],[Agreement Days]]&gt;=0,"Expired",Table1[[#This Row],[Agreement Days]]&gt;=-30,"Expires &lt; 30 Days",Table1[[#This Row],[Agreement Days]]&gt;=-60,"Expires &lt; 60 Days",Table1[[#This Row],[Agreement Days]]&lt;-60,"Valid Contract")</f>
        <v>Valid Contract</v>
      </c>
      <c r="W1448" s="26" t="s">
        <v>17</v>
      </c>
      <c r="X1448" s="26" t="s">
        <v>2754</v>
      </c>
      <c r="Y1448" s="18" t="s">
        <v>2755</v>
      </c>
      <c r="Z1448" s="27">
        <v>788532566</v>
      </c>
      <c r="AA1448" s="27"/>
      <c r="AB1448" s="123"/>
      <c r="AC1448" s="123"/>
    </row>
    <row r="1449" spans="1:29" s="11" customFormat="1" x14ac:dyDescent="0.3">
      <c r="A1449" s="18" t="s">
        <v>2756</v>
      </c>
      <c r="B1449" s="18" t="s">
        <v>259</v>
      </c>
      <c r="C1449" s="18" t="s">
        <v>1393</v>
      </c>
      <c r="D1449" s="14" t="s">
        <v>545</v>
      </c>
      <c r="E1449" s="18" t="s">
        <v>9</v>
      </c>
      <c r="F1449" s="14" t="s">
        <v>517</v>
      </c>
      <c r="G1449" s="14" t="s">
        <v>518</v>
      </c>
      <c r="H1449" s="18" t="s">
        <v>2</v>
      </c>
      <c r="I1449" s="14" t="s">
        <v>118</v>
      </c>
      <c r="J1449" s="14"/>
      <c r="K1449" s="14" t="s">
        <v>721</v>
      </c>
      <c r="L1449" s="14"/>
      <c r="M1449" s="14">
        <v>1</v>
      </c>
      <c r="N1449" s="15">
        <f>435804/1.18</f>
        <v>369325.42372881359</v>
      </c>
      <c r="O1449" s="15">
        <f t="shared" si="53"/>
        <v>369325.42372881359</v>
      </c>
      <c r="P1449" s="15"/>
      <c r="Q1449" s="14" t="s">
        <v>520</v>
      </c>
      <c r="R1449" s="25">
        <v>45657</v>
      </c>
      <c r="S1449" s="22" t="str">
        <f>TEXT(Table1[[#This Row],[End Date]],"MMMM")</f>
        <v>December</v>
      </c>
      <c r="T1449" s="23" t="str">
        <f>TEXT(Table1[[#This Row],[End Date]],"YYYY")</f>
        <v>2024</v>
      </c>
      <c r="U1449" s="24">
        <f t="shared" ca="1" si="52"/>
        <v>-524</v>
      </c>
      <c r="V1449" s="14" t="str" cm="1">
        <f t="array" aca="1" ref="V1449" ca="1">_xlfn.IFS(Table1[[#This Row],[Agreement Days]]&gt;=0,"Expired",Table1[[#This Row],[Agreement Days]]&gt;=-30,"Expires &lt; 30 Days",Table1[[#This Row],[Agreement Days]]&gt;=-60,"Expires &lt; 60 Days",Table1[[#This Row],[Agreement Days]]&lt;-60,"Valid Contract")</f>
        <v>Valid Contract</v>
      </c>
      <c r="W1449" s="14" t="s">
        <v>12</v>
      </c>
      <c r="X1449" s="14" t="s">
        <v>2757</v>
      </c>
      <c r="Y1449" s="16" t="s">
        <v>2758</v>
      </c>
      <c r="Z1449" s="27" t="s">
        <v>2759</v>
      </c>
      <c r="AA1449" s="17"/>
      <c r="AB1449" s="123"/>
      <c r="AC1449" s="123"/>
    </row>
    <row r="1450" spans="1:29" s="11" customFormat="1" hidden="1" x14ac:dyDescent="0.3">
      <c r="A1450" s="18" t="s">
        <v>2760</v>
      </c>
      <c r="B1450" s="18" t="s">
        <v>141</v>
      </c>
      <c r="C1450" s="18" t="s">
        <v>2761</v>
      </c>
      <c r="D1450" s="14" t="s">
        <v>653</v>
      </c>
      <c r="E1450" s="18" t="s">
        <v>10</v>
      </c>
      <c r="F1450" s="14" t="s">
        <v>663</v>
      </c>
      <c r="G1450" s="14" t="s">
        <v>546</v>
      </c>
      <c r="H1450" s="18" t="s">
        <v>5</v>
      </c>
      <c r="I1450" s="14" t="s">
        <v>134</v>
      </c>
      <c r="J1450" s="14">
        <v>200</v>
      </c>
      <c r="K1450" s="18" t="s">
        <v>2762</v>
      </c>
      <c r="L1450" s="18"/>
      <c r="M1450" s="14">
        <v>1</v>
      </c>
      <c r="N1450" s="15">
        <v>4630000</v>
      </c>
      <c r="O1450" s="15">
        <f t="shared" si="53"/>
        <v>4630000</v>
      </c>
      <c r="P1450" s="15"/>
      <c r="Q1450" s="14" t="s">
        <v>520</v>
      </c>
      <c r="R1450" s="25">
        <v>45657</v>
      </c>
      <c r="S1450" s="34" t="str">
        <f>TEXT(Table1[[#This Row],[End Date]],"MMMM")</f>
        <v>December</v>
      </c>
      <c r="T1450" s="34" t="str">
        <f>TEXT(Table1[[#This Row],[End Date]],"YYYY")</f>
        <v>2024</v>
      </c>
      <c r="U1450" s="24">
        <f t="shared" ca="1" si="52"/>
        <v>-524</v>
      </c>
      <c r="V1450" s="14" t="str" cm="1">
        <f t="array" aca="1" ref="V1450" ca="1">_xlfn.IFS(Table1[[#This Row],[Agreement Days]]&gt;=0,"Expired",Table1[[#This Row],[Agreement Days]]&gt;=-30,"Expires &lt; 30 Days",Table1[[#This Row],[Agreement Days]]&gt;=-60,"Expires &lt; 60 Days",Table1[[#This Row],[Agreement Days]]&lt;-60,"Valid Contract")</f>
        <v>Valid Contract</v>
      </c>
      <c r="W1450" s="18" t="s">
        <v>18</v>
      </c>
      <c r="X1450" s="18" t="s">
        <v>2763</v>
      </c>
      <c r="Y1450" s="35" t="s">
        <v>2764</v>
      </c>
      <c r="Z1450" s="27" t="s">
        <v>2765</v>
      </c>
      <c r="AA1450" s="27"/>
      <c r="AB1450" s="123"/>
      <c r="AC1450" s="123"/>
    </row>
    <row r="1451" spans="1:29" s="11" customFormat="1" hidden="1" x14ac:dyDescent="0.3">
      <c r="A1451" s="18" t="s">
        <v>2766</v>
      </c>
      <c r="B1451" s="18" t="s">
        <v>141</v>
      </c>
      <c r="C1451" s="18" t="s">
        <v>2767</v>
      </c>
      <c r="D1451" s="14" t="s">
        <v>653</v>
      </c>
      <c r="E1451" s="18" t="s">
        <v>10</v>
      </c>
      <c r="F1451" s="14" t="s">
        <v>663</v>
      </c>
      <c r="G1451" s="14" t="s">
        <v>546</v>
      </c>
      <c r="H1451" s="18" t="s">
        <v>2</v>
      </c>
      <c r="I1451" s="14" t="s">
        <v>134</v>
      </c>
      <c r="J1451" s="14">
        <v>350</v>
      </c>
      <c r="K1451" s="18" t="s">
        <v>2768</v>
      </c>
      <c r="L1451" s="18"/>
      <c r="M1451" s="14">
        <v>1</v>
      </c>
      <c r="N1451" s="15">
        <v>7570000</v>
      </c>
      <c r="O1451" s="15">
        <f t="shared" si="53"/>
        <v>7570000</v>
      </c>
      <c r="P1451" s="15"/>
      <c r="Q1451" s="14" t="s">
        <v>520</v>
      </c>
      <c r="R1451" s="25">
        <v>45657</v>
      </c>
      <c r="S1451" s="34" t="str">
        <f>TEXT(Table1[[#This Row],[End Date]],"MMMM")</f>
        <v>December</v>
      </c>
      <c r="T1451" s="34" t="str">
        <f>TEXT(Table1[[#This Row],[End Date]],"YYYY")</f>
        <v>2024</v>
      </c>
      <c r="U1451" s="24">
        <f t="shared" ca="1" si="52"/>
        <v>-524</v>
      </c>
      <c r="V1451" s="14" t="str" cm="1">
        <f t="array" aca="1" ref="V1451" ca="1">_xlfn.IFS(Table1[[#This Row],[Agreement Days]]&gt;=0,"Expired",Table1[[#This Row],[Agreement Days]]&gt;=-30,"Expires &lt; 30 Days",Table1[[#This Row],[Agreement Days]]&gt;=-60,"Expires &lt; 60 Days",Table1[[#This Row],[Agreement Days]]&lt;-60,"Valid Contract")</f>
        <v>Valid Contract</v>
      </c>
      <c r="W1451" s="18" t="s">
        <v>18</v>
      </c>
      <c r="X1451" s="18" t="s">
        <v>2763</v>
      </c>
      <c r="Y1451" s="35" t="s">
        <v>2769</v>
      </c>
      <c r="Z1451" s="27" t="s">
        <v>2770</v>
      </c>
      <c r="AA1451" s="36"/>
      <c r="AB1451" s="123"/>
      <c r="AC1451" s="123"/>
    </row>
    <row r="1452" spans="1:29" s="11" customFormat="1" hidden="1" x14ac:dyDescent="0.3">
      <c r="A1452" s="18" t="s">
        <v>2771</v>
      </c>
      <c r="B1452" s="18" t="s">
        <v>400</v>
      </c>
      <c r="C1452" s="18" t="s">
        <v>2772</v>
      </c>
      <c r="D1452" s="14" t="s">
        <v>545</v>
      </c>
      <c r="E1452" s="18" t="s">
        <v>9</v>
      </c>
      <c r="F1452" s="14" t="s">
        <v>517</v>
      </c>
      <c r="G1452" s="14" t="s">
        <v>518</v>
      </c>
      <c r="H1452" s="18" t="s">
        <v>5</v>
      </c>
      <c r="I1452" s="14" t="s">
        <v>117</v>
      </c>
      <c r="J1452" s="19">
        <v>5</v>
      </c>
      <c r="K1452" s="26" t="s">
        <v>519</v>
      </c>
      <c r="L1452" s="26"/>
      <c r="M1452" s="19">
        <v>1</v>
      </c>
      <c r="N1452" s="15">
        <v>270000</v>
      </c>
      <c r="O1452" s="15">
        <f t="shared" si="53"/>
        <v>270000</v>
      </c>
      <c r="P1452" s="15"/>
      <c r="Q1452" s="14" t="s">
        <v>520</v>
      </c>
      <c r="R1452" s="25">
        <v>45657</v>
      </c>
      <c r="S1452" s="34" t="str">
        <f>TEXT(Table1[[#This Row],[End Date]],"MMMM")</f>
        <v>December</v>
      </c>
      <c r="T1452" s="34" t="str">
        <f>TEXT(Table1[[#This Row],[End Date]],"YYYY")</f>
        <v>2024</v>
      </c>
      <c r="U1452" s="24">
        <f t="shared" ca="1" si="52"/>
        <v>-524</v>
      </c>
      <c r="V1452" s="14" t="str" cm="1">
        <f t="array" aca="1" ref="V1452" ca="1">_xlfn.IFS(Table1[[#This Row],[Agreement Days]]&gt;=0,"Expired",Table1[[#This Row],[Agreement Days]]&gt;=-30,"Expires &lt; 30 Days",Table1[[#This Row],[Agreement Days]]&gt;=-60,"Expires &lt; 60 Days",Table1[[#This Row],[Agreement Days]]&lt;-60,"Valid Contract")</f>
        <v>Valid Contract</v>
      </c>
      <c r="W1452" s="26" t="s">
        <v>17</v>
      </c>
      <c r="X1452" s="26" t="s">
        <v>2773</v>
      </c>
      <c r="Y1452" s="35" t="s">
        <v>2774</v>
      </c>
      <c r="Z1452" s="27">
        <v>788306222</v>
      </c>
      <c r="AA1452" s="27"/>
      <c r="AB1452" s="123"/>
      <c r="AC1452" s="123"/>
    </row>
    <row r="1453" spans="1:29" s="11" customFormat="1" hidden="1" x14ac:dyDescent="0.3">
      <c r="A1453" s="18" t="s">
        <v>2775</v>
      </c>
      <c r="B1453" s="18" t="s">
        <v>30</v>
      </c>
      <c r="C1453" s="18" t="s">
        <v>544</v>
      </c>
      <c r="D1453" s="14" t="s">
        <v>545</v>
      </c>
      <c r="E1453" s="18" t="s">
        <v>9</v>
      </c>
      <c r="F1453" s="14" t="s">
        <v>631</v>
      </c>
      <c r="G1453" s="14" t="s">
        <v>518</v>
      </c>
      <c r="H1453" s="18" t="s">
        <v>5</v>
      </c>
      <c r="I1453" s="14" t="s">
        <v>117</v>
      </c>
      <c r="J1453" s="14">
        <v>10</v>
      </c>
      <c r="K1453" s="14" t="s">
        <v>547</v>
      </c>
      <c r="L1453" s="14"/>
      <c r="M1453" s="14">
        <v>1</v>
      </c>
      <c r="N1453" s="15">
        <v>510000</v>
      </c>
      <c r="O1453" s="15">
        <f t="shared" si="53"/>
        <v>510000</v>
      </c>
      <c r="P1453" s="15"/>
      <c r="Q1453" s="14" t="s">
        <v>520</v>
      </c>
      <c r="R1453" s="25">
        <v>45661</v>
      </c>
      <c r="S1453" s="22" t="str">
        <f>TEXT(Table1[[#This Row],[End Date]],"MMMM")</f>
        <v>January</v>
      </c>
      <c r="T1453" s="23" t="str">
        <f>TEXT(Table1[[#This Row],[End Date]],"YYYY")</f>
        <v>2025</v>
      </c>
      <c r="U1453" s="24">
        <f t="shared" ca="1" si="52"/>
        <v>-528</v>
      </c>
      <c r="V1453" s="14" t="str" cm="1">
        <f t="array" aca="1" ref="V1453" ca="1">_xlfn.IFS(Table1[[#This Row],[Agreement Days]]&gt;=0,"Expired",Table1[[#This Row],[Agreement Days]]&gt;=-30,"Expires &lt; 30 Days",Table1[[#This Row],[Agreement Days]]&gt;=-60,"Expires &lt; 60 Days",Table1[[#This Row],[Agreement Days]]&lt;-60,"Valid Contract")</f>
        <v>Valid Contract</v>
      </c>
      <c r="W1453" s="14" t="s">
        <v>19</v>
      </c>
      <c r="X1453" s="14" t="s">
        <v>2776</v>
      </c>
      <c r="Y1453" s="43" t="s">
        <v>2777</v>
      </c>
      <c r="Z1453" s="27">
        <v>782373969</v>
      </c>
      <c r="AA1453" s="17"/>
      <c r="AB1453" s="123"/>
      <c r="AC1453" s="123"/>
    </row>
    <row r="1454" spans="1:29" s="11" customFormat="1" hidden="1" x14ac:dyDescent="0.3">
      <c r="A1454" s="18" t="s">
        <v>2775</v>
      </c>
      <c r="B1454" s="18" t="s">
        <v>30</v>
      </c>
      <c r="C1454" s="18" t="s">
        <v>2778</v>
      </c>
      <c r="D1454" s="14" t="s">
        <v>735</v>
      </c>
      <c r="E1454" s="18" t="s">
        <v>9</v>
      </c>
      <c r="F1454" s="14" t="s">
        <v>631</v>
      </c>
      <c r="G1454" s="14" t="s">
        <v>518</v>
      </c>
      <c r="H1454" s="18" t="s">
        <v>5</v>
      </c>
      <c r="I1454" s="14" t="s">
        <v>117</v>
      </c>
      <c r="J1454" s="14">
        <v>60</v>
      </c>
      <c r="K1454" s="14" t="s">
        <v>2404</v>
      </c>
      <c r="L1454" s="14"/>
      <c r="M1454" s="14">
        <v>1</v>
      </c>
      <c r="N1454" s="15">
        <f>2463840/1.18</f>
        <v>2088000</v>
      </c>
      <c r="O1454" s="15">
        <f t="shared" si="53"/>
        <v>2088000</v>
      </c>
      <c r="P1454" s="15"/>
      <c r="Q1454" s="14" t="s">
        <v>520</v>
      </c>
      <c r="R1454" s="25">
        <v>45661</v>
      </c>
      <c r="S1454" s="22" t="str">
        <f>TEXT(Table1[[#This Row],[End Date]],"MMMM")</f>
        <v>January</v>
      </c>
      <c r="T1454" s="23" t="str">
        <f>TEXT(Table1[[#This Row],[End Date]],"YYYY")</f>
        <v>2025</v>
      </c>
      <c r="U1454" s="24">
        <f t="shared" ca="1" si="52"/>
        <v>-528</v>
      </c>
      <c r="V1454" s="14" t="str" cm="1">
        <f t="array" aca="1" ref="V1454" ca="1">_xlfn.IFS(Table1[[#This Row],[Agreement Days]]&gt;=0,"Expired",Table1[[#This Row],[Agreement Days]]&gt;=-30,"Expires &lt; 30 Days",Table1[[#This Row],[Agreement Days]]&gt;=-60,"Expires &lt; 60 Days",Table1[[#This Row],[Agreement Days]]&lt;-60,"Valid Contract")</f>
        <v>Valid Contract</v>
      </c>
      <c r="W1454" s="14" t="s">
        <v>19</v>
      </c>
      <c r="X1454" s="14" t="s">
        <v>2776</v>
      </c>
      <c r="Y1454" s="43" t="s">
        <v>2777</v>
      </c>
      <c r="Z1454" s="27">
        <v>782373969</v>
      </c>
      <c r="AA1454" s="17"/>
      <c r="AB1454" s="123"/>
      <c r="AC1454" s="123"/>
    </row>
    <row r="1455" spans="1:29" s="11" customFormat="1" hidden="1" x14ac:dyDescent="0.3">
      <c r="A1455" s="18" t="s">
        <v>2775</v>
      </c>
      <c r="B1455" s="18" t="s">
        <v>30</v>
      </c>
      <c r="C1455" s="18" t="s">
        <v>544</v>
      </c>
      <c r="D1455" s="14" t="s">
        <v>545</v>
      </c>
      <c r="E1455" s="18" t="s">
        <v>9</v>
      </c>
      <c r="F1455" s="14" t="s">
        <v>631</v>
      </c>
      <c r="G1455" s="14" t="s">
        <v>518</v>
      </c>
      <c r="H1455" s="18" t="s">
        <v>5</v>
      </c>
      <c r="I1455" s="14" t="s">
        <v>118</v>
      </c>
      <c r="J1455" s="14"/>
      <c r="K1455" s="14" t="s">
        <v>2779</v>
      </c>
      <c r="L1455" s="14"/>
      <c r="M1455" s="14">
        <v>1</v>
      </c>
      <c r="N1455" s="15">
        <v>369325.42</v>
      </c>
      <c r="O1455" s="15">
        <f t="shared" si="53"/>
        <v>369325.42</v>
      </c>
      <c r="P1455" s="15"/>
      <c r="Q1455" s="14" t="s">
        <v>520</v>
      </c>
      <c r="R1455" s="25">
        <v>45661</v>
      </c>
      <c r="S1455" s="22" t="str">
        <f>TEXT(Table1[[#This Row],[End Date]],"MMMM")</f>
        <v>January</v>
      </c>
      <c r="T1455" s="23" t="str">
        <f>TEXT(Table1[[#This Row],[End Date]],"YYYY")</f>
        <v>2025</v>
      </c>
      <c r="U1455" s="24">
        <f t="shared" ca="1" si="52"/>
        <v>-528</v>
      </c>
      <c r="V1455" s="14" t="str" cm="1">
        <f t="array" aca="1" ref="V1455" ca="1">_xlfn.IFS(Table1[[#This Row],[Agreement Days]]&gt;=0,"Expired",Table1[[#This Row],[Agreement Days]]&gt;=-30,"Expires &lt; 30 Days",Table1[[#This Row],[Agreement Days]]&gt;=-60,"Expires &lt; 60 Days",Table1[[#This Row],[Agreement Days]]&lt;-60,"Valid Contract")</f>
        <v>Valid Contract</v>
      </c>
      <c r="W1455" s="14" t="s">
        <v>19</v>
      </c>
      <c r="X1455" s="14" t="s">
        <v>2776</v>
      </c>
      <c r="Y1455" s="43" t="s">
        <v>2777</v>
      </c>
      <c r="Z1455" s="27">
        <v>782373969</v>
      </c>
      <c r="AA1455" s="17"/>
      <c r="AB1455" s="123"/>
      <c r="AC1455" s="123"/>
    </row>
    <row r="1456" spans="1:29" s="11" customFormat="1" hidden="1" x14ac:dyDescent="0.3">
      <c r="A1456" s="18" t="s">
        <v>2780</v>
      </c>
      <c r="B1456" s="18" t="s">
        <v>231</v>
      </c>
      <c r="C1456" s="18" t="s">
        <v>2781</v>
      </c>
      <c r="D1456" s="14" t="s">
        <v>808</v>
      </c>
      <c r="E1456" s="18" t="s">
        <v>9</v>
      </c>
      <c r="F1456" s="14" t="s">
        <v>517</v>
      </c>
      <c r="G1456" s="14" t="s">
        <v>518</v>
      </c>
      <c r="H1456" s="18" t="s">
        <v>5</v>
      </c>
      <c r="I1456" s="14" t="s">
        <v>117</v>
      </c>
      <c r="J1456" s="14">
        <v>5</v>
      </c>
      <c r="K1456" s="14" t="s">
        <v>2611</v>
      </c>
      <c r="L1456" s="14"/>
      <c r="M1456" s="14">
        <v>1</v>
      </c>
      <c r="N1456" s="15">
        <v>270000</v>
      </c>
      <c r="O1456" s="15">
        <f t="shared" si="53"/>
        <v>270000</v>
      </c>
      <c r="P1456" s="15"/>
      <c r="Q1456" s="14" t="s">
        <v>520</v>
      </c>
      <c r="R1456" s="25">
        <v>45667</v>
      </c>
      <c r="S1456" s="22" t="str">
        <f>TEXT(Table1[[#This Row],[End Date]],"MMMM")</f>
        <v>January</v>
      </c>
      <c r="T1456" s="23" t="str">
        <f>TEXT(Table1[[#This Row],[End Date]],"YYYY")</f>
        <v>2025</v>
      </c>
      <c r="U1456" s="24">
        <f t="shared" ca="1" si="52"/>
        <v>-534</v>
      </c>
      <c r="V1456" s="14" t="str" cm="1">
        <f t="array" aca="1" ref="V1456" ca="1">_xlfn.IFS(Table1[[#This Row],[Agreement Days]]&gt;=0,"Expired",Table1[[#This Row],[Agreement Days]]&gt;=-30,"Expires &lt; 30 Days",Table1[[#This Row],[Agreement Days]]&gt;=-60,"Expires &lt; 60 Days",Table1[[#This Row],[Agreement Days]]&lt;-60,"Valid Contract")</f>
        <v>Valid Contract</v>
      </c>
      <c r="W1456" s="14" t="s">
        <v>19</v>
      </c>
      <c r="X1456" s="14" t="s">
        <v>2782</v>
      </c>
      <c r="Y1456" s="43" t="s">
        <v>2783</v>
      </c>
      <c r="Z1456" s="27">
        <v>788568125</v>
      </c>
      <c r="AA1456" s="17"/>
      <c r="AB1456" s="123"/>
      <c r="AC1456" s="123"/>
    </row>
    <row r="1457" spans="1:29" s="11" customFormat="1" hidden="1" x14ac:dyDescent="0.3">
      <c r="A1457" s="18" t="s">
        <v>2780</v>
      </c>
      <c r="B1457" s="18" t="s">
        <v>231</v>
      </c>
      <c r="C1457" s="18" t="s">
        <v>2784</v>
      </c>
      <c r="D1457" s="14" t="s">
        <v>653</v>
      </c>
      <c r="E1457" s="18" t="s">
        <v>9</v>
      </c>
      <c r="F1457" s="14" t="s">
        <v>517</v>
      </c>
      <c r="G1457" s="14" t="s">
        <v>518</v>
      </c>
      <c r="H1457" s="18" t="s">
        <v>5</v>
      </c>
      <c r="I1457" s="14" t="s">
        <v>117</v>
      </c>
      <c r="J1457" s="14">
        <v>5</v>
      </c>
      <c r="K1457" s="14" t="s">
        <v>882</v>
      </c>
      <c r="L1457" s="14"/>
      <c r="M1457" s="14">
        <v>1</v>
      </c>
      <c r="N1457" s="15">
        <v>270000</v>
      </c>
      <c r="O1457" s="15">
        <f t="shared" si="53"/>
        <v>270000</v>
      </c>
      <c r="P1457" s="15"/>
      <c r="Q1457" s="14" t="s">
        <v>520</v>
      </c>
      <c r="R1457" s="25">
        <v>45667</v>
      </c>
      <c r="S1457" s="22" t="str">
        <f>TEXT(Table1[[#This Row],[End Date]],"MMMM")</f>
        <v>January</v>
      </c>
      <c r="T1457" s="23" t="str">
        <f>TEXT(Table1[[#This Row],[End Date]],"YYYY")</f>
        <v>2025</v>
      </c>
      <c r="U1457" s="24">
        <f t="shared" ca="1" si="52"/>
        <v>-534</v>
      </c>
      <c r="V1457" s="14" t="str" cm="1">
        <f t="array" aca="1" ref="V1457" ca="1">_xlfn.IFS(Table1[[#This Row],[Agreement Days]]&gt;=0,"Expired",Table1[[#This Row],[Agreement Days]]&gt;=-30,"Expires &lt; 30 Days",Table1[[#This Row],[Agreement Days]]&gt;=-60,"Expires &lt; 60 Days",Table1[[#This Row],[Agreement Days]]&lt;-60,"Valid Contract")</f>
        <v>Valid Contract</v>
      </c>
      <c r="W1457" s="14" t="s">
        <v>19</v>
      </c>
      <c r="X1457" s="14" t="s">
        <v>2782</v>
      </c>
      <c r="Y1457" s="43" t="s">
        <v>2783</v>
      </c>
      <c r="Z1457" s="27">
        <v>788568125</v>
      </c>
      <c r="AA1457" s="17"/>
      <c r="AB1457" s="123"/>
      <c r="AC1457" s="123"/>
    </row>
    <row r="1458" spans="1:29" s="11" customFormat="1" hidden="1" x14ac:dyDescent="0.3">
      <c r="A1458" s="18" t="s">
        <v>2780</v>
      </c>
      <c r="B1458" s="18" t="s">
        <v>231</v>
      </c>
      <c r="C1458" s="18" t="s">
        <v>231</v>
      </c>
      <c r="D1458" s="14" t="s">
        <v>653</v>
      </c>
      <c r="E1458" s="18" t="s">
        <v>9</v>
      </c>
      <c r="F1458" s="14" t="s">
        <v>517</v>
      </c>
      <c r="G1458" s="14" t="s">
        <v>518</v>
      </c>
      <c r="H1458" s="18" t="s">
        <v>5</v>
      </c>
      <c r="I1458" s="14" t="s">
        <v>118</v>
      </c>
      <c r="J1458" s="14"/>
      <c r="K1458" s="14" t="s">
        <v>2751</v>
      </c>
      <c r="L1458" s="14"/>
      <c r="M1458" s="14">
        <v>1</v>
      </c>
      <c r="N1458" s="15">
        <v>86129.661016949161</v>
      </c>
      <c r="O1458" s="15">
        <f t="shared" si="53"/>
        <v>86129.661016949161</v>
      </c>
      <c r="P1458" s="15"/>
      <c r="Q1458" s="14" t="s">
        <v>520</v>
      </c>
      <c r="R1458" s="25">
        <v>45667</v>
      </c>
      <c r="S1458" s="22" t="str">
        <f>TEXT(Table1[[#This Row],[End Date]],"MMMM")</f>
        <v>January</v>
      </c>
      <c r="T1458" s="23" t="str">
        <f>TEXT(Table1[[#This Row],[End Date]],"YYYY")</f>
        <v>2025</v>
      </c>
      <c r="U1458" s="24">
        <f t="shared" ca="1" si="52"/>
        <v>-534</v>
      </c>
      <c r="V1458" s="14" t="str" cm="1">
        <f t="array" aca="1" ref="V1458" ca="1">_xlfn.IFS(Table1[[#This Row],[Agreement Days]]&gt;=0,"Expired",Table1[[#This Row],[Agreement Days]]&gt;=-30,"Expires &lt; 30 Days",Table1[[#This Row],[Agreement Days]]&gt;=-60,"Expires &lt; 60 Days",Table1[[#This Row],[Agreement Days]]&lt;-60,"Valid Contract")</f>
        <v>Valid Contract</v>
      </c>
      <c r="W1458" s="14" t="s">
        <v>19</v>
      </c>
      <c r="X1458" s="14" t="s">
        <v>2782</v>
      </c>
      <c r="Y1458" s="43" t="s">
        <v>2783</v>
      </c>
      <c r="Z1458" s="27">
        <v>788568125</v>
      </c>
      <c r="AA1458" s="17"/>
      <c r="AB1458" s="123"/>
      <c r="AC1458" s="123"/>
    </row>
    <row r="1459" spans="1:29" s="11" customFormat="1" hidden="1" x14ac:dyDescent="0.3">
      <c r="A1459" s="18" t="s">
        <v>2780</v>
      </c>
      <c r="B1459" s="18" t="s">
        <v>231</v>
      </c>
      <c r="C1459" s="18" t="s">
        <v>231</v>
      </c>
      <c r="D1459" s="14" t="s">
        <v>653</v>
      </c>
      <c r="E1459" s="18" t="s">
        <v>9</v>
      </c>
      <c r="F1459" s="14" t="s">
        <v>517</v>
      </c>
      <c r="G1459" s="14" t="s">
        <v>518</v>
      </c>
      <c r="H1459" s="18" t="s">
        <v>5</v>
      </c>
      <c r="I1459" s="14" t="s">
        <v>115</v>
      </c>
      <c r="J1459" s="14"/>
      <c r="K1459" s="18" t="s">
        <v>643</v>
      </c>
      <c r="L1459" s="14"/>
      <c r="M1459" s="14">
        <v>62</v>
      </c>
      <c r="N1459" s="15">
        <v>28305.08</v>
      </c>
      <c r="O1459" s="15">
        <f t="shared" si="53"/>
        <v>1754914.9600000002</v>
      </c>
      <c r="P1459" s="15"/>
      <c r="Q1459" s="14" t="s">
        <v>520</v>
      </c>
      <c r="R1459" s="25">
        <v>45667</v>
      </c>
      <c r="S1459" s="22" t="str">
        <f>TEXT(Table1[[#This Row],[End Date]],"MMMM")</f>
        <v>January</v>
      </c>
      <c r="T1459" s="23" t="str">
        <f>TEXT(Table1[[#This Row],[End Date]],"YYYY")</f>
        <v>2025</v>
      </c>
      <c r="U1459" s="24">
        <f t="shared" ca="1" si="52"/>
        <v>-534</v>
      </c>
      <c r="V1459" s="14" t="str" cm="1">
        <f t="array" aca="1" ref="V1459" ca="1">_xlfn.IFS(Table1[[#This Row],[Agreement Days]]&gt;=0,"Expired",Table1[[#This Row],[Agreement Days]]&gt;=-30,"Expires &lt; 30 Days",Table1[[#This Row],[Agreement Days]]&gt;=-60,"Expires &lt; 60 Days",Table1[[#This Row],[Agreement Days]]&lt;-60,"Valid Contract")</f>
        <v>Valid Contract</v>
      </c>
      <c r="W1459" s="14" t="s">
        <v>19</v>
      </c>
      <c r="X1459" s="14" t="s">
        <v>2782</v>
      </c>
      <c r="Y1459" s="43" t="s">
        <v>2783</v>
      </c>
      <c r="Z1459" s="27">
        <v>788568125</v>
      </c>
      <c r="AA1459" s="17"/>
      <c r="AB1459" s="123"/>
      <c r="AC1459" s="123"/>
    </row>
    <row r="1460" spans="1:29" s="11" customFormat="1" hidden="1" x14ac:dyDescent="0.3">
      <c r="A1460" s="18" t="s">
        <v>2785</v>
      </c>
      <c r="B1460" s="18" t="s">
        <v>128</v>
      </c>
      <c r="C1460" s="18" t="s">
        <v>2786</v>
      </c>
      <c r="D1460" s="14" t="s">
        <v>600</v>
      </c>
      <c r="E1460" s="18" t="s">
        <v>9</v>
      </c>
      <c r="F1460" s="20" t="s">
        <v>601</v>
      </c>
      <c r="G1460" s="20" t="s">
        <v>546</v>
      </c>
      <c r="H1460" s="18" t="s">
        <v>2</v>
      </c>
      <c r="I1460" s="14" t="s">
        <v>121</v>
      </c>
      <c r="J1460" s="20">
        <v>3</v>
      </c>
      <c r="K1460" s="14" t="s">
        <v>2419</v>
      </c>
      <c r="L1460" s="14"/>
      <c r="M1460" s="14">
        <v>1</v>
      </c>
      <c r="N1460" s="15">
        <v>2947241</v>
      </c>
      <c r="O1460" s="15">
        <f t="shared" si="53"/>
        <v>2947241</v>
      </c>
      <c r="P1460" s="15"/>
      <c r="Q1460" s="14" t="s">
        <v>520</v>
      </c>
      <c r="R1460" s="25">
        <v>45668</v>
      </c>
      <c r="S1460" s="22" t="str">
        <f>TEXT(Table1[[#This Row],[End Date]],"MMMM")</f>
        <v>January</v>
      </c>
      <c r="T1460" s="22" t="str">
        <f>TEXT(Table1[[#This Row],[End Date]],"YYYY")</f>
        <v>2025</v>
      </c>
      <c r="U1460" s="28">
        <f t="shared" ca="1" si="52"/>
        <v>-535</v>
      </c>
      <c r="V1460" s="14" t="str" cm="1">
        <f t="array" aca="1" ref="V1460" ca="1">_xlfn.IFS(Table1[[#This Row],[Agreement Days]]&gt;=0,"Expired",Table1[[#This Row],[Agreement Days]]&gt;=-30,"Expires &lt; 30 Days",Table1[[#This Row],[Agreement Days]]&gt;=-60,"Expires &lt; 60 Days",Table1[[#This Row],[Agreement Days]]&lt;-60,"Valid Contract")</f>
        <v>Valid Contract</v>
      </c>
      <c r="W1460" s="14" t="s">
        <v>13</v>
      </c>
      <c r="X1460" s="14" t="s">
        <v>2787</v>
      </c>
      <c r="Y1460" s="16" t="s">
        <v>2788</v>
      </c>
      <c r="Z1460" s="27" t="s">
        <v>2789</v>
      </c>
      <c r="AA1460" s="17"/>
      <c r="AB1460" s="123"/>
      <c r="AC1460" s="123"/>
    </row>
    <row r="1461" spans="1:29" s="11" customFormat="1" hidden="1" x14ac:dyDescent="0.3">
      <c r="A1461" s="18" t="s">
        <v>2785</v>
      </c>
      <c r="B1461" s="18" t="s">
        <v>128</v>
      </c>
      <c r="C1461" s="18" t="s">
        <v>2790</v>
      </c>
      <c r="D1461" s="14" t="s">
        <v>600</v>
      </c>
      <c r="E1461" s="18" t="s">
        <v>9</v>
      </c>
      <c r="F1461" s="20" t="s">
        <v>601</v>
      </c>
      <c r="G1461" s="20" t="s">
        <v>546</v>
      </c>
      <c r="H1461" s="18" t="s">
        <v>2</v>
      </c>
      <c r="I1461" s="14" t="s">
        <v>121</v>
      </c>
      <c r="J1461" s="20">
        <v>3</v>
      </c>
      <c r="K1461" s="14" t="s">
        <v>2419</v>
      </c>
      <c r="L1461" s="14"/>
      <c r="M1461" s="14">
        <v>1</v>
      </c>
      <c r="N1461" s="15">
        <v>2947241</v>
      </c>
      <c r="O1461" s="15">
        <f t="shared" si="53"/>
        <v>2947241</v>
      </c>
      <c r="P1461" s="15"/>
      <c r="Q1461" s="14" t="s">
        <v>520</v>
      </c>
      <c r="R1461" s="25">
        <v>45668</v>
      </c>
      <c r="S1461" s="22" t="str">
        <f>TEXT(Table1[[#This Row],[End Date]],"MMMM")</f>
        <v>January</v>
      </c>
      <c r="T1461" s="22" t="str">
        <f>TEXT(Table1[[#This Row],[End Date]],"YYYY")</f>
        <v>2025</v>
      </c>
      <c r="U1461" s="28">
        <f t="shared" ca="1" si="52"/>
        <v>-535</v>
      </c>
      <c r="V1461" s="14" t="str" cm="1">
        <f t="array" aca="1" ref="V1461" ca="1">_xlfn.IFS(Table1[[#This Row],[Agreement Days]]&gt;=0,"Expired",Table1[[#This Row],[Agreement Days]]&gt;=-30,"Expires &lt; 30 Days",Table1[[#This Row],[Agreement Days]]&gt;=-60,"Expires &lt; 60 Days",Table1[[#This Row],[Agreement Days]]&lt;-60,"Valid Contract")</f>
        <v>Valid Contract</v>
      </c>
      <c r="W1461" s="14" t="s">
        <v>13</v>
      </c>
      <c r="X1461" s="14" t="s">
        <v>2787</v>
      </c>
      <c r="Y1461" s="16" t="s">
        <v>2788</v>
      </c>
      <c r="Z1461" s="27">
        <v>788311706</v>
      </c>
      <c r="AA1461" s="17"/>
      <c r="AB1461" s="123"/>
      <c r="AC1461" s="123"/>
    </row>
    <row r="1462" spans="1:29" s="11" customFormat="1" hidden="1" x14ac:dyDescent="0.3">
      <c r="A1462" s="18" t="s">
        <v>2791</v>
      </c>
      <c r="B1462" s="18" t="s">
        <v>380</v>
      </c>
      <c r="C1462" s="18" t="s">
        <v>544</v>
      </c>
      <c r="D1462" s="14" t="s">
        <v>545</v>
      </c>
      <c r="E1462" s="18" t="s">
        <v>9</v>
      </c>
      <c r="F1462" s="14" t="s">
        <v>517</v>
      </c>
      <c r="G1462" s="14" t="s">
        <v>518</v>
      </c>
      <c r="H1462" s="18" t="s">
        <v>2</v>
      </c>
      <c r="I1462" s="14" t="s">
        <v>117</v>
      </c>
      <c r="J1462" s="14">
        <v>5</v>
      </c>
      <c r="K1462" s="18" t="s">
        <v>519</v>
      </c>
      <c r="L1462" s="18"/>
      <c r="M1462" s="14">
        <v>1</v>
      </c>
      <c r="N1462" s="15">
        <v>270000</v>
      </c>
      <c r="O1462" s="15">
        <f t="shared" si="53"/>
        <v>270000</v>
      </c>
      <c r="P1462" s="15"/>
      <c r="Q1462" s="14" t="s">
        <v>520</v>
      </c>
      <c r="R1462" s="25">
        <v>45673</v>
      </c>
      <c r="S1462" s="34" t="str">
        <f>TEXT(Table1[[#This Row],[End Date]],"MMMM")</f>
        <v>January</v>
      </c>
      <c r="T1462" s="34" t="str">
        <f>TEXT(Table1[[#This Row],[End Date]],"YYYY")</f>
        <v>2025</v>
      </c>
      <c r="U1462" s="24">
        <f t="shared" ca="1" si="52"/>
        <v>-540</v>
      </c>
      <c r="V1462" s="14" t="str" cm="1">
        <f t="array" aca="1" ref="V1462" ca="1">_xlfn.IFS(Table1[[#This Row],[Agreement Days]]&gt;=0,"Expired",Table1[[#This Row],[Agreement Days]]&gt;=-30,"Expires &lt; 30 Days",Table1[[#This Row],[Agreement Days]]&gt;=-60,"Expires &lt; 60 Days",Table1[[#This Row],[Agreement Days]]&lt;-60,"Valid Contract")</f>
        <v>Valid Contract</v>
      </c>
      <c r="W1462" s="18" t="s">
        <v>18</v>
      </c>
      <c r="X1462" s="18" t="s">
        <v>2792</v>
      </c>
      <c r="Y1462" s="35" t="s">
        <v>2793</v>
      </c>
      <c r="Z1462" s="27" t="s">
        <v>2794</v>
      </c>
      <c r="AA1462" s="36"/>
      <c r="AB1462" s="123"/>
      <c r="AC1462" s="123"/>
    </row>
    <row r="1463" spans="1:29" s="11" customFormat="1" hidden="1" x14ac:dyDescent="0.3">
      <c r="A1463" s="18" t="s">
        <v>2791</v>
      </c>
      <c r="B1463" s="18" t="s">
        <v>380</v>
      </c>
      <c r="C1463" s="18" t="s">
        <v>544</v>
      </c>
      <c r="D1463" s="14" t="s">
        <v>545</v>
      </c>
      <c r="E1463" s="18" t="s">
        <v>9</v>
      </c>
      <c r="F1463" s="14" t="s">
        <v>517</v>
      </c>
      <c r="G1463" s="14" t="s">
        <v>518</v>
      </c>
      <c r="H1463" s="18" t="s">
        <v>4</v>
      </c>
      <c r="I1463" s="14" t="s">
        <v>118</v>
      </c>
      <c r="J1463" s="18"/>
      <c r="K1463" s="18" t="s">
        <v>594</v>
      </c>
      <c r="L1463" s="18"/>
      <c r="M1463" s="14">
        <v>1</v>
      </c>
      <c r="N1463" s="15">
        <v>86129.66</v>
      </c>
      <c r="O1463" s="15">
        <f t="shared" si="53"/>
        <v>86129.66</v>
      </c>
      <c r="P1463" s="15"/>
      <c r="Q1463" s="14" t="s">
        <v>520</v>
      </c>
      <c r="R1463" s="25">
        <v>45673</v>
      </c>
      <c r="S1463" s="34" t="str">
        <f>TEXT(Table1[[#This Row],[End Date]],"MMMM")</f>
        <v>January</v>
      </c>
      <c r="T1463" s="34" t="str">
        <f>TEXT(Table1[[#This Row],[End Date]],"YYYY")</f>
        <v>2025</v>
      </c>
      <c r="U1463" s="24">
        <f t="shared" ca="1" si="52"/>
        <v>-540</v>
      </c>
      <c r="V1463" s="14" t="str" cm="1">
        <f t="array" aca="1" ref="V1463" ca="1">_xlfn.IFS(Table1[[#This Row],[Agreement Days]]&gt;=0,"Expired",Table1[[#This Row],[Agreement Days]]&gt;=-30,"Expires &lt; 30 Days",Table1[[#This Row],[Agreement Days]]&gt;=-60,"Expires &lt; 60 Days",Table1[[#This Row],[Agreement Days]]&lt;-60,"Valid Contract")</f>
        <v>Valid Contract</v>
      </c>
      <c r="W1463" s="18" t="s">
        <v>18</v>
      </c>
      <c r="X1463" s="18" t="s">
        <v>2792</v>
      </c>
      <c r="Y1463" s="35" t="s">
        <v>2793</v>
      </c>
      <c r="Z1463" s="27" t="s">
        <v>2794</v>
      </c>
      <c r="AA1463" s="27"/>
      <c r="AB1463" s="123"/>
      <c r="AC1463" s="123"/>
    </row>
    <row r="1464" spans="1:29" s="11" customFormat="1" hidden="1" x14ac:dyDescent="0.3">
      <c r="A1464" s="18" t="s">
        <v>2795</v>
      </c>
      <c r="B1464" s="18" t="s">
        <v>108</v>
      </c>
      <c r="C1464" s="18" t="s">
        <v>544</v>
      </c>
      <c r="D1464" s="14" t="s">
        <v>516</v>
      </c>
      <c r="E1464" s="18" t="s">
        <v>10</v>
      </c>
      <c r="F1464" s="20" t="s">
        <v>631</v>
      </c>
      <c r="G1464" s="20" t="s">
        <v>518</v>
      </c>
      <c r="H1464" s="18" t="s">
        <v>5</v>
      </c>
      <c r="I1464" s="14" t="s">
        <v>115</v>
      </c>
      <c r="J1464" s="14"/>
      <c r="K1464" s="14" t="s">
        <v>986</v>
      </c>
      <c r="L1464" s="14"/>
      <c r="M1464" s="14">
        <v>1</v>
      </c>
      <c r="N1464" s="15">
        <v>142372.881356</v>
      </c>
      <c r="O1464" s="15">
        <f t="shared" si="53"/>
        <v>142372.881356</v>
      </c>
      <c r="P1464" s="15"/>
      <c r="Q1464" s="14" t="s">
        <v>520</v>
      </c>
      <c r="R1464" s="25">
        <v>45688</v>
      </c>
      <c r="S1464" s="22" t="str">
        <f>TEXT(Table1[[#This Row],[End Date]],"MMMM")</f>
        <v>January</v>
      </c>
      <c r="T1464" s="23" t="str">
        <f>TEXT(Table1[[#This Row],[End Date]],"YYYY")</f>
        <v>2025</v>
      </c>
      <c r="U1464" s="24">
        <f t="shared" ca="1" si="52"/>
        <v>-555</v>
      </c>
      <c r="V1464" s="14" t="str" cm="1">
        <f t="array" aca="1" ref="V1464" ca="1">_xlfn.IFS(Table1[[#This Row],[Agreement Days]]&gt;=0,"Expired",Table1[[#This Row],[Agreement Days]]&gt;=-30,"Expires &lt; 30 Days",Table1[[#This Row],[Agreement Days]]&gt;=-60,"Expires &lt; 60 Days",Table1[[#This Row],[Agreement Days]]&lt;-60,"Valid Contract")</f>
        <v>Valid Contract</v>
      </c>
      <c r="W1464" s="14" t="s">
        <v>14</v>
      </c>
      <c r="X1464" s="20" t="s">
        <v>2796</v>
      </c>
      <c r="Y1464" s="33" t="s">
        <v>2797</v>
      </c>
      <c r="Z1464" s="27">
        <v>788637871</v>
      </c>
      <c r="AA1464" s="19"/>
      <c r="AB1464" s="123"/>
      <c r="AC1464" s="123"/>
    </row>
    <row r="1465" spans="1:29" s="11" customFormat="1" hidden="1" x14ac:dyDescent="0.3">
      <c r="A1465" s="18" t="s">
        <v>2798</v>
      </c>
      <c r="B1465" s="18" t="s">
        <v>74</v>
      </c>
      <c r="C1465" s="18" t="s">
        <v>74</v>
      </c>
      <c r="D1465" s="14" t="s">
        <v>808</v>
      </c>
      <c r="E1465" s="18" t="s">
        <v>9</v>
      </c>
      <c r="F1465" s="14" t="s">
        <v>631</v>
      </c>
      <c r="G1465" s="14" t="s">
        <v>518</v>
      </c>
      <c r="H1465" s="18" t="s">
        <v>5</v>
      </c>
      <c r="I1465" s="14" t="s">
        <v>117</v>
      </c>
      <c r="J1465" s="14">
        <v>3</v>
      </c>
      <c r="K1465" s="18" t="s">
        <v>646</v>
      </c>
      <c r="L1465" s="18"/>
      <c r="M1465" s="14">
        <v>1</v>
      </c>
      <c r="N1465" s="15">
        <v>180000</v>
      </c>
      <c r="O1465" s="15">
        <f t="shared" si="53"/>
        <v>180000</v>
      </c>
      <c r="P1465" s="15"/>
      <c r="Q1465" s="14" t="s">
        <v>520</v>
      </c>
      <c r="R1465" s="25">
        <v>45688</v>
      </c>
      <c r="S1465" s="34" t="str">
        <f>TEXT(Table1[[#This Row],[End Date]],"MMMM")</f>
        <v>January</v>
      </c>
      <c r="T1465" s="34" t="str">
        <f>TEXT(Table1[[#This Row],[End Date]],"YYYY")</f>
        <v>2025</v>
      </c>
      <c r="U1465" s="24">
        <f t="shared" ca="1" si="52"/>
        <v>-555</v>
      </c>
      <c r="V1465" s="14" t="str" cm="1">
        <f t="array" aca="1" ref="V1465" ca="1">_xlfn.IFS(Table1[[#This Row],[Agreement Days]]&gt;=0,"Expired",Table1[[#This Row],[Agreement Days]]&gt;=-30,"Expires &lt; 30 Days",Table1[[#This Row],[Agreement Days]]&gt;=-60,"Expires &lt; 60 Days",Table1[[#This Row],[Agreement Days]]&lt;-60,"Valid Contract")</f>
        <v>Valid Contract</v>
      </c>
      <c r="W1465" s="18" t="s">
        <v>21</v>
      </c>
      <c r="X1465" s="18" t="s">
        <v>2799</v>
      </c>
      <c r="Y1465" s="42" t="s">
        <v>2800</v>
      </c>
      <c r="Z1465" s="27">
        <v>786400893</v>
      </c>
      <c r="AA1465" s="27"/>
      <c r="AB1465" s="123"/>
      <c r="AC1465" s="123"/>
    </row>
    <row r="1466" spans="1:29" s="11" customFormat="1" hidden="1" x14ac:dyDescent="0.3">
      <c r="A1466" s="18" t="s">
        <v>2801</v>
      </c>
      <c r="B1466" s="18" t="s">
        <v>335</v>
      </c>
      <c r="C1466" s="18" t="s">
        <v>544</v>
      </c>
      <c r="D1466" s="14" t="s">
        <v>545</v>
      </c>
      <c r="E1466" s="18" t="s">
        <v>9</v>
      </c>
      <c r="F1466" s="20" t="s">
        <v>517</v>
      </c>
      <c r="G1466" s="20" t="s">
        <v>518</v>
      </c>
      <c r="H1466" s="18" t="s">
        <v>5</v>
      </c>
      <c r="I1466" s="14" t="s">
        <v>115</v>
      </c>
      <c r="J1466" s="14"/>
      <c r="K1466" s="18" t="s">
        <v>642</v>
      </c>
      <c r="L1466" s="18"/>
      <c r="M1466" s="14">
        <v>1</v>
      </c>
      <c r="N1466" s="15">
        <v>101695</v>
      </c>
      <c r="O1466" s="15">
        <f t="shared" si="53"/>
        <v>101695</v>
      </c>
      <c r="P1466" s="15"/>
      <c r="Q1466" s="14" t="s">
        <v>520</v>
      </c>
      <c r="R1466" s="25">
        <v>45688</v>
      </c>
      <c r="S1466" s="34" t="str">
        <f>TEXT(Table1[[#This Row],[End Date]],"MMMM")</f>
        <v>January</v>
      </c>
      <c r="T1466" s="22" t="str">
        <f>TEXT(Table1[[#This Row],[End Date]],"YYYY")</f>
        <v>2025</v>
      </c>
      <c r="U1466" s="28">
        <f t="shared" ca="1" si="52"/>
        <v>-555</v>
      </c>
      <c r="V1466" s="14" t="str" cm="1">
        <f t="array" aca="1" ref="V1466" ca="1">_xlfn.IFS(Table1[[#This Row],[Agreement Days]]&gt;=0,"Expired",Table1[[#This Row],[Agreement Days]]&gt;=-30,"Expires &lt; 30 Days",Table1[[#This Row],[Agreement Days]]&gt;=-60,"Expires &lt; 60 Days",Table1[[#This Row],[Agreement Days]]&lt;-60,"Valid Contract")</f>
        <v>Valid Contract</v>
      </c>
      <c r="W1466" s="18" t="s">
        <v>14</v>
      </c>
      <c r="X1466" s="18" t="s">
        <v>2802</v>
      </c>
      <c r="Y1466" s="35" t="s">
        <v>2803</v>
      </c>
      <c r="Z1466" s="27">
        <v>788471740</v>
      </c>
      <c r="AA1466" s="27"/>
      <c r="AB1466" s="123"/>
      <c r="AC1466" s="123"/>
    </row>
    <row r="1467" spans="1:29" s="11" customFormat="1" hidden="1" x14ac:dyDescent="0.3">
      <c r="A1467" s="18" t="s">
        <v>2801</v>
      </c>
      <c r="B1467" s="18" t="s">
        <v>335</v>
      </c>
      <c r="C1467" s="18" t="s">
        <v>544</v>
      </c>
      <c r="D1467" s="14" t="s">
        <v>545</v>
      </c>
      <c r="E1467" s="18" t="s">
        <v>9</v>
      </c>
      <c r="F1467" s="14" t="s">
        <v>517</v>
      </c>
      <c r="G1467" s="14" t="s">
        <v>518</v>
      </c>
      <c r="H1467" s="18" t="s">
        <v>5</v>
      </c>
      <c r="I1467" s="14" t="s">
        <v>115</v>
      </c>
      <c r="J1467" s="18"/>
      <c r="K1467" s="18" t="s">
        <v>643</v>
      </c>
      <c r="L1467" s="18"/>
      <c r="M1467" s="14">
        <v>1</v>
      </c>
      <c r="N1467" s="15">
        <v>28305.084746</v>
      </c>
      <c r="O1467" s="15">
        <f t="shared" si="53"/>
        <v>28305.084746</v>
      </c>
      <c r="P1467" s="15"/>
      <c r="Q1467" s="14" t="s">
        <v>520</v>
      </c>
      <c r="R1467" s="25">
        <v>45688</v>
      </c>
      <c r="S1467" s="34" t="str">
        <f>TEXT(Table1[[#This Row],[End Date]],"MMMM")</f>
        <v>January</v>
      </c>
      <c r="T1467" s="34" t="str">
        <f>TEXT(Table1[[#This Row],[End Date]],"YYYY")</f>
        <v>2025</v>
      </c>
      <c r="U1467" s="24">
        <f t="shared" ca="1" si="52"/>
        <v>-555</v>
      </c>
      <c r="V1467" s="14" t="str" cm="1">
        <f t="array" aca="1" ref="V1467" ca="1">_xlfn.IFS(Table1[[#This Row],[Agreement Days]]&gt;=0,"Expired",Table1[[#This Row],[Agreement Days]]&gt;=-30,"Expires &lt; 30 Days",Table1[[#This Row],[Agreement Days]]&gt;=-60,"Expires &lt; 60 Days",Table1[[#This Row],[Agreement Days]]&lt;-60,"Valid Contract")</f>
        <v>Valid Contract</v>
      </c>
      <c r="W1467" s="18" t="s">
        <v>14</v>
      </c>
      <c r="X1467" s="18" t="s">
        <v>2802</v>
      </c>
      <c r="Y1467" s="35" t="s">
        <v>2803</v>
      </c>
      <c r="Z1467" s="27">
        <v>788471740</v>
      </c>
      <c r="AA1467" s="27"/>
      <c r="AB1467" s="123"/>
      <c r="AC1467" s="123"/>
    </row>
    <row r="1468" spans="1:29" s="11" customFormat="1" hidden="1" x14ac:dyDescent="0.3">
      <c r="A1468" s="18" t="s">
        <v>2801</v>
      </c>
      <c r="B1468" s="18" t="s">
        <v>335</v>
      </c>
      <c r="C1468" s="18" t="s">
        <v>544</v>
      </c>
      <c r="D1468" s="14" t="s">
        <v>545</v>
      </c>
      <c r="E1468" s="18" t="s">
        <v>9</v>
      </c>
      <c r="F1468" s="14" t="s">
        <v>517</v>
      </c>
      <c r="G1468" s="14" t="s">
        <v>518</v>
      </c>
      <c r="H1468" s="18" t="s">
        <v>5</v>
      </c>
      <c r="I1468" s="14" t="s">
        <v>115</v>
      </c>
      <c r="J1468" s="14"/>
      <c r="K1468" s="18" t="s">
        <v>642</v>
      </c>
      <c r="L1468" s="18"/>
      <c r="M1468" s="14">
        <v>1</v>
      </c>
      <c r="N1468" s="15">
        <v>101694.91525400001</v>
      </c>
      <c r="O1468" s="15">
        <f t="shared" si="53"/>
        <v>101694.91525400001</v>
      </c>
      <c r="P1468" s="15"/>
      <c r="Q1468" s="14" t="s">
        <v>520</v>
      </c>
      <c r="R1468" s="25">
        <v>45688</v>
      </c>
      <c r="S1468" s="34" t="str">
        <f>TEXT(Table1[[#This Row],[End Date]],"MMMM")</f>
        <v>January</v>
      </c>
      <c r="T1468" s="34" t="str">
        <f>TEXT(Table1[[#This Row],[End Date]],"YYYY")</f>
        <v>2025</v>
      </c>
      <c r="U1468" s="24">
        <f t="shared" ca="1" si="52"/>
        <v>-555</v>
      </c>
      <c r="V1468" s="14" t="str" cm="1">
        <f t="array" aca="1" ref="V1468" ca="1">_xlfn.IFS(Table1[[#This Row],[Agreement Days]]&gt;=0,"Expired",Table1[[#This Row],[Agreement Days]]&gt;=-30,"Expires &lt; 30 Days",Table1[[#This Row],[Agreement Days]]&gt;=-60,"Expires &lt; 60 Days",Table1[[#This Row],[Agreement Days]]&lt;-60,"Valid Contract")</f>
        <v>Valid Contract</v>
      </c>
      <c r="W1468" s="69" t="s">
        <v>14</v>
      </c>
      <c r="X1468" s="18" t="s">
        <v>2802</v>
      </c>
      <c r="Y1468" s="39" t="s">
        <v>2804</v>
      </c>
      <c r="Z1468" s="27" t="s">
        <v>2805</v>
      </c>
      <c r="AA1468" s="27"/>
      <c r="AB1468" s="123"/>
      <c r="AC1468" s="123"/>
    </row>
    <row r="1469" spans="1:29" s="11" customFormat="1" hidden="1" x14ac:dyDescent="0.3">
      <c r="A1469" s="18" t="s">
        <v>2801</v>
      </c>
      <c r="B1469" s="18" t="s">
        <v>335</v>
      </c>
      <c r="C1469" s="18" t="s">
        <v>544</v>
      </c>
      <c r="D1469" s="14" t="s">
        <v>545</v>
      </c>
      <c r="E1469" s="18" t="s">
        <v>9</v>
      </c>
      <c r="F1469" s="20" t="s">
        <v>517</v>
      </c>
      <c r="G1469" s="20" t="s">
        <v>518</v>
      </c>
      <c r="H1469" s="18" t="s">
        <v>5</v>
      </c>
      <c r="I1469" s="14" t="s">
        <v>115</v>
      </c>
      <c r="J1469" s="14"/>
      <c r="K1469" s="18" t="s">
        <v>1245</v>
      </c>
      <c r="L1469" s="18"/>
      <c r="M1469" s="14">
        <v>5</v>
      </c>
      <c r="N1469" s="15">
        <v>45339</v>
      </c>
      <c r="O1469" s="15">
        <f t="shared" si="53"/>
        <v>226695</v>
      </c>
      <c r="P1469" s="15"/>
      <c r="Q1469" s="14" t="s">
        <v>520</v>
      </c>
      <c r="R1469" s="25">
        <v>45688</v>
      </c>
      <c r="S1469" s="34" t="str">
        <f>TEXT(Table1[[#This Row],[End Date]],"MMMM")</f>
        <v>January</v>
      </c>
      <c r="T1469" s="22" t="str">
        <f>TEXT(Table1[[#This Row],[End Date]],"YYYY")</f>
        <v>2025</v>
      </c>
      <c r="U1469" s="28">
        <f t="shared" ca="1" si="52"/>
        <v>-555</v>
      </c>
      <c r="V1469" s="14" t="str" cm="1">
        <f t="array" aca="1" ref="V1469" ca="1">_xlfn.IFS(Table1[[#This Row],[Agreement Days]]&gt;=0,"Expired",Table1[[#This Row],[Agreement Days]]&gt;=-30,"Expires &lt; 30 Days",Table1[[#This Row],[Agreement Days]]&gt;=-60,"Expires &lt; 60 Days",Table1[[#This Row],[Agreement Days]]&lt;-60,"Valid Contract")</f>
        <v>Valid Contract</v>
      </c>
      <c r="W1469" s="18" t="s">
        <v>14</v>
      </c>
      <c r="X1469" s="18" t="s">
        <v>2802</v>
      </c>
      <c r="Y1469" s="35" t="s">
        <v>2803</v>
      </c>
      <c r="Z1469" s="27">
        <v>788471740</v>
      </c>
      <c r="AA1469" s="27"/>
      <c r="AB1469" s="123"/>
      <c r="AC1469" s="123"/>
    </row>
    <row r="1470" spans="1:29" s="11" customFormat="1" hidden="1" x14ac:dyDescent="0.3">
      <c r="A1470" s="18" t="s">
        <v>2801</v>
      </c>
      <c r="B1470" s="18" t="s">
        <v>335</v>
      </c>
      <c r="C1470" s="18" t="s">
        <v>544</v>
      </c>
      <c r="D1470" s="14" t="s">
        <v>545</v>
      </c>
      <c r="E1470" s="18" t="s">
        <v>9</v>
      </c>
      <c r="F1470" s="14" t="s">
        <v>517</v>
      </c>
      <c r="G1470" s="14" t="s">
        <v>518</v>
      </c>
      <c r="H1470" s="18" t="s">
        <v>5</v>
      </c>
      <c r="I1470" s="14" t="s">
        <v>115</v>
      </c>
      <c r="J1470" s="14"/>
      <c r="K1470" s="18" t="s">
        <v>1245</v>
      </c>
      <c r="L1470" s="18"/>
      <c r="M1470" s="14">
        <v>5</v>
      </c>
      <c r="N1470" s="15">
        <v>45338.983051000003</v>
      </c>
      <c r="O1470" s="15">
        <f t="shared" si="53"/>
        <v>226694.915255</v>
      </c>
      <c r="P1470" s="15"/>
      <c r="Q1470" s="14" t="s">
        <v>520</v>
      </c>
      <c r="R1470" s="25">
        <v>45688</v>
      </c>
      <c r="S1470" s="34" t="str">
        <f>TEXT(Table1[[#This Row],[End Date]],"MMMM")</f>
        <v>January</v>
      </c>
      <c r="T1470" s="34" t="str">
        <f>TEXT(Table1[[#This Row],[End Date]],"YYYY")</f>
        <v>2025</v>
      </c>
      <c r="U1470" s="24">
        <f t="shared" ca="1" si="52"/>
        <v>-555</v>
      </c>
      <c r="V1470" s="14" t="str" cm="1">
        <f t="array" aca="1" ref="V1470" ca="1">_xlfn.IFS(Table1[[#This Row],[Agreement Days]]&gt;=0,"Expired",Table1[[#This Row],[Agreement Days]]&gt;=-30,"Expires &lt; 30 Days",Table1[[#This Row],[Agreement Days]]&gt;=-60,"Expires &lt; 60 Days",Table1[[#This Row],[Agreement Days]]&lt;-60,"Valid Contract")</f>
        <v>Valid Contract</v>
      </c>
      <c r="W1470" s="69" t="s">
        <v>14</v>
      </c>
      <c r="X1470" s="18" t="s">
        <v>2802</v>
      </c>
      <c r="Y1470" s="39" t="s">
        <v>2804</v>
      </c>
      <c r="Z1470" s="27" t="s">
        <v>2805</v>
      </c>
      <c r="AA1470" s="27"/>
      <c r="AB1470" s="123"/>
      <c r="AC1470" s="123"/>
    </row>
    <row r="1471" spans="1:29" s="11" customFormat="1" hidden="1" x14ac:dyDescent="0.3">
      <c r="A1471" s="18" t="s">
        <v>1061</v>
      </c>
      <c r="B1471" s="18" t="s">
        <v>393</v>
      </c>
      <c r="C1471" s="18" t="s">
        <v>1062</v>
      </c>
      <c r="D1471" s="14" t="s">
        <v>542</v>
      </c>
      <c r="E1471" s="18" t="s">
        <v>9</v>
      </c>
      <c r="F1471" s="14" t="s">
        <v>688</v>
      </c>
      <c r="G1471" s="14" t="s">
        <v>518</v>
      </c>
      <c r="H1471" s="18" t="s">
        <v>5</v>
      </c>
      <c r="I1471" s="14" t="s">
        <v>115</v>
      </c>
      <c r="J1471" s="18"/>
      <c r="K1471" s="18" t="s">
        <v>651</v>
      </c>
      <c r="L1471" s="18"/>
      <c r="M1471" s="14">
        <v>1</v>
      </c>
      <c r="N1471" s="15">
        <f>96000/1.18</f>
        <v>81355.932203389835</v>
      </c>
      <c r="O1471" s="15">
        <f t="shared" si="53"/>
        <v>81355.932203389835</v>
      </c>
      <c r="P1471" s="15"/>
      <c r="Q1471" s="14" t="s">
        <v>520</v>
      </c>
      <c r="R1471" s="25">
        <v>45688</v>
      </c>
      <c r="S1471" s="34" t="str">
        <f>TEXT(Table1[[#This Row],[End Date]],"MMMM")</f>
        <v>January</v>
      </c>
      <c r="T1471" s="34" t="str">
        <f>TEXT(Table1[[#This Row],[End Date]],"YYYY")</f>
        <v>2025</v>
      </c>
      <c r="U1471" s="24">
        <f t="shared" ca="1" si="52"/>
        <v>-555</v>
      </c>
      <c r="V1471" s="14" t="str" cm="1">
        <f t="array" aca="1" ref="V1471" ca="1">_xlfn.IFS(Table1[[#This Row],[Agreement Days]]&gt;=0,"Expired",Table1[[#This Row],[Agreement Days]]&gt;=-30,"Expires &lt; 30 Days",Table1[[#This Row],[Agreement Days]]&gt;=-60,"Expires &lt; 60 Days",Table1[[#This Row],[Agreement Days]]&lt;-60,"Valid Contract")</f>
        <v>Valid Contract</v>
      </c>
      <c r="W1471" s="18" t="s">
        <v>21</v>
      </c>
      <c r="X1471" s="18" t="s">
        <v>1063</v>
      </c>
      <c r="Y1471" s="42" t="s">
        <v>1064</v>
      </c>
      <c r="Z1471" s="27">
        <v>788470934</v>
      </c>
      <c r="AA1471" s="27"/>
      <c r="AB1471" s="123"/>
      <c r="AC1471" s="123"/>
    </row>
    <row r="1472" spans="1:29" s="11" customFormat="1" hidden="1" x14ac:dyDescent="0.3">
      <c r="A1472" s="18" t="s">
        <v>1061</v>
      </c>
      <c r="B1472" s="18" t="s">
        <v>393</v>
      </c>
      <c r="C1472" s="18" t="s">
        <v>1062</v>
      </c>
      <c r="D1472" s="14" t="s">
        <v>542</v>
      </c>
      <c r="E1472" s="18" t="s">
        <v>9</v>
      </c>
      <c r="F1472" s="14" t="s">
        <v>688</v>
      </c>
      <c r="G1472" s="14" t="s">
        <v>518</v>
      </c>
      <c r="H1472" s="18" t="s">
        <v>5</v>
      </c>
      <c r="I1472" s="14" t="s">
        <v>115</v>
      </c>
      <c r="J1472" s="18"/>
      <c r="K1472" s="18" t="s">
        <v>642</v>
      </c>
      <c r="L1472" s="18"/>
      <c r="M1472" s="14">
        <v>1</v>
      </c>
      <c r="N1472" s="15">
        <v>101694.92</v>
      </c>
      <c r="O1472" s="15">
        <f t="shared" si="53"/>
        <v>101694.92</v>
      </c>
      <c r="P1472" s="15"/>
      <c r="Q1472" s="14" t="s">
        <v>520</v>
      </c>
      <c r="R1472" s="25">
        <v>45688</v>
      </c>
      <c r="S1472" s="34" t="str">
        <f>TEXT(Table1[[#This Row],[End Date]],"MMMM")</f>
        <v>January</v>
      </c>
      <c r="T1472" s="34" t="str">
        <f>TEXT(Table1[[#This Row],[End Date]],"YYYY")</f>
        <v>2025</v>
      </c>
      <c r="U1472" s="24">
        <f t="shared" ca="1" si="52"/>
        <v>-555</v>
      </c>
      <c r="V1472" s="14" t="str" cm="1">
        <f t="array" aca="1" ref="V1472" ca="1">_xlfn.IFS(Table1[[#This Row],[Agreement Days]]&gt;=0,"Expired",Table1[[#This Row],[Agreement Days]]&gt;=-30,"Expires &lt; 30 Days",Table1[[#This Row],[Agreement Days]]&gt;=-60,"Expires &lt; 60 Days",Table1[[#This Row],[Agreement Days]]&lt;-60,"Valid Contract")</f>
        <v>Valid Contract</v>
      </c>
      <c r="W1472" s="18" t="s">
        <v>21</v>
      </c>
      <c r="X1472" s="18" t="s">
        <v>1063</v>
      </c>
      <c r="Y1472" s="42" t="s">
        <v>1064</v>
      </c>
      <c r="Z1472" s="27">
        <v>788470934</v>
      </c>
      <c r="AA1472" s="27"/>
      <c r="AB1472" s="123"/>
      <c r="AC1472" s="123"/>
    </row>
    <row r="1473" spans="1:29" s="11" customFormat="1" hidden="1" x14ac:dyDescent="0.3">
      <c r="A1473" s="18" t="s">
        <v>2806</v>
      </c>
      <c r="B1473" s="18" t="s">
        <v>451</v>
      </c>
      <c r="C1473" s="18" t="s">
        <v>451</v>
      </c>
      <c r="D1473" s="14" t="s">
        <v>653</v>
      </c>
      <c r="E1473" s="18" t="s">
        <v>9</v>
      </c>
      <c r="F1473" s="70" t="s">
        <v>1203</v>
      </c>
      <c r="G1473" s="70" t="s">
        <v>518</v>
      </c>
      <c r="H1473" s="18" t="s">
        <v>5</v>
      </c>
      <c r="I1473" s="14" t="s">
        <v>115</v>
      </c>
      <c r="J1473" s="14"/>
      <c r="K1473" s="20" t="s">
        <v>2807</v>
      </c>
      <c r="L1473" s="14"/>
      <c r="M1473" s="14">
        <v>1</v>
      </c>
      <c r="N1473" s="15">
        <v>84745</v>
      </c>
      <c r="O1473" s="15">
        <f t="shared" si="53"/>
        <v>84745</v>
      </c>
      <c r="P1473" s="15"/>
      <c r="Q1473" s="14" t="s">
        <v>520</v>
      </c>
      <c r="R1473" s="21">
        <v>45688</v>
      </c>
      <c r="S1473" s="22" t="str">
        <f>TEXT(Table1[[#This Row],[End Date]],"MMMM")</f>
        <v>January</v>
      </c>
      <c r="T1473" s="22" t="str">
        <f>TEXT(Table1[[#This Row],[End Date]],"YYYY")</f>
        <v>2025</v>
      </c>
      <c r="U1473" s="28">
        <f t="shared" ca="1" si="52"/>
        <v>-555</v>
      </c>
      <c r="V1473" s="14" t="str" cm="1">
        <f t="array" aca="1" ref="V1473" ca="1">_xlfn.IFS(Table1[[#This Row],[Agreement Days]]&gt;=0,"Expired",Table1[[#This Row],[Agreement Days]]&gt;=-30,"Expires &lt; 30 Days",Table1[[#This Row],[Agreement Days]]&gt;=-60,"Expires &lt; 60 Days",Table1[[#This Row],[Agreement Days]]&lt;-60,"Valid Contract")</f>
        <v>Valid Contract</v>
      </c>
      <c r="W1473" s="14" t="s">
        <v>15</v>
      </c>
      <c r="X1473" s="20" t="s">
        <v>2808</v>
      </c>
      <c r="Y1473" s="71" t="s">
        <v>2809</v>
      </c>
      <c r="Z1473" s="62" t="s">
        <v>2810</v>
      </c>
      <c r="AA1473" s="14"/>
      <c r="AB1473" s="123"/>
      <c r="AC1473" s="123"/>
    </row>
    <row r="1474" spans="1:29" s="11" customFormat="1" hidden="1" x14ac:dyDescent="0.3">
      <c r="A1474" s="18" t="s">
        <v>2811</v>
      </c>
      <c r="B1474" s="18" t="s">
        <v>373</v>
      </c>
      <c r="C1474" s="18" t="s">
        <v>2812</v>
      </c>
      <c r="D1474" s="14" t="s">
        <v>759</v>
      </c>
      <c r="E1474" s="18" t="s">
        <v>10</v>
      </c>
      <c r="F1474" s="14" t="s">
        <v>888</v>
      </c>
      <c r="G1474" s="14" t="s">
        <v>518</v>
      </c>
      <c r="H1474" s="18" t="s">
        <v>5</v>
      </c>
      <c r="I1474" s="14" t="s">
        <v>134</v>
      </c>
      <c r="J1474" s="14">
        <v>4</v>
      </c>
      <c r="K1474" s="14" t="s">
        <v>2813</v>
      </c>
      <c r="L1474" s="14"/>
      <c r="M1474" s="14">
        <v>1</v>
      </c>
      <c r="N1474" s="15">
        <v>410000</v>
      </c>
      <c r="O1474" s="15">
        <f t="shared" si="53"/>
        <v>410000</v>
      </c>
      <c r="P1474" s="15"/>
      <c r="Q1474" s="14" t="s">
        <v>520</v>
      </c>
      <c r="R1474" s="25">
        <v>45699</v>
      </c>
      <c r="S1474" s="22" t="str">
        <f>TEXT(Table1[[#This Row],[End Date]],"MMMM")</f>
        <v>February</v>
      </c>
      <c r="T1474" s="23" t="str">
        <f>TEXT(Table1[[#This Row],[End Date]],"YYYY")</f>
        <v>2025</v>
      </c>
      <c r="U1474" s="24">
        <f t="shared" ca="1" si="52"/>
        <v>-566</v>
      </c>
      <c r="V1474" s="14" t="str" cm="1">
        <f t="array" aca="1" ref="V1474" ca="1">_xlfn.IFS(Table1[[#This Row],[Agreement Days]]&gt;=0,"Expired",Table1[[#This Row],[Agreement Days]]&gt;=-30,"Expires &lt; 30 Days",Table1[[#This Row],[Agreement Days]]&gt;=-60,"Expires &lt; 60 Days",Table1[[#This Row],[Agreement Days]]&lt;-60,"Valid Contract")</f>
        <v>Valid Contract</v>
      </c>
      <c r="W1474" s="14" t="s">
        <v>19</v>
      </c>
      <c r="X1474" s="14" t="s">
        <v>2814</v>
      </c>
      <c r="Y1474" s="43" t="s">
        <v>2815</v>
      </c>
      <c r="Z1474" s="27">
        <v>788849435</v>
      </c>
      <c r="AA1474" s="17"/>
      <c r="AB1474" s="123"/>
      <c r="AC1474" s="123"/>
    </row>
    <row r="1475" spans="1:29" s="11" customFormat="1" hidden="1" x14ac:dyDescent="0.3">
      <c r="A1475" s="18" t="s">
        <v>2816</v>
      </c>
      <c r="B1475" s="18" t="s">
        <v>321</v>
      </c>
      <c r="C1475" s="18" t="s">
        <v>544</v>
      </c>
      <c r="D1475" s="14" t="s">
        <v>545</v>
      </c>
      <c r="E1475" s="18" t="s">
        <v>9</v>
      </c>
      <c r="F1475" s="14" t="s">
        <v>688</v>
      </c>
      <c r="G1475" s="14" t="s">
        <v>518</v>
      </c>
      <c r="H1475" s="18" t="s">
        <v>5</v>
      </c>
      <c r="I1475" s="14" t="s">
        <v>117</v>
      </c>
      <c r="J1475" s="19">
        <v>20</v>
      </c>
      <c r="K1475" s="26" t="s">
        <v>1440</v>
      </c>
      <c r="L1475" s="26"/>
      <c r="M1475" s="19">
        <v>1</v>
      </c>
      <c r="N1475" s="15">
        <v>900000</v>
      </c>
      <c r="O1475" s="15">
        <f t="shared" si="53"/>
        <v>900000</v>
      </c>
      <c r="P1475" s="15"/>
      <c r="Q1475" s="14" t="s">
        <v>520</v>
      </c>
      <c r="R1475" s="25">
        <v>45703</v>
      </c>
      <c r="S1475" s="34" t="str">
        <f>TEXT(Table1[[#This Row],[End Date]],"MMMM")</f>
        <v>February</v>
      </c>
      <c r="T1475" s="34" t="str">
        <f>TEXT(Table1[[#This Row],[End Date]],"YYYY")</f>
        <v>2025</v>
      </c>
      <c r="U1475" s="24">
        <f t="shared" ca="1" si="52"/>
        <v>-570</v>
      </c>
      <c r="V1475" s="14" t="str" cm="1">
        <f t="array" aca="1" ref="V1475" ca="1">_xlfn.IFS(Table1[[#This Row],[Agreement Days]]&gt;=0,"Expired",Table1[[#This Row],[Agreement Days]]&gt;=-30,"Expires &lt; 30 Days",Table1[[#This Row],[Agreement Days]]&gt;=-60,"Expires &lt; 60 Days",Table1[[#This Row],[Agreement Days]]&lt;-60,"Valid Contract")</f>
        <v>Valid Contract</v>
      </c>
      <c r="W1475" s="26" t="s">
        <v>17</v>
      </c>
      <c r="X1475" s="55" t="s">
        <v>2817</v>
      </c>
      <c r="Y1475" s="35" t="s">
        <v>2818</v>
      </c>
      <c r="Z1475" s="27">
        <v>783658167</v>
      </c>
      <c r="AA1475" s="55"/>
      <c r="AB1475" s="123"/>
      <c r="AC1475" s="123"/>
    </row>
    <row r="1476" spans="1:29" s="11" customFormat="1" hidden="1" x14ac:dyDescent="0.3">
      <c r="A1476" s="18" t="s">
        <v>2819</v>
      </c>
      <c r="B1476" s="18" t="s">
        <v>150</v>
      </c>
      <c r="C1476" s="18" t="s">
        <v>2820</v>
      </c>
      <c r="D1476" s="20" t="s">
        <v>579</v>
      </c>
      <c r="E1476" s="18" t="s">
        <v>9</v>
      </c>
      <c r="F1476" s="20" t="s">
        <v>517</v>
      </c>
      <c r="G1476" s="20" t="s">
        <v>518</v>
      </c>
      <c r="H1476" s="18" t="s">
        <v>5</v>
      </c>
      <c r="I1476" s="20" t="s">
        <v>117</v>
      </c>
      <c r="J1476" s="20">
        <v>1</v>
      </c>
      <c r="K1476" s="18" t="s">
        <v>2821</v>
      </c>
      <c r="L1476" s="18"/>
      <c r="M1476" s="20">
        <v>1</v>
      </c>
      <c r="N1476" s="15">
        <v>90000</v>
      </c>
      <c r="O1476" s="15">
        <f t="shared" si="53"/>
        <v>90000</v>
      </c>
      <c r="P1476" s="15"/>
      <c r="Q1476" s="14" t="s">
        <v>520</v>
      </c>
      <c r="R1476" s="25">
        <v>45706</v>
      </c>
      <c r="S1476" s="34" t="str">
        <f>TEXT(Table1[[#This Row],[End Date]],"MMMM")</f>
        <v>February</v>
      </c>
      <c r="T1476" s="34" t="str">
        <f>TEXT(Table1[[#This Row],[End Date]],"YYYY")</f>
        <v>2025</v>
      </c>
      <c r="U1476" s="28">
        <f t="shared" ca="1" si="52"/>
        <v>-573</v>
      </c>
      <c r="V1476" s="14" t="str" cm="1">
        <f t="array" aca="1" ref="V1476" ca="1">_xlfn.IFS(Table1[[#This Row],[Agreement Days]]&gt;=0,"Expired",Table1[[#This Row],[Agreement Days]]&gt;=-30,"Expires &lt; 30 Days",Table1[[#This Row],[Agreement Days]]&gt;=-60,"Expires &lt; 60 Days",Table1[[#This Row],[Agreement Days]]&lt;-60,"Valid Contract")</f>
        <v>Valid Contract</v>
      </c>
      <c r="W1476" s="18" t="s">
        <v>18</v>
      </c>
      <c r="X1476" s="18" t="s">
        <v>2822</v>
      </c>
      <c r="Y1476" s="42" t="s">
        <v>2823</v>
      </c>
      <c r="Z1476" s="27" t="s">
        <v>2824</v>
      </c>
      <c r="AA1476" s="27"/>
      <c r="AB1476" s="123"/>
      <c r="AC1476" s="123"/>
    </row>
    <row r="1477" spans="1:29" s="11" customFormat="1" hidden="1" x14ac:dyDescent="0.3">
      <c r="A1477" s="18" t="s">
        <v>2819</v>
      </c>
      <c r="B1477" s="18" t="s">
        <v>150</v>
      </c>
      <c r="C1477" s="18" t="s">
        <v>2825</v>
      </c>
      <c r="D1477" s="20" t="s">
        <v>735</v>
      </c>
      <c r="E1477" s="18" t="s">
        <v>9</v>
      </c>
      <c r="F1477" s="20" t="s">
        <v>517</v>
      </c>
      <c r="G1477" s="20" t="s">
        <v>518</v>
      </c>
      <c r="H1477" s="18" t="s">
        <v>5</v>
      </c>
      <c r="I1477" s="20" t="s">
        <v>117</v>
      </c>
      <c r="J1477" s="20">
        <v>3</v>
      </c>
      <c r="K1477" s="18" t="s">
        <v>646</v>
      </c>
      <c r="L1477" s="18"/>
      <c r="M1477" s="20">
        <v>1</v>
      </c>
      <c r="N1477" s="15">
        <v>180000</v>
      </c>
      <c r="O1477" s="15">
        <f t="shared" si="53"/>
        <v>180000</v>
      </c>
      <c r="P1477" s="15"/>
      <c r="Q1477" s="14" t="s">
        <v>520</v>
      </c>
      <c r="R1477" s="25">
        <v>45706</v>
      </c>
      <c r="S1477" s="34" t="str">
        <f>TEXT(Table1[[#This Row],[End Date]],"MMMM")</f>
        <v>February</v>
      </c>
      <c r="T1477" s="34" t="str">
        <f>TEXT(Table1[[#This Row],[End Date]],"YYYY")</f>
        <v>2025</v>
      </c>
      <c r="U1477" s="28">
        <f t="shared" ca="1" si="52"/>
        <v>-573</v>
      </c>
      <c r="V1477" s="14" t="str" cm="1">
        <f t="array" aca="1" ref="V1477" ca="1">_xlfn.IFS(Table1[[#This Row],[Agreement Days]]&gt;=0,"Expired",Table1[[#This Row],[Agreement Days]]&gt;=-30,"Expires &lt; 30 Days",Table1[[#This Row],[Agreement Days]]&gt;=-60,"Expires &lt; 60 Days",Table1[[#This Row],[Agreement Days]]&lt;-60,"Valid Contract")</f>
        <v>Valid Contract</v>
      </c>
      <c r="W1477" s="18" t="s">
        <v>18</v>
      </c>
      <c r="X1477" s="18" t="s">
        <v>2822</v>
      </c>
      <c r="Y1477" s="42" t="s">
        <v>2823</v>
      </c>
      <c r="Z1477" s="27" t="s">
        <v>2824</v>
      </c>
      <c r="AA1477" s="27"/>
      <c r="AB1477" s="123"/>
      <c r="AC1477" s="123"/>
    </row>
    <row r="1478" spans="1:29" s="11" customFormat="1" hidden="1" x14ac:dyDescent="0.3">
      <c r="A1478" s="18" t="s">
        <v>2819</v>
      </c>
      <c r="B1478" s="18" t="s">
        <v>150</v>
      </c>
      <c r="C1478" s="18" t="s">
        <v>2826</v>
      </c>
      <c r="D1478" s="20" t="s">
        <v>735</v>
      </c>
      <c r="E1478" s="18" t="s">
        <v>9</v>
      </c>
      <c r="F1478" s="20" t="s">
        <v>517</v>
      </c>
      <c r="G1478" s="20" t="s">
        <v>518</v>
      </c>
      <c r="H1478" s="18" t="s">
        <v>5</v>
      </c>
      <c r="I1478" s="20" t="s">
        <v>117</v>
      </c>
      <c r="J1478" s="20">
        <v>3</v>
      </c>
      <c r="K1478" s="18" t="s">
        <v>2827</v>
      </c>
      <c r="L1478" s="18"/>
      <c r="M1478" s="20">
        <v>1</v>
      </c>
      <c r="N1478" s="15">
        <v>180000</v>
      </c>
      <c r="O1478" s="15">
        <f t="shared" si="53"/>
        <v>180000</v>
      </c>
      <c r="P1478" s="15"/>
      <c r="Q1478" s="14" t="s">
        <v>520</v>
      </c>
      <c r="R1478" s="25">
        <v>45706</v>
      </c>
      <c r="S1478" s="34" t="str">
        <f>TEXT(Table1[[#This Row],[End Date]],"MMMM")</f>
        <v>February</v>
      </c>
      <c r="T1478" s="34" t="str">
        <f>TEXT(Table1[[#This Row],[End Date]],"YYYY")</f>
        <v>2025</v>
      </c>
      <c r="U1478" s="28">
        <f t="shared" ca="1" si="52"/>
        <v>-573</v>
      </c>
      <c r="V1478" s="14" t="str" cm="1">
        <f t="array" aca="1" ref="V1478" ca="1">_xlfn.IFS(Table1[[#This Row],[Agreement Days]]&gt;=0,"Expired",Table1[[#This Row],[Agreement Days]]&gt;=-30,"Expires &lt; 30 Days",Table1[[#This Row],[Agreement Days]]&gt;=-60,"Expires &lt; 60 Days",Table1[[#This Row],[Agreement Days]]&lt;-60,"Valid Contract")</f>
        <v>Valid Contract</v>
      </c>
      <c r="W1478" s="18" t="s">
        <v>18</v>
      </c>
      <c r="X1478" s="18" t="s">
        <v>2822</v>
      </c>
      <c r="Y1478" s="42" t="s">
        <v>2823</v>
      </c>
      <c r="Z1478" s="27" t="s">
        <v>2824</v>
      </c>
      <c r="AA1478" s="27"/>
      <c r="AB1478" s="123"/>
      <c r="AC1478" s="123"/>
    </row>
    <row r="1479" spans="1:29" s="11" customFormat="1" hidden="1" x14ac:dyDescent="0.3">
      <c r="A1479" s="18" t="s">
        <v>2819</v>
      </c>
      <c r="B1479" s="18" t="s">
        <v>150</v>
      </c>
      <c r="C1479" s="18" t="s">
        <v>2828</v>
      </c>
      <c r="D1479" s="20" t="s">
        <v>653</v>
      </c>
      <c r="E1479" s="18" t="s">
        <v>9</v>
      </c>
      <c r="F1479" s="20" t="s">
        <v>517</v>
      </c>
      <c r="G1479" s="20" t="s">
        <v>518</v>
      </c>
      <c r="H1479" s="18" t="s">
        <v>5</v>
      </c>
      <c r="I1479" s="20" t="s">
        <v>117</v>
      </c>
      <c r="J1479" s="20">
        <v>3</v>
      </c>
      <c r="K1479" s="18" t="s">
        <v>2827</v>
      </c>
      <c r="L1479" s="18"/>
      <c r="M1479" s="20">
        <v>1</v>
      </c>
      <c r="N1479" s="15">
        <v>180000</v>
      </c>
      <c r="O1479" s="15">
        <f t="shared" si="53"/>
        <v>180000</v>
      </c>
      <c r="P1479" s="15"/>
      <c r="Q1479" s="14" t="s">
        <v>520</v>
      </c>
      <c r="R1479" s="25">
        <v>45706</v>
      </c>
      <c r="S1479" s="34" t="str">
        <f>TEXT(Table1[[#This Row],[End Date]],"MMMM")</f>
        <v>February</v>
      </c>
      <c r="T1479" s="34" t="str">
        <f>TEXT(Table1[[#This Row],[End Date]],"YYYY")</f>
        <v>2025</v>
      </c>
      <c r="U1479" s="28">
        <f t="shared" ref="U1479:U1542" ca="1" si="54">TODAY()-R1479</f>
        <v>-573</v>
      </c>
      <c r="V1479" s="14" t="str" cm="1">
        <f t="array" aca="1" ref="V1479" ca="1">_xlfn.IFS(Table1[[#This Row],[Agreement Days]]&gt;=0,"Expired",Table1[[#This Row],[Agreement Days]]&gt;=-30,"Expires &lt; 30 Days",Table1[[#This Row],[Agreement Days]]&gt;=-60,"Expires &lt; 60 Days",Table1[[#This Row],[Agreement Days]]&lt;-60,"Valid Contract")</f>
        <v>Valid Contract</v>
      </c>
      <c r="W1479" s="18" t="s">
        <v>18</v>
      </c>
      <c r="X1479" s="18" t="s">
        <v>2822</v>
      </c>
      <c r="Y1479" s="42" t="s">
        <v>2823</v>
      </c>
      <c r="Z1479" s="27" t="s">
        <v>2824</v>
      </c>
      <c r="AA1479" s="27"/>
      <c r="AB1479" s="123"/>
      <c r="AC1479" s="123"/>
    </row>
    <row r="1480" spans="1:29" s="11" customFormat="1" hidden="1" x14ac:dyDescent="0.3">
      <c r="A1480" s="18" t="s">
        <v>2819</v>
      </c>
      <c r="B1480" s="18" t="s">
        <v>150</v>
      </c>
      <c r="C1480" s="18" t="s">
        <v>2829</v>
      </c>
      <c r="D1480" s="20" t="s">
        <v>769</v>
      </c>
      <c r="E1480" s="18" t="s">
        <v>9</v>
      </c>
      <c r="F1480" s="20" t="s">
        <v>517</v>
      </c>
      <c r="G1480" s="20" t="s">
        <v>518</v>
      </c>
      <c r="H1480" s="18" t="s">
        <v>5</v>
      </c>
      <c r="I1480" s="20" t="s">
        <v>117</v>
      </c>
      <c r="J1480" s="20">
        <v>3</v>
      </c>
      <c r="K1480" s="18" t="s">
        <v>2827</v>
      </c>
      <c r="L1480" s="18"/>
      <c r="M1480" s="20">
        <v>1</v>
      </c>
      <c r="N1480" s="15">
        <v>180000</v>
      </c>
      <c r="O1480" s="15">
        <f t="shared" si="53"/>
        <v>180000</v>
      </c>
      <c r="P1480" s="15"/>
      <c r="Q1480" s="14" t="s">
        <v>520</v>
      </c>
      <c r="R1480" s="25">
        <v>45706</v>
      </c>
      <c r="S1480" s="34" t="str">
        <f>TEXT(Table1[[#This Row],[End Date]],"MMMM")</f>
        <v>February</v>
      </c>
      <c r="T1480" s="34" t="str">
        <f>TEXT(Table1[[#This Row],[End Date]],"YYYY")</f>
        <v>2025</v>
      </c>
      <c r="U1480" s="28">
        <f t="shared" ca="1" si="54"/>
        <v>-573</v>
      </c>
      <c r="V1480" s="14" t="str" cm="1">
        <f t="array" aca="1" ref="V1480" ca="1">_xlfn.IFS(Table1[[#This Row],[Agreement Days]]&gt;=0,"Expired",Table1[[#This Row],[Agreement Days]]&gt;=-30,"Expires &lt; 30 Days",Table1[[#This Row],[Agreement Days]]&gt;=-60,"Expires &lt; 60 Days",Table1[[#This Row],[Agreement Days]]&lt;-60,"Valid Contract")</f>
        <v>Valid Contract</v>
      </c>
      <c r="W1480" s="18" t="s">
        <v>18</v>
      </c>
      <c r="X1480" s="18" t="s">
        <v>2822</v>
      </c>
      <c r="Y1480" s="42" t="s">
        <v>2823</v>
      </c>
      <c r="Z1480" s="27" t="s">
        <v>2824</v>
      </c>
      <c r="AA1480" s="27"/>
      <c r="AB1480" s="123"/>
      <c r="AC1480" s="123"/>
    </row>
    <row r="1481" spans="1:29" s="11" customFormat="1" hidden="1" x14ac:dyDescent="0.3">
      <c r="A1481" s="18" t="s">
        <v>2819</v>
      </c>
      <c r="B1481" s="18" t="s">
        <v>150</v>
      </c>
      <c r="C1481" s="18" t="s">
        <v>2830</v>
      </c>
      <c r="D1481" s="20" t="s">
        <v>808</v>
      </c>
      <c r="E1481" s="18" t="s">
        <v>9</v>
      </c>
      <c r="F1481" s="20" t="s">
        <v>517</v>
      </c>
      <c r="G1481" s="20" t="s">
        <v>518</v>
      </c>
      <c r="H1481" s="18" t="s">
        <v>5</v>
      </c>
      <c r="I1481" s="20" t="s">
        <v>117</v>
      </c>
      <c r="J1481" s="20">
        <v>5</v>
      </c>
      <c r="K1481" s="18" t="s">
        <v>2831</v>
      </c>
      <c r="L1481" s="18"/>
      <c r="M1481" s="20">
        <v>1</v>
      </c>
      <c r="N1481" s="15">
        <v>270000</v>
      </c>
      <c r="O1481" s="15">
        <f t="shared" si="53"/>
        <v>270000</v>
      </c>
      <c r="P1481" s="15"/>
      <c r="Q1481" s="14" t="s">
        <v>520</v>
      </c>
      <c r="R1481" s="25">
        <v>45706</v>
      </c>
      <c r="S1481" s="34" t="str">
        <f>TEXT(Table1[[#This Row],[End Date]],"MMMM")</f>
        <v>February</v>
      </c>
      <c r="T1481" s="34" t="str">
        <f>TEXT(Table1[[#This Row],[End Date]],"YYYY")</f>
        <v>2025</v>
      </c>
      <c r="U1481" s="28">
        <f t="shared" ca="1" si="54"/>
        <v>-573</v>
      </c>
      <c r="V1481" s="14" t="str" cm="1">
        <f t="array" aca="1" ref="V1481" ca="1">_xlfn.IFS(Table1[[#This Row],[Agreement Days]]&gt;=0,"Expired",Table1[[#This Row],[Agreement Days]]&gt;=-30,"Expires &lt; 30 Days",Table1[[#This Row],[Agreement Days]]&gt;=-60,"Expires &lt; 60 Days",Table1[[#This Row],[Agreement Days]]&lt;-60,"Valid Contract")</f>
        <v>Valid Contract</v>
      </c>
      <c r="W1481" s="18" t="s">
        <v>18</v>
      </c>
      <c r="X1481" s="18" t="s">
        <v>2822</v>
      </c>
      <c r="Y1481" s="42" t="s">
        <v>2823</v>
      </c>
      <c r="Z1481" s="27" t="s">
        <v>2824</v>
      </c>
      <c r="AA1481" s="27"/>
      <c r="AB1481" s="123"/>
      <c r="AC1481" s="123"/>
    </row>
    <row r="1482" spans="1:29" s="11" customFormat="1" hidden="1" x14ac:dyDescent="0.3">
      <c r="A1482" s="18" t="s">
        <v>2819</v>
      </c>
      <c r="B1482" s="18" t="s">
        <v>150</v>
      </c>
      <c r="C1482" s="18" t="s">
        <v>2832</v>
      </c>
      <c r="D1482" s="20" t="s">
        <v>735</v>
      </c>
      <c r="E1482" s="18" t="s">
        <v>9</v>
      </c>
      <c r="F1482" s="20" t="s">
        <v>517</v>
      </c>
      <c r="G1482" s="20" t="s">
        <v>518</v>
      </c>
      <c r="H1482" s="18" t="s">
        <v>5</v>
      </c>
      <c r="I1482" s="20" t="s">
        <v>117</v>
      </c>
      <c r="J1482" s="20">
        <v>5</v>
      </c>
      <c r="K1482" s="18" t="s">
        <v>2831</v>
      </c>
      <c r="L1482" s="18"/>
      <c r="M1482" s="20">
        <v>1</v>
      </c>
      <c r="N1482" s="15">
        <v>270000</v>
      </c>
      <c r="O1482" s="15">
        <f t="shared" si="53"/>
        <v>270000</v>
      </c>
      <c r="P1482" s="15"/>
      <c r="Q1482" s="14" t="s">
        <v>520</v>
      </c>
      <c r="R1482" s="25">
        <v>45706</v>
      </c>
      <c r="S1482" s="34" t="str">
        <f>TEXT(Table1[[#This Row],[End Date]],"MMMM")</f>
        <v>February</v>
      </c>
      <c r="T1482" s="34" t="str">
        <f>TEXT(Table1[[#This Row],[End Date]],"YYYY")</f>
        <v>2025</v>
      </c>
      <c r="U1482" s="28">
        <f t="shared" ca="1" si="54"/>
        <v>-573</v>
      </c>
      <c r="V1482" s="14" t="str" cm="1">
        <f t="array" aca="1" ref="V1482" ca="1">_xlfn.IFS(Table1[[#This Row],[Agreement Days]]&gt;=0,"Expired",Table1[[#This Row],[Agreement Days]]&gt;=-30,"Expires &lt; 30 Days",Table1[[#This Row],[Agreement Days]]&gt;=-60,"Expires &lt; 60 Days",Table1[[#This Row],[Agreement Days]]&lt;-60,"Valid Contract")</f>
        <v>Valid Contract</v>
      </c>
      <c r="W1482" s="18" t="s">
        <v>18</v>
      </c>
      <c r="X1482" s="18" t="s">
        <v>2822</v>
      </c>
      <c r="Y1482" s="42" t="s">
        <v>2823</v>
      </c>
      <c r="Z1482" s="27" t="s">
        <v>2824</v>
      </c>
      <c r="AA1482" s="27"/>
      <c r="AB1482" s="123"/>
      <c r="AC1482" s="123"/>
    </row>
    <row r="1483" spans="1:29" s="11" customFormat="1" hidden="1" x14ac:dyDescent="0.3">
      <c r="A1483" s="18" t="s">
        <v>2819</v>
      </c>
      <c r="B1483" s="18" t="s">
        <v>150</v>
      </c>
      <c r="C1483" s="18" t="s">
        <v>2833</v>
      </c>
      <c r="D1483" s="20" t="s">
        <v>873</v>
      </c>
      <c r="E1483" s="18" t="s">
        <v>9</v>
      </c>
      <c r="F1483" s="20" t="s">
        <v>517</v>
      </c>
      <c r="G1483" s="20" t="s">
        <v>518</v>
      </c>
      <c r="H1483" s="18" t="s">
        <v>5</v>
      </c>
      <c r="I1483" s="20" t="s">
        <v>117</v>
      </c>
      <c r="J1483" s="20">
        <v>5</v>
      </c>
      <c r="K1483" s="18" t="s">
        <v>2831</v>
      </c>
      <c r="L1483" s="18"/>
      <c r="M1483" s="20">
        <v>1</v>
      </c>
      <c r="N1483" s="15">
        <v>270000</v>
      </c>
      <c r="O1483" s="15">
        <f t="shared" si="53"/>
        <v>270000</v>
      </c>
      <c r="P1483" s="15"/>
      <c r="Q1483" s="14" t="s">
        <v>520</v>
      </c>
      <c r="R1483" s="25">
        <v>45706</v>
      </c>
      <c r="S1483" s="34" t="str">
        <f>TEXT(Table1[[#This Row],[End Date]],"MMMM")</f>
        <v>February</v>
      </c>
      <c r="T1483" s="34" t="str">
        <f>TEXT(Table1[[#This Row],[End Date]],"YYYY")</f>
        <v>2025</v>
      </c>
      <c r="U1483" s="28">
        <f t="shared" ca="1" si="54"/>
        <v>-573</v>
      </c>
      <c r="V1483" s="14" t="str" cm="1">
        <f t="array" aca="1" ref="V1483" ca="1">_xlfn.IFS(Table1[[#This Row],[Agreement Days]]&gt;=0,"Expired",Table1[[#This Row],[Agreement Days]]&gt;=-30,"Expires &lt; 30 Days",Table1[[#This Row],[Agreement Days]]&gt;=-60,"Expires &lt; 60 Days",Table1[[#This Row],[Agreement Days]]&lt;-60,"Valid Contract")</f>
        <v>Valid Contract</v>
      </c>
      <c r="W1483" s="18" t="s">
        <v>18</v>
      </c>
      <c r="X1483" s="18" t="s">
        <v>2822</v>
      </c>
      <c r="Y1483" s="42" t="s">
        <v>2823</v>
      </c>
      <c r="Z1483" s="27" t="s">
        <v>2824</v>
      </c>
      <c r="AA1483" s="27"/>
      <c r="AB1483" s="123"/>
      <c r="AC1483" s="123"/>
    </row>
    <row r="1484" spans="1:29" s="11" customFormat="1" hidden="1" x14ac:dyDescent="0.3">
      <c r="A1484" s="18" t="s">
        <v>2819</v>
      </c>
      <c r="B1484" s="18" t="s">
        <v>150</v>
      </c>
      <c r="C1484" s="18" t="s">
        <v>2834</v>
      </c>
      <c r="D1484" s="20" t="s">
        <v>545</v>
      </c>
      <c r="E1484" s="18" t="s">
        <v>9</v>
      </c>
      <c r="F1484" s="20" t="s">
        <v>517</v>
      </c>
      <c r="G1484" s="20" t="s">
        <v>518</v>
      </c>
      <c r="H1484" s="18" t="s">
        <v>5</v>
      </c>
      <c r="I1484" s="20" t="s">
        <v>117</v>
      </c>
      <c r="J1484" s="20">
        <v>10</v>
      </c>
      <c r="K1484" s="18" t="s">
        <v>547</v>
      </c>
      <c r="L1484" s="18"/>
      <c r="M1484" s="20">
        <v>1</v>
      </c>
      <c r="N1484" s="15">
        <v>510000</v>
      </c>
      <c r="O1484" s="15">
        <f t="shared" si="53"/>
        <v>510000</v>
      </c>
      <c r="P1484" s="15"/>
      <c r="Q1484" s="14" t="s">
        <v>520</v>
      </c>
      <c r="R1484" s="25">
        <v>45706</v>
      </c>
      <c r="S1484" s="34" t="str">
        <f>TEXT(Table1[[#This Row],[End Date]],"MMMM")</f>
        <v>February</v>
      </c>
      <c r="T1484" s="34" t="str">
        <f>TEXT(Table1[[#This Row],[End Date]],"YYYY")</f>
        <v>2025</v>
      </c>
      <c r="U1484" s="28">
        <f t="shared" ca="1" si="54"/>
        <v>-573</v>
      </c>
      <c r="V1484" s="14" t="str" cm="1">
        <f t="array" aca="1" ref="V1484" ca="1">_xlfn.IFS(Table1[[#This Row],[Agreement Days]]&gt;=0,"Expired",Table1[[#This Row],[Agreement Days]]&gt;=-30,"Expires &lt; 30 Days",Table1[[#This Row],[Agreement Days]]&gt;=-60,"Expires &lt; 60 Days",Table1[[#This Row],[Agreement Days]]&lt;-60,"Valid Contract")</f>
        <v>Valid Contract</v>
      </c>
      <c r="W1484" s="18" t="s">
        <v>18</v>
      </c>
      <c r="X1484" s="18" t="s">
        <v>2822</v>
      </c>
      <c r="Y1484" s="42" t="s">
        <v>2823</v>
      </c>
      <c r="Z1484" s="27" t="s">
        <v>2824</v>
      </c>
      <c r="AA1484" s="27"/>
      <c r="AB1484" s="123"/>
      <c r="AC1484" s="123"/>
    </row>
    <row r="1485" spans="1:29" s="11" customFormat="1" hidden="1" x14ac:dyDescent="0.3">
      <c r="A1485" s="18" t="s">
        <v>2819</v>
      </c>
      <c r="B1485" s="18" t="s">
        <v>150</v>
      </c>
      <c r="C1485" s="18" t="s">
        <v>2835</v>
      </c>
      <c r="D1485" s="20" t="s">
        <v>545</v>
      </c>
      <c r="E1485" s="18" t="s">
        <v>9</v>
      </c>
      <c r="F1485" s="20" t="s">
        <v>517</v>
      </c>
      <c r="G1485" s="20" t="s">
        <v>518</v>
      </c>
      <c r="H1485" s="18" t="s">
        <v>5</v>
      </c>
      <c r="I1485" s="20" t="s">
        <v>117</v>
      </c>
      <c r="J1485" s="20">
        <v>60</v>
      </c>
      <c r="K1485" s="18" t="s">
        <v>2404</v>
      </c>
      <c r="L1485" s="18"/>
      <c r="M1485" s="20">
        <v>1</v>
      </c>
      <c r="N1485" s="15">
        <v>2708100</v>
      </c>
      <c r="O1485" s="15">
        <f t="shared" si="53"/>
        <v>2708100</v>
      </c>
      <c r="P1485" s="15"/>
      <c r="Q1485" s="14" t="s">
        <v>520</v>
      </c>
      <c r="R1485" s="25">
        <v>45706</v>
      </c>
      <c r="S1485" s="34" t="str">
        <f>TEXT(Table1[[#This Row],[End Date]],"MMMM")</f>
        <v>February</v>
      </c>
      <c r="T1485" s="34" t="str">
        <f>TEXT(Table1[[#This Row],[End Date]],"YYYY")</f>
        <v>2025</v>
      </c>
      <c r="U1485" s="28">
        <f t="shared" ca="1" si="54"/>
        <v>-573</v>
      </c>
      <c r="V1485" s="14" t="str" cm="1">
        <f t="array" aca="1" ref="V1485" ca="1">_xlfn.IFS(Table1[[#This Row],[Agreement Days]]&gt;=0,"Expired",Table1[[#This Row],[Agreement Days]]&gt;=-30,"Expires &lt; 30 Days",Table1[[#This Row],[Agreement Days]]&gt;=-60,"Expires &lt; 60 Days",Table1[[#This Row],[Agreement Days]]&lt;-60,"Valid Contract")</f>
        <v>Valid Contract</v>
      </c>
      <c r="W1485" s="18" t="s">
        <v>18</v>
      </c>
      <c r="X1485" s="18" t="s">
        <v>2822</v>
      </c>
      <c r="Y1485" s="42" t="s">
        <v>2823</v>
      </c>
      <c r="Z1485" s="27" t="s">
        <v>2824</v>
      </c>
      <c r="AA1485" s="27"/>
      <c r="AB1485" s="123"/>
      <c r="AC1485" s="123"/>
    </row>
    <row r="1486" spans="1:29" s="11" customFormat="1" hidden="1" x14ac:dyDescent="0.3">
      <c r="A1486" s="18" t="s">
        <v>2819</v>
      </c>
      <c r="B1486" s="18" t="s">
        <v>150</v>
      </c>
      <c r="C1486" s="18" t="s">
        <v>2836</v>
      </c>
      <c r="D1486" s="20" t="s">
        <v>545</v>
      </c>
      <c r="E1486" s="18" t="s">
        <v>9</v>
      </c>
      <c r="F1486" s="20" t="s">
        <v>517</v>
      </c>
      <c r="G1486" s="20" t="s">
        <v>518</v>
      </c>
      <c r="H1486" s="18" t="s">
        <v>5</v>
      </c>
      <c r="I1486" s="20" t="s">
        <v>117</v>
      </c>
      <c r="J1486" s="20">
        <v>100</v>
      </c>
      <c r="K1486" s="18" t="s">
        <v>2082</v>
      </c>
      <c r="L1486" s="18"/>
      <c r="M1486" s="20">
        <v>1</v>
      </c>
      <c r="N1486" s="15">
        <v>3600000</v>
      </c>
      <c r="O1486" s="15">
        <f t="shared" ref="O1486:O1549" si="55">N1486*M1486</f>
        <v>3600000</v>
      </c>
      <c r="P1486" s="15"/>
      <c r="Q1486" s="14" t="s">
        <v>520</v>
      </c>
      <c r="R1486" s="25">
        <v>45706</v>
      </c>
      <c r="S1486" s="34" t="str">
        <f>TEXT(Table1[[#This Row],[End Date]],"MMMM")</f>
        <v>February</v>
      </c>
      <c r="T1486" s="34" t="str">
        <f>TEXT(Table1[[#This Row],[End Date]],"YYYY")</f>
        <v>2025</v>
      </c>
      <c r="U1486" s="28">
        <f t="shared" ca="1" si="54"/>
        <v>-573</v>
      </c>
      <c r="V1486" s="14" t="str" cm="1">
        <f t="array" aca="1" ref="V1486" ca="1">_xlfn.IFS(Table1[[#This Row],[Agreement Days]]&gt;=0,"Expired",Table1[[#This Row],[Agreement Days]]&gt;=-30,"Expires &lt; 30 Days",Table1[[#This Row],[Agreement Days]]&gt;=-60,"Expires &lt; 60 Days",Table1[[#This Row],[Agreement Days]]&lt;-60,"Valid Contract")</f>
        <v>Valid Contract</v>
      </c>
      <c r="W1486" s="18" t="s">
        <v>18</v>
      </c>
      <c r="X1486" s="18" t="s">
        <v>2822</v>
      </c>
      <c r="Y1486" s="42" t="s">
        <v>2823</v>
      </c>
      <c r="Z1486" s="27" t="s">
        <v>2824</v>
      </c>
      <c r="AA1486" s="36"/>
      <c r="AB1486" s="123"/>
      <c r="AC1486" s="123"/>
    </row>
    <row r="1487" spans="1:29" s="11" customFormat="1" hidden="1" x14ac:dyDescent="0.3">
      <c r="A1487" s="18" t="s">
        <v>2819</v>
      </c>
      <c r="B1487" s="18" t="s">
        <v>150</v>
      </c>
      <c r="C1487" s="18" t="s">
        <v>2836</v>
      </c>
      <c r="D1487" s="20" t="s">
        <v>735</v>
      </c>
      <c r="E1487" s="18" t="s">
        <v>9</v>
      </c>
      <c r="F1487" s="20" t="s">
        <v>517</v>
      </c>
      <c r="G1487" s="20" t="s">
        <v>518</v>
      </c>
      <c r="H1487" s="18" t="s">
        <v>2</v>
      </c>
      <c r="I1487" s="20" t="s">
        <v>120</v>
      </c>
      <c r="J1487" s="18"/>
      <c r="K1487" s="18" t="s">
        <v>649</v>
      </c>
      <c r="L1487" s="18"/>
      <c r="M1487" s="20">
        <v>1</v>
      </c>
      <c r="N1487" s="15">
        <v>258044.92</v>
      </c>
      <c r="O1487" s="15">
        <f t="shared" si="55"/>
        <v>258044.92</v>
      </c>
      <c r="P1487" s="15"/>
      <c r="Q1487" s="14" t="s">
        <v>520</v>
      </c>
      <c r="R1487" s="25">
        <v>45706</v>
      </c>
      <c r="S1487" s="34" t="str">
        <f>TEXT(Table1[[#This Row],[End Date]],"MMMM")</f>
        <v>February</v>
      </c>
      <c r="T1487" s="34" t="str">
        <f>TEXT(Table1[[#This Row],[End Date]],"YYYY")</f>
        <v>2025</v>
      </c>
      <c r="U1487" s="28">
        <f t="shared" ca="1" si="54"/>
        <v>-573</v>
      </c>
      <c r="V1487" s="14" t="str" cm="1">
        <f t="array" aca="1" ref="V1487" ca="1">_xlfn.IFS(Table1[[#This Row],[Agreement Days]]&gt;=0,"Expired",Table1[[#This Row],[Agreement Days]]&gt;=-30,"Expires &lt; 30 Days",Table1[[#This Row],[Agreement Days]]&gt;=-60,"Expires &lt; 60 Days",Table1[[#This Row],[Agreement Days]]&lt;-60,"Valid Contract")</f>
        <v>Valid Contract</v>
      </c>
      <c r="W1487" s="18" t="s">
        <v>18</v>
      </c>
      <c r="X1487" s="18" t="s">
        <v>2822</v>
      </c>
      <c r="Y1487" s="42" t="s">
        <v>2823</v>
      </c>
      <c r="Z1487" s="27" t="s">
        <v>2824</v>
      </c>
      <c r="AA1487" s="27"/>
      <c r="AB1487" s="123"/>
      <c r="AC1487" s="123"/>
    </row>
    <row r="1488" spans="1:29" s="11" customFormat="1" hidden="1" x14ac:dyDescent="0.3">
      <c r="A1488" s="18" t="s">
        <v>951</v>
      </c>
      <c r="B1488" s="18" t="s">
        <v>241</v>
      </c>
      <c r="C1488" s="18" t="s">
        <v>2837</v>
      </c>
      <c r="D1488" s="14" t="s">
        <v>545</v>
      </c>
      <c r="E1488" s="18" t="s">
        <v>9</v>
      </c>
      <c r="F1488" s="14" t="s">
        <v>517</v>
      </c>
      <c r="G1488" s="14" t="s">
        <v>546</v>
      </c>
      <c r="H1488" s="18" t="s">
        <v>4</v>
      </c>
      <c r="I1488" s="14" t="s">
        <v>118</v>
      </c>
      <c r="J1488" s="14"/>
      <c r="K1488" s="14" t="s">
        <v>650</v>
      </c>
      <c r="L1488" s="14"/>
      <c r="M1488" s="14">
        <v>1</v>
      </c>
      <c r="N1488" s="15">
        <v>369325.42</v>
      </c>
      <c r="O1488" s="15">
        <f t="shared" si="55"/>
        <v>369325.42</v>
      </c>
      <c r="P1488" s="15"/>
      <c r="Q1488" s="14" t="s">
        <v>520</v>
      </c>
      <c r="R1488" s="25">
        <v>45712</v>
      </c>
      <c r="S1488" s="22" t="str">
        <f>TEXT(Table1[[#This Row],[End Date]],"MMMM")</f>
        <v>February</v>
      </c>
      <c r="T1488" s="23" t="str">
        <f>TEXT(Table1[[#This Row],[End Date]],"YYYY")</f>
        <v>2025</v>
      </c>
      <c r="U1488" s="24">
        <f t="shared" ca="1" si="54"/>
        <v>-579</v>
      </c>
      <c r="V1488" s="14" t="str" cm="1">
        <f t="array" aca="1" ref="V1488" ca="1">_xlfn.IFS(Table1[[#This Row],[Agreement Days]]&gt;=0,"Expired",Table1[[#This Row],[Agreement Days]]&gt;=-30,"Expires &lt; 30 Days",Table1[[#This Row],[Agreement Days]]&gt;=-60,"Expires &lt; 60 Days",Table1[[#This Row],[Agreement Days]]&lt;-60,"Valid Contract")</f>
        <v>Valid Contract</v>
      </c>
      <c r="W1488" s="14" t="s">
        <v>20</v>
      </c>
      <c r="X1488" s="55" t="s">
        <v>2838</v>
      </c>
      <c r="Y1488" s="35" t="s">
        <v>2839</v>
      </c>
      <c r="Z1488" s="27" t="s">
        <v>955</v>
      </c>
      <c r="AA1488" s="19"/>
      <c r="AB1488" s="123"/>
      <c r="AC1488" s="123"/>
    </row>
    <row r="1489" spans="1:29" s="11" customFormat="1" hidden="1" x14ac:dyDescent="0.3">
      <c r="A1489" s="18" t="s">
        <v>2840</v>
      </c>
      <c r="B1489" s="18" t="s">
        <v>72</v>
      </c>
      <c r="C1489" s="18" t="s">
        <v>72</v>
      </c>
      <c r="D1489" s="14" t="s">
        <v>769</v>
      </c>
      <c r="E1489" s="18" t="s">
        <v>9</v>
      </c>
      <c r="F1489" s="14" t="s">
        <v>631</v>
      </c>
      <c r="G1489" s="14" t="s">
        <v>518</v>
      </c>
      <c r="H1489" s="18" t="s">
        <v>5</v>
      </c>
      <c r="I1489" s="14" t="s">
        <v>117</v>
      </c>
      <c r="J1489" s="14">
        <v>3</v>
      </c>
      <c r="K1489" s="14" t="s">
        <v>632</v>
      </c>
      <c r="L1489" s="14"/>
      <c r="M1489" s="14">
        <v>1</v>
      </c>
      <c r="N1489" s="15">
        <v>180000</v>
      </c>
      <c r="O1489" s="15">
        <f t="shared" si="55"/>
        <v>180000</v>
      </c>
      <c r="P1489" s="15"/>
      <c r="Q1489" s="14" t="s">
        <v>520</v>
      </c>
      <c r="R1489" s="25">
        <v>45716</v>
      </c>
      <c r="S1489" s="22" t="str">
        <f>TEXT(Table1[[#This Row],[End Date]],"MMMM")</f>
        <v>February</v>
      </c>
      <c r="T1489" s="23" t="str">
        <f>TEXT(Table1[[#This Row],[End Date]],"YYYY")</f>
        <v>2025</v>
      </c>
      <c r="U1489" s="24">
        <f t="shared" ca="1" si="54"/>
        <v>-583</v>
      </c>
      <c r="V1489" s="14" t="str" cm="1">
        <f t="array" aca="1" ref="V1489" ca="1">_xlfn.IFS(Table1[[#This Row],[Agreement Days]]&gt;=0,"Expired",Table1[[#This Row],[Agreement Days]]&gt;=-30,"Expires &lt; 30 Days",Table1[[#This Row],[Agreement Days]]&gt;=-60,"Expires &lt; 60 Days",Table1[[#This Row],[Agreement Days]]&lt;-60,"Valid Contract")</f>
        <v>Valid Contract</v>
      </c>
      <c r="W1489" s="14" t="s">
        <v>13</v>
      </c>
      <c r="X1489" s="14" t="s">
        <v>2841</v>
      </c>
      <c r="Y1489" s="43" t="s">
        <v>2842</v>
      </c>
      <c r="Z1489" s="27" t="s">
        <v>2843</v>
      </c>
      <c r="AA1489" s="17"/>
      <c r="AB1489" s="123"/>
      <c r="AC1489" s="123"/>
    </row>
    <row r="1490" spans="1:29" s="11" customFormat="1" hidden="1" x14ac:dyDescent="0.3">
      <c r="A1490" s="18" t="s">
        <v>2844</v>
      </c>
      <c r="B1490" s="18" t="s">
        <v>75</v>
      </c>
      <c r="C1490" s="18" t="s">
        <v>75</v>
      </c>
      <c r="D1490" s="14" t="s">
        <v>810</v>
      </c>
      <c r="E1490" s="18" t="s">
        <v>9</v>
      </c>
      <c r="F1490" s="14" t="s">
        <v>631</v>
      </c>
      <c r="G1490" s="14" t="s">
        <v>518</v>
      </c>
      <c r="H1490" s="18" t="s">
        <v>5</v>
      </c>
      <c r="I1490" s="14" t="s">
        <v>117</v>
      </c>
      <c r="J1490" s="14">
        <v>3</v>
      </c>
      <c r="K1490" s="14" t="s">
        <v>632</v>
      </c>
      <c r="L1490" s="14"/>
      <c r="M1490" s="14">
        <v>1</v>
      </c>
      <c r="N1490" s="15">
        <v>180000</v>
      </c>
      <c r="O1490" s="15">
        <f t="shared" si="55"/>
        <v>180000</v>
      </c>
      <c r="P1490" s="15"/>
      <c r="Q1490" s="14" t="s">
        <v>520</v>
      </c>
      <c r="R1490" s="25">
        <v>45716</v>
      </c>
      <c r="S1490" s="22" t="str">
        <f>TEXT(Table1[[#This Row],[End Date]],"MMMM")</f>
        <v>February</v>
      </c>
      <c r="T1490" s="23" t="str">
        <f>TEXT(Table1[[#This Row],[End Date]],"YYYY")</f>
        <v>2025</v>
      </c>
      <c r="U1490" s="24">
        <f t="shared" ca="1" si="54"/>
        <v>-583</v>
      </c>
      <c r="V1490" s="14" t="str" cm="1">
        <f t="array" aca="1" ref="V1490" ca="1">_xlfn.IFS(Table1[[#This Row],[Agreement Days]]&gt;=0,"Expired",Table1[[#This Row],[Agreement Days]]&gt;=-30,"Expires &lt; 30 Days",Table1[[#This Row],[Agreement Days]]&gt;=-60,"Expires &lt; 60 Days",Table1[[#This Row],[Agreement Days]]&lt;-60,"Valid Contract")</f>
        <v>Valid Contract</v>
      </c>
      <c r="W1490" s="14" t="s">
        <v>13</v>
      </c>
      <c r="X1490" s="14" t="s">
        <v>2845</v>
      </c>
      <c r="Y1490" s="43" t="s">
        <v>2846</v>
      </c>
      <c r="Z1490" s="27" t="s">
        <v>2847</v>
      </c>
      <c r="AA1490" s="17"/>
      <c r="AB1490" s="123"/>
      <c r="AC1490" s="123"/>
    </row>
    <row r="1491" spans="1:29" s="11" customFormat="1" hidden="1" x14ac:dyDescent="0.3">
      <c r="A1491" s="18" t="s">
        <v>2848</v>
      </c>
      <c r="B1491" s="18" t="s">
        <v>61</v>
      </c>
      <c r="C1491" s="18" t="s">
        <v>61</v>
      </c>
      <c r="D1491" s="14" t="s">
        <v>810</v>
      </c>
      <c r="E1491" s="18" t="s">
        <v>9</v>
      </c>
      <c r="F1491" s="14" t="s">
        <v>631</v>
      </c>
      <c r="G1491" s="14" t="s">
        <v>518</v>
      </c>
      <c r="H1491" s="18" t="s">
        <v>5</v>
      </c>
      <c r="I1491" s="14" t="s">
        <v>134</v>
      </c>
      <c r="J1491" s="14">
        <v>5</v>
      </c>
      <c r="K1491" s="18" t="s">
        <v>519</v>
      </c>
      <c r="L1491" s="18"/>
      <c r="M1491" s="14">
        <v>1</v>
      </c>
      <c r="N1491" s="15">
        <v>270000</v>
      </c>
      <c r="O1491" s="15">
        <f t="shared" si="55"/>
        <v>270000</v>
      </c>
      <c r="P1491" s="15"/>
      <c r="Q1491" s="14" t="s">
        <v>520</v>
      </c>
      <c r="R1491" s="25">
        <v>45716</v>
      </c>
      <c r="S1491" s="34" t="str">
        <f>TEXT(Table1[[#This Row],[End Date]],"MMMM")</f>
        <v>February</v>
      </c>
      <c r="T1491" s="34" t="str">
        <f>TEXT(Table1[[#This Row],[End Date]],"YYYY")</f>
        <v>2025</v>
      </c>
      <c r="U1491" s="24">
        <f t="shared" ca="1" si="54"/>
        <v>-583</v>
      </c>
      <c r="V1491" s="14" t="str" cm="1">
        <f t="array" aca="1" ref="V1491" ca="1">_xlfn.IFS(Table1[[#This Row],[Agreement Days]]&gt;=0,"Expired",Table1[[#This Row],[Agreement Days]]&gt;=-30,"Expires &lt; 30 Days",Table1[[#This Row],[Agreement Days]]&gt;=-60,"Expires &lt; 60 Days",Table1[[#This Row],[Agreement Days]]&lt;-60,"Valid Contract")</f>
        <v>Valid Contract</v>
      </c>
      <c r="W1491" s="18" t="s">
        <v>21</v>
      </c>
      <c r="X1491" s="18" t="s">
        <v>2849</v>
      </c>
      <c r="Y1491" s="39" t="s">
        <v>2850</v>
      </c>
      <c r="Z1491" s="27">
        <v>783828990</v>
      </c>
      <c r="AA1491" s="27"/>
      <c r="AB1491" s="123"/>
      <c r="AC1491" s="123"/>
    </row>
    <row r="1492" spans="1:29" s="11" customFormat="1" hidden="1" x14ac:dyDescent="0.3">
      <c r="A1492" s="18" t="s">
        <v>1379</v>
      </c>
      <c r="B1492" s="18" t="s">
        <v>43</v>
      </c>
      <c r="C1492" s="18" t="s">
        <v>2851</v>
      </c>
      <c r="D1492" s="14" t="s">
        <v>616</v>
      </c>
      <c r="E1492" s="18" t="s">
        <v>9</v>
      </c>
      <c r="F1492" s="14" t="s">
        <v>631</v>
      </c>
      <c r="G1492" s="14" t="s">
        <v>518</v>
      </c>
      <c r="H1492" s="18" t="s">
        <v>5</v>
      </c>
      <c r="I1492" s="14" t="s">
        <v>117</v>
      </c>
      <c r="J1492" s="14">
        <v>15</v>
      </c>
      <c r="K1492" s="14" t="s">
        <v>2852</v>
      </c>
      <c r="L1492" s="14"/>
      <c r="M1492" s="14">
        <v>1</v>
      </c>
      <c r="N1492" s="15">
        <v>720000</v>
      </c>
      <c r="O1492" s="15">
        <f t="shared" si="55"/>
        <v>720000</v>
      </c>
      <c r="P1492" s="15"/>
      <c r="Q1492" s="14" t="s">
        <v>520</v>
      </c>
      <c r="R1492" s="25">
        <v>45716</v>
      </c>
      <c r="S1492" s="22" t="str">
        <f>TEXT(Table1[[#This Row],[End Date]],"MMMM")</f>
        <v>February</v>
      </c>
      <c r="T1492" s="23" t="str">
        <f>TEXT(Table1[[#This Row],[End Date]],"YYYY")</f>
        <v>2025</v>
      </c>
      <c r="U1492" s="24">
        <f t="shared" ca="1" si="54"/>
        <v>-583</v>
      </c>
      <c r="V1492" s="14" t="str" cm="1">
        <f t="array" aca="1" ref="V1492" ca="1">_xlfn.IFS(Table1[[#This Row],[Agreement Days]]&gt;=0,"Expired",Table1[[#This Row],[Agreement Days]]&gt;=-30,"Expires &lt; 30 Days",Table1[[#This Row],[Agreement Days]]&gt;=-60,"Expires &lt; 60 Days",Table1[[#This Row],[Agreement Days]]&lt;-60,"Valid Contract")</f>
        <v>Valid Contract</v>
      </c>
      <c r="W1492" s="14" t="s">
        <v>13</v>
      </c>
      <c r="X1492" s="14" t="s">
        <v>2853</v>
      </c>
      <c r="Y1492" s="43" t="s">
        <v>2854</v>
      </c>
      <c r="Z1492" s="27">
        <v>788440204</v>
      </c>
      <c r="AA1492" s="17"/>
      <c r="AB1492" s="123"/>
      <c r="AC1492" s="123"/>
    </row>
    <row r="1493" spans="1:29" s="11" customFormat="1" hidden="1" x14ac:dyDescent="0.3">
      <c r="A1493" s="18" t="s">
        <v>951</v>
      </c>
      <c r="B1493" s="18" t="s">
        <v>241</v>
      </c>
      <c r="C1493" s="18" t="s">
        <v>2837</v>
      </c>
      <c r="D1493" s="14" t="s">
        <v>545</v>
      </c>
      <c r="E1493" s="18" t="s">
        <v>9</v>
      </c>
      <c r="F1493" s="14" t="s">
        <v>517</v>
      </c>
      <c r="G1493" s="14" t="s">
        <v>546</v>
      </c>
      <c r="H1493" s="18" t="s">
        <v>4</v>
      </c>
      <c r="I1493" s="14" t="s">
        <v>118</v>
      </c>
      <c r="J1493" s="142"/>
      <c r="K1493" s="142" t="s">
        <v>1235</v>
      </c>
      <c r="L1493" s="142"/>
      <c r="M1493" s="142">
        <v>2</v>
      </c>
      <c r="N1493" s="142">
        <v>1478575</v>
      </c>
      <c r="O1493" s="144">
        <f t="shared" si="55"/>
        <v>2957150</v>
      </c>
      <c r="P1493" s="144"/>
      <c r="Q1493" s="14" t="s">
        <v>520</v>
      </c>
      <c r="R1493" s="25">
        <v>45808</v>
      </c>
      <c r="S1493" s="146" t="str">
        <f>TEXT(Table1[[#This Row],[End Date]],"MMMM")</f>
        <v>May</v>
      </c>
      <c r="T1493" s="146" t="str">
        <f>TEXT(Table1[[#This Row],[End Date]],"YYYY")</f>
        <v>2025</v>
      </c>
      <c r="U1493" s="147">
        <f t="shared" ca="1" si="54"/>
        <v>-675</v>
      </c>
      <c r="V1493" s="142" t="str" cm="1">
        <f t="array" aca="1" ref="V1493" ca="1">_xlfn.IFS(Table1[[#This Row],[Agreement Days]]&gt;=0,"Expired",Table1[[#This Row],[Agreement Days]]&gt;=-30,"Expires &lt; 30 Days",Table1[[#This Row],[Agreement Days]]&gt;=-60,"Expires &lt; 60 Days",Table1[[#This Row],[Agreement Days]]&lt;-60,"Valid Contract")</f>
        <v>Valid Contract</v>
      </c>
      <c r="W1493" s="142" t="s">
        <v>20</v>
      </c>
      <c r="X1493" s="183" t="s">
        <v>2838</v>
      </c>
      <c r="Y1493" s="184" t="s">
        <v>2839</v>
      </c>
      <c r="Z1493" s="181" t="s">
        <v>955</v>
      </c>
      <c r="AA1493" s="180"/>
      <c r="AB1493" s="182"/>
      <c r="AC1493" s="182"/>
    </row>
    <row r="1494" spans="1:29" s="11" customFormat="1" hidden="1" x14ac:dyDescent="0.3">
      <c r="A1494" s="18" t="s">
        <v>2855</v>
      </c>
      <c r="B1494" s="18" t="s">
        <v>237</v>
      </c>
      <c r="C1494" s="18" t="s">
        <v>237</v>
      </c>
      <c r="D1494" s="14" t="s">
        <v>875</v>
      </c>
      <c r="E1494" s="18" t="s">
        <v>10</v>
      </c>
      <c r="F1494" s="14" t="s">
        <v>663</v>
      </c>
      <c r="G1494" s="14" t="s">
        <v>546</v>
      </c>
      <c r="H1494" s="18" t="s">
        <v>5</v>
      </c>
      <c r="I1494" s="14" t="s">
        <v>134</v>
      </c>
      <c r="J1494" s="14">
        <v>60</v>
      </c>
      <c r="K1494" s="14" t="s">
        <v>2856</v>
      </c>
      <c r="L1494" s="14"/>
      <c r="M1494" s="14">
        <v>1</v>
      </c>
      <c r="N1494" s="15">
        <v>2200000</v>
      </c>
      <c r="O1494" s="15">
        <f t="shared" si="55"/>
        <v>2200000</v>
      </c>
      <c r="P1494" s="15"/>
      <c r="Q1494" s="14" t="s">
        <v>520</v>
      </c>
      <c r="R1494" s="32">
        <v>45716</v>
      </c>
      <c r="S1494" s="22" t="str">
        <f>TEXT(Table1[[#This Row],[End Date]],"MMMM")</f>
        <v>February</v>
      </c>
      <c r="T1494" s="22" t="str">
        <f>TEXT(Table1[[#This Row],[End Date]],"YYYY")</f>
        <v>2025</v>
      </c>
      <c r="U1494" s="24">
        <f t="shared" ca="1" si="54"/>
        <v>-583</v>
      </c>
      <c r="V1494" s="14" t="str" cm="1">
        <f t="array" aca="1" ref="V1494" ca="1">_xlfn.IFS(Table1[[#This Row],[Agreement Days]]&gt;=0,"Expired",Table1[[#This Row],[Agreement Days]]&gt;=-30,"Expires &lt; 30 Days",Table1[[#This Row],[Agreement Days]]&gt;=-60,"Expires &lt; 60 Days",Table1[[#This Row],[Agreement Days]]&lt;-60,"Valid Contract")</f>
        <v>Valid Contract</v>
      </c>
      <c r="W1494" s="14" t="s">
        <v>20</v>
      </c>
      <c r="X1494" s="18" t="s">
        <v>2857</v>
      </c>
      <c r="Y1494" s="225" t="s">
        <v>2858</v>
      </c>
      <c r="Z1494" s="180" t="s">
        <v>2859</v>
      </c>
      <c r="AA1494" s="19"/>
      <c r="AB1494" s="116"/>
      <c r="AC1494" s="116"/>
    </row>
    <row r="1495" spans="1:29" s="11" customFormat="1" hidden="1" x14ac:dyDescent="0.3">
      <c r="A1495" s="18" t="s">
        <v>980</v>
      </c>
      <c r="B1495" s="18" t="s">
        <v>24</v>
      </c>
      <c r="C1495" s="18" t="s">
        <v>2860</v>
      </c>
      <c r="D1495" s="14" t="s">
        <v>545</v>
      </c>
      <c r="E1495" s="18" t="s">
        <v>9</v>
      </c>
      <c r="F1495" s="14" t="s">
        <v>631</v>
      </c>
      <c r="G1495" s="14" t="s">
        <v>546</v>
      </c>
      <c r="H1495" s="18" t="s">
        <v>5</v>
      </c>
      <c r="I1495" s="14" t="s">
        <v>117</v>
      </c>
      <c r="J1495" s="14">
        <v>3</v>
      </c>
      <c r="K1495" s="18" t="s">
        <v>646</v>
      </c>
      <c r="L1495" s="18"/>
      <c r="M1495" s="14">
        <v>1</v>
      </c>
      <c r="N1495" s="15">
        <v>180000</v>
      </c>
      <c r="O1495" s="15">
        <f t="shared" si="55"/>
        <v>180000</v>
      </c>
      <c r="P1495" s="15"/>
      <c r="Q1495" s="14" t="s">
        <v>520</v>
      </c>
      <c r="R1495" s="25">
        <v>45716</v>
      </c>
      <c r="S1495" s="34" t="str">
        <f>TEXT(Table1[[#This Row],[End Date]],"MMMM")</f>
        <v>February</v>
      </c>
      <c r="T1495" s="34" t="str">
        <f>TEXT(Table1[[#This Row],[End Date]],"YYYY")</f>
        <v>2025</v>
      </c>
      <c r="U1495" s="24">
        <f t="shared" ca="1" si="54"/>
        <v>-583</v>
      </c>
      <c r="V1495" s="14" t="str" cm="1">
        <f t="array" aca="1" ref="V1495" ca="1">_xlfn.IFS(Table1[[#This Row],[Agreement Days]]&gt;=0,"Expired",Table1[[#This Row],[Agreement Days]]&gt;=-30,"Expires &lt; 30 Days",Table1[[#This Row],[Agreement Days]]&gt;=-60,"Expires &lt; 60 Days",Table1[[#This Row],[Agreement Days]]&lt;-60,"Valid Contract")</f>
        <v>Valid Contract</v>
      </c>
      <c r="W1495" s="18" t="s">
        <v>21</v>
      </c>
      <c r="X1495" s="52" t="s">
        <v>982</v>
      </c>
      <c r="Y1495" s="39" t="s">
        <v>983</v>
      </c>
      <c r="Z1495" s="27" t="s">
        <v>984</v>
      </c>
      <c r="AA1495" s="27"/>
      <c r="AB1495" s="123"/>
      <c r="AC1495" s="123"/>
    </row>
    <row r="1496" spans="1:29" s="11" customFormat="1" hidden="1" x14ac:dyDescent="0.3">
      <c r="A1496" s="18" t="s">
        <v>987</v>
      </c>
      <c r="B1496" s="18" t="s">
        <v>127</v>
      </c>
      <c r="C1496" s="18" t="s">
        <v>2861</v>
      </c>
      <c r="D1496" s="14" t="s">
        <v>739</v>
      </c>
      <c r="E1496" s="18" t="s">
        <v>9</v>
      </c>
      <c r="F1496" s="14" t="s">
        <v>601</v>
      </c>
      <c r="G1496" s="14" t="s">
        <v>546</v>
      </c>
      <c r="H1496" s="18" t="s">
        <v>5</v>
      </c>
      <c r="I1496" s="14" t="s">
        <v>115</v>
      </c>
      <c r="J1496" s="14"/>
      <c r="K1496" s="18" t="s">
        <v>651</v>
      </c>
      <c r="L1496" s="14"/>
      <c r="M1496" s="14">
        <v>1</v>
      </c>
      <c r="N1496" s="15">
        <f t="shared" ref="N1496:N1511" si="56">96000/1.18</f>
        <v>81355.932203389835</v>
      </c>
      <c r="O1496" s="15">
        <f t="shared" si="55"/>
        <v>81355.932203389835</v>
      </c>
      <c r="P1496" s="15"/>
      <c r="Q1496" s="14" t="s">
        <v>520</v>
      </c>
      <c r="R1496" s="25">
        <v>45716</v>
      </c>
      <c r="S1496" s="22" t="str">
        <f>TEXT(Table1[[#This Row],[End Date]],"MMMM")</f>
        <v>February</v>
      </c>
      <c r="T1496" s="23" t="str">
        <f>TEXT(Table1[[#This Row],[End Date]],"YYYY")</f>
        <v>2025</v>
      </c>
      <c r="U1496" s="24">
        <f t="shared" ca="1" si="54"/>
        <v>-583</v>
      </c>
      <c r="V1496" s="14" t="str" cm="1">
        <f t="array" aca="1" ref="V1496" ca="1">_xlfn.IFS(Table1[[#This Row],[Agreement Days]]&gt;=0,"Expired",Table1[[#This Row],[Agreement Days]]&gt;=-30,"Expires &lt; 30 Days",Table1[[#This Row],[Agreement Days]]&gt;=-60,"Expires &lt; 60 Days",Table1[[#This Row],[Agreement Days]]&lt;-60,"Valid Contract")</f>
        <v>Valid Contract</v>
      </c>
      <c r="W1496" s="14" t="s">
        <v>20</v>
      </c>
      <c r="X1496" s="14" t="s">
        <v>989</v>
      </c>
      <c r="Y1496" s="16" t="s">
        <v>990</v>
      </c>
      <c r="Z1496" s="27" t="s">
        <v>991</v>
      </c>
      <c r="AA1496" s="19"/>
      <c r="AB1496" s="123"/>
      <c r="AC1496" s="123"/>
    </row>
    <row r="1497" spans="1:29" s="11" customFormat="1" hidden="1" x14ac:dyDescent="0.3">
      <c r="A1497" s="18" t="s">
        <v>987</v>
      </c>
      <c r="B1497" s="18" t="s">
        <v>127</v>
      </c>
      <c r="C1497" s="18" t="s">
        <v>2862</v>
      </c>
      <c r="D1497" s="14" t="s">
        <v>739</v>
      </c>
      <c r="E1497" s="18" t="s">
        <v>9</v>
      </c>
      <c r="F1497" s="14" t="s">
        <v>601</v>
      </c>
      <c r="G1497" s="14" t="s">
        <v>546</v>
      </c>
      <c r="H1497" s="18" t="s">
        <v>5</v>
      </c>
      <c r="I1497" s="14" t="s">
        <v>115</v>
      </c>
      <c r="J1497" s="14"/>
      <c r="K1497" s="18" t="s">
        <v>651</v>
      </c>
      <c r="L1497" s="14"/>
      <c r="M1497" s="14">
        <v>1</v>
      </c>
      <c r="N1497" s="15">
        <f t="shared" si="56"/>
        <v>81355.932203389835</v>
      </c>
      <c r="O1497" s="15">
        <f t="shared" si="55"/>
        <v>81355.932203389835</v>
      </c>
      <c r="P1497" s="15"/>
      <c r="Q1497" s="14" t="s">
        <v>520</v>
      </c>
      <c r="R1497" s="25">
        <v>45716</v>
      </c>
      <c r="S1497" s="22" t="str">
        <f>TEXT(Table1[[#This Row],[End Date]],"MMMM")</f>
        <v>February</v>
      </c>
      <c r="T1497" s="23" t="str">
        <f>TEXT(Table1[[#This Row],[End Date]],"YYYY")</f>
        <v>2025</v>
      </c>
      <c r="U1497" s="24">
        <f t="shared" ca="1" si="54"/>
        <v>-583</v>
      </c>
      <c r="V1497" s="14" t="str" cm="1">
        <f t="array" aca="1" ref="V1497" ca="1">_xlfn.IFS(Table1[[#This Row],[Agreement Days]]&gt;=0,"Expired",Table1[[#This Row],[Agreement Days]]&gt;=-30,"Expires &lt; 30 Days",Table1[[#This Row],[Agreement Days]]&gt;=-60,"Expires &lt; 60 Days",Table1[[#This Row],[Agreement Days]]&lt;-60,"Valid Contract")</f>
        <v>Valid Contract</v>
      </c>
      <c r="W1497" s="14" t="s">
        <v>20</v>
      </c>
      <c r="X1497" s="14" t="s">
        <v>989</v>
      </c>
      <c r="Y1497" s="16" t="s">
        <v>990</v>
      </c>
      <c r="Z1497" s="27" t="s">
        <v>991</v>
      </c>
      <c r="AA1497" s="19"/>
      <c r="AB1497" s="123"/>
      <c r="AC1497" s="123"/>
    </row>
    <row r="1498" spans="1:29" s="11" customFormat="1" hidden="1" x14ac:dyDescent="0.3">
      <c r="A1498" s="18" t="s">
        <v>987</v>
      </c>
      <c r="B1498" s="18" t="s">
        <v>127</v>
      </c>
      <c r="C1498" s="18" t="s">
        <v>2863</v>
      </c>
      <c r="D1498" s="14" t="s">
        <v>739</v>
      </c>
      <c r="E1498" s="18" t="s">
        <v>9</v>
      </c>
      <c r="F1498" s="14" t="s">
        <v>601</v>
      </c>
      <c r="G1498" s="14" t="s">
        <v>546</v>
      </c>
      <c r="H1498" s="18" t="s">
        <v>5</v>
      </c>
      <c r="I1498" s="14" t="s">
        <v>115</v>
      </c>
      <c r="J1498" s="14"/>
      <c r="K1498" s="18" t="s">
        <v>651</v>
      </c>
      <c r="L1498" s="14"/>
      <c r="M1498" s="14">
        <v>1</v>
      </c>
      <c r="N1498" s="15">
        <f t="shared" si="56"/>
        <v>81355.932203389835</v>
      </c>
      <c r="O1498" s="15">
        <f t="shared" si="55"/>
        <v>81355.932203389835</v>
      </c>
      <c r="P1498" s="15"/>
      <c r="Q1498" s="14" t="s">
        <v>520</v>
      </c>
      <c r="R1498" s="25">
        <v>45716</v>
      </c>
      <c r="S1498" s="22" t="str">
        <f>TEXT(Table1[[#This Row],[End Date]],"MMMM")</f>
        <v>February</v>
      </c>
      <c r="T1498" s="23" t="str">
        <f>TEXT(Table1[[#This Row],[End Date]],"YYYY")</f>
        <v>2025</v>
      </c>
      <c r="U1498" s="24">
        <f t="shared" ca="1" si="54"/>
        <v>-583</v>
      </c>
      <c r="V1498" s="14" t="str" cm="1">
        <f t="array" aca="1" ref="V1498" ca="1">_xlfn.IFS(Table1[[#This Row],[Agreement Days]]&gt;=0,"Expired",Table1[[#This Row],[Agreement Days]]&gt;=-30,"Expires &lt; 30 Days",Table1[[#This Row],[Agreement Days]]&gt;=-60,"Expires &lt; 60 Days",Table1[[#This Row],[Agreement Days]]&lt;-60,"Valid Contract")</f>
        <v>Valid Contract</v>
      </c>
      <c r="W1498" s="14" t="s">
        <v>20</v>
      </c>
      <c r="X1498" s="14" t="s">
        <v>989</v>
      </c>
      <c r="Y1498" s="16" t="s">
        <v>990</v>
      </c>
      <c r="Z1498" s="27" t="s">
        <v>991</v>
      </c>
      <c r="AA1498" s="19"/>
      <c r="AB1498" s="123"/>
      <c r="AC1498" s="123"/>
    </row>
    <row r="1499" spans="1:29" s="11" customFormat="1" hidden="1" x14ac:dyDescent="0.3">
      <c r="A1499" s="18" t="s">
        <v>987</v>
      </c>
      <c r="B1499" s="18" t="s">
        <v>127</v>
      </c>
      <c r="C1499" s="18" t="s">
        <v>2864</v>
      </c>
      <c r="D1499" s="14" t="s">
        <v>739</v>
      </c>
      <c r="E1499" s="18" t="s">
        <v>9</v>
      </c>
      <c r="F1499" s="14" t="s">
        <v>601</v>
      </c>
      <c r="G1499" s="14" t="s">
        <v>546</v>
      </c>
      <c r="H1499" s="18" t="s">
        <v>5</v>
      </c>
      <c r="I1499" s="14" t="s">
        <v>115</v>
      </c>
      <c r="J1499" s="14"/>
      <c r="K1499" s="18" t="s">
        <v>651</v>
      </c>
      <c r="L1499" s="14"/>
      <c r="M1499" s="14">
        <v>1</v>
      </c>
      <c r="N1499" s="15">
        <f t="shared" si="56"/>
        <v>81355.932203389835</v>
      </c>
      <c r="O1499" s="15">
        <f t="shared" si="55"/>
        <v>81355.932203389835</v>
      </c>
      <c r="P1499" s="15"/>
      <c r="Q1499" s="14" t="s">
        <v>520</v>
      </c>
      <c r="R1499" s="25">
        <v>45716</v>
      </c>
      <c r="S1499" s="22" t="str">
        <f>TEXT(Table1[[#This Row],[End Date]],"MMMM")</f>
        <v>February</v>
      </c>
      <c r="T1499" s="23" t="str">
        <f>TEXT(Table1[[#This Row],[End Date]],"YYYY")</f>
        <v>2025</v>
      </c>
      <c r="U1499" s="24">
        <f t="shared" ca="1" si="54"/>
        <v>-583</v>
      </c>
      <c r="V1499" s="14" t="str" cm="1">
        <f t="array" aca="1" ref="V1499" ca="1">_xlfn.IFS(Table1[[#This Row],[Agreement Days]]&gt;=0,"Expired",Table1[[#This Row],[Agreement Days]]&gt;=-30,"Expires &lt; 30 Days",Table1[[#This Row],[Agreement Days]]&gt;=-60,"Expires &lt; 60 Days",Table1[[#This Row],[Agreement Days]]&lt;-60,"Valid Contract")</f>
        <v>Valid Contract</v>
      </c>
      <c r="W1499" s="14" t="s">
        <v>20</v>
      </c>
      <c r="X1499" s="14" t="s">
        <v>989</v>
      </c>
      <c r="Y1499" s="16" t="s">
        <v>990</v>
      </c>
      <c r="Z1499" s="27" t="s">
        <v>991</v>
      </c>
      <c r="AA1499" s="19"/>
      <c r="AB1499" s="123"/>
      <c r="AC1499" s="123"/>
    </row>
    <row r="1500" spans="1:29" s="11" customFormat="1" hidden="1" x14ac:dyDescent="0.3">
      <c r="A1500" s="18" t="s">
        <v>987</v>
      </c>
      <c r="B1500" s="18" t="s">
        <v>127</v>
      </c>
      <c r="C1500" s="18" t="s">
        <v>2865</v>
      </c>
      <c r="D1500" s="14" t="s">
        <v>739</v>
      </c>
      <c r="E1500" s="18" t="s">
        <v>9</v>
      </c>
      <c r="F1500" s="14" t="s">
        <v>601</v>
      </c>
      <c r="G1500" s="14" t="s">
        <v>546</v>
      </c>
      <c r="H1500" s="18" t="s">
        <v>5</v>
      </c>
      <c r="I1500" s="14" t="s">
        <v>115</v>
      </c>
      <c r="J1500" s="14"/>
      <c r="K1500" s="18" t="s">
        <v>651</v>
      </c>
      <c r="L1500" s="14"/>
      <c r="M1500" s="14">
        <v>1</v>
      </c>
      <c r="N1500" s="15">
        <f t="shared" si="56"/>
        <v>81355.932203389835</v>
      </c>
      <c r="O1500" s="15">
        <f t="shared" si="55"/>
        <v>81355.932203389835</v>
      </c>
      <c r="P1500" s="15"/>
      <c r="Q1500" s="14" t="s">
        <v>520</v>
      </c>
      <c r="R1500" s="25">
        <v>45716</v>
      </c>
      <c r="S1500" s="22" t="str">
        <f>TEXT(Table1[[#This Row],[End Date]],"MMMM")</f>
        <v>February</v>
      </c>
      <c r="T1500" s="23" t="str">
        <f>TEXT(Table1[[#This Row],[End Date]],"YYYY")</f>
        <v>2025</v>
      </c>
      <c r="U1500" s="24">
        <f t="shared" ca="1" si="54"/>
        <v>-583</v>
      </c>
      <c r="V1500" s="14" t="str" cm="1">
        <f t="array" aca="1" ref="V1500" ca="1">_xlfn.IFS(Table1[[#This Row],[Agreement Days]]&gt;=0,"Expired",Table1[[#This Row],[Agreement Days]]&gt;=-30,"Expires &lt; 30 Days",Table1[[#This Row],[Agreement Days]]&gt;=-60,"Expires &lt; 60 Days",Table1[[#This Row],[Agreement Days]]&lt;-60,"Valid Contract")</f>
        <v>Valid Contract</v>
      </c>
      <c r="W1500" s="14" t="s">
        <v>20</v>
      </c>
      <c r="X1500" s="14" t="s">
        <v>989</v>
      </c>
      <c r="Y1500" s="16" t="s">
        <v>990</v>
      </c>
      <c r="Z1500" s="27" t="s">
        <v>991</v>
      </c>
      <c r="AA1500" s="19"/>
      <c r="AB1500" s="123"/>
      <c r="AC1500" s="123"/>
    </row>
    <row r="1501" spans="1:29" s="11" customFormat="1" hidden="1" x14ac:dyDescent="0.3">
      <c r="A1501" s="18" t="s">
        <v>987</v>
      </c>
      <c r="B1501" s="18" t="s">
        <v>127</v>
      </c>
      <c r="C1501" s="18" t="s">
        <v>2866</v>
      </c>
      <c r="D1501" s="14" t="s">
        <v>739</v>
      </c>
      <c r="E1501" s="18" t="s">
        <v>9</v>
      </c>
      <c r="F1501" s="14" t="s">
        <v>601</v>
      </c>
      <c r="G1501" s="14" t="s">
        <v>546</v>
      </c>
      <c r="H1501" s="18" t="s">
        <v>5</v>
      </c>
      <c r="I1501" s="14" t="s">
        <v>115</v>
      </c>
      <c r="J1501" s="14"/>
      <c r="K1501" s="18" t="s">
        <v>651</v>
      </c>
      <c r="L1501" s="14"/>
      <c r="M1501" s="14">
        <v>1</v>
      </c>
      <c r="N1501" s="15">
        <f t="shared" si="56"/>
        <v>81355.932203389835</v>
      </c>
      <c r="O1501" s="15">
        <f t="shared" si="55"/>
        <v>81355.932203389835</v>
      </c>
      <c r="P1501" s="15"/>
      <c r="Q1501" s="14" t="s">
        <v>520</v>
      </c>
      <c r="R1501" s="25">
        <v>45716</v>
      </c>
      <c r="S1501" s="22" t="str">
        <f>TEXT(Table1[[#This Row],[End Date]],"MMMM")</f>
        <v>February</v>
      </c>
      <c r="T1501" s="23" t="str">
        <f>TEXT(Table1[[#This Row],[End Date]],"YYYY")</f>
        <v>2025</v>
      </c>
      <c r="U1501" s="24">
        <f t="shared" ca="1" si="54"/>
        <v>-583</v>
      </c>
      <c r="V1501" s="14" t="str" cm="1">
        <f t="array" aca="1" ref="V1501" ca="1">_xlfn.IFS(Table1[[#This Row],[Agreement Days]]&gt;=0,"Expired",Table1[[#This Row],[Agreement Days]]&gt;=-30,"Expires &lt; 30 Days",Table1[[#This Row],[Agreement Days]]&gt;=-60,"Expires &lt; 60 Days",Table1[[#This Row],[Agreement Days]]&lt;-60,"Valid Contract")</f>
        <v>Valid Contract</v>
      </c>
      <c r="W1501" s="14" t="s">
        <v>20</v>
      </c>
      <c r="X1501" s="14" t="s">
        <v>989</v>
      </c>
      <c r="Y1501" s="16" t="s">
        <v>990</v>
      </c>
      <c r="Z1501" s="27" t="s">
        <v>991</v>
      </c>
      <c r="AA1501" s="19"/>
      <c r="AB1501" s="123"/>
      <c r="AC1501" s="123"/>
    </row>
    <row r="1502" spans="1:29" s="11" customFormat="1" hidden="1" x14ac:dyDescent="0.3">
      <c r="A1502" s="18" t="s">
        <v>987</v>
      </c>
      <c r="B1502" s="18" t="s">
        <v>127</v>
      </c>
      <c r="C1502" s="18" t="s">
        <v>2867</v>
      </c>
      <c r="D1502" s="14" t="s">
        <v>526</v>
      </c>
      <c r="E1502" s="18" t="s">
        <v>9</v>
      </c>
      <c r="F1502" s="14" t="s">
        <v>601</v>
      </c>
      <c r="G1502" s="14" t="s">
        <v>546</v>
      </c>
      <c r="H1502" s="18" t="s">
        <v>5</v>
      </c>
      <c r="I1502" s="14" t="s">
        <v>115</v>
      </c>
      <c r="J1502" s="14"/>
      <c r="K1502" s="18" t="s">
        <v>651</v>
      </c>
      <c r="L1502" s="14"/>
      <c r="M1502" s="14">
        <v>1</v>
      </c>
      <c r="N1502" s="15">
        <f t="shared" si="56"/>
        <v>81355.932203389835</v>
      </c>
      <c r="O1502" s="15">
        <f t="shared" si="55"/>
        <v>81355.932203389835</v>
      </c>
      <c r="P1502" s="15"/>
      <c r="Q1502" s="14" t="s">
        <v>520</v>
      </c>
      <c r="R1502" s="25">
        <v>45716</v>
      </c>
      <c r="S1502" s="22" t="str">
        <f>TEXT(Table1[[#This Row],[End Date]],"MMMM")</f>
        <v>February</v>
      </c>
      <c r="T1502" s="23" t="str">
        <f>TEXT(Table1[[#This Row],[End Date]],"YYYY")</f>
        <v>2025</v>
      </c>
      <c r="U1502" s="24">
        <f t="shared" ca="1" si="54"/>
        <v>-583</v>
      </c>
      <c r="V1502" s="14" t="str" cm="1">
        <f t="array" aca="1" ref="V1502" ca="1">_xlfn.IFS(Table1[[#This Row],[Agreement Days]]&gt;=0,"Expired",Table1[[#This Row],[Agreement Days]]&gt;=-30,"Expires &lt; 30 Days",Table1[[#This Row],[Agreement Days]]&gt;=-60,"Expires &lt; 60 Days",Table1[[#This Row],[Agreement Days]]&lt;-60,"Valid Contract")</f>
        <v>Valid Contract</v>
      </c>
      <c r="W1502" s="14" t="s">
        <v>20</v>
      </c>
      <c r="X1502" s="14" t="s">
        <v>989</v>
      </c>
      <c r="Y1502" s="16" t="s">
        <v>990</v>
      </c>
      <c r="Z1502" s="27" t="s">
        <v>991</v>
      </c>
      <c r="AA1502" s="19"/>
      <c r="AB1502" s="123"/>
      <c r="AC1502" s="123"/>
    </row>
    <row r="1503" spans="1:29" s="11" customFormat="1" hidden="1" x14ac:dyDescent="0.3">
      <c r="A1503" s="18" t="s">
        <v>987</v>
      </c>
      <c r="B1503" s="18" t="s">
        <v>127</v>
      </c>
      <c r="C1503" s="18" t="s">
        <v>2868</v>
      </c>
      <c r="D1503" s="14" t="s">
        <v>526</v>
      </c>
      <c r="E1503" s="18" t="s">
        <v>9</v>
      </c>
      <c r="F1503" s="14" t="s">
        <v>601</v>
      </c>
      <c r="G1503" s="14" t="s">
        <v>546</v>
      </c>
      <c r="H1503" s="18" t="s">
        <v>5</v>
      </c>
      <c r="I1503" s="14" t="s">
        <v>115</v>
      </c>
      <c r="J1503" s="14"/>
      <c r="K1503" s="18" t="s">
        <v>651</v>
      </c>
      <c r="L1503" s="14"/>
      <c r="M1503" s="14">
        <v>1</v>
      </c>
      <c r="N1503" s="15">
        <f t="shared" si="56"/>
        <v>81355.932203389835</v>
      </c>
      <c r="O1503" s="15">
        <f t="shared" si="55"/>
        <v>81355.932203389835</v>
      </c>
      <c r="P1503" s="15"/>
      <c r="Q1503" s="14" t="s">
        <v>520</v>
      </c>
      <c r="R1503" s="25">
        <v>45716</v>
      </c>
      <c r="S1503" s="22" t="str">
        <f>TEXT(Table1[[#This Row],[End Date]],"MMMM")</f>
        <v>February</v>
      </c>
      <c r="T1503" s="23" t="str">
        <f>TEXT(Table1[[#This Row],[End Date]],"YYYY")</f>
        <v>2025</v>
      </c>
      <c r="U1503" s="24">
        <f t="shared" ca="1" si="54"/>
        <v>-583</v>
      </c>
      <c r="V1503" s="14" t="str" cm="1">
        <f t="array" aca="1" ref="V1503" ca="1">_xlfn.IFS(Table1[[#This Row],[Agreement Days]]&gt;=0,"Expired",Table1[[#This Row],[Agreement Days]]&gt;=-30,"Expires &lt; 30 Days",Table1[[#This Row],[Agreement Days]]&gt;=-60,"Expires &lt; 60 Days",Table1[[#This Row],[Agreement Days]]&lt;-60,"Valid Contract")</f>
        <v>Valid Contract</v>
      </c>
      <c r="W1503" s="14" t="s">
        <v>20</v>
      </c>
      <c r="X1503" s="14" t="s">
        <v>989</v>
      </c>
      <c r="Y1503" s="16" t="s">
        <v>990</v>
      </c>
      <c r="Z1503" s="27" t="s">
        <v>991</v>
      </c>
      <c r="AA1503" s="19"/>
      <c r="AB1503" s="123"/>
      <c r="AC1503" s="123"/>
    </row>
    <row r="1504" spans="1:29" s="11" customFormat="1" hidden="1" x14ac:dyDescent="0.3">
      <c r="A1504" s="18" t="s">
        <v>987</v>
      </c>
      <c r="B1504" s="18" t="s">
        <v>127</v>
      </c>
      <c r="C1504" s="18" t="s">
        <v>2869</v>
      </c>
      <c r="D1504" s="14" t="s">
        <v>526</v>
      </c>
      <c r="E1504" s="18" t="s">
        <v>9</v>
      </c>
      <c r="F1504" s="14" t="s">
        <v>601</v>
      </c>
      <c r="G1504" s="14" t="s">
        <v>546</v>
      </c>
      <c r="H1504" s="18" t="s">
        <v>5</v>
      </c>
      <c r="I1504" s="14" t="s">
        <v>115</v>
      </c>
      <c r="J1504" s="14"/>
      <c r="K1504" s="18" t="s">
        <v>651</v>
      </c>
      <c r="L1504" s="14"/>
      <c r="M1504" s="14">
        <v>1</v>
      </c>
      <c r="N1504" s="15">
        <f t="shared" si="56"/>
        <v>81355.932203389835</v>
      </c>
      <c r="O1504" s="15">
        <f t="shared" si="55"/>
        <v>81355.932203389835</v>
      </c>
      <c r="P1504" s="15"/>
      <c r="Q1504" s="14" t="s">
        <v>520</v>
      </c>
      <c r="R1504" s="25">
        <v>45716</v>
      </c>
      <c r="S1504" s="22" t="str">
        <f>TEXT(Table1[[#This Row],[End Date]],"MMMM")</f>
        <v>February</v>
      </c>
      <c r="T1504" s="23" t="str">
        <f>TEXT(Table1[[#This Row],[End Date]],"YYYY")</f>
        <v>2025</v>
      </c>
      <c r="U1504" s="24">
        <f t="shared" ca="1" si="54"/>
        <v>-583</v>
      </c>
      <c r="V1504" s="14" t="str" cm="1">
        <f t="array" aca="1" ref="V1504" ca="1">_xlfn.IFS(Table1[[#This Row],[Agreement Days]]&gt;=0,"Expired",Table1[[#This Row],[Agreement Days]]&gt;=-30,"Expires &lt; 30 Days",Table1[[#This Row],[Agreement Days]]&gt;=-60,"Expires &lt; 60 Days",Table1[[#This Row],[Agreement Days]]&lt;-60,"Valid Contract")</f>
        <v>Valid Contract</v>
      </c>
      <c r="W1504" s="14" t="s">
        <v>20</v>
      </c>
      <c r="X1504" s="14" t="s">
        <v>989</v>
      </c>
      <c r="Y1504" s="16" t="s">
        <v>990</v>
      </c>
      <c r="Z1504" s="27" t="s">
        <v>991</v>
      </c>
      <c r="AA1504" s="19"/>
      <c r="AB1504" s="123"/>
      <c r="AC1504" s="123"/>
    </row>
    <row r="1505" spans="1:29" s="11" customFormat="1" hidden="1" x14ac:dyDescent="0.3">
      <c r="A1505" s="18" t="s">
        <v>987</v>
      </c>
      <c r="B1505" s="18" t="s">
        <v>127</v>
      </c>
      <c r="C1505" s="18" t="s">
        <v>2870</v>
      </c>
      <c r="D1505" s="14" t="s">
        <v>526</v>
      </c>
      <c r="E1505" s="18" t="s">
        <v>9</v>
      </c>
      <c r="F1505" s="14" t="s">
        <v>601</v>
      </c>
      <c r="G1505" s="14" t="s">
        <v>546</v>
      </c>
      <c r="H1505" s="18" t="s">
        <v>5</v>
      </c>
      <c r="I1505" s="14" t="s">
        <v>115</v>
      </c>
      <c r="J1505" s="14"/>
      <c r="K1505" s="18" t="s">
        <v>651</v>
      </c>
      <c r="L1505" s="14"/>
      <c r="M1505" s="14">
        <v>1</v>
      </c>
      <c r="N1505" s="15">
        <f t="shared" si="56"/>
        <v>81355.932203389835</v>
      </c>
      <c r="O1505" s="15">
        <f t="shared" si="55"/>
        <v>81355.932203389835</v>
      </c>
      <c r="P1505" s="15"/>
      <c r="Q1505" s="14" t="s">
        <v>520</v>
      </c>
      <c r="R1505" s="25">
        <v>45716</v>
      </c>
      <c r="S1505" s="22" t="str">
        <f>TEXT(Table1[[#This Row],[End Date]],"MMMM")</f>
        <v>February</v>
      </c>
      <c r="T1505" s="23" t="str">
        <f>TEXT(Table1[[#This Row],[End Date]],"YYYY")</f>
        <v>2025</v>
      </c>
      <c r="U1505" s="24">
        <f t="shared" ca="1" si="54"/>
        <v>-583</v>
      </c>
      <c r="V1505" s="14" t="str" cm="1">
        <f t="array" aca="1" ref="V1505" ca="1">_xlfn.IFS(Table1[[#This Row],[Agreement Days]]&gt;=0,"Expired",Table1[[#This Row],[Agreement Days]]&gt;=-30,"Expires &lt; 30 Days",Table1[[#This Row],[Agreement Days]]&gt;=-60,"Expires &lt; 60 Days",Table1[[#This Row],[Agreement Days]]&lt;-60,"Valid Contract")</f>
        <v>Valid Contract</v>
      </c>
      <c r="W1505" s="14" t="s">
        <v>20</v>
      </c>
      <c r="X1505" s="14" t="s">
        <v>989</v>
      </c>
      <c r="Y1505" s="16" t="s">
        <v>990</v>
      </c>
      <c r="Z1505" s="27" t="s">
        <v>991</v>
      </c>
      <c r="AA1505" s="19"/>
      <c r="AB1505" s="123"/>
      <c r="AC1505" s="123"/>
    </row>
    <row r="1506" spans="1:29" s="11" customFormat="1" hidden="1" x14ac:dyDescent="0.3">
      <c r="A1506" s="18" t="s">
        <v>987</v>
      </c>
      <c r="B1506" s="18" t="s">
        <v>127</v>
      </c>
      <c r="C1506" s="18" t="s">
        <v>2871</v>
      </c>
      <c r="D1506" s="14" t="s">
        <v>526</v>
      </c>
      <c r="E1506" s="18" t="s">
        <v>9</v>
      </c>
      <c r="F1506" s="14" t="s">
        <v>601</v>
      </c>
      <c r="G1506" s="14" t="s">
        <v>546</v>
      </c>
      <c r="H1506" s="18" t="s">
        <v>5</v>
      </c>
      <c r="I1506" s="14" t="s">
        <v>115</v>
      </c>
      <c r="J1506" s="14"/>
      <c r="K1506" s="18" t="s">
        <v>651</v>
      </c>
      <c r="L1506" s="14"/>
      <c r="M1506" s="14">
        <v>1</v>
      </c>
      <c r="N1506" s="15">
        <f t="shared" si="56"/>
        <v>81355.932203389835</v>
      </c>
      <c r="O1506" s="15">
        <f t="shared" si="55"/>
        <v>81355.932203389835</v>
      </c>
      <c r="P1506" s="15"/>
      <c r="Q1506" s="14" t="s">
        <v>520</v>
      </c>
      <c r="R1506" s="25">
        <v>45716</v>
      </c>
      <c r="S1506" s="22" t="str">
        <f>TEXT(Table1[[#This Row],[End Date]],"MMMM")</f>
        <v>February</v>
      </c>
      <c r="T1506" s="23" t="str">
        <f>TEXT(Table1[[#This Row],[End Date]],"YYYY")</f>
        <v>2025</v>
      </c>
      <c r="U1506" s="24">
        <f t="shared" ca="1" si="54"/>
        <v>-583</v>
      </c>
      <c r="V1506" s="14" t="str" cm="1">
        <f t="array" aca="1" ref="V1506" ca="1">_xlfn.IFS(Table1[[#This Row],[Agreement Days]]&gt;=0,"Expired",Table1[[#This Row],[Agreement Days]]&gt;=-30,"Expires &lt; 30 Days",Table1[[#This Row],[Agreement Days]]&gt;=-60,"Expires &lt; 60 Days",Table1[[#This Row],[Agreement Days]]&lt;-60,"Valid Contract")</f>
        <v>Valid Contract</v>
      </c>
      <c r="W1506" s="14" t="s">
        <v>20</v>
      </c>
      <c r="X1506" s="14" t="s">
        <v>989</v>
      </c>
      <c r="Y1506" s="16" t="s">
        <v>990</v>
      </c>
      <c r="Z1506" s="27" t="s">
        <v>991</v>
      </c>
      <c r="AA1506" s="19"/>
      <c r="AB1506" s="123"/>
      <c r="AC1506" s="123"/>
    </row>
    <row r="1507" spans="1:29" s="11" customFormat="1" hidden="1" x14ac:dyDescent="0.3">
      <c r="A1507" s="18" t="s">
        <v>987</v>
      </c>
      <c r="B1507" s="18" t="s">
        <v>127</v>
      </c>
      <c r="C1507" s="18" t="s">
        <v>2872</v>
      </c>
      <c r="D1507" s="14" t="s">
        <v>1140</v>
      </c>
      <c r="E1507" s="18" t="s">
        <v>9</v>
      </c>
      <c r="F1507" s="14" t="s">
        <v>601</v>
      </c>
      <c r="G1507" s="14" t="s">
        <v>546</v>
      </c>
      <c r="H1507" s="18" t="s">
        <v>5</v>
      </c>
      <c r="I1507" s="14" t="s">
        <v>115</v>
      </c>
      <c r="J1507" s="14"/>
      <c r="K1507" s="18" t="s">
        <v>651</v>
      </c>
      <c r="L1507" s="14"/>
      <c r="M1507" s="14">
        <v>1</v>
      </c>
      <c r="N1507" s="15">
        <f t="shared" si="56"/>
        <v>81355.932203389835</v>
      </c>
      <c r="O1507" s="15">
        <f t="shared" si="55"/>
        <v>81355.932203389835</v>
      </c>
      <c r="P1507" s="15"/>
      <c r="Q1507" s="14" t="s">
        <v>520</v>
      </c>
      <c r="R1507" s="25">
        <v>45716</v>
      </c>
      <c r="S1507" s="22" t="str">
        <f>TEXT(Table1[[#This Row],[End Date]],"MMMM")</f>
        <v>February</v>
      </c>
      <c r="T1507" s="23" t="str">
        <f>TEXT(Table1[[#This Row],[End Date]],"YYYY")</f>
        <v>2025</v>
      </c>
      <c r="U1507" s="24">
        <f t="shared" ca="1" si="54"/>
        <v>-583</v>
      </c>
      <c r="V1507" s="14" t="str" cm="1">
        <f t="array" aca="1" ref="V1507" ca="1">_xlfn.IFS(Table1[[#This Row],[Agreement Days]]&gt;=0,"Expired",Table1[[#This Row],[Agreement Days]]&gt;=-30,"Expires &lt; 30 Days",Table1[[#This Row],[Agreement Days]]&gt;=-60,"Expires &lt; 60 Days",Table1[[#This Row],[Agreement Days]]&lt;-60,"Valid Contract")</f>
        <v>Valid Contract</v>
      </c>
      <c r="W1507" s="14" t="s">
        <v>20</v>
      </c>
      <c r="X1507" s="14" t="s">
        <v>989</v>
      </c>
      <c r="Y1507" s="16" t="s">
        <v>990</v>
      </c>
      <c r="Z1507" s="27" t="s">
        <v>991</v>
      </c>
      <c r="AA1507" s="19"/>
      <c r="AB1507" s="123"/>
      <c r="AC1507" s="123"/>
    </row>
    <row r="1508" spans="1:29" s="11" customFormat="1" hidden="1" x14ac:dyDescent="0.3">
      <c r="A1508" s="18" t="s">
        <v>987</v>
      </c>
      <c r="B1508" s="18" t="s">
        <v>127</v>
      </c>
      <c r="C1508" s="18" t="s">
        <v>2873</v>
      </c>
      <c r="D1508" s="14" t="s">
        <v>1140</v>
      </c>
      <c r="E1508" s="18" t="s">
        <v>9</v>
      </c>
      <c r="F1508" s="14" t="s">
        <v>601</v>
      </c>
      <c r="G1508" s="14" t="s">
        <v>546</v>
      </c>
      <c r="H1508" s="18" t="s">
        <v>5</v>
      </c>
      <c r="I1508" s="14" t="s">
        <v>115</v>
      </c>
      <c r="J1508" s="14"/>
      <c r="K1508" s="18" t="s">
        <v>651</v>
      </c>
      <c r="L1508" s="14"/>
      <c r="M1508" s="14">
        <v>1</v>
      </c>
      <c r="N1508" s="15">
        <f t="shared" si="56"/>
        <v>81355.932203389835</v>
      </c>
      <c r="O1508" s="15">
        <f t="shared" si="55"/>
        <v>81355.932203389835</v>
      </c>
      <c r="P1508" s="15"/>
      <c r="Q1508" s="14" t="s">
        <v>520</v>
      </c>
      <c r="R1508" s="25">
        <v>45716</v>
      </c>
      <c r="S1508" s="22" t="str">
        <f>TEXT(Table1[[#This Row],[End Date]],"MMMM")</f>
        <v>February</v>
      </c>
      <c r="T1508" s="23" t="str">
        <f>TEXT(Table1[[#This Row],[End Date]],"YYYY")</f>
        <v>2025</v>
      </c>
      <c r="U1508" s="24">
        <f t="shared" ca="1" si="54"/>
        <v>-583</v>
      </c>
      <c r="V1508" s="14" t="str" cm="1">
        <f t="array" aca="1" ref="V1508" ca="1">_xlfn.IFS(Table1[[#This Row],[Agreement Days]]&gt;=0,"Expired",Table1[[#This Row],[Agreement Days]]&gt;=-30,"Expires &lt; 30 Days",Table1[[#This Row],[Agreement Days]]&gt;=-60,"Expires &lt; 60 Days",Table1[[#This Row],[Agreement Days]]&lt;-60,"Valid Contract")</f>
        <v>Valid Contract</v>
      </c>
      <c r="W1508" s="14" t="s">
        <v>20</v>
      </c>
      <c r="X1508" s="14" t="s">
        <v>989</v>
      </c>
      <c r="Y1508" s="16" t="s">
        <v>990</v>
      </c>
      <c r="Z1508" s="27" t="s">
        <v>991</v>
      </c>
      <c r="AA1508" s="19"/>
      <c r="AB1508" s="123"/>
      <c r="AC1508" s="123"/>
    </row>
    <row r="1509" spans="1:29" s="11" customFormat="1" hidden="1" x14ac:dyDescent="0.3">
      <c r="A1509" s="18" t="s">
        <v>987</v>
      </c>
      <c r="B1509" s="18" t="s">
        <v>127</v>
      </c>
      <c r="C1509" s="18" t="s">
        <v>2874</v>
      </c>
      <c r="D1509" s="14" t="s">
        <v>1140</v>
      </c>
      <c r="E1509" s="18" t="s">
        <v>9</v>
      </c>
      <c r="F1509" s="14" t="s">
        <v>601</v>
      </c>
      <c r="G1509" s="14" t="s">
        <v>546</v>
      </c>
      <c r="H1509" s="18" t="s">
        <v>5</v>
      </c>
      <c r="I1509" s="14" t="s">
        <v>115</v>
      </c>
      <c r="J1509" s="14"/>
      <c r="K1509" s="18" t="s">
        <v>651</v>
      </c>
      <c r="L1509" s="14"/>
      <c r="M1509" s="14">
        <v>1</v>
      </c>
      <c r="N1509" s="15">
        <f t="shared" si="56"/>
        <v>81355.932203389835</v>
      </c>
      <c r="O1509" s="15">
        <f t="shared" si="55"/>
        <v>81355.932203389835</v>
      </c>
      <c r="P1509" s="15"/>
      <c r="Q1509" s="14" t="s">
        <v>520</v>
      </c>
      <c r="R1509" s="25">
        <v>45716</v>
      </c>
      <c r="S1509" s="22" t="str">
        <f>TEXT(Table1[[#This Row],[End Date]],"MMMM")</f>
        <v>February</v>
      </c>
      <c r="T1509" s="23" t="str">
        <f>TEXT(Table1[[#This Row],[End Date]],"YYYY")</f>
        <v>2025</v>
      </c>
      <c r="U1509" s="24">
        <f t="shared" ca="1" si="54"/>
        <v>-583</v>
      </c>
      <c r="V1509" s="14" t="str" cm="1">
        <f t="array" aca="1" ref="V1509" ca="1">_xlfn.IFS(Table1[[#This Row],[Agreement Days]]&gt;=0,"Expired",Table1[[#This Row],[Agreement Days]]&gt;=-30,"Expires &lt; 30 Days",Table1[[#This Row],[Agreement Days]]&gt;=-60,"Expires &lt; 60 Days",Table1[[#This Row],[Agreement Days]]&lt;-60,"Valid Contract")</f>
        <v>Valid Contract</v>
      </c>
      <c r="W1509" s="14" t="s">
        <v>20</v>
      </c>
      <c r="X1509" s="14" t="s">
        <v>989</v>
      </c>
      <c r="Y1509" s="16" t="s">
        <v>990</v>
      </c>
      <c r="Z1509" s="27" t="s">
        <v>991</v>
      </c>
      <c r="AA1509" s="19"/>
      <c r="AB1509" s="123"/>
      <c r="AC1509" s="123"/>
    </row>
    <row r="1510" spans="1:29" s="11" customFormat="1" hidden="1" x14ac:dyDescent="0.3">
      <c r="A1510" s="18" t="s">
        <v>987</v>
      </c>
      <c r="B1510" s="18" t="s">
        <v>127</v>
      </c>
      <c r="C1510" s="18" t="s">
        <v>2875</v>
      </c>
      <c r="D1510" s="14" t="s">
        <v>1140</v>
      </c>
      <c r="E1510" s="18" t="s">
        <v>9</v>
      </c>
      <c r="F1510" s="14" t="s">
        <v>601</v>
      </c>
      <c r="G1510" s="14" t="s">
        <v>546</v>
      </c>
      <c r="H1510" s="18" t="s">
        <v>5</v>
      </c>
      <c r="I1510" s="14" t="s">
        <v>115</v>
      </c>
      <c r="J1510" s="14"/>
      <c r="K1510" s="18" t="s">
        <v>651</v>
      </c>
      <c r="L1510" s="14"/>
      <c r="M1510" s="14">
        <v>1</v>
      </c>
      <c r="N1510" s="15">
        <f t="shared" si="56"/>
        <v>81355.932203389835</v>
      </c>
      <c r="O1510" s="15">
        <f t="shared" si="55"/>
        <v>81355.932203389835</v>
      </c>
      <c r="P1510" s="15"/>
      <c r="Q1510" s="14" t="s">
        <v>520</v>
      </c>
      <c r="R1510" s="25">
        <v>45716</v>
      </c>
      <c r="S1510" s="22" t="str">
        <f>TEXT(Table1[[#This Row],[End Date]],"MMMM")</f>
        <v>February</v>
      </c>
      <c r="T1510" s="23" t="str">
        <f>TEXT(Table1[[#This Row],[End Date]],"YYYY")</f>
        <v>2025</v>
      </c>
      <c r="U1510" s="24">
        <f t="shared" ca="1" si="54"/>
        <v>-583</v>
      </c>
      <c r="V1510" s="14" t="str" cm="1">
        <f t="array" aca="1" ref="V1510" ca="1">_xlfn.IFS(Table1[[#This Row],[Agreement Days]]&gt;=0,"Expired",Table1[[#This Row],[Agreement Days]]&gt;=-30,"Expires &lt; 30 Days",Table1[[#This Row],[Agreement Days]]&gt;=-60,"Expires &lt; 60 Days",Table1[[#This Row],[Agreement Days]]&lt;-60,"Valid Contract")</f>
        <v>Valid Contract</v>
      </c>
      <c r="W1510" s="14" t="s">
        <v>20</v>
      </c>
      <c r="X1510" s="14" t="s">
        <v>989</v>
      </c>
      <c r="Y1510" s="16" t="s">
        <v>990</v>
      </c>
      <c r="Z1510" s="27" t="s">
        <v>991</v>
      </c>
      <c r="AA1510" s="19"/>
      <c r="AB1510" s="123"/>
      <c r="AC1510" s="123"/>
    </row>
    <row r="1511" spans="1:29" s="11" customFormat="1" hidden="1" x14ac:dyDescent="0.3">
      <c r="A1511" s="18" t="s">
        <v>987</v>
      </c>
      <c r="B1511" s="18" t="s">
        <v>127</v>
      </c>
      <c r="C1511" s="18" t="s">
        <v>2876</v>
      </c>
      <c r="D1511" s="14" t="s">
        <v>1140</v>
      </c>
      <c r="E1511" s="18" t="s">
        <v>9</v>
      </c>
      <c r="F1511" s="14" t="s">
        <v>601</v>
      </c>
      <c r="G1511" s="14" t="s">
        <v>546</v>
      </c>
      <c r="H1511" s="18" t="s">
        <v>5</v>
      </c>
      <c r="I1511" s="14" t="s">
        <v>115</v>
      </c>
      <c r="J1511" s="14"/>
      <c r="K1511" s="18" t="s">
        <v>651</v>
      </c>
      <c r="L1511" s="14"/>
      <c r="M1511" s="14">
        <v>1</v>
      </c>
      <c r="N1511" s="15">
        <f t="shared" si="56"/>
        <v>81355.932203389835</v>
      </c>
      <c r="O1511" s="15">
        <f t="shared" si="55"/>
        <v>81355.932203389835</v>
      </c>
      <c r="P1511" s="15"/>
      <c r="Q1511" s="14" t="s">
        <v>520</v>
      </c>
      <c r="R1511" s="25">
        <v>45716</v>
      </c>
      <c r="S1511" s="22" t="str">
        <f>TEXT(Table1[[#This Row],[End Date]],"MMMM")</f>
        <v>February</v>
      </c>
      <c r="T1511" s="23" t="str">
        <f>TEXT(Table1[[#This Row],[End Date]],"YYYY")</f>
        <v>2025</v>
      </c>
      <c r="U1511" s="24">
        <f t="shared" ca="1" si="54"/>
        <v>-583</v>
      </c>
      <c r="V1511" s="14" t="str" cm="1">
        <f t="array" aca="1" ref="V1511" ca="1">_xlfn.IFS(Table1[[#This Row],[Agreement Days]]&gt;=0,"Expired",Table1[[#This Row],[Agreement Days]]&gt;=-30,"Expires &lt; 30 Days",Table1[[#This Row],[Agreement Days]]&gt;=-60,"Expires &lt; 60 Days",Table1[[#This Row],[Agreement Days]]&lt;-60,"Valid Contract")</f>
        <v>Valid Contract</v>
      </c>
      <c r="W1511" s="14" t="s">
        <v>20</v>
      </c>
      <c r="X1511" s="14" t="s">
        <v>989</v>
      </c>
      <c r="Y1511" s="16" t="s">
        <v>990</v>
      </c>
      <c r="Z1511" s="27" t="s">
        <v>991</v>
      </c>
      <c r="AA1511" s="19"/>
      <c r="AB1511" s="123"/>
      <c r="AC1511" s="123"/>
    </row>
    <row r="1512" spans="1:29" s="11" customFormat="1" hidden="1" x14ac:dyDescent="0.3">
      <c r="A1512" s="18" t="s">
        <v>987</v>
      </c>
      <c r="B1512" s="18" t="s">
        <v>127</v>
      </c>
      <c r="C1512" s="18" t="s">
        <v>1009</v>
      </c>
      <c r="D1512" s="14" t="s">
        <v>545</v>
      </c>
      <c r="E1512" s="18" t="s">
        <v>9</v>
      </c>
      <c r="F1512" s="14" t="s">
        <v>601</v>
      </c>
      <c r="G1512" s="14" t="s">
        <v>546</v>
      </c>
      <c r="H1512" s="18" t="s">
        <v>5</v>
      </c>
      <c r="I1512" s="14" t="s">
        <v>115</v>
      </c>
      <c r="J1512" s="14"/>
      <c r="K1512" s="18" t="s">
        <v>936</v>
      </c>
      <c r="L1512" s="14"/>
      <c r="M1512" s="14">
        <v>1</v>
      </c>
      <c r="N1512" s="15">
        <v>77711.86</v>
      </c>
      <c r="O1512" s="15">
        <f t="shared" si="55"/>
        <v>77711.86</v>
      </c>
      <c r="P1512" s="15"/>
      <c r="Q1512" s="14" t="s">
        <v>520</v>
      </c>
      <c r="R1512" s="25">
        <v>45716</v>
      </c>
      <c r="S1512" s="22" t="str">
        <f>TEXT(Table1[[#This Row],[End Date]],"MMMM")</f>
        <v>February</v>
      </c>
      <c r="T1512" s="23" t="str">
        <f>TEXT(Table1[[#This Row],[End Date]],"YYYY")</f>
        <v>2025</v>
      </c>
      <c r="U1512" s="24">
        <f t="shared" ca="1" si="54"/>
        <v>-583</v>
      </c>
      <c r="V1512" s="14" t="str" cm="1">
        <f t="array" aca="1" ref="V1512" ca="1">_xlfn.IFS(Table1[[#This Row],[Agreement Days]]&gt;=0,"Expired",Table1[[#This Row],[Agreement Days]]&gt;=-30,"Expires &lt; 30 Days",Table1[[#This Row],[Agreement Days]]&gt;=-60,"Expires &lt; 60 Days",Table1[[#This Row],[Agreement Days]]&lt;-60,"Valid Contract")</f>
        <v>Valid Contract</v>
      </c>
      <c r="W1512" s="14" t="s">
        <v>20</v>
      </c>
      <c r="X1512" s="14" t="s">
        <v>989</v>
      </c>
      <c r="Y1512" s="16" t="s">
        <v>990</v>
      </c>
      <c r="Z1512" s="27" t="s">
        <v>991</v>
      </c>
      <c r="AA1512" s="19"/>
      <c r="AB1512" s="123"/>
      <c r="AC1512" s="123"/>
    </row>
    <row r="1513" spans="1:29" s="11" customFormat="1" hidden="1" x14ac:dyDescent="0.3">
      <c r="A1513" s="18" t="s">
        <v>987</v>
      </c>
      <c r="B1513" s="18" t="s">
        <v>127</v>
      </c>
      <c r="C1513" s="18" t="s">
        <v>2877</v>
      </c>
      <c r="D1513" s="14" t="s">
        <v>545</v>
      </c>
      <c r="E1513" s="18" t="s">
        <v>9</v>
      </c>
      <c r="F1513" s="14" t="s">
        <v>601</v>
      </c>
      <c r="G1513" s="14" t="s">
        <v>546</v>
      </c>
      <c r="H1513" s="18" t="s">
        <v>5</v>
      </c>
      <c r="I1513" s="14" t="s">
        <v>115</v>
      </c>
      <c r="J1513" s="14"/>
      <c r="K1513" s="18" t="s">
        <v>651</v>
      </c>
      <c r="L1513" s="14"/>
      <c r="M1513" s="14">
        <v>1</v>
      </c>
      <c r="N1513" s="15">
        <f t="shared" ref="N1513:N1544" si="57">96000/1.18</f>
        <v>81355.932203389835</v>
      </c>
      <c r="O1513" s="15">
        <f t="shared" si="55"/>
        <v>81355.932203389835</v>
      </c>
      <c r="P1513" s="15"/>
      <c r="Q1513" s="14" t="s">
        <v>520</v>
      </c>
      <c r="R1513" s="25">
        <v>45716</v>
      </c>
      <c r="S1513" s="22" t="str">
        <f>TEXT(Table1[[#This Row],[End Date]],"MMMM")</f>
        <v>February</v>
      </c>
      <c r="T1513" s="23" t="str">
        <f>TEXT(Table1[[#This Row],[End Date]],"YYYY")</f>
        <v>2025</v>
      </c>
      <c r="U1513" s="24">
        <f t="shared" ca="1" si="54"/>
        <v>-583</v>
      </c>
      <c r="V1513" s="14" t="str" cm="1">
        <f t="array" aca="1" ref="V1513" ca="1">_xlfn.IFS(Table1[[#This Row],[Agreement Days]]&gt;=0,"Expired",Table1[[#This Row],[Agreement Days]]&gt;=-30,"Expires &lt; 30 Days",Table1[[#This Row],[Agreement Days]]&gt;=-60,"Expires &lt; 60 Days",Table1[[#This Row],[Agreement Days]]&lt;-60,"Valid Contract")</f>
        <v>Valid Contract</v>
      </c>
      <c r="W1513" s="14" t="s">
        <v>20</v>
      </c>
      <c r="X1513" s="14" t="s">
        <v>989</v>
      </c>
      <c r="Y1513" s="16" t="s">
        <v>990</v>
      </c>
      <c r="Z1513" s="27" t="s">
        <v>991</v>
      </c>
      <c r="AA1513" s="19"/>
      <c r="AB1513" s="123"/>
      <c r="AC1513" s="123"/>
    </row>
    <row r="1514" spans="1:29" s="11" customFormat="1" hidden="1" x14ac:dyDescent="0.3">
      <c r="A1514" s="18" t="s">
        <v>987</v>
      </c>
      <c r="B1514" s="18" t="s">
        <v>127</v>
      </c>
      <c r="C1514" s="18" t="s">
        <v>2878</v>
      </c>
      <c r="D1514" s="14" t="s">
        <v>545</v>
      </c>
      <c r="E1514" s="18" t="s">
        <v>9</v>
      </c>
      <c r="F1514" s="14" t="s">
        <v>601</v>
      </c>
      <c r="G1514" s="14" t="s">
        <v>546</v>
      </c>
      <c r="H1514" s="18" t="s">
        <v>5</v>
      </c>
      <c r="I1514" s="14" t="s">
        <v>115</v>
      </c>
      <c r="J1514" s="14"/>
      <c r="K1514" s="18" t="s">
        <v>651</v>
      </c>
      <c r="L1514" s="14"/>
      <c r="M1514" s="14">
        <v>1</v>
      </c>
      <c r="N1514" s="15">
        <f t="shared" si="57"/>
        <v>81355.932203389835</v>
      </c>
      <c r="O1514" s="15">
        <f t="shared" si="55"/>
        <v>81355.932203389835</v>
      </c>
      <c r="P1514" s="15"/>
      <c r="Q1514" s="14" t="s">
        <v>520</v>
      </c>
      <c r="R1514" s="25">
        <v>45716</v>
      </c>
      <c r="S1514" s="22" t="str">
        <f>TEXT(Table1[[#This Row],[End Date]],"MMMM")</f>
        <v>February</v>
      </c>
      <c r="T1514" s="23" t="str">
        <f>TEXT(Table1[[#This Row],[End Date]],"YYYY")</f>
        <v>2025</v>
      </c>
      <c r="U1514" s="24">
        <f t="shared" ca="1" si="54"/>
        <v>-583</v>
      </c>
      <c r="V1514" s="14" t="str" cm="1">
        <f t="array" aca="1" ref="V1514" ca="1">_xlfn.IFS(Table1[[#This Row],[Agreement Days]]&gt;=0,"Expired",Table1[[#This Row],[Agreement Days]]&gt;=-30,"Expires &lt; 30 Days",Table1[[#This Row],[Agreement Days]]&gt;=-60,"Expires &lt; 60 Days",Table1[[#This Row],[Agreement Days]]&lt;-60,"Valid Contract")</f>
        <v>Valid Contract</v>
      </c>
      <c r="W1514" s="14" t="s">
        <v>20</v>
      </c>
      <c r="X1514" s="14" t="s">
        <v>989</v>
      </c>
      <c r="Y1514" s="16" t="s">
        <v>990</v>
      </c>
      <c r="Z1514" s="27" t="s">
        <v>991</v>
      </c>
      <c r="AA1514" s="19"/>
      <c r="AB1514" s="123"/>
      <c r="AC1514" s="123"/>
    </row>
    <row r="1515" spans="1:29" s="11" customFormat="1" hidden="1" x14ac:dyDescent="0.3">
      <c r="A1515" s="18" t="s">
        <v>987</v>
      </c>
      <c r="B1515" s="18" t="s">
        <v>127</v>
      </c>
      <c r="C1515" s="18" t="s">
        <v>2879</v>
      </c>
      <c r="D1515" s="14" t="s">
        <v>545</v>
      </c>
      <c r="E1515" s="18" t="s">
        <v>9</v>
      </c>
      <c r="F1515" s="14" t="s">
        <v>601</v>
      </c>
      <c r="G1515" s="14" t="s">
        <v>546</v>
      </c>
      <c r="H1515" s="18" t="s">
        <v>5</v>
      </c>
      <c r="I1515" s="14" t="s">
        <v>115</v>
      </c>
      <c r="J1515" s="14"/>
      <c r="K1515" s="18" t="s">
        <v>651</v>
      </c>
      <c r="L1515" s="14"/>
      <c r="M1515" s="14">
        <v>1</v>
      </c>
      <c r="N1515" s="15">
        <f t="shared" si="57"/>
        <v>81355.932203389835</v>
      </c>
      <c r="O1515" s="15">
        <f t="shared" si="55"/>
        <v>81355.932203389835</v>
      </c>
      <c r="P1515" s="15"/>
      <c r="Q1515" s="14" t="s">
        <v>520</v>
      </c>
      <c r="R1515" s="25">
        <v>45716</v>
      </c>
      <c r="S1515" s="22" t="str">
        <f>TEXT(Table1[[#This Row],[End Date]],"MMMM")</f>
        <v>February</v>
      </c>
      <c r="T1515" s="23" t="str">
        <f>TEXT(Table1[[#This Row],[End Date]],"YYYY")</f>
        <v>2025</v>
      </c>
      <c r="U1515" s="24">
        <f t="shared" ca="1" si="54"/>
        <v>-583</v>
      </c>
      <c r="V1515" s="14" t="str" cm="1">
        <f t="array" aca="1" ref="V1515" ca="1">_xlfn.IFS(Table1[[#This Row],[Agreement Days]]&gt;=0,"Expired",Table1[[#This Row],[Agreement Days]]&gt;=-30,"Expires &lt; 30 Days",Table1[[#This Row],[Agreement Days]]&gt;=-60,"Expires &lt; 60 Days",Table1[[#This Row],[Agreement Days]]&lt;-60,"Valid Contract")</f>
        <v>Valid Contract</v>
      </c>
      <c r="W1515" s="14" t="s">
        <v>20</v>
      </c>
      <c r="X1515" s="14" t="s">
        <v>989</v>
      </c>
      <c r="Y1515" s="16" t="s">
        <v>990</v>
      </c>
      <c r="Z1515" s="27" t="s">
        <v>991</v>
      </c>
      <c r="AA1515" s="19"/>
      <c r="AB1515" s="123"/>
      <c r="AC1515" s="123"/>
    </row>
    <row r="1516" spans="1:29" s="11" customFormat="1" hidden="1" x14ac:dyDescent="0.3">
      <c r="A1516" s="18" t="s">
        <v>987</v>
      </c>
      <c r="B1516" s="18" t="s">
        <v>127</v>
      </c>
      <c r="C1516" s="18" t="s">
        <v>2880</v>
      </c>
      <c r="D1516" s="14" t="s">
        <v>545</v>
      </c>
      <c r="E1516" s="18" t="s">
        <v>9</v>
      </c>
      <c r="F1516" s="14" t="s">
        <v>601</v>
      </c>
      <c r="G1516" s="14" t="s">
        <v>546</v>
      </c>
      <c r="H1516" s="18" t="s">
        <v>5</v>
      </c>
      <c r="I1516" s="14" t="s">
        <v>115</v>
      </c>
      <c r="J1516" s="14"/>
      <c r="K1516" s="18" t="s">
        <v>651</v>
      </c>
      <c r="L1516" s="14"/>
      <c r="M1516" s="14">
        <v>1</v>
      </c>
      <c r="N1516" s="15">
        <f t="shared" si="57"/>
        <v>81355.932203389835</v>
      </c>
      <c r="O1516" s="15">
        <f t="shared" si="55"/>
        <v>81355.932203389835</v>
      </c>
      <c r="P1516" s="15"/>
      <c r="Q1516" s="14" t="s">
        <v>520</v>
      </c>
      <c r="R1516" s="25">
        <v>45716</v>
      </c>
      <c r="S1516" s="22" t="str">
        <f>TEXT(Table1[[#This Row],[End Date]],"MMMM")</f>
        <v>February</v>
      </c>
      <c r="T1516" s="23" t="str">
        <f>TEXT(Table1[[#This Row],[End Date]],"YYYY")</f>
        <v>2025</v>
      </c>
      <c r="U1516" s="24">
        <f t="shared" ca="1" si="54"/>
        <v>-583</v>
      </c>
      <c r="V1516" s="14" t="str" cm="1">
        <f t="array" aca="1" ref="V1516" ca="1">_xlfn.IFS(Table1[[#This Row],[Agreement Days]]&gt;=0,"Expired",Table1[[#This Row],[Agreement Days]]&gt;=-30,"Expires &lt; 30 Days",Table1[[#This Row],[Agreement Days]]&gt;=-60,"Expires &lt; 60 Days",Table1[[#This Row],[Agreement Days]]&lt;-60,"Valid Contract")</f>
        <v>Valid Contract</v>
      </c>
      <c r="W1516" s="14" t="s">
        <v>20</v>
      </c>
      <c r="X1516" s="14" t="s">
        <v>989</v>
      </c>
      <c r="Y1516" s="16" t="s">
        <v>990</v>
      </c>
      <c r="Z1516" s="27" t="s">
        <v>991</v>
      </c>
      <c r="AA1516" s="19"/>
      <c r="AB1516" s="123"/>
      <c r="AC1516" s="123"/>
    </row>
    <row r="1517" spans="1:29" s="11" customFormat="1" hidden="1" x14ac:dyDescent="0.3">
      <c r="A1517" s="18" t="s">
        <v>987</v>
      </c>
      <c r="B1517" s="18" t="s">
        <v>127</v>
      </c>
      <c r="C1517" s="18" t="s">
        <v>2881</v>
      </c>
      <c r="D1517" s="14" t="s">
        <v>545</v>
      </c>
      <c r="E1517" s="18" t="s">
        <v>9</v>
      </c>
      <c r="F1517" s="14" t="s">
        <v>601</v>
      </c>
      <c r="G1517" s="14" t="s">
        <v>546</v>
      </c>
      <c r="H1517" s="18" t="s">
        <v>5</v>
      </c>
      <c r="I1517" s="14" t="s">
        <v>115</v>
      </c>
      <c r="J1517" s="14"/>
      <c r="K1517" s="18" t="s">
        <v>651</v>
      </c>
      <c r="L1517" s="14"/>
      <c r="M1517" s="14">
        <v>1</v>
      </c>
      <c r="N1517" s="15">
        <f t="shared" si="57"/>
        <v>81355.932203389835</v>
      </c>
      <c r="O1517" s="15">
        <f t="shared" si="55"/>
        <v>81355.932203389835</v>
      </c>
      <c r="P1517" s="15"/>
      <c r="Q1517" s="14" t="s">
        <v>520</v>
      </c>
      <c r="R1517" s="25">
        <v>45716</v>
      </c>
      <c r="S1517" s="22" t="str">
        <f>TEXT(Table1[[#This Row],[End Date]],"MMMM")</f>
        <v>February</v>
      </c>
      <c r="T1517" s="23" t="str">
        <f>TEXT(Table1[[#This Row],[End Date]],"YYYY")</f>
        <v>2025</v>
      </c>
      <c r="U1517" s="24">
        <f t="shared" ca="1" si="54"/>
        <v>-583</v>
      </c>
      <c r="V1517" s="14" t="str" cm="1">
        <f t="array" aca="1" ref="V1517" ca="1">_xlfn.IFS(Table1[[#This Row],[Agreement Days]]&gt;=0,"Expired",Table1[[#This Row],[Agreement Days]]&gt;=-30,"Expires &lt; 30 Days",Table1[[#This Row],[Agreement Days]]&gt;=-60,"Expires &lt; 60 Days",Table1[[#This Row],[Agreement Days]]&lt;-60,"Valid Contract")</f>
        <v>Valid Contract</v>
      </c>
      <c r="W1517" s="14" t="s">
        <v>20</v>
      </c>
      <c r="X1517" s="14" t="s">
        <v>989</v>
      </c>
      <c r="Y1517" s="16" t="s">
        <v>990</v>
      </c>
      <c r="Z1517" s="27" t="s">
        <v>991</v>
      </c>
      <c r="AA1517" s="19"/>
      <c r="AB1517" s="123"/>
      <c r="AC1517" s="123"/>
    </row>
    <row r="1518" spans="1:29" s="11" customFormat="1" hidden="1" x14ac:dyDescent="0.3">
      <c r="A1518" s="18" t="s">
        <v>987</v>
      </c>
      <c r="B1518" s="18" t="s">
        <v>127</v>
      </c>
      <c r="C1518" s="18" t="s">
        <v>2882</v>
      </c>
      <c r="D1518" s="14" t="s">
        <v>545</v>
      </c>
      <c r="E1518" s="18" t="s">
        <v>9</v>
      </c>
      <c r="F1518" s="14" t="s">
        <v>601</v>
      </c>
      <c r="G1518" s="14" t="s">
        <v>546</v>
      </c>
      <c r="H1518" s="18" t="s">
        <v>5</v>
      </c>
      <c r="I1518" s="14" t="s">
        <v>115</v>
      </c>
      <c r="J1518" s="14"/>
      <c r="K1518" s="18" t="s">
        <v>651</v>
      </c>
      <c r="L1518" s="14"/>
      <c r="M1518" s="14">
        <v>1</v>
      </c>
      <c r="N1518" s="15">
        <f t="shared" si="57"/>
        <v>81355.932203389835</v>
      </c>
      <c r="O1518" s="15">
        <f t="shared" si="55"/>
        <v>81355.932203389835</v>
      </c>
      <c r="P1518" s="15"/>
      <c r="Q1518" s="14" t="s">
        <v>520</v>
      </c>
      <c r="R1518" s="25">
        <v>45716</v>
      </c>
      <c r="S1518" s="22" t="str">
        <f>TEXT(Table1[[#This Row],[End Date]],"MMMM")</f>
        <v>February</v>
      </c>
      <c r="T1518" s="23" t="str">
        <f>TEXT(Table1[[#This Row],[End Date]],"YYYY")</f>
        <v>2025</v>
      </c>
      <c r="U1518" s="24">
        <f t="shared" ca="1" si="54"/>
        <v>-583</v>
      </c>
      <c r="V1518" s="14" t="str" cm="1">
        <f t="array" aca="1" ref="V1518" ca="1">_xlfn.IFS(Table1[[#This Row],[Agreement Days]]&gt;=0,"Expired",Table1[[#This Row],[Agreement Days]]&gt;=-30,"Expires &lt; 30 Days",Table1[[#This Row],[Agreement Days]]&gt;=-60,"Expires &lt; 60 Days",Table1[[#This Row],[Agreement Days]]&lt;-60,"Valid Contract")</f>
        <v>Valid Contract</v>
      </c>
      <c r="W1518" s="14" t="s">
        <v>20</v>
      </c>
      <c r="X1518" s="14" t="s">
        <v>989</v>
      </c>
      <c r="Y1518" s="16" t="s">
        <v>990</v>
      </c>
      <c r="Z1518" s="27" t="s">
        <v>991</v>
      </c>
      <c r="AA1518" s="19"/>
      <c r="AB1518" s="123"/>
      <c r="AC1518" s="123"/>
    </row>
    <row r="1519" spans="1:29" s="11" customFormat="1" hidden="1" x14ac:dyDescent="0.3">
      <c r="A1519" s="18" t="s">
        <v>987</v>
      </c>
      <c r="B1519" s="18" t="s">
        <v>127</v>
      </c>
      <c r="C1519" s="18" t="s">
        <v>2883</v>
      </c>
      <c r="D1519" s="14" t="s">
        <v>545</v>
      </c>
      <c r="E1519" s="18" t="s">
        <v>9</v>
      </c>
      <c r="F1519" s="14" t="s">
        <v>601</v>
      </c>
      <c r="G1519" s="14" t="s">
        <v>546</v>
      </c>
      <c r="H1519" s="18" t="s">
        <v>5</v>
      </c>
      <c r="I1519" s="14" t="s">
        <v>115</v>
      </c>
      <c r="J1519" s="14"/>
      <c r="K1519" s="18" t="s">
        <v>651</v>
      </c>
      <c r="L1519" s="14"/>
      <c r="M1519" s="14">
        <v>1</v>
      </c>
      <c r="N1519" s="15">
        <f t="shared" si="57"/>
        <v>81355.932203389835</v>
      </c>
      <c r="O1519" s="15">
        <f t="shared" si="55"/>
        <v>81355.932203389835</v>
      </c>
      <c r="P1519" s="15"/>
      <c r="Q1519" s="14" t="s">
        <v>520</v>
      </c>
      <c r="R1519" s="25">
        <v>45716</v>
      </c>
      <c r="S1519" s="22" t="str">
        <f>TEXT(Table1[[#This Row],[End Date]],"MMMM")</f>
        <v>February</v>
      </c>
      <c r="T1519" s="23" t="str">
        <f>TEXT(Table1[[#This Row],[End Date]],"YYYY")</f>
        <v>2025</v>
      </c>
      <c r="U1519" s="24">
        <f t="shared" ca="1" si="54"/>
        <v>-583</v>
      </c>
      <c r="V1519" s="14" t="str" cm="1">
        <f t="array" aca="1" ref="V1519" ca="1">_xlfn.IFS(Table1[[#This Row],[Agreement Days]]&gt;=0,"Expired",Table1[[#This Row],[Agreement Days]]&gt;=-30,"Expires &lt; 30 Days",Table1[[#This Row],[Agreement Days]]&gt;=-60,"Expires &lt; 60 Days",Table1[[#This Row],[Agreement Days]]&lt;-60,"Valid Contract")</f>
        <v>Valid Contract</v>
      </c>
      <c r="W1519" s="14" t="s">
        <v>20</v>
      </c>
      <c r="X1519" s="14" t="s">
        <v>989</v>
      </c>
      <c r="Y1519" s="16" t="s">
        <v>990</v>
      </c>
      <c r="Z1519" s="27" t="s">
        <v>991</v>
      </c>
      <c r="AA1519" s="19"/>
      <c r="AB1519" s="123"/>
      <c r="AC1519" s="123"/>
    </row>
    <row r="1520" spans="1:29" s="11" customFormat="1" hidden="1" x14ac:dyDescent="0.3">
      <c r="A1520" s="18" t="s">
        <v>987</v>
      </c>
      <c r="B1520" s="18" t="s">
        <v>127</v>
      </c>
      <c r="C1520" s="18" t="s">
        <v>2884</v>
      </c>
      <c r="D1520" s="14" t="s">
        <v>545</v>
      </c>
      <c r="E1520" s="18" t="s">
        <v>9</v>
      </c>
      <c r="F1520" s="14" t="s">
        <v>601</v>
      </c>
      <c r="G1520" s="14" t="s">
        <v>546</v>
      </c>
      <c r="H1520" s="18" t="s">
        <v>5</v>
      </c>
      <c r="I1520" s="14" t="s">
        <v>115</v>
      </c>
      <c r="J1520" s="14"/>
      <c r="K1520" s="18" t="s">
        <v>651</v>
      </c>
      <c r="L1520" s="14"/>
      <c r="M1520" s="14">
        <v>1</v>
      </c>
      <c r="N1520" s="15">
        <f t="shared" si="57"/>
        <v>81355.932203389835</v>
      </c>
      <c r="O1520" s="15">
        <f t="shared" si="55"/>
        <v>81355.932203389835</v>
      </c>
      <c r="P1520" s="15"/>
      <c r="Q1520" s="14" t="s">
        <v>520</v>
      </c>
      <c r="R1520" s="25">
        <v>45716</v>
      </c>
      <c r="S1520" s="22" t="str">
        <f>TEXT(Table1[[#This Row],[End Date]],"MMMM")</f>
        <v>February</v>
      </c>
      <c r="T1520" s="23" t="str">
        <f>TEXT(Table1[[#This Row],[End Date]],"YYYY")</f>
        <v>2025</v>
      </c>
      <c r="U1520" s="24">
        <f t="shared" ca="1" si="54"/>
        <v>-583</v>
      </c>
      <c r="V1520" s="14" t="str" cm="1">
        <f t="array" aca="1" ref="V1520" ca="1">_xlfn.IFS(Table1[[#This Row],[Agreement Days]]&gt;=0,"Expired",Table1[[#This Row],[Agreement Days]]&gt;=-30,"Expires &lt; 30 Days",Table1[[#This Row],[Agreement Days]]&gt;=-60,"Expires &lt; 60 Days",Table1[[#This Row],[Agreement Days]]&lt;-60,"Valid Contract")</f>
        <v>Valid Contract</v>
      </c>
      <c r="W1520" s="14" t="s">
        <v>20</v>
      </c>
      <c r="X1520" s="14" t="s">
        <v>989</v>
      </c>
      <c r="Y1520" s="16" t="s">
        <v>990</v>
      </c>
      <c r="Z1520" s="27" t="s">
        <v>991</v>
      </c>
      <c r="AA1520" s="19"/>
      <c r="AB1520" s="123"/>
      <c r="AC1520" s="123"/>
    </row>
    <row r="1521" spans="1:29" s="11" customFormat="1" hidden="1" x14ac:dyDescent="0.3">
      <c r="A1521" s="18" t="s">
        <v>987</v>
      </c>
      <c r="B1521" s="18" t="s">
        <v>127</v>
      </c>
      <c r="C1521" s="18" t="s">
        <v>2885</v>
      </c>
      <c r="D1521" s="14" t="s">
        <v>545</v>
      </c>
      <c r="E1521" s="18" t="s">
        <v>9</v>
      </c>
      <c r="F1521" s="14" t="s">
        <v>601</v>
      </c>
      <c r="G1521" s="14" t="s">
        <v>546</v>
      </c>
      <c r="H1521" s="18" t="s">
        <v>5</v>
      </c>
      <c r="I1521" s="14" t="s">
        <v>115</v>
      </c>
      <c r="J1521" s="14"/>
      <c r="K1521" s="18" t="s">
        <v>651</v>
      </c>
      <c r="L1521" s="14"/>
      <c r="M1521" s="14">
        <v>1</v>
      </c>
      <c r="N1521" s="15">
        <f t="shared" si="57"/>
        <v>81355.932203389835</v>
      </c>
      <c r="O1521" s="15">
        <f t="shared" si="55"/>
        <v>81355.932203389835</v>
      </c>
      <c r="P1521" s="15"/>
      <c r="Q1521" s="14" t="s">
        <v>520</v>
      </c>
      <c r="R1521" s="25">
        <v>45716</v>
      </c>
      <c r="S1521" s="22" t="str">
        <f>TEXT(Table1[[#This Row],[End Date]],"MMMM")</f>
        <v>February</v>
      </c>
      <c r="T1521" s="23" t="str">
        <f>TEXT(Table1[[#This Row],[End Date]],"YYYY")</f>
        <v>2025</v>
      </c>
      <c r="U1521" s="24">
        <f t="shared" ca="1" si="54"/>
        <v>-583</v>
      </c>
      <c r="V1521" s="14" t="str" cm="1">
        <f t="array" aca="1" ref="V1521" ca="1">_xlfn.IFS(Table1[[#This Row],[Agreement Days]]&gt;=0,"Expired",Table1[[#This Row],[Agreement Days]]&gt;=-30,"Expires &lt; 30 Days",Table1[[#This Row],[Agreement Days]]&gt;=-60,"Expires &lt; 60 Days",Table1[[#This Row],[Agreement Days]]&lt;-60,"Valid Contract")</f>
        <v>Valid Contract</v>
      </c>
      <c r="W1521" s="14" t="s">
        <v>20</v>
      </c>
      <c r="X1521" s="14" t="s">
        <v>989</v>
      </c>
      <c r="Y1521" s="16" t="s">
        <v>990</v>
      </c>
      <c r="Z1521" s="27" t="s">
        <v>991</v>
      </c>
      <c r="AA1521" s="19"/>
      <c r="AB1521" s="123"/>
      <c r="AC1521" s="123"/>
    </row>
    <row r="1522" spans="1:29" s="11" customFormat="1" hidden="1" x14ac:dyDescent="0.3">
      <c r="A1522" s="18" t="s">
        <v>987</v>
      </c>
      <c r="B1522" s="18" t="s">
        <v>127</v>
      </c>
      <c r="C1522" s="18" t="s">
        <v>2886</v>
      </c>
      <c r="D1522" s="14" t="s">
        <v>545</v>
      </c>
      <c r="E1522" s="18" t="s">
        <v>9</v>
      </c>
      <c r="F1522" s="14" t="s">
        <v>601</v>
      </c>
      <c r="G1522" s="14" t="s">
        <v>546</v>
      </c>
      <c r="H1522" s="18" t="s">
        <v>5</v>
      </c>
      <c r="I1522" s="14" t="s">
        <v>115</v>
      </c>
      <c r="J1522" s="14"/>
      <c r="K1522" s="18" t="s">
        <v>651</v>
      </c>
      <c r="L1522" s="14"/>
      <c r="M1522" s="14">
        <v>1</v>
      </c>
      <c r="N1522" s="15">
        <f t="shared" si="57"/>
        <v>81355.932203389835</v>
      </c>
      <c r="O1522" s="15">
        <f t="shared" si="55"/>
        <v>81355.932203389835</v>
      </c>
      <c r="P1522" s="15"/>
      <c r="Q1522" s="14" t="s">
        <v>520</v>
      </c>
      <c r="R1522" s="25">
        <v>45716</v>
      </c>
      <c r="S1522" s="22" t="str">
        <f>TEXT(Table1[[#This Row],[End Date]],"MMMM")</f>
        <v>February</v>
      </c>
      <c r="T1522" s="23" t="str">
        <f>TEXT(Table1[[#This Row],[End Date]],"YYYY")</f>
        <v>2025</v>
      </c>
      <c r="U1522" s="24">
        <f t="shared" ca="1" si="54"/>
        <v>-583</v>
      </c>
      <c r="V1522" s="14" t="str" cm="1">
        <f t="array" aca="1" ref="V1522" ca="1">_xlfn.IFS(Table1[[#This Row],[Agreement Days]]&gt;=0,"Expired",Table1[[#This Row],[Agreement Days]]&gt;=-30,"Expires &lt; 30 Days",Table1[[#This Row],[Agreement Days]]&gt;=-60,"Expires &lt; 60 Days",Table1[[#This Row],[Agreement Days]]&lt;-60,"Valid Contract")</f>
        <v>Valid Contract</v>
      </c>
      <c r="W1522" s="14" t="s">
        <v>20</v>
      </c>
      <c r="X1522" s="14" t="s">
        <v>989</v>
      </c>
      <c r="Y1522" s="16" t="s">
        <v>990</v>
      </c>
      <c r="Z1522" s="27" t="s">
        <v>991</v>
      </c>
      <c r="AA1522" s="19"/>
      <c r="AB1522" s="123"/>
      <c r="AC1522" s="123"/>
    </row>
    <row r="1523" spans="1:29" s="11" customFormat="1" hidden="1" x14ac:dyDescent="0.3">
      <c r="A1523" s="18" t="s">
        <v>987</v>
      </c>
      <c r="B1523" s="18" t="s">
        <v>127</v>
      </c>
      <c r="C1523" s="18" t="s">
        <v>2887</v>
      </c>
      <c r="D1523" s="14" t="s">
        <v>545</v>
      </c>
      <c r="E1523" s="18" t="s">
        <v>9</v>
      </c>
      <c r="F1523" s="14" t="s">
        <v>601</v>
      </c>
      <c r="G1523" s="14" t="s">
        <v>546</v>
      </c>
      <c r="H1523" s="18" t="s">
        <v>5</v>
      </c>
      <c r="I1523" s="14" t="s">
        <v>115</v>
      </c>
      <c r="J1523" s="14"/>
      <c r="K1523" s="18" t="s">
        <v>651</v>
      </c>
      <c r="L1523" s="14"/>
      <c r="M1523" s="14">
        <v>1</v>
      </c>
      <c r="N1523" s="15">
        <f t="shared" si="57"/>
        <v>81355.932203389835</v>
      </c>
      <c r="O1523" s="15">
        <f t="shared" si="55"/>
        <v>81355.932203389835</v>
      </c>
      <c r="P1523" s="15"/>
      <c r="Q1523" s="14" t="s">
        <v>520</v>
      </c>
      <c r="R1523" s="25">
        <v>45716</v>
      </c>
      <c r="S1523" s="22" t="str">
        <f>TEXT(Table1[[#This Row],[End Date]],"MMMM")</f>
        <v>February</v>
      </c>
      <c r="T1523" s="23" t="str">
        <f>TEXT(Table1[[#This Row],[End Date]],"YYYY")</f>
        <v>2025</v>
      </c>
      <c r="U1523" s="24">
        <f t="shared" ca="1" si="54"/>
        <v>-583</v>
      </c>
      <c r="V1523" s="14" t="str" cm="1">
        <f t="array" aca="1" ref="V1523" ca="1">_xlfn.IFS(Table1[[#This Row],[Agreement Days]]&gt;=0,"Expired",Table1[[#This Row],[Agreement Days]]&gt;=-30,"Expires &lt; 30 Days",Table1[[#This Row],[Agreement Days]]&gt;=-60,"Expires &lt; 60 Days",Table1[[#This Row],[Agreement Days]]&lt;-60,"Valid Contract")</f>
        <v>Valid Contract</v>
      </c>
      <c r="W1523" s="14" t="s">
        <v>20</v>
      </c>
      <c r="X1523" s="14" t="s">
        <v>989</v>
      </c>
      <c r="Y1523" s="16" t="s">
        <v>990</v>
      </c>
      <c r="Z1523" s="27" t="s">
        <v>991</v>
      </c>
      <c r="AA1523" s="19"/>
      <c r="AB1523" s="123"/>
      <c r="AC1523" s="123"/>
    </row>
    <row r="1524" spans="1:29" s="11" customFormat="1" hidden="1" x14ac:dyDescent="0.3">
      <c r="A1524" s="18" t="s">
        <v>987</v>
      </c>
      <c r="B1524" s="18" t="s">
        <v>127</v>
      </c>
      <c r="C1524" s="18" t="s">
        <v>2888</v>
      </c>
      <c r="D1524" s="14" t="s">
        <v>586</v>
      </c>
      <c r="E1524" s="18" t="s">
        <v>9</v>
      </c>
      <c r="F1524" s="14" t="s">
        <v>601</v>
      </c>
      <c r="G1524" s="14" t="s">
        <v>546</v>
      </c>
      <c r="H1524" s="18" t="s">
        <v>5</v>
      </c>
      <c r="I1524" s="14" t="s">
        <v>115</v>
      </c>
      <c r="J1524" s="14"/>
      <c r="K1524" s="18" t="s">
        <v>651</v>
      </c>
      <c r="L1524" s="14"/>
      <c r="M1524" s="14">
        <v>1</v>
      </c>
      <c r="N1524" s="15">
        <f t="shared" si="57"/>
        <v>81355.932203389835</v>
      </c>
      <c r="O1524" s="15">
        <f t="shared" si="55"/>
        <v>81355.932203389835</v>
      </c>
      <c r="P1524" s="15"/>
      <c r="Q1524" s="14" t="s">
        <v>520</v>
      </c>
      <c r="R1524" s="25">
        <v>45716</v>
      </c>
      <c r="S1524" s="22" t="str">
        <f>TEXT(Table1[[#This Row],[End Date]],"MMMM")</f>
        <v>February</v>
      </c>
      <c r="T1524" s="23" t="str">
        <f>TEXT(Table1[[#This Row],[End Date]],"YYYY")</f>
        <v>2025</v>
      </c>
      <c r="U1524" s="24">
        <f t="shared" ca="1" si="54"/>
        <v>-583</v>
      </c>
      <c r="V1524" s="14" t="str" cm="1">
        <f t="array" aca="1" ref="V1524" ca="1">_xlfn.IFS(Table1[[#This Row],[Agreement Days]]&gt;=0,"Expired",Table1[[#This Row],[Agreement Days]]&gt;=-30,"Expires &lt; 30 Days",Table1[[#This Row],[Agreement Days]]&gt;=-60,"Expires &lt; 60 Days",Table1[[#This Row],[Agreement Days]]&lt;-60,"Valid Contract")</f>
        <v>Valid Contract</v>
      </c>
      <c r="W1524" s="14" t="s">
        <v>20</v>
      </c>
      <c r="X1524" s="14" t="s">
        <v>989</v>
      </c>
      <c r="Y1524" s="16" t="s">
        <v>990</v>
      </c>
      <c r="Z1524" s="27" t="s">
        <v>991</v>
      </c>
      <c r="AA1524" s="19"/>
      <c r="AB1524" s="123"/>
      <c r="AC1524" s="123"/>
    </row>
    <row r="1525" spans="1:29" s="11" customFormat="1" hidden="1" x14ac:dyDescent="0.3">
      <c r="A1525" s="18" t="s">
        <v>987</v>
      </c>
      <c r="B1525" s="18" t="s">
        <v>127</v>
      </c>
      <c r="C1525" s="18" t="s">
        <v>2889</v>
      </c>
      <c r="D1525" s="14" t="s">
        <v>586</v>
      </c>
      <c r="E1525" s="18" t="s">
        <v>9</v>
      </c>
      <c r="F1525" s="14" t="s">
        <v>601</v>
      </c>
      <c r="G1525" s="14" t="s">
        <v>546</v>
      </c>
      <c r="H1525" s="18" t="s">
        <v>5</v>
      </c>
      <c r="I1525" s="14" t="s">
        <v>115</v>
      </c>
      <c r="J1525" s="14"/>
      <c r="K1525" s="18" t="s">
        <v>651</v>
      </c>
      <c r="L1525" s="14"/>
      <c r="M1525" s="14">
        <v>1</v>
      </c>
      <c r="N1525" s="15">
        <f t="shared" si="57"/>
        <v>81355.932203389835</v>
      </c>
      <c r="O1525" s="15">
        <f t="shared" si="55"/>
        <v>81355.932203389835</v>
      </c>
      <c r="P1525" s="15"/>
      <c r="Q1525" s="14" t="s">
        <v>520</v>
      </c>
      <c r="R1525" s="25">
        <v>45716</v>
      </c>
      <c r="S1525" s="22" t="str">
        <f>TEXT(Table1[[#This Row],[End Date]],"MMMM")</f>
        <v>February</v>
      </c>
      <c r="T1525" s="23" t="str">
        <f>TEXT(Table1[[#This Row],[End Date]],"YYYY")</f>
        <v>2025</v>
      </c>
      <c r="U1525" s="24">
        <f t="shared" ca="1" si="54"/>
        <v>-583</v>
      </c>
      <c r="V1525" s="14" t="str" cm="1">
        <f t="array" aca="1" ref="V1525" ca="1">_xlfn.IFS(Table1[[#This Row],[Agreement Days]]&gt;=0,"Expired",Table1[[#This Row],[Agreement Days]]&gt;=-30,"Expires &lt; 30 Days",Table1[[#This Row],[Agreement Days]]&gt;=-60,"Expires &lt; 60 Days",Table1[[#This Row],[Agreement Days]]&lt;-60,"Valid Contract")</f>
        <v>Valid Contract</v>
      </c>
      <c r="W1525" s="14" t="s">
        <v>20</v>
      </c>
      <c r="X1525" s="14" t="s">
        <v>989</v>
      </c>
      <c r="Y1525" s="16" t="s">
        <v>990</v>
      </c>
      <c r="Z1525" s="27" t="s">
        <v>991</v>
      </c>
      <c r="AA1525" s="19"/>
      <c r="AB1525" s="123"/>
      <c r="AC1525" s="123"/>
    </row>
    <row r="1526" spans="1:29" s="11" customFormat="1" hidden="1" x14ac:dyDescent="0.3">
      <c r="A1526" s="18" t="s">
        <v>987</v>
      </c>
      <c r="B1526" s="18" t="s">
        <v>127</v>
      </c>
      <c r="C1526" s="18" t="s">
        <v>2890</v>
      </c>
      <c r="D1526" s="14" t="s">
        <v>586</v>
      </c>
      <c r="E1526" s="18" t="s">
        <v>9</v>
      </c>
      <c r="F1526" s="14" t="s">
        <v>601</v>
      </c>
      <c r="G1526" s="14" t="s">
        <v>546</v>
      </c>
      <c r="H1526" s="18" t="s">
        <v>5</v>
      </c>
      <c r="I1526" s="14" t="s">
        <v>115</v>
      </c>
      <c r="J1526" s="14"/>
      <c r="K1526" s="18" t="s">
        <v>651</v>
      </c>
      <c r="L1526" s="14"/>
      <c r="M1526" s="14">
        <v>1</v>
      </c>
      <c r="N1526" s="15">
        <f t="shared" si="57"/>
        <v>81355.932203389835</v>
      </c>
      <c r="O1526" s="15">
        <f t="shared" si="55"/>
        <v>81355.932203389835</v>
      </c>
      <c r="P1526" s="15"/>
      <c r="Q1526" s="14" t="s">
        <v>520</v>
      </c>
      <c r="R1526" s="25">
        <v>45716</v>
      </c>
      <c r="S1526" s="22" t="str">
        <f>TEXT(Table1[[#This Row],[End Date]],"MMMM")</f>
        <v>February</v>
      </c>
      <c r="T1526" s="23" t="str">
        <f>TEXT(Table1[[#This Row],[End Date]],"YYYY")</f>
        <v>2025</v>
      </c>
      <c r="U1526" s="24">
        <f t="shared" ca="1" si="54"/>
        <v>-583</v>
      </c>
      <c r="V1526" s="14" t="str" cm="1">
        <f t="array" aca="1" ref="V1526" ca="1">_xlfn.IFS(Table1[[#This Row],[Agreement Days]]&gt;=0,"Expired",Table1[[#This Row],[Agreement Days]]&gt;=-30,"Expires &lt; 30 Days",Table1[[#This Row],[Agreement Days]]&gt;=-60,"Expires &lt; 60 Days",Table1[[#This Row],[Agreement Days]]&lt;-60,"Valid Contract")</f>
        <v>Valid Contract</v>
      </c>
      <c r="W1526" s="14" t="s">
        <v>20</v>
      </c>
      <c r="X1526" s="14" t="s">
        <v>989</v>
      </c>
      <c r="Y1526" s="16" t="s">
        <v>990</v>
      </c>
      <c r="Z1526" s="27" t="s">
        <v>991</v>
      </c>
      <c r="AA1526" s="19"/>
      <c r="AB1526" s="123"/>
      <c r="AC1526" s="123"/>
    </row>
    <row r="1527" spans="1:29" s="11" customFormat="1" hidden="1" x14ac:dyDescent="0.3">
      <c r="A1527" s="18" t="s">
        <v>987</v>
      </c>
      <c r="B1527" s="18" t="s">
        <v>127</v>
      </c>
      <c r="C1527" s="18" t="s">
        <v>2891</v>
      </c>
      <c r="D1527" s="14" t="s">
        <v>586</v>
      </c>
      <c r="E1527" s="18" t="s">
        <v>9</v>
      </c>
      <c r="F1527" s="14" t="s">
        <v>601</v>
      </c>
      <c r="G1527" s="14" t="s">
        <v>546</v>
      </c>
      <c r="H1527" s="18" t="s">
        <v>5</v>
      </c>
      <c r="I1527" s="14" t="s">
        <v>115</v>
      </c>
      <c r="J1527" s="14"/>
      <c r="K1527" s="18" t="s">
        <v>651</v>
      </c>
      <c r="L1527" s="14"/>
      <c r="M1527" s="14">
        <v>1</v>
      </c>
      <c r="N1527" s="15">
        <f t="shared" si="57"/>
        <v>81355.932203389835</v>
      </c>
      <c r="O1527" s="15">
        <f t="shared" si="55"/>
        <v>81355.932203389835</v>
      </c>
      <c r="P1527" s="15"/>
      <c r="Q1527" s="14" t="s">
        <v>520</v>
      </c>
      <c r="R1527" s="25">
        <v>45716</v>
      </c>
      <c r="S1527" s="22" t="str">
        <f>TEXT(Table1[[#This Row],[End Date]],"MMMM")</f>
        <v>February</v>
      </c>
      <c r="T1527" s="23" t="str">
        <f>TEXT(Table1[[#This Row],[End Date]],"YYYY")</f>
        <v>2025</v>
      </c>
      <c r="U1527" s="24">
        <f t="shared" ca="1" si="54"/>
        <v>-583</v>
      </c>
      <c r="V1527" s="14" t="str" cm="1">
        <f t="array" aca="1" ref="V1527" ca="1">_xlfn.IFS(Table1[[#This Row],[Agreement Days]]&gt;=0,"Expired",Table1[[#This Row],[Agreement Days]]&gt;=-30,"Expires &lt; 30 Days",Table1[[#This Row],[Agreement Days]]&gt;=-60,"Expires &lt; 60 Days",Table1[[#This Row],[Agreement Days]]&lt;-60,"Valid Contract")</f>
        <v>Valid Contract</v>
      </c>
      <c r="W1527" s="14" t="s">
        <v>20</v>
      </c>
      <c r="X1527" s="14" t="s">
        <v>989</v>
      </c>
      <c r="Y1527" s="16" t="s">
        <v>990</v>
      </c>
      <c r="Z1527" s="27" t="s">
        <v>991</v>
      </c>
      <c r="AA1527" s="19"/>
      <c r="AB1527" s="123"/>
      <c r="AC1527" s="123"/>
    </row>
    <row r="1528" spans="1:29" s="11" customFormat="1" hidden="1" x14ac:dyDescent="0.3">
      <c r="A1528" s="18" t="s">
        <v>987</v>
      </c>
      <c r="B1528" s="18" t="s">
        <v>127</v>
      </c>
      <c r="C1528" s="18" t="s">
        <v>2892</v>
      </c>
      <c r="D1528" s="14" t="s">
        <v>586</v>
      </c>
      <c r="E1528" s="18" t="s">
        <v>9</v>
      </c>
      <c r="F1528" s="14" t="s">
        <v>601</v>
      </c>
      <c r="G1528" s="14" t="s">
        <v>546</v>
      </c>
      <c r="H1528" s="18" t="s">
        <v>5</v>
      </c>
      <c r="I1528" s="14" t="s">
        <v>115</v>
      </c>
      <c r="J1528" s="14"/>
      <c r="K1528" s="18" t="s">
        <v>651</v>
      </c>
      <c r="L1528" s="14"/>
      <c r="M1528" s="14">
        <v>1</v>
      </c>
      <c r="N1528" s="15">
        <f t="shared" si="57"/>
        <v>81355.932203389835</v>
      </c>
      <c r="O1528" s="15">
        <f t="shared" si="55"/>
        <v>81355.932203389835</v>
      </c>
      <c r="P1528" s="15"/>
      <c r="Q1528" s="14" t="s">
        <v>520</v>
      </c>
      <c r="R1528" s="25">
        <v>45716</v>
      </c>
      <c r="S1528" s="22" t="str">
        <f>TEXT(Table1[[#This Row],[End Date]],"MMMM")</f>
        <v>February</v>
      </c>
      <c r="T1528" s="23" t="str">
        <f>TEXT(Table1[[#This Row],[End Date]],"YYYY")</f>
        <v>2025</v>
      </c>
      <c r="U1528" s="24">
        <f t="shared" ca="1" si="54"/>
        <v>-583</v>
      </c>
      <c r="V1528" s="14" t="str" cm="1">
        <f t="array" aca="1" ref="V1528" ca="1">_xlfn.IFS(Table1[[#This Row],[Agreement Days]]&gt;=0,"Expired",Table1[[#This Row],[Agreement Days]]&gt;=-30,"Expires &lt; 30 Days",Table1[[#This Row],[Agreement Days]]&gt;=-60,"Expires &lt; 60 Days",Table1[[#This Row],[Agreement Days]]&lt;-60,"Valid Contract")</f>
        <v>Valid Contract</v>
      </c>
      <c r="W1528" s="14" t="s">
        <v>20</v>
      </c>
      <c r="X1528" s="14" t="s">
        <v>989</v>
      </c>
      <c r="Y1528" s="16" t="s">
        <v>990</v>
      </c>
      <c r="Z1528" s="27" t="s">
        <v>991</v>
      </c>
      <c r="AA1528" s="19"/>
      <c r="AB1528" s="123"/>
      <c r="AC1528" s="123"/>
    </row>
    <row r="1529" spans="1:29" s="11" customFormat="1" hidden="1" x14ac:dyDescent="0.3">
      <c r="A1529" s="18" t="s">
        <v>987</v>
      </c>
      <c r="B1529" s="18" t="s">
        <v>127</v>
      </c>
      <c r="C1529" s="18" t="s">
        <v>2893</v>
      </c>
      <c r="D1529" s="14" t="s">
        <v>586</v>
      </c>
      <c r="E1529" s="18" t="s">
        <v>9</v>
      </c>
      <c r="F1529" s="14" t="s">
        <v>601</v>
      </c>
      <c r="G1529" s="14" t="s">
        <v>546</v>
      </c>
      <c r="H1529" s="18" t="s">
        <v>5</v>
      </c>
      <c r="I1529" s="14" t="s">
        <v>115</v>
      </c>
      <c r="J1529" s="14"/>
      <c r="K1529" s="18" t="s">
        <v>651</v>
      </c>
      <c r="L1529" s="14"/>
      <c r="M1529" s="14">
        <v>1</v>
      </c>
      <c r="N1529" s="15">
        <f t="shared" si="57"/>
        <v>81355.932203389835</v>
      </c>
      <c r="O1529" s="15">
        <f t="shared" si="55"/>
        <v>81355.932203389835</v>
      </c>
      <c r="P1529" s="15"/>
      <c r="Q1529" s="14" t="s">
        <v>520</v>
      </c>
      <c r="R1529" s="25">
        <v>45716</v>
      </c>
      <c r="S1529" s="22" t="str">
        <f>TEXT(Table1[[#This Row],[End Date]],"MMMM")</f>
        <v>February</v>
      </c>
      <c r="T1529" s="23" t="str">
        <f>TEXT(Table1[[#This Row],[End Date]],"YYYY")</f>
        <v>2025</v>
      </c>
      <c r="U1529" s="24">
        <f t="shared" ca="1" si="54"/>
        <v>-583</v>
      </c>
      <c r="V1529" s="14" t="str" cm="1">
        <f t="array" aca="1" ref="V1529" ca="1">_xlfn.IFS(Table1[[#This Row],[Agreement Days]]&gt;=0,"Expired",Table1[[#This Row],[Agreement Days]]&gt;=-30,"Expires &lt; 30 Days",Table1[[#This Row],[Agreement Days]]&gt;=-60,"Expires &lt; 60 Days",Table1[[#This Row],[Agreement Days]]&lt;-60,"Valid Contract")</f>
        <v>Valid Contract</v>
      </c>
      <c r="W1529" s="14" t="s">
        <v>20</v>
      </c>
      <c r="X1529" s="14" t="s">
        <v>989</v>
      </c>
      <c r="Y1529" s="16" t="s">
        <v>990</v>
      </c>
      <c r="Z1529" s="27" t="s">
        <v>991</v>
      </c>
      <c r="AA1529" s="19"/>
      <c r="AB1529" s="123"/>
      <c r="AC1529" s="123"/>
    </row>
    <row r="1530" spans="1:29" s="11" customFormat="1" hidden="1" x14ac:dyDescent="0.3">
      <c r="A1530" s="18" t="s">
        <v>987</v>
      </c>
      <c r="B1530" s="18" t="s">
        <v>127</v>
      </c>
      <c r="C1530" s="18" t="s">
        <v>2894</v>
      </c>
      <c r="D1530" s="14" t="s">
        <v>532</v>
      </c>
      <c r="E1530" s="18" t="s">
        <v>9</v>
      </c>
      <c r="F1530" s="14" t="s">
        <v>601</v>
      </c>
      <c r="G1530" s="14" t="s">
        <v>546</v>
      </c>
      <c r="H1530" s="18" t="s">
        <v>5</v>
      </c>
      <c r="I1530" s="14" t="s">
        <v>115</v>
      </c>
      <c r="J1530" s="14"/>
      <c r="K1530" s="18" t="s">
        <v>651</v>
      </c>
      <c r="L1530" s="14"/>
      <c r="M1530" s="14">
        <v>1</v>
      </c>
      <c r="N1530" s="15">
        <f t="shared" si="57"/>
        <v>81355.932203389835</v>
      </c>
      <c r="O1530" s="15">
        <f t="shared" si="55"/>
        <v>81355.932203389835</v>
      </c>
      <c r="P1530" s="15"/>
      <c r="Q1530" s="14" t="s">
        <v>520</v>
      </c>
      <c r="R1530" s="25">
        <v>45716</v>
      </c>
      <c r="S1530" s="22" t="str">
        <f>TEXT(Table1[[#This Row],[End Date]],"MMMM")</f>
        <v>February</v>
      </c>
      <c r="T1530" s="23" t="str">
        <f>TEXT(Table1[[#This Row],[End Date]],"YYYY")</f>
        <v>2025</v>
      </c>
      <c r="U1530" s="24">
        <f t="shared" ca="1" si="54"/>
        <v>-583</v>
      </c>
      <c r="V1530" s="14" t="str" cm="1">
        <f t="array" aca="1" ref="V1530" ca="1">_xlfn.IFS(Table1[[#This Row],[Agreement Days]]&gt;=0,"Expired",Table1[[#This Row],[Agreement Days]]&gt;=-30,"Expires &lt; 30 Days",Table1[[#This Row],[Agreement Days]]&gt;=-60,"Expires &lt; 60 Days",Table1[[#This Row],[Agreement Days]]&lt;-60,"Valid Contract")</f>
        <v>Valid Contract</v>
      </c>
      <c r="W1530" s="14" t="s">
        <v>20</v>
      </c>
      <c r="X1530" s="14" t="s">
        <v>989</v>
      </c>
      <c r="Y1530" s="16" t="s">
        <v>990</v>
      </c>
      <c r="Z1530" s="27" t="s">
        <v>991</v>
      </c>
      <c r="AA1530" s="19"/>
      <c r="AB1530" s="123"/>
      <c r="AC1530" s="123"/>
    </row>
    <row r="1531" spans="1:29" s="11" customFormat="1" hidden="1" x14ac:dyDescent="0.3">
      <c r="A1531" s="18" t="s">
        <v>987</v>
      </c>
      <c r="B1531" s="18" t="s">
        <v>127</v>
      </c>
      <c r="C1531" s="18" t="s">
        <v>2895</v>
      </c>
      <c r="D1531" s="14" t="s">
        <v>532</v>
      </c>
      <c r="E1531" s="18" t="s">
        <v>9</v>
      </c>
      <c r="F1531" s="14" t="s">
        <v>601</v>
      </c>
      <c r="G1531" s="14" t="s">
        <v>546</v>
      </c>
      <c r="H1531" s="18" t="s">
        <v>5</v>
      </c>
      <c r="I1531" s="14" t="s">
        <v>115</v>
      </c>
      <c r="J1531" s="14"/>
      <c r="K1531" s="18" t="s">
        <v>651</v>
      </c>
      <c r="L1531" s="14"/>
      <c r="M1531" s="14">
        <v>1</v>
      </c>
      <c r="N1531" s="15">
        <f t="shared" si="57"/>
        <v>81355.932203389835</v>
      </c>
      <c r="O1531" s="15">
        <f t="shared" si="55"/>
        <v>81355.932203389835</v>
      </c>
      <c r="P1531" s="15"/>
      <c r="Q1531" s="14" t="s">
        <v>520</v>
      </c>
      <c r="R1531" s="25">
        <v>45716</v>
      </c>
      <c r="S1531" s="22" t="str">
        <f>TEXT(Table1[[#This Row],[End Date]],"MMMM")</f>
        <v>February</v>
      </c>
      <c r="T1531" s="23" t="str">
        <f>TEXT(Table1[[#This Row],[End Date]],"YYYY")</f>
        <v>2025</v>
      </c>
      <c r="U1531" s="24">
        <f t="shared" ca="1" si="54"/>
        <v>-583</v>
      </c>
      <c r="V1531" s="14" t="str" cm="1">
        <f t="array" aca="1" ref="V1531" ca="1">_xlfn.IFS(Table1[[#This Row],[Agreement Days]]&gt;=0,"Expired",Table1[[#This Row],[Agreement Days]]&gt;=-30,"Expires &lt; 30 Days",Table1[[#This Row],[Agreement Days]]&gt;=-60,"Expires &lt; 60 Days",Table1[[#This Row],[Agreement Days]]&lt;-60,"Valid Contract")</f>
        <v>Valid Contract</v>
      </c>
      <c r="W1531" s="14" t="s">
        <v>20</v>
      </c>
      <c r="X1531" s="14" t="s">
        <v>989</v>
      </c>
      <c r="Y1531" s="16" t="s">
        <v>990</v>
      </c>
      <c r="Z1531" s="27" t="s">
        <v>991</v>
      </c>
      <c r="AA1531" s="19"/>
      <c r="AB1531" s="123"/>
      <c r="AC1531" s="123"/>
    </row>
    <row r="1532" spans="1:29" s="11" customFormat="1" hidden="1" x14ac:dyDescent="0.3">
      <c r="A1532" s="18" t="s">
        <v>987</v>
      </c>
      <c r="B1532" s="18" t="s">
        <v>127</v>
      </c>
      <c r="C1532" s="18" t="s">
        <v>2896</v>
      </c>
      <c r="D1532" s="14" t="s">
        <v>532</v>
      </c>
      <c r="E1532" s="18" t="s">
        <v>9</v>
      </c>
      <c r="F1532" s="14" t="s">
        <v>601</v>
      </c>
      <c r="G1532" s="14" t="s">
        <v>546</v>
      </c>
      <c r="H1532" s="18" t="s">
        <v>5</v>
      </c>
      <c r="I1532" s="14" t="s">
        <v>115</v>
      </c>
      <c r="J1532" s="14"/>
      <c r="K1532" s="18" t="s">
        <v>651</v>
      </c>
      <c r="L1532" s="14"/>
      <c r="M1532" s="14">
        <v>1</v>
      </c>
      <c r="N1532" s="15">
        <f t="shared" si="57"/>
        <v>81355.932203389835</v>
      </c>
      <c r="O1532" s="15">
        <f t="shared" si="55"/>
        <v>81355.932203389835</v>
      </c>
      <c r="P1532" s="15"/>
      <c r="Q1532" s="14" t="s">
        <v>520</v>
      </c>
      <c r="R1532" s="25">
        <v>45716</v>
      </c>
      <c r="S1532" s="22" t="str">
        <f>TEXT(Table1[[#This Row],[End Date]],"MMMM")</f>
        <v>February</v>
      </c>
      <c r="T1532" s="23" t="str">
        <f>TEXT(Table1[[#This Row],[End Date]],"YYYY")</f>
        <v>2025</v>
      </c>
      <c r="U1532" s="24">
        <f t="shared" ca="1" si="54"/>
        <v>-583</v>
      </c>
      <c r="V1532" s="14" t="str" cm="1">
        <f t="array" aca="1" ref="V1532" ca="1">_xlfn.IFS(Table1[[#This Row],[Agreement Days]]&gt;=0,"Expired",Table1[[#This Row],[Agreement Days]]&gt;=-30,"Expires &lt; 30 Days",Table1[[#This Row],[Agreement Days]]&gt;=-60,"Expires &lt; 60 Days",Table1[[#This Row],[Agreement Days]]&lt;-60,"Valid Contract")</f>
        <v>Valid Contract</v>
      </c>
      <c r="W1532" s="14" t="s">
        <v>20</v>
      </c>
      <c r="X1532" s="14" t="s">
        <v>989</v>
      </c>
      <c r="Y1532" s="16" t="s">
        <v>990</v>
      </c>
      <c r="Z1532" s="27" t="s">
        <v>991</v>
      </c>
      <c r="AA1532" s="19"/>
      <c r="AB1532" s="123"/>
      <c r="AC1532" s="123"/>
    </row>
    <row r="1533" spans="1:29" s="11" customFormat="1" hidden="1" x14ac:dyDescent="0.3">
      <c r="A1533" s="18" t="s">
        <v>987</v>
      </c>
      <c r="B1533" s="18" t="s">
        <v>127</v>
      </c>
      <c r="C1533" s="18" t="s">
        <v>2897</v>
      </c>
      <c r="D1533" s="14" t="s">
        <v>532</v>
      </c>
      <c r="E1533" s="18" t="s">
        <v>9</v>
      </c>
      <c r="F1533" s="14" t="s">
        <v>601</v>
      </c>
      <c r="G1533" s="14" t="s">
        <v>546</v>
      </c>
      <c r="H1533" s="18" t="s">
        <v>5</v>
      </c>
      <c r="I1533" s="14" t="s">
        <v>115</v>
      </c>
      <c r="J1533" s="14"/>
      <c r="K1533" s="18" t="s">
        <v>651</v>
      </c>
      <c r="L1533" s="14"/>
      <c r="M1533" s="14">
        <v>1</v>
      </c>
      <c r="N1533" s="15">
        <f t="shared" si="57"/>
        <v>81355.932203389835</v>
      </c>
      <c r="O1533" s="15">
        <f t="shared" si="55"/>
        <v>81355.932203389835</v>
      </c>
      <c r="P1533" s="15"/>
      <c r="Q1533" s="14" t="s">
        <v>520</v>
      </c>
      <c r="R1533" s="25">
        <v>45716</v>
      </c>
      <c r="S1533" s="22" t="str">
        <f>TEXT(Table1[[#This Row],[End Date]],"MMMM")</f>
        <v>February</v>
      </c>
      <c r="T1533" s="23" t="str">
        <f>TEXT(Table1[[#This Row],[End Date]],"YYYY")</f>
        <v>2025</v>
      </c>
      <c r="U1533" s="24">
        <f t="shared" ca="1" si="54"/>
        <v>-583</v>
      </c>
      <c r="V1533" s="14" t="str" cm="1">
        <f t="array" aca="1" ref="V1533" ca="1">_xlfn.IFS(Table1[[#This Row],[Agreement Days]]&gt;=0,"Expired",Table1[[#This Row],[Agreement Days]]&gt;=-30,"Expires &lt; 30 Days",Table1[[#This Row],[Agreement Days]]&gt;=-60,"Expires &lt; 60 Days",Table1[[#This Row],[Agreement Days]]&lt;-60,"Valid Contract")</f>
        <v>Valid Contract</v>
      </c>
      <c r="W1533" s="14" t="s">
        <v>20</v>
      </c>
      <c r="X1533" s="14" t="s">
        <v>989</v>
      </c>
      <c r="Y1533" s="16" t="s">
        <v>990</v>
      </c>
      <c r="Z1533" s="27" t="s">
        <v>991</v>
      </c>
      <c r="AA1533" s="19"/>
      <c r="AB1533" s="123"/>
      <c r="AC1533" s="123"/>
    </row>
    <row r="1534" spans="1:29" s="11" customFormat="1" hidden="1" x14ac:dyDescent="0.3">
      <c r="A1534" s="18" t="s">
        <v>987</v>
      </c>
      <c r="B1534" s="18" t="s">
        <v>127</v>
      </c>
      <c r="C1534" s="18" t="s">
        <v>2898</v>
      </c>
      <c r="D1534" s="14" t="s">
        <v>532</v>
      </c>
      <c r="E1534" s="18" t="s">
        <v>9</v>
      </c>
      <c r="F1534" s="14" t="s">
        <v>601</v>
      </c>
      <c r="G1534" s="14" t="s">
        <v>546</v>
      </c>
      <c r="H1534" s="18" t="s">
        <v>5</v>
      </c>
      <c r="I1534" s="14" t="s">
        <v>115</v>
      </c>
      <c r="J1534" s="14"/>
      <c r="K1534" s="18" t="s">
        <v>651</v>
      </c>
      <c r="L1534" s="14"/>
      <c r="M1534" s="14">
        <v>1</v>
      </c>
      <c r="N1534" s="15">
        <f t="shared" si="57"/>
        <v>81355.932203389835</v>
      </c>
      <c r="O1534" s="15">
        <f t="shared" si="55"/>
        <v>81355.932203389835</v>
      </c>
      <c r="P1534" s="15"/>
      <c r="Q1534" s="14" t="s">
        <v>520</v>
      </c>
      <c r="R1534" s="25">
        <v>45716</v>
      </c>
      <c r="S1534" s="22" t="str">
        <f>TEXT(Table1[[#This Row],[End Date]],"MMMM")</f>
        <v>February</v>
      </c>
      <c r="T1534" s="23" t="str">
        <f>TEXT(Table1[[#This Row],[End Date]],"YYYY")</f>
        <v>2025</v>
      </c>
      <c r="U1534" s="24">
        <f t="shared" ca="1" si="54"/>
        <v>-583</v>
      </c>
      <c r="V1534" s="14" t="str" cm="1">
        <f t="array" aca="1" ref="V1534" ca="1">_xlfn.IFS(Table1[[#This Row],[Agreement Days]]&gt;=0,"Expired",Table1[[#This Row],[Agreement Days]]&gt;=-30,"Expires &lt; 30 Days",Table1[[#This Row],[Agreement Days]]&gt;=-60,"Expires &lt; 60 Days",Table1[[#This Row],[Agreement Days]]&lt;-60,"Valid Contract")</f>
        <v>Valid Contract</v>
      </c>
      <c r="W1534" s="14" t="s">
        <v>20</v>
      </c>
      <c r="X1534" s="14" t="s">
        <v>989</v>
      </c>
      <c r="Y1534" s="16" t="s">
        <v>990</v>
      </c>
      <c r="Z1534" s="27" t="s">
        <v>991</v>
      </c>
      <c r="AA1534" s="19"/>
      <c r="AB1534" s="123"/>
      <c r="AC1534" s="123"/>
    </row>
    <row r="1535" spans="1:29" s="11" customFormat="1" hidden="1" x14ac:dyDescent="0.3">
      <c r="A1535" s="18" t="s">
        <v>987</v>
      </c>
      <c r="B1535" s="18" t="s">
        <v>127</v>
      </c>
      <c r="C1535" s="18" t="s">
        <v>2899</v>
      </c>
      <c r="D1535" s="14" t="s">
        <v>532</v>
      </c>
      <c r="E1535" s="18" t="s">
        <v>9</v>
      </c>
      <c r="F1535" s="14" t="s">
        <v>601</v>
      </c>
      <c r="G1535" s="14" t="s">
        <v>546</v>
      </c>
      <c r="H1535" s="18" t="s">
        <v>5</v>
      </c>
      <c r="I1535" s="14" t="s">
        <v>115</v>
      </c>
      <c r="J1535" s="14"/>
      <c r="K1535" s="18" t="s">
        <v>651</v>
      </c>
      <c r="L1535" s="14"/>
      <c r="M1535" s="14">
        <v>1</v>
      </c>
      <c r="N1535" s="15">
        <f t="shared" si="57"/>
        <v>81355.932203389835</v>
      </c>
      <c r="O1535" s="15">
        <f t="shared" si="55"/>
        <v>81355.932203389835</v>
      </c>
      <c r="P1535" s="15"/>
      <c r="Q1535" s="14" t="s">
        <v>520</v>
      </c>
      <c r="R1535" s="25">
        <v>45716</v>
      </c>
      <c r="S1535" s="22" t="str">
        <f>TEXT(Table1[[#This Row],[End Date]],"MMMM")</f>
        <v>February</v>
      </c>
      <c r="T1535" s="23" t="str">
        <f>TEXT(Table1[[#This Row],[End Date]],"YYYY")</f>
        <v>2025</v>
      </c>
      <c r="U1535" s="24">
        <f t="shared" ca="1" si="54"/>
        <v>-583</v>
      </c>
      <c r="V1535" s="14" t="str" cm="1">
        <f t="array" aca="1" ref="V1535" ca="1">_xlfn.IFS(Table1[[#This Row],[Agreement Days]]&gt;=0,"Expired",Table1[[#This Row],[Agreement Days]]&gt;=-30,"Expires &lt; 30 Days",Table1[[#This Row],[Agreement Days]]&gt;=-60,"Expires &lt; 60 Days",Table1[[#This Row],[Agreement Days]]&lt;-60,"Valid Contract")</f>
        <v>Valid Contract</v>
      </c>
      <c r="W1535" s="14" t="s">
        <v>20</v>
      </c>
      <c r="X1535" s="14" t="s">
        <v>989</v>
      </c>
      <c r="Y1535" s="16" t="s">
        <v>990</v>
      </c>
      <c r="Z1535" s="27" t="s">
        <v>991</v>
      </c>
      <c r="AA1535" s="19"/>
      <c r="AB1535" s="123"/>
      <c r="AC1535" s="123"/>
    </row>
    <row r="1536" spans="1:29" s="11" customFormat="1" hidden="1" x14ac:dyDescent="0.3">
      <c r="A1536" s="18" t="s">
        <v>987</v>
      </c>
      <c r="B1536" s="18" t="s">
        <v>127</v>
      </c>
      <c r="C1536" s="18" t="s">
        <v>2900</v>
      </c>
      <c r="D1536" s="14" t="s">
        <v>929</v>
      </c>
      <c r="E1536" s="18" t="s">
        <v>9</v>
      </c>
      <c r="F1536" s="14" t="s">
        <v>601</v>
      </c>
      <c r="G1536" s="14" t="s">
        <v>546</v>
      </c>
      <c r="H1536" s="18" t="s">
        <v>5</v>
      </c>
      <c r="I1536" s="14" t="s">
        <v>115</v>
      </c>
      <c r="J1536" s="14"/>
      <c r="K1536" s="18" t="s">
        <v>651</v>
      </c>
      <c r="L1536" s="14"/>
      <c r="M1536" s="14">
        <v>1</v>
      </c>
      <c r="N1536" s="15">
        <f t="shared" si="57"/>
        <v>81355.932203389835</v>
      </c>
      <c r="O1536" s="15">
        <f t="shared" si="55"/>
        <v>81355.932203389835</v>
      </c>
      <c r="P1536" s="15"/>
      <c r="Q1536" s="14" t="s">
        <v>520</v>
      </c>
      <c r="R1536" s="25">
        <v>45716</v>
      </c>
      <c r="S1536" s="22" t="str">
        <f>TEXT(Table1[[#This Row],[End Date]],"MMMM")</f>
        <v>February</v>
      </c>
      <c r="T1536" s="23" t="str">
        <f>TEXT(Table1[[#This Row],[End Date]],"YYYY")</f>
        <v>2025</v>
      </c>
      <c r="U1536" s="24">
        <f t="shared" ca="1" si="54"/>
        <v>-583</v>
      </c>
      <c r="V1536" s="14" t="str" cm="1">
        <f t="array" aca="1" ref="V1536" ca="1">_xlfn.IFS(Table1[[#This Row],[Agreement Days]]&gt;=0,"Expired",Table1[[#This Row],[Agreement Days]]&gt;=-30,"Expires &lt; 30 Days",Table1[[#This Row],[Agreement Days]]&gt;=-60,"Expires &lt; 60 Days",Table1[[#This Row],[Agreement Days]]&lt;-60,"Valid Contract")</f>
        <v>Valid Contract</v>
      </c>
      <c r="W1536" s="14" t="s">
        <v>20</v>
      </c>
      <c r="X1536" s="14" t="s">
        <v>989</v>
      </c>
      <c r="Y1536" s="16" t="s">
        <v>990</v>
      </c>
      <c r="Z1536" s="27" t="s">
        <v>991</v>
      </c>
      <c r="AA1536" s="19"/>
      <c r="AB1536" s="123"/>
      <c r="AC1536" s="123"/>
    </row>
    <row r="1537" spans="1:29" s="11" customFormat="1" hidden="1" x14ac:dyDescent="0.3">
      <c r="A1537" s="18" t="s">
        <v>987</v>
      </c>
      <c r="B1537" s="18" t="s">
        <v>127</v>
      </c>
      <c r="C1537" s="18" t="s">
        <v>2901</v>
      </c>
      <c r="D1537" s="14" t="s">
        <v>929</v>
      </c>
      <c r="E1537" s="18" t="s">
        <v>9</v>
      </c>
      <c r="F1537" s="14" t="s">
        <v>601</v>
      </c>
      <c r="G1537" s="14" t="s">
        <v>546</v>
      </c>
      <c r="H1537" s="18" t="s">
        <v>5</v>
      </c>
      <c r="I1537" s="14" t="s">
        <v>115</v>
      </c>
      <c r="J1537" s="14"/>
      <c r="K1537" s="18" t="s">
        <v>651</v>
      </c>
      <c r="L1537" s="14"/>
      <c r="M1537" s="14">
        <v>1</v>
      </c>
      <c r="N1537" s="15">
        <f t="shared" si="57"/>
        <v>81355.932203389835</v>
      </c>
      <c r="O1537" s="15">
        <f t="shared" si="55"/>
        <v>81355.932203389835</v>
      </c>
      <c r="P1537" s="15"/>
      <c r="Q1537" s="14" t="s">
        <v>520</v>
      </c>
      <c r="R1537" s="25">
        <v>45716</v>
      </c>
      <c r="S1537" s="22" t="str">
        <f>TEXT(Table1[[#This Row],[End Date]],"MMMM")</f>
        <v>February</v>
      </c>
      <c r="T1537" s="23" t="str">
        <f>TEXT(Table1[[#This Row],[End Date]],"YYYY")</f>
        <v>2025</v>
      </c>
      <c r="U1537" s="24">
        <f t="shared" ca="1" si="54"/>
        <v>-583</v>
      </c>
      <c r="V1537" s="14" t="str" cm="1">
        <f t="array" aca="1" ref="V1537" ca="1">_xlfn.IFS(Table1[[#This Row],[Agreement Days]]&gt;=0,"Expired",Table1[[#This Row],[Agreement Days]]&gt;=-30,"Expires &lt; 30 Days",Table1[[#This Row],[Agreement Days]]&gt;=-60,"Expires &lt; 60 Days",Table1[[#This Row],[Agreement Days]]&lt;-60,"Valid Contract")</f>
        <v>Valid Contract</v>
      </c>
      <c r="W1537" s="14" t="s">
        <v>20</v>
      </c>
      <c r="X1537" s="14" t="s">
        <v>989</v>
      </c>
      <c r="Y1537" s="16" t="s">
        <v>990</v>
      </c>
      <c r="Z1537" s="27" t="s">
        <v>991</v>
      </c>
      <c r="AA1537" s="19"/>
      <c r="AB1537" s="123"/>
      <c r="AC1537" s="123"/>
    </row>
    <row r="1538" spans="1:29" s="11" customFormat="1" hidden="1" x14ac:dyDescent="0.3">
      <c r="A1538" s="18" t="s">
        <v>987</v>
      </c>
      <c r="B1538" s="18" t="s">
        <v>127</v>
      </c>
      <c r="C1538" s="18" t="s">
        <v>2902</v>
      </c>
      <c r="D1538" s="14" t="s">
        <v>929</v>
      </c>
      <c r="E1538" s="18" t="s">
        <v>9</v>
      </c>
      <c r="F1538" s="14" t="s">
        <v>601</v>
      </c>
      <c r="G1538" s="14" t="s">
        <v>546</v>
      </c>
      <c r="H1538" s="18" t="s">
        <v>5</v>
      </c>
      <c r="I1538" s="14" t="s">
        <v>115</v>
      </c>
      <c r="J1538" s="14"/>
      <c r="K1538" s="18" t="s">
        <v>651</v>
      </c>
      <c r="L1538" s="14"/>
      <c r="M1538" s="14">
        <v>1</v>
      </c>
      <c r="N1538" s="15">
        <f t="shared" si="57"/>
        <v>81355.932203389835</v>
      </c>
      <c r="O1538" s="15">
        <f t="shared" si="55"/>
        <v>81355.932203389835</v>
      </c>
      <c r="P1538" s="15"/>
      <c r="Q1538" s="14" t="s">
        <v>520</v>
      </c>
      <c r="R1538" s="25">
        <v>45716</v>
      </c>
      <c r="S1538" s="22" t="str">
        <f>TEXT(Table1[[#This Row],[End Date]],"MMMM")</f>
        <v>February</v>
      </c>
      <c r="T1538" s="23" t="str">
        <f>TEXT(Table1[[#This Row],[End Date]],"YYYY")</f>
        <v>2025</v>
      </c>
      <c r="U1538" s="24">
        <f t="shared" ca="1" si="54"/>
        <v>-583</v>
      </c>
      <c r="V1538" s="14" t="str" cm="1">
        <f t="array" aca="1" ref="V1538" ca="1">_xlfn.IFS(Table1[[#This Row],[Agreement Days]]&gt;=0,"Expired",Table1[[#This Row],[Agreement Days]]&gt;=-30,"Expires &lt; 30 Days",Table1[[#This Row],[Agreement Days]]&gt;=-60,"Expires &lt; 60 Days",Table1[[#This Row],[Agreement Days]]&lt;-60,"Valid Contract")</f>
        <v>Valid Contract</v>
      </c>
      <c r="W1538" s="14" t="s">
        <v>20</v>
      </c>
      <c r="X1538" s="14" t="s">
        <v>989</v>
      </c>
      <c r="Y1538" s="16" t="s">
        <v>990</v>
      </c>
      <c r="Z1538" s="27" t="s">
        <v>991</v>
      </c>
      <c r="AA1538" s="19"/>
      <c r="AB1538" s="123"/>
      <c r="AC1538" s="123"/>
    </row>
    <row r="1539" spans="1:29" s="11" customFormat="1" hidden="1" x14ac:dyDescent="0.3">
      <c r="A1539" s="18" t="s">
        <v>987</v>
      </c>
      <c r="B1539" s="18" t="s">
        <v>127</v>
      </c>
      <c r="C1539" s="18" t="s">
        <v>2903</v>
      </c>
      <c r="D1539" s="14" t="s">
        <v>929</v>
      </c>
      <c r="E1539" s="18" t="s">
        <v>9</v>
      </c>
      <c r="F1539" s="14" t="s">
        <v>601</v>
      </c>
      <c r="G1539" s="14" t="s">
        <v>546</v>
      </c>
      <c r="H1539" s="18" t="s">
        <v>5</v>
      </c>
      <c r="I1539" s="14" t="s">
        <v>115</v>
      </c>
      <c r="J1539" s="14"/>
      <c r="K1539" s="18" t="s">
        <v>651</v>
      </c>
      <c r="L1539" s="14"/>
      <c r="M1539" s="14">
        <v>1</v>
      </c>
      <c r="N1539" s="15">
        <f t="shared" si="57"/>
        <v>81355.932203389835</v>
      </c>
      <c r="O1539" s="15">
        <f t="shared" si="55"/>
        <v>81355.932203389835</v>
      </c>
      <c r="P1539" s="15"/>
      <c r="Q1539" s="14" t="s">
        <v>520</v>
      </c>
      <c r="R1539" s="25">
        <v>45716</v>
      </c>
      <c r="S1539" s="22" t="str">
        <f>TEXT(Table1[[#This Row],[End Date]],"MMMM")</f>
        <v>February</v>
      </c>
      <c r="T1539" s="23" t="str">
        <f>TEXT(Table1[[#This Row],[End Date]],"YYYY")</f>
        <v>2025</v>
      </c>
      <c r="U1539" s="24">
        <f t="shared" ca="1" si="54"/>
        <v>-583</v>
      </c>
      <c r="V1539" s="14" t="str" cm="1">
        <f t="array" aca="1" ref="V1539" ca="1">_xlfn.IFS(Table1[[#This Row],[Agreement Days]]&gt;=0,"Expired",Table1[[#This Row],[Agreement Days]]&gt;=-30,"Expires &lt; 30 Days",Table1[[#This Row],[Agreement Days]]&gt;=-60,"Expires &lt; 60 Days",Table1[[#This Row],[Agreement Days]]&lt;-60,"Valid Contract")</f>
        <v>Valid Contract</v>
      </c>
      <c r="W1539" s="14" t="s">
        <v>20</v>
      </c>
      <c r="X1539" s="14" t="s">
        <v>989</v>
      </c>
      <c r="Y1539" s="16" t="s">
        <v>990</v>
      </c>
      <c r="Z1539" s="27" t="s">
        <v>991</v>
      </c>
      <c r="AA1539" s="19"/>
      <c r="AB1539" s="123"/>
      <c r="AC1539" s="123"/>
    </row>
    <row r="1540" spans="1:29" s="11" customFormat="1" hidden="1" x14ac:dyDescent="0.3">
      <c r="A1540" s="18" t="s">
        <v>987</v>
      </c>
      <c r="B1540" s="18" t="s">
        <v>127</v>
      </c>
      <c r="C1540" s="18" t="s">
        <v>2904</v>
      </c>
      <c r="D1540" s="14" t="s">
        <v>929</v>
      </c>
      <c r="E1540" s="18" t="s">
        <v>9</v>
      </c>
      <c r="F1540" s="14" t="s">
        <v>601</v>
      </c>
      <c r="G1540" s="14" t="s">
        <v>546</v>
      </c>
      <c r="H1540" s="18" t="s">
        <v>5</v>
      </c>
      <c r="I1540" s="14" t="s">
        <v>115</v>
      </c>
      <c r="J1540" s="14"/>
      <c r="K1540" s="18" t="s">
        <v>651</v>
      </c>
      <c r="L1540" s="14"/>
      <c r="M1540" s="14">
        <v>1</v>
      </c>
      <c r="N1540" s="15">
        <f t="shared" si="57"/>
        <v>81355.932203389835</v>
      </c>
      <c r="O1540" s="15">
        <f t="shared" si="55"/>
        <v>81355.932203389835</v>
      </c>
      <c r="P1540" s="15"/>
      <c r="Q1540" s="14" t="s">
        <v>520</v>
      </c>
      <c r="R1540" s="25">
        <v>45716</v>
      </c>
      <c r="S1540" s="22" t="str">
        <f>TEXT(Table1[[#This Row],[End Date]],"MMMM")</f>
        <v>February</v>
      </c>
      <c r="T1540" s="23" t="str">
        <f>TEXT(Table1[[#This Row],[End Date]],"YYYY")</f>
        <v>2025</v>
      </c>
      <c r="U1540" s="24">
        <f t="shared" ca="1" si="54"/>
        <v>-583</v>
      </c>
      <c r="V1540" s="14" t="str" cm="1">
        <f t="array" aca="1" ref="V1540" ca="1">_xlfn.IFS(Table1[[#This Row],[Agreement Days]]&gt;=0,"Expired",Table1[[#This Row],[Agreement Days]]&gt;=-30,"Expires &lt; 30 Days",Table1[[#This Row],[Agreement Days]]&gt;=-60,"Expires &lt; 60 Days",Table1[[#This Row],[Agreement Days]]&lt;-60,"Valid Contract")</f>
        <v>Valid Contract</v>
      </c>
      <c r="W1540" s="14" t="s">
        <v>20</v>
      </c>
      <c r="X1540" s="14" t="s">
        <v>989</v>
      </c>
      <c r="Y1540" s="16" t="s">
        <v>990</v>
      </c>
      <c r="Z1540" s="27" t="s">
        <v>991</v>
      </c>
      <c r="AA1540" s="19"/>
      <c r="AB1540" s="123"/>
      <c r="AC1540" s="123"/>
    </row>
    <row r="1541" spans="1:29" s="11" customFormat="1" hidden="1" x14ac:dyDescent="0.3">
      <c r="A1541" s="18" t="s">
        <v>987</v>
      </c>
      <c r="B1541" s="18" t="s">
        <v>127</v>
      </c>
      <c r="C1541" s="18" t="s">
        <v>2905</v>
      </c>
      <c r="D1541" s="14" t="s">
        <v>808</v>
      </c>
      <c r="E1541" s="18" t="s">
        <v>9</v>
      </c>
      <c r="F1541" s="14" t="s">
        <v>601</v>
      </c>
      <c r="G1541" s="14" t="s">
        <v>546</v>
      </c>
      <c r="H1541" s="18" t="s">
        <v>5</v>
      </c>
      <c r="I1541" s="14" t="s">
        <v>115</v>
      </c>
      <c r="J1541" s="14"/>
      <c r="K1541" s="18" t="s">
        <v>651</v>
      </c>
      <c r="L1541" s="14"/>
      <c r="M1541" s="14">
        <v>1</v>
      </c>
      <c r="N1541" s="15">
        <f t="shared" si="57"/>
        <v>81355.932203389835</v>
      </c>
      <c r="O1541" s="15">
        <f t="shared" si="55"/>
        <v>81355.932203389835</v>
      </c>
      <c r="P1541" s="15"/>
      <c r="Q1541" s="14" t="s">
        <v>520</v>
      </c>
      <c r="R1541" s="25">
        <v>45716</v>
      </c>
      <c r="S1541" s="22" t="str">
        <f>TEXT(Table1[[#This Row],[End Date]],"MMMM")</f>
        <v>February</v>
      </c>
      <c r="T1541" s="23" t="str">
        <f>TEXT(Table1[[#This Row],[End Date]],"YYYY")</f>
        <v>2025</v>
      </c>
      <c r="U1541" s="24">
        <f t="shared" ca="1" si="54"/>
        <v>-583</v>
      </c>
      <c r="V1541" s="14" t="str" cm="1">
        <f t="array" aca="1" ref="V1541" ca="1">_xlfn.IFS(Table1[[#This Row],[Agreement Days]]&gt;=0,"Expired",Table1[[#This Row],[Agreement Days]]&gt;=-30,"Expires &lt; 30 Days",Table1[[#This Row],[Agreement Days]]&gt;=-60,"Expires &lt; 60 Days",Table1[[#This Row],[Agreement Days]]&lt;-60,"Valid Contract")</f>
        <v>Valid Contract</v>
      </c>
      <c r="W1541" s="14" t="s">
        <v>20</v>
      </c>
      <c r="X1541" s="14" t="s">
        <v>989</v>
      </c>
      <c r="Y1541" s="16" t="s">
        <v>990</v>
      </c>
      <c r="Z1541" s="27" t="s">
        <v>991</v>
      </c>
      <c r="AA1541" s="19"/>
      <c r="AB1541" s="123"/>
      <c r="AC1541" s="123"/>
    </row>
    <row r="1542" spans="1:29" s="11" customFormat="1" hidden="1" x14ac:dyDescent="0.3">
      <c r="A1542" s="18" t="s">
        <v>987</v>
      </c>
      <c r="B1542" s="18" t="s">
        <v>127</v>
      </c>
      <c r="C1542" s="18" t="s">
        <v>2906</v>
      </c>
      <c r="D1542" s="14" t="s">
        <v>808</v>
      </c>
      <c r="E1542" s="18" t="s">
        <v>9</v>
      </c>
      <c r="F1542" s="14" t="s">
        <v>601</v>
      </c>
      <c r="G1542" s="14" t="s">
        <v>546</v>
      </c>
      <c r="H1542" s="18" t="s">
        <v>5</v>
      </c>
      <c r="I1542" s="14" t="s">
        <v>115</v>
      </c>
      <c r="J1542" s="14"/>
      <c r="K1542" s="18" t="s">
        <v>651</v>
      </c>
      <c r="L1542" s="14"/>
      <c r="M1542" s="14">
        <v>1</v>
      </c>
      <c r="N1542" s="15">
        <f t="shared" si="57"/>
        <v>81355.932203389835</v>
      </c>
      <c r="O1542" s="15">
        <f t="shared" si="55"/>
        <v>81355.932203389835</v>
      </c>
      <c r="P1542" s="15"/>
      <c r="Q1542" s="14" t="s">
        <v>520</v>
      </c>
      <c r="R1542" s="25">
        <v>45716</v>
      </c>
      <c r="S1542" s="22" t="str">
        <f>TEXT(Table1[[#This Row],[End Date]],"MMMM")</f>
        <v>February</v>
      </c>
      <c r="T1542" s="23" t="str">
        <f>TEXT(Table1[[#This Row],[End Date]],"YYYY")</f>
        <v>2025</v>
      </c>
      <c r="U1542" s="24">
        <f t="shared" ca="1" si="54"/>
        <v>-583</v>
      </c>
      <c r="V1542" s="14" t="str" cm="1">
        <f t="array" aca="1" ref="V1542" ca="1">_xlfn.IFS(Table1[[#This Row],[Agreement Days]]&gt;=0,"Expired",Table1[[#This Row],[Agreement Days]]&gt;=-30,"Expires &lt; 30 Days",Table1[[#This Row],[Agreement Days]]&gt;=-60,"Expires &lt; 60 Days",Table1[[#This Row],[Agreement Days]]&lt;-60,"Valid Contract")</f>
        <v>Valid Contract</v>
      </c>
      <c r="W1542" s="14" t="s">
        <v>20</v>
      </c>
      <c r="X1542" s="14" t="s">
        <v>989</v>
      </c>
      <c r="Y1542" s="16" t="s">
        <v>990</v>
      </c>
      <c r="Z1542" s="27" t="s">
        <v>991</v>
      </c>
      <c r="AA1542" s="19"/>
      <c r="AB1542" s="123"/>
      <c r="AC1542" s="123"/>
    </row>
    <row r="1543" spans="1:29" s="11" customFormat="1" hidden="1" x14ac:dyDescent="0.3">
      <c r="A1543" s="18" t="s">
        <v>987</v>
      </c>
      <c r="B1543" s="18" t="s">
        <v>127</v>
      </c>
      <c r="C1543" s="18" t="s">
        <v>2907</v>
      </c>
      <c r="D1543" s="14" t="s">
        <v>808</v>
      </c>
      <c r="E1543" s="18" t="s">
        <v>9</v>
      </c>
      <c r="F1543" s="14" t="s">
        <v>601</v>
      </c>
      <c r="G1543" s="14" t="s">
        <v>546</v>
      </c>
      <c r="H1543" s="18" t="s">
        <v>5</v>
      </c>
      <c r="I1543" s="14" t="s">
        <v>115</v>
      </c>
      <c r="J1543" s="14"/>
      <c r="K1543" s="18" t="s">
        <v>651</v>
      </c>
      <c r="L1543" s="14"/>
      <c r="M1543" s="14">
        <v>1</v>
      </c>
      <c r="N1543" s="15">
        <f t="shared" si="57"/>
        <v>81355.932203389835</v>
      </c>
      <c r="O1543" s="15">
        <f t="shared" si="55"/>
        <v>81355.932203389835</v>
      </c>
      <c r="P1543" s="15"/>
      <c r="Q1543" s="14" t="s">
        <v>520</v>
      </c>
      <c r="R1543" s="25">
        <v>45716</v>
      </c>
      <c r="S1543" s="22" t="str">
        <f>TEXT(Table1[[#This Row],[End Date]],"MMMM")</f>
        <v>February</v>
      </c>
      <c r="T1543" s="23" t="str">
        <f>TEXT(Table1[[#This Row],[End Date]],"YYYY")</f>
        <v>2025</v>
      </c>
      <c r="U1543" s="24">
        <f t="shared" ref="U1543:U1606" ca="1" si="58">TODAY()-R1543</f>
        <v>-583</v>
      </c>
      <c r="V1543" s="14" t="str" cm="1">
        <f t="array" aca="1" ref="V1543" ca="1">_xlfn.IFS(Table1[[#This Row],[Agreement Days]]&gt;=0,"Expired",Table1[[#This Row],[Agreement Days]]&gt;=-30,"Expires &lt; 30 Days",Table1[[#This Row],[Agreement Days]]&gt;=-60,"Expires &lt; 60 Days",Table1[[#This Row],[Agreement Days]]&lt;-60,"Valid Contract")</f>
        <v>Valid Contract</v>
      </c>
      <c r="W1543" s="14" t="s">
        <v>20</v>
      </c>
      <c r="X1543" s="14" t="s">
        <v>989</v>
      </c>
      <c r="Y1543" s="16" t="s">
        <v>990</v>
      </c>
      <c r="Z1543" s="27" t="s">
        <v>991</v>
      </c>
      <c r="AA1543" s="19"/>
      <c r="AB1543" s="123"/>
      <c r="AC1543" s="123"/>
    </row>
    <row r="1544" spans="1:29" s="11" customFormat="1" hidden="1" x14ac:dyDescent="0.3">
      <c r="A1544" s="18" t="s">
        <v>987</v>
      </c>
      <c r="B1544" s="18" t="s">
        <v>127</v>
      </c>
      <c r="C1544" s="18" t="s">
        <v>2908</v>
      </c>
      <c r="D1544" s="14" t="s">
        <v>808</v>
      </c>
      <c r="E1544" s="18" t="s">
        <v>9</v>
      </c>
      <c r="F1544" s="14" t="s">
        <v>601</v>
      </c>
      <c r="G1544" s="14" t="s">
        <v>546</v>
      </c>
      <c r="H1544" s="18" t="s">
        <v>5</v>
      </c>
      <c r="I1544" s="14" t="s">
        <v>115</v>
      </c>
      <c r="J1544" s="14"/>
      <c r="K1544" s="18" t="s">
        <v>651</v>
      </c>
      <c r="L1544" s="14"/>
      <c r="M1544" s="14">
        <v>1</v>
      </c>
      <c r="N1544" s="15">
        <f t="shared" si="57"/>
        <v>81355.932203389835</v>
      </c>
      <c r="O1544" s="15">
        <f t="shared" si="55"/>
        <v>81355.932203389835</v>
      </c>
      <c r="P1544" s="15"/>
      <c r="Q1544" s="14" t="s">
        <v>520</v>
      </c>
      <c r="R1544" s="25">
        <v>45716</v>
      </c>
      <c r="S1544" s="22" t="str">
        <f>TEXT(Table1[[#This Row],[End Date]],"MMMM")</f>
        <v>February</v>
      </c>
      <c r="T1544" s="23" t="str">
        <f>TEXT(Table1[[#This Row],[End Date]],"YYYY")</f>
        <v>2025</v>
      </c>
      <c r="U1544" s="24">
        <f t="shared" ca="1" si="58"/>
        <v>-583</v>
      </c>
      <c r="V1544" s="14" t="str" cm="1">
        <f t="array" aca="1" ref="V1544" ca="1">_xlfn.IFS(Table1[[#This Row],[Agreement Days]]&gt;=0,"Expired",Table1[[#This Row],[Agreement Days]]&gt;=-30,"Expires &lt; 30 Days",Table1[[#This Row],[Agreement Days]]&gt;=-60,"Expires &lt; 60 Days",Table1[[#This Row],[Agreement Days]]&lt;-60,"Valid Contract")</f>
        <v>Valid Contract</v>
      </c>
      <c r="W1544" s="14" t="s">
        <v>20</v>
      </c>
      <c r="X1544" s="14" t="s">
        <v>989</v>
      </c>
      <c r="Y1544" s="16" t="s">
        <v>990</v>
      </c>
      <c r="Z1544" s="27" t="s">
        <v>991</v>
      </c>
      <c r="AA1544" s="19"/>
      <c r="AB1544" s="123"/>
      <c r="AC1544" s="123"/>
    </row>
    <row r="1545" spans="1:29" s="11" customFormat="1" hidden="1" x14ac:dyDescent="0.3">
      <c r="A1545" s="18" t="s">
        <v>987</v>
      </c>
      <c r="B1545" s="18" t="s">
        <v>127</v>
      </c>
      <c r="C1545" s="18" t="s">
        <v>2909</v>
      </c>
      <c r="D1545" s="14" t="s">
        <v>808</v>
      </c>
      <c r="E1545" s="18" t="s">
        <v>9</v>
      </c>
      <c r="F1545" s="14" t="s">
        <v>601</v>
      </c>
      <c r="G1545" s="14" t="s">
        <v>546</v>
      </c>
      <c r="H1545" s="18" t="s">
        <v>5</v>
      </c>
      <c r="I1545" s="14" t="s">
        <v>115</v>
      </c>
      <c r="J1545" s="14"/>
      <c r="K1545" s="18" t="s">
        <v>651</v>
      </c>
      <c r="L1545" s="14"/>
      <c r="M1545" s="14">
        <v>1</v>
      </c>
      <c r="N1545" s="15">
        <f t="shared" ref="N1545:N1576" si="59">96000/1.18</f>
        <v>81355.932203389835</v>
      </c>
      <c r="O1545" s="15">
        <f t="shared" si="55"/>
        <v>81355.932203389835</v>
      </c>
      <c r="P1545" s="15"/>
      <c r="Q1545" s="14" t="s">
        <v>520</v>
      </c>
      <c r="R1545" s="25">
        <v>45716</v>
      </c>
      <c r="S1545" s="22" t="str">
        <f>TEXT(Table1[[#This Row],[End Date]],"MMMM")</f>
        <v>February</v>
      </c>
      <c r="T1545" s="23" t="str">
        <f>TEXT(Table1[[#This Row],[End Date]],"YYYY")</f>
        <v>2025</v>
      </c>
      <c r="U1545" s="24">
        <f t="shared" ca="1" si="58"/>
        <v>-583</v>
      </c>
      <c r="V1545" s="14" t="str" cm="1">
        <f t="array" aca="1" ref="V1545" ca="1">_xlfn.IFS(Table1[[#This Row],[Agreement Days]]&gt;=0,"Expired",Table1[[#This Row],[Agreement Days]]&gt;=-30,"Expires &lt; 30 Days",Table1[[#This Row],[Agreement Days]]&gt;=-60,"Expires &lt; 60 Days",Table1[[#This Row],[Agreement Days]]&lt;-60,"Valid Contract")</f>
        <v>Valid Contract</v>
      </c>
      <c r="W1545" s="14" t="s">
        <v>20</v>
      </c>
      <c r="X1545" s="14" t="s">
        <v>989</v>
      </c>
      <c r="Y1545" s="16" t="s">
        <v>990</v>
      </c>
      <c r="Z1545" s="27" t="s">
        <v>991</v>
      </c>
      <c r="AA1545" s="19"/>
      <c r="AB1545" s="123"/>
      <c r="AC1545" s="123"/>
    </row>
    <row r="1546" spans="1:29" s="11" customFormat="1" hidden="1" x14ac:dyDescent="0.3">
      <c r="A1546" s="18" t="s">
        <v>987</v>
      </c>
      <c r="B1546" s="18" t="s">
        <v>127</v>
      </c>
      <c r="C1546" s="18" t="s">
        <v>2909</v>
      </c>
      <c r="D1546" s="14" t="s">
        <v>808</v>
      </c>
      <c r="E1546" s="18" t="s">
        <v>9</v>
      </c>
      <c r="F1546" s="14" t="s">
        <v>601</v>
      </c>
      <c r="G1546" s="14" t="s">
        <v>546</v>
      </c>
      <c r="H1546" s="18" t="s">
        <v>5</v>
      </c>
      <c r="I1546" s="14" t="s">
        <v>115</v>
      </c>
      <c r="J1546" s="14"/>
      <c r="K1546" s="18" t="s">
        <v>651</v>
      </c>
      <c r="L1546" s="14"/>
      <c r="M1546" s="14">
        <v>1</v>
      </c>
      <c r="N1546" s="15">
        <f t="shared" si="59"/>
        <v>81355.932203389835</v>
      </c>
      <c r="O1546" s="15">
        <f t="shared" si="55"/>
        <v>81355.932203389835</v>
      </c>
      <c r="P1546" s="15"/>
      <c r="Q1546" s="14" t="s">
        <v>520</v>
      </c>
      <c r="R1546" s="25">
        <v>45716</v>
      </c>
      <c r="S1546" s="22" t="str">
        <f>TEXT(Table1[[#This Row],[End Date]],"MMMM")</f>
        <v>February</v>
      </c>
      <c r="T1546" s="23" t="str">
        <f>TEXT(Table1[[#This Row],[End Date]],"YYYY")</f>
        <v>2025</v>
      </c>
      <c r="U1546" s="24">
        <f t="shared" ca="1" si="58"/>
        <v>-583</v>
      </c>
      <c r="V1546" s="14" t="str" cm="1">
        <f t="array" aca="1" ref="V1546" ca="1">_xlfn.IFS(Table1[[#This Row],[Agreement Days]]&gt;=0,"Expired",Table1[[#This Row],[Agreement Days]]&gt;=-30,"Expires &lt; 30 Days",Table1[[#This Row],[Agreement Days]]&gt;=-60,"Expires &lt; 60 Days",Table1[[#This Row],[Agreement Days]]&lt;-60,"Valid Contract")</f>
        <v>Valid Contract</v>
      </c>
      <c r="W1546" s="14" t="s">
        <v>20</v>
      </c>
      <c r="X1546" s="14" t="s">
        <v>989</v>
      </c>
      <c r="Y1546" s="16" t="s">
        <v>990</v>
      </c>
      <c r="Z1546" s="27" t="s">
        <v>991</v>
      </c>
      <c r="AA1546" s="19"/>
      <c r="AB1546" s="123"/>
      <c r="AC1546" s="123"/>
    </row>
    <row r="1547" spans="1:29" s="11" customFormat="1" hidden="1" x14ac:dyDescent="0.3">
      <c r="A1547" s="18" t="s">
        <v>987</v>
      </c>
      <c r="B1547" s="18" t="s">
        <v>127</v>
      </c>
      <c r="C1547" s="18" t="s">
        <v>2910</v>
      </c>
      <c r="D1547" s="14" t="s">
        <v>808</v>
      </c>
      <c r="E1547" s="18" t="s">
        <v>9</v>
      </c>
      <c r="F1547" s="14" t="s">
        <v>601</v>
      </c>
      <c r="G1547" s="14" t="s">
        <v>546</v>
      </c>
      <c r="H1547" s="18" t="s">
        <v>5</v>
      </c>
      <c r="I1547" s="14" t="s">
        <v>115</v>
      </c>
      <c r="J1547" s="14"/>
      <c r="K1547" s="18" t="s">
        <v>651</v>
      </c>
      <c r="L1547" s="14"/>
      <c r="M1547" s="14">
        <v>1</v>
      </c>
      <c r="N1547" s="15">
        <f t="shared" si="59"/>
        <v>81355.932203389835</v>
      </c>
      <c r="O1547" s="15">
        <f t="shared" si="55"/>
        <v>81355.932203389835</v>
      </c>
      <c r="P1547" s="15"/>
      <c r="Q1547" s="14" t="s">
        <v>520</v>
      </c>
      <c r="R1547" s="25">
        <v>45716</v>
      </c>
      <c r="S1547" s="22" t="str">
        <f>TEXT(Table1[[#This Row],[End Date]],"MMMM")</f>
        <v>February</v>
      </c>
      <c r="T1547" s="23" t="str">
        <f>TEXT(Table1[[#This Row],[End Date]],"YYYY")</f>
        <v>2025</v>
      </c>
      <c r="U1547" s="24">
        <f t="shared" ca="1" si="58"/>
        <v>-583</v>
      </c>
      <c r="V1547" s="14" t="str" cm="1">
        <f t="array" aca="1" ref="V1547" ca="1">_xlfn.IFS(Table1[[#This Row],[Agreement Days]]&gt;=0,"Expired",Table1[[#This Row],[Agreement Days]]&gt;=-30,"Expires &lt; 30 Days",Table1[[#This Row],[Agreement Days]]&gt;=-60,"Expires &lt; 60 Days",Table1[[#This Row],[Agreement Days]]&lt;-60,"Valid Contract")</f>
        <v>Valid Contract</v>
      </c>
      <c r="W1547" s="14" t="s">
        <v>20</v>
      </c>
      <c r="X1547" s="14" t="s">
        <v>989</v>
      </c>
      <c r="Y1547" s="16" t="s">
        <v>990</v>
      </c>
      <c r="Z1547" s="27" t="s">
        <v>991</v>
      </c>
      <c r="AA1547" s="19"/>
      <c r="AB1547" s="123"/>
      <c r="AC1547" s="123"/>
    </row>
    <row r="1548" spans="1:29" s="11" customFormat="1" hidden="1" x14ac:dyDescent="0.3">
      <c r="A1548" s="18" t="s">
        <v>987</v>
      </c>
      <c r="B1548" s="18" t="s">
        <v>127</v>
      </c>
      <c r="C1548" s="18" t="s">
        <v>2911</v>
      </c>
      <c r="D1548" s="14" t="s">
        <v>808</v>
      </c>
      <c r="E1548" s="18" t="s">
        <v>9</v>
      </c>
      <c r="F1548" s="14" t="s">
        <v>601</v>
      </c>
      <c r="G1548" s="14" t="s">
        <v>546</v>
      </c>
      <c r="H1548" s="18" t="s">
        <v>5</v>
      </c>
      <c r="I1548" s="14" t="s">
        <v>115</v>
      </c>
      <c r="J1548" s="14"/>
      <c r="K1548" s="18" t="s">
        <v>651</v>
      </c>
      <c r="L1548" s="14"/>
      <c r="M1548" s="14">
        <v>1</v>
      </c>
      <c r="N1548" s="15">
        <f t="shared" si="59"/>
        <v>81355.932203389835</v>
      </c>
      <c r="O1548" s="15">
        <f t="shared" si="55"/>
        <v>81355.932203389835</v>
      </c>
      <c r="P1548" s="15"/>
      <c r="Q1548" s="14" t="s">
        <v>520</v>
      </c>
      <c r="R1548" s="25">
        <v>45716</v>
      </c>
      <c r="S1548" s="22" t="str">
        <f>TEXT(Table1[[#This Row],[End Date]],"MMMM")</f>
        <v>February</v>
      </c>
      <c r="T1548" s="23" t="str">
        <f>TEXT(Table1[[#This Row],[End Date]],"YYYY")</f>
        <v>2025</v>
      </c>
      <c r="U1548" s="24">
        <f t="shared" ca="1" si="58"/>
        <v>-583</v>
      </c>
      <c r="V1548" s="14" t="str" cm="1">
        <f t="array" aca="1" ref="V1548" ca="1">_xlfn.IFS(Table1[[#This Row],[Agreement Days]]&gt;=0,"Expired",Table1[[#This Row],[Agreement Days]]&gt;=-30,"Expires &lt; 30 Days",Table1[[#This Row],[Agreement Days]]&gt;=-60,"Expires &lt; 60 Days",Table1[[#This Row],[Agreement Days]]&lt;-60,"Valid Contract")</f>
        <v>Valid Contract</v>
      </c>
      <c r="W1548" s="14" t="s">
        <v>20</v>
      </c>
      <c r="X1548" s="14" t="s">
        <v>989</v>
      </c>
      <c r="Y1548" s="16" t="s">
        <v>990</v>
      </c>
      <c r="Z1548" s="27" t="s">
        <v>991</v>
      </c>
      <c r="AA1548" s="19"/>
      <c r="AB1548" s="123"/>
      <c r="AC1548" s="123"/>
    </row>
    <row r="1549" spans="1:29" s="11" customFormat="1" hidden="1" x14ac:dyDescent="0.3">
      <c r="A1549" s="18" t="s">
        <v>987</v>
      </c>
      <c r="B1549" s="18" t="s">
        <v>127</v>
      </c>
      <c r="C1549" s="18" t="s">
        <v>2912</v>
      </c>
      <c r="D1549" s="14" t="s">
        <v>808</v>
      </c>
      <c r="E1549" s="18" t="s">
        <v>9</v>
      </c>
      <c r="F1549" s="14" t="s">
        <v>601</v>
      </c>
      <c r="G1549" s="14" t="s">
        <v>546</v>
      </c>
      <c r="H1549" s="18" t="s">
        <v>5</v>
      </c>
      <c r="I1549" s="14" t="s">
        <v>115</v>
      </c>
      <c r="J1549" s="14"/>
      <c r="K1549" s="18" t="s">
        <v>651</v>
      </c>
      <c r="L1549" s="14"/>
      <c r="M1549" s="14">
        <v>1</v>
      </c>
      <c r="N1549" s="15">
        <f t="shared" si="59"/>
        <v>81355.932203389835</v>
      </c>
      <c r="O1549" s="15">
        <f t="shared" si="55"/>
        <v>81355.932203389835</v>
      </c>
      <c r="P1549" s="15"/>
      <c r="Q1549" s="14" t="s">
        <v>520</v>
      </c>
      <c r="R1549" s="25">
        <v>45716</v>
      </c>
      <c r="S1549" s="22" t="str">
        <f>TEXT(Table1[[#This Row],[End Date]],"MMMM")</f>
        <v>February</v>
      </c>
      <c r="T1549" s="23" t="str">
        <f>TEXT(Table1[[#This Row],[End Date]],"YYYY")</f>
        <v>2025</v>
      </c>
      <c r="U1549" s="24">
        <f t="shared" ca="1" si="58"/>
        <v>-583</v>
      </c>
      <c r="V1549" s="14" t="str" cm="1">
        <f t="array" aca="1" ref="V1549" ca="1">_xlfn.IFS(Table1[[#This Row],[Agreement Days]]&gt;=0,"Expired",Table1[[#This Row],[Agreement Days]]&gt;=-30,"Expires &lt; 30 Days",Table1[[#This Row],[Agreement Days]]&gt;=-60,"Expires &lt; 60 Days",Table1[[#This Row],[Agreement Days]]&lt;-60,"Valid Contract")</f>
        <v>Valid Contract</v>
      </c>
      <c r="W1549" s="14" t="s">
        <v>20</v>
      </c>
      <c r="X1549" s="14" t="s">
        <v>989</v>
      </c>
      <c r="Y1549" s="16" t="s">
        <v>990</v>
      </c>
      <c r="Z1549" s="27" t="s">
        <v>991</v>
      </c>
      <c r="AA1549" s="19"/>
      <c r="AB1549" s="123"/>
      <c r="AC1549" s="123"/>
    </row>
    <row r="1550" spans="1:29" s="11" customFormat="1" hidden="1" x14ac:dyDescent="0.3">
      <c r="A1550" s="18" t="s">
        <v>987</v>
      </c>
      <c r="B1550" s="18" t="s">
        <v>127</v>
      </c>
      <c r="C1550" s="18" t="s">
        <v>2913</v>
      </c>
      <c r="D1550" s="14" t="s">
        <v>808</v>
      </c>
      <c r="E1550" s="18" t="s">
        <v>9</v>
      </c>
      <c r="F1550" s="14" t="s">
        <v>601</v>
      </c>
      <c r="G1550" s="14" t="s">
        <v>546</v>
      </c>
      <c r="H1550" s="18" t="s">
        <v>5</v>
      </c>
      <c r="I1550" s="14" t="s">
        <v>115</v>
      </c>
      <c r="J1550" s="14"/>
      <c r="K1550" s="18" t="s">
        <v>651</v>
      </c>
      <c r="L1550" s="14"/>
      <c r="M1550" s="14">
        <v>1</v>
      </c>
      <c r="N1550" s="15">
        <f t="shared" si="59"/>
        <v>81355.932203389835</v>
      </c>
      <c r="O1550" s="15">
        <f t="shared" ref="O1550:O1613" si="60">N1550*M1550</f>
        <v>81355.932203389835</v>
      </c>
      <c r="P1550" s="15"/>
      <c r="Q1550" s="14" t="s">
        <v>520</v>
      </c>
      <c r="R1550" s="25">
        <v>45716</v>
      </c>
      <c r="S1550" s="22" t="str">
        <f>TEXT(Table1[[#This Row],[End Date]],"MMMM")</f>
        <v>February</v>
      </c>
      <c r="T1550" s="23" t="str">
        <f>TEXT(Table1[[#This Row],[End Date]],"YYYY")</f>
        <v>2025</v>
      </c>
      <c r="U1550" s="24">
        <f t="shared" ca="1" si="58"/>
        <v>-583</v>
      </c>
      <c r="V1550" s="14" t="str" cm="1">
        <f t="array" aca="1" ref="V1550" ca="1">_xlfn.IFS(Table1[[#This Row],[Agreement Days]]&gt;=0,"Expired",Table1[[#This Row],[Agreement Days]]&gt;=-30,"Expires &lt; 30 Days",Table1[[#This Row],[Agreement Days]]&gt;=-60,"Expires &lt; 60 Days",Table1[[#This Row],[Agreement Days]]&lt;-60,"Valid Contract")</f>
        <v>Valid Contract</v>
      </c>
      <c r="W1550" s="14" t="s">
        <v>20</v>
      </c>
      <c r="X1550" s="14" t="s">
        <v>989</v>
      </c>
      <c r="Y1550" s="16" t="s">
        <v>990</v>
      </c>
      <c r="Z1550" s="27" t="s">
        <v>991</v>
      </c>
      <c r="AA1550" s="19"/>
      <c r="AB1550" s="124"/>
      <c r="AC1550" s="124"/>
    </row>
    <row r="1551" spans="1:29" s="11" customFormat="1" hidden="1" x14ac:dyDescent="0.3">
      <c r="A1551" s="18" t="s">
        <v>987</v>
      </c>
      <c r="B1551" s="18" t="s">
        <v>127</v>
      </c>
      <c r="C1551" s="18" t="s">
        <v>2914</v>
      </c>
      <c r="D1551" s="14" t="s">
        <v>808</v>
      </c>
      <c r="E1551" s="18" t="s">
        <v>9</v>
      </c>
      <c r="F1551" s="14" t="s">
        <v>601</v>
      </c>
      <c r="G1551" s="14" t="s">
        <v>546</v>
      </c>
      <c r="H1551" s="18" t="s">
        <v>5</v>
      </c>
      <c r="I1551" s="14" t="s">
        <v>115</v>
      </c>
      <c r="J1551" s="14"/>
      <c r="K1551" s="18" t="s">
        <v>651</v>
      </c>
      <c r="L1551" s="14"/>
      <c r="M1551" s="14">
        <v>1</v>
      </c>
      <c r="N1551" s="15">
        <f t="shared" si="59"/>
        <v>81355.932203389835</v>
      </c>
      <c r="O1551" s="15">
        <f t="shared" si="60"/>
        <v>81355.932203389835</v>
      </c>
      <c r="P1551" s="15"/>
      <c r="Q1551" s="14" t="s">
        <v>520</v>
      </c>
      <c r="R1551" s="25">
        <v>45716</v>
      </c>
      <c r="S1551" s="22" t="str">
        <f>TEXT(Table1[[#This Row],[End Date]],"MMMM")</f>
        <v>February</v>
      </c>
      <c r="T1551" s="23" t="str">
        <f>TEXT(Table1[[#This Row],[End Date]],"YYYY")</f>
        <v>2025</v>
      </c>
      <c r="U1551" s="24">
        <f t="shared" ca="1" si="58"/>
        <v>-583</v>
      </c>
      <c r="V1551" s="14" t="str" cm="1">
        <f t="array" aca="1" ref="V1551" ca="1">_xlfn.IFS(Table1[[#This Row],[Agreement Days]]&gt;=0,"Expired",Table1[[#This Row],[Agreement Days]]&gt;=-30,"Expires &lt; 30 Days",Table1[[#This Row],[Agreement Days]]&gt;=-60,"Expires &lt; 60 Days",Table1[[#This Row],[Agreement Days]]&lt;-60,"Valid Contract")</f>
        <v>Valid Contract</v>
      </c>
      <c r="W1551" s="14" t="s">
        <v>20</v>
      </c>
      <c r="X1551" s="14" t="s">
        <v>989</v>
      </c>
      <c r="Y1551" s="16" t="s">
        <v>990</v>
      </c>
      <c r="Z1551" s="27" t="s">
        <v>991</v>
      </c>
      <c r="AA1551" s="19"/>
      <c r="AB1551" s="123"/>
      <c r="AC1551" s="123"/>
    </row>
    <row r="1552" spans="1:29" s="11" customFormat="1" hidden="1" x14ac:dyDescent="0.3">
      <c r="A1552" s="18" t="s">
        <v>987</v>
      </c>
      <c r="B1552" s="18" t="s">
        <v>127</v>
      </c>
      <c r="C1552" s="18" t="s">
        <v>2915</v>
      </c>
      <c r="D1552" s="14" t="s">
        <v>808</v>
      </c>
      <c r="E1552" s="18" t="s">
        <v>9</v>
      </c>
      <c r="F1552" s="14" t="s">
        <v>601</v>
      </c>
      <c r="G1552" s="14" t="s">
        <v>546</v>
      </c>
      <c r="H1552" s="18" t="s">
        <v>5</v>
      </c>
      <c r="I1552" s="14" t="s">
        <v>115</v>
      </c>
      <c r="J1552" s="14"/>
      <c r="K1552" s="18" t="s">
        <v>651</v>
      </c>
      <c r="L1552" s="14"/>
      <c r="M1552" s="14">
        <v>1</v>
      </c>
      <c r="N1552" s="15">
        <f t="shared" si="59"/>
        <v>81355.932203389835</v>
      </c>
      <c r="O1552" s="15">
        <f t="shared" si="60"/>
        <v>81355.932203389835</v>
      </c>
      <c r="P1552" s="15"/>
      <c r="Q1552" s="14" t="s">
        <v>520</v>
      </c>
      <c r="R1552" s="25">
        <v>45716</v>
      </c>
      <c r="S1552" s="22" t="str">
        <f>TEXT(Table1[[#This Row],[End Date]],"MMMM")</f>
        <v>February</v>
      </c>
      <c r="T1552" s="23" t="str">
        <f>TEXT(Table1[[#This Row],[End Date]],"YYYY")</f>
        <v>2025</v>
      </c>
      <c r="U1552" s="24">
        <f t="shared" ca="1" si="58"/>
        <v>-583</v>
      </c>
      <c r="V1552" s="14" t="str" cm="1">
        <f t="array" aca="1" ref="V1552" ca="1">_xlfn.IFS(Table1[[#This Row],[Agreement Days]]&gt;=0,"Expired",Table1[[#This Row],[Agreement Days]]&gt;=-30,"Expires &lt; 30 Days",Table1[[#This Row],[Agreement Days]]&gt;=-60,"Expires &lt; 60 Days",Table1[[#This Row],[Agreement Days]]&lt;-60,"Valid Contract")</f>
        <v>Valid Contract</v>
      </c>
      <c r="W1552" s="14" t="s">
        <v>20</v>
      </c>
      <c r="X1552" s="14" t="s">
        <v>989</v>
      </c>
      <c r="Y1552" s="16" t="s">
        <v>990</v>
      </c>
      <c r="Z1552" s="27" t="s">
        <v>991</v>
      </c>
      <c r="AA1552" s="19"/>
      <c r="AB1552" s="123"/>
      <c r="AC1552" s="123"/>
    </row>
    <row r="1553" spans="1:29" s="11" customFormat="1" hidden="1" x14ac:dyDescent="0.3">
      <c r="A1553" s="18" t="s">
        <v>987</v>
      </c>
      <c r="B1553" s="18" t="s">
        <v>127</v>
      </c>
      <c r="C1553" s="18" t="s">
        <v>2916</v>
      </c>
      <c r="D1553" s="14" t="s">
        <v>1280</v>
      </c>
      <c r="E1553" s="18" t="s">
        <v>9</v>
      </c>
      <c r="F1553" s="14" t="s">
        <v>601</v>
      </c>
      <c r="G1553" s="14" t="s">
        <v>546</v>
      </c>
      <c r="H1553" s="18" t="s">
        <v>5</v>
      </c>
      <c r="I1553" s="14" t="s">
        <v>115</v>
      </c>
      <c r="J1553" s="14"/>
      <c r="K1553" s="18" t="s">
        <v>651</v>
      </c>
      <c r="L1553" s="14"/>
      <c r="M1553" s="14">
        <v>1</v>
      </c>
      <c r="N1553" s="15">
        <f t="shared" si="59"/>
        <v>81355.932203389835</v>
      </c>
      <c r="O1553" s="15">
        <f t="shared" si="60"/>
        <v>81355.932203389835</v>
      </c>
      <c r="P1553" s="15"/>
      <c r="Q1553" s="14" t="s">
        <v>520</v>
      </c>
      <c r="R1553" s="25">
        <v>45716</v>
      </c>
      <c r="S1553" s="22" t="str">
        <f>TEXT(Table1[[#This Row],[End Date]],"MMMM")</f>
        <v>February</v>
      </c>
      <c r="T1553" s="23" t="str">
        <f>TEXT(Table1[[#This Row],[End Date]],"YYYY")</f>
        <v>2025</v>
      </c>
      <c r="U1553" s="24">
        <f t="shared" ca="1" si="58"/>
        <v>-583</v>
      </c>
      <c r="V1553" s="14" t="str" cm="1">
        <f t="array" aca="1" ref="V1553" ca="1">_xlfn.IFS(Table1[[#This Row],[Agreement Days]]&gt;=0,"Expired",Table1[[#This Row],[Agreement Days]]&gt;=-30,"Expires &lt; 30 Days",Table1[[#This Row],[Agreement Days]]&gt;=-60,"Expires &lt; 60 Days",Table1[[#This Row],[Agreement Days]]&lt;-60,"Valid Contract")</f>
        <v>Valid Contract</v>
      </c>
      <c r="W1553" s="14" t="s">
        <v>20</v>
      </c>
      <c r="X1553" s="14" t="s">
        <v>989</v>
      </c>
      <c r="Y1553" s="16" t="s">
        <v>990</v>
      </c>
      <c r="Z1553" s="27" t="s">
        <v>991</v>
      </c>
      <c r="AA1553" s="19"/>
      <c r="AB1553" s="123"/>
      <c r="AC1553" s="123"/>
    </row>
    <row r="1554" spans="1:29" s="11" customFormat="1" hidden="1" x14ac:dyDescent="0.3">
      <c r="A1554" s="18" t="s">
        <v>987</v>
      </c>
      <c r="B1554" s="18" t="s">
        <v>127</v>
      </c>
      <c r="C1554" s="18" t="s">
        <v>2917</v>
      </c>
      <c r="D1554" s="14" t="s">
        <v>1280</v>
      </c>
      <c r="E1554" s="18" t="s">
        <v>9</v>
      </c>
      <c r="F1554" s="14" t="s">
        <v>601</v>
      </c>
      <c r="G1554" s="14" t="s">
        <v>546</v>
      </c>
      <c r="H1554" s="18" t="s">
        <v>5</v>
      </c>
      <c r="I1554" s="14" t="s">
        <v>115</v>
      </c>
      <c r="J1554" s="14"/>
      <c r="K1554" s="18" t="s">
        <v>651</v>
      </c>
      <c r="L1554" s="14"/>
      <c r="M1554" s="14">
        <v>1</v>
      </c>
      <c r="N1554" s="15">
        <f t="shared" si="59"/>
        <v>81355.932203389835</v>
      </c>
      <c r="O1554" s="15">
        <f t="shared" si="60"/>
        <v>81355.932203389835</v>
      </c>
      <c r="P1554" s="15"/>
      <c r="Q1554" s="14" t="s">
        <v>520</v>
      </c>
      <c r="R1554" s="25">
        <v>45716</v>
      </c>
      <c r="S1554" s="22" t="str">
        <f>TEXT(Table1[[#This Row],[End Date]],"MMMM")</f>
        <v>February</v>
      </c>
      <c r="T1554" s="23" t="str">
        <f>TEXT(Table1[[#This Row],[End Date]],"YYYY")</f>
        <v>2025</v>
      </c>
      <c r="U1554" s="24">
        <f t="shared" ca="1" si="58"/>
        <v>-583</v>
      </c>
      <c r="V1554" s="14" t="str" cm="1">
        <f t="array" aca="1" ref="V1554" ca="1">_xlfn.IFS(Table1[[#This Row],[Agreement Days]]&gt;=0,"Expired",Table1[[#This Row],[Agreement Days]]&gt;=-30,"Expires &lt; 30 Days",Table1[[#This Row],[Agreement Days]]&gt;=-60,"Expires &lt; 60 Days",Table1[[#This Row],[Agreement Days]]&lt;-60,"Valid Contract")</f>
        <v>Valid Contract</v>
      </c>
      <c r="W1554" s="14" t="s">
        <v>20</v>
      </c>
      <c r="X1554" s="14" t="s">
        <v>989</v>
      </c>
      <c r="Y1554" s="16" t="s">
        <v>990</v>
      </c>
      <c r="Z1554" s="27" t="s">
        <v>991</v>
      </c>
      <c r="AA1554" s="19"/>
      <c r="AB1554" s="123"/>
      <c r="AC1554" s="123"/>
    </row>
    <row r="1555" spans="1:29" s="11" customFormat="1" hidden="1" x14ac:dyDescent="0.3">
      <c r="A1555" s="18" t="s">
        <v>987</v>
      </c>
      <c r="B1555" s="18" t="s">
        <v>127</v>
      </c>
      <c r="C1555" s="18" t="s">
        <v>2918</v>
      </c>
      <c r="D1555" s="14" t="s">
        <v>1280</v>
      </c>
      <c r="E1555" s="18" t="s">
        <v>9</v>
      </c>
      <c r="F1555" s="14" t="s">
        <v>601</v>
      </c>
      <c r="G1555" s="14" t="s">
        <v>546</v>
      </c>
      <c r="H1555" s="18" t="s">
        <v>5</v>
      </c>
      <c r="I1555" s="14" t="s">
        <v>115</v>
      </c>
      <c r="J1555" s="14"/>
      <c r="K1555" s="18" t="s">
        <v>651</v>
      </c>
      <c r="L1555" s="14"/>
      <c r="M1555" s="14">
        <v>1</v>
      </c>
      <c r="N1555" s="15">
        <f t="shared" si="59"/>
        <v>81355.932203389835</v>
      </c>
      <c r="O1555" s="15">
        <f t="shared" si="60"/>
        <v>81355.932203389835</v>
      </c>
      <c r="P1555" s="15"/>
      <c r="Q1555" s="14" t="s">
        <v>520</v>
      </c>
      <c r="R1555" s="25">
        <v>45716</v>
      </c>
      <c r="S1555" s="22" t="str">
        <f>TEXT(Table1[[#This Row],[End Date]],"MMMM")</f>
        <v>February</v>
      </c>
      <c r="T1555" s="23" t="str">
        <f>TEXT(Table1[[#This Row],[End Date]],"YYYY")</f>
        <v>2025</v>
      </c>
      <c r="U1555" s="24">
        <f t="shared" ca="1" si="58"/>
        <v>-583</v>
      </c>
      <c r="V1555" s="14" t="str" cm="1">
        <f t="array" aca="1" ref="V1555" ca="1">_xlfn.IFS(Table1[[#This Row],[Agreement Days]]&gt;=0,"Expired",Table1[[#This Row],[Agreement Days]]&gt;=-30,"Expires &lt; 30 Days",Table1[[#This Row],[Agreement Days]]&gt;=-60,"Expires &lt; 60 Days",Table1[[#This Row],[Agreement Days]]&lt;-60,"Valid Contract")</f>
        <v>Valid Contract</v>
      </c>
      <c r="W1555" s="14" t="s">
        <v>20</v>
      </c>
      <c r="X1555" s="14" t="s">
        <v>989</v>
      </c>
      <c r="Y1555" s="16" t="s">
        <v>990</v>
      </c>
      <c r="Z1555" s="27" t="s">
        <v>991</v>
      </c>
      <c r="AA1555" s="19"/>
      <c r="AB1555" s="123"/>
      <c r="AC1555" s="123"/>
    </row>
    <row r="1556" spans="1:29" s="11" customFormat="1" hidden="1" x14ac:dyDescent="0.3">
      <c r="A1556" s="18" t="s">
        <v>987</v>
      </c>
      <c r="B1556" s="18" t="s">
        <v>127</v>
      </c>
      <c r="C1556" s="18" t="s">
        <v>2919</v>
      </c>
      <c r="D1556" s="14" t="s">
        <v>1280</v>
      </c>
      <c r="E1556" s="18" t="s">
        <v>9</v>
      </c>
      <c r="F1556" s="14" t="s">
        <v>601</v>
      </c>
      <c r="G1556" s="14" t="s">
        <v>546</v>
      </c>
      <c r="H1556" s="18" t="s">
        <v>5</v>
      </c>
      <c r="I1556" s="14" t="s">
        <v>115</v>
      </c>
      <c r="J1556" s="14"/>
      <c r="K1556" s="18" t="s">
        <v>651</v>
      </c>
      <c r="L1556" s="14"/>
      <c r="M1556" s="14">
        <v>1</v>
      </c>
      <c r="N1556" s="15">
        <f t="shared" si="59"/>
        <v>81355.932203389835</v>
      </c>
      <c r="O1556" s="15">
        <f t="shared" si="60"/>
        <v>81355.932203389835</v>
      </c>
      <c r="P1556" s="15"/>
      <c r="Q1556" s="14" t="s">
        <v>520</v>
      </c>
      <c r="R1556" s="25">
        <v>45716</v>
      </c>
      <c r="S1556" s="22" t="str">
        <f>TEXT(Table1[[#This Row],[End Date]],"MMMM")</f>
        <v>February</v>
      </c>
      <c r="T1556" s="23" t="str">
        <f>TEXT(Table1[[#This Row],[End Date]],"YYYY")</f>
        <v>2025</v>
      </c>
      <c r="U1556" s="24">
        <f t="shared" ca="1" si="58"/>
        <v>-583</v>
      </c>
      <c r="V1556" s="14" t="str" cm="1">
        <f t="array" aca="1" ref="V1556" ca="1">_xlfn.IFS(Table1[[#This Row],[Agreement Days]]&gt;=0,"Expired",Table1[[#This Row],[Agreement Days]]&gt;=-30,"Expires &lt; 30 Days",Table1[[#This Row],[Agreement Days]]&gt;=-60,"Expires &lt; 60 Days",Table1[[#This Row],[Agreement Days]]&lt;-60,"Valid Contract")</f>
        <v>Valid Contract</v>
      </c>
      <c r="W1556" s="14" t="s">
        <v>20</v>
      </c>
      <c r="X1556" s="14" t="s">
        <v>989</v>
      </c>
      <c r="Y1556" s="16" t="s">
        <v>990</v>
      </c>
      <c r="Z1556" s="27" t="s">
        <v>991</v>
      </c>
      <c r="AA1556" s="19"/>
      <c r="AB1556" s="123"/>
      <c r="AC1556" s="123"/>
    </row>
    <row r="1557" spans="1:29" s="11" customFormat="1" hidden="1" x14ac:dyDescent="0.3">
      <c r="A1557" s="18" t="s">
        <v>987</v>
      </c>
      <c r="B1557" s="18" t="s">
        <v>127</v>
      </c>
      <c r="C1557" s="18" t="s">
        <v>2920</v>
      </c>
      <c r="D1557" s="14" t="s">
        <v>1280</v>
      </c>
      <c r="E1557" s="18" t="s">
        <v>9</v>
      </c>
      <c r="F1557" s="14" t="s">
        <v>601</v>
      </c>
      <c r="G1557" s="14" t="s">
        <v>546</v>
      </c>
      <c r="H1557" s="18" t="s">
        <v>5</v>
      </c>
      <c r="I1557" s="14" t="s">
        <v>115</v>
      </c>
      <c r="J1557" s="14"/>
      <c r="K1557" s="18" t="s">
        <v>651</v>
      </c>
      <c r="L1557" s="14"/>
      <c r="M1557" s="14">
        <v>1</v>
      </c>
      <c r="N1557" s="15">
        <f t="shared" si="59"/>
        <v>81355.932203389835</v>
      </c>
      <c r="O1557" s="15">
        <f t="shared" si="60"/>
        <v>81355.932203389835</v>
      </c>
      <c r="P1557" s="15"/>
      <c r="Q1557" s="14" t="s">
        <v>520</v>
      </c>
      <c r="R1557" s="25">
        <v>45716</v>
      </c>
      <c r="S1557" s="22" t="str">
        <f>TEXT(Table1[[#This Row],[End Date]],"MMMM")</f>
        <v>February</v>
      </c>
      <c r="T1557" s="23" t="str">
        <f>TEXT(Table1[[#This Row],[End Date]],"YYYY")</f>
        <v>2025</v>
      </c>
      <c r="U1557" s="24">
        <f t="shared" ca="1" si="58"/>
        <v>-583</v>
      </c>
      <c r="V1557" s="14" t="str" cm="1">
        <f t="array" aca="1" ref="V1557" ca="1">_xlfn.IFS(Table1[[#This Row],[Agreement Days]]&gt;=0,"Expired",Table1[[#This Row],[Agreement Days]]&gt;=-30,"Expires &lt; 30 Days",Table1[[#This Row],[Agreement Days]]&gt;=-60,"Expires &lt; 60 Days",Table1[[#This Row],[Agreement Days]]&lt;-60,"Valid Contract")</f>
        <v>Valid Contract</v>
      </c>
      <c r="W1557" s="14" t="s">
        <v>20</v>
      </c>
      <c r="X1557" s="14" t="s">
        <v>989</v>
      </c>
      <c r="Y1557" s="16" t="s">
        <v>990</v>
      </c>
      <c r="Z1557" s="27" t="s">
        <v>991</v>
      </c>
      <c r="AA1557" s="19"/>
      <c r="AB1557" s="123"/>
      <c r="AC1557" s="123"/>
    </row>
    <row r="1558" spans="1:29" s="11" customFormat="1" hidden="1" x14ac:dyDescent="0.3">
      <c r="A1558" s="18" t="s">
        <v>987</v>
      </c>
      <c r="B1558" s="18" t="s">
        <v>127</v>
      </c>
      <c r="C1558" s="18" t="s">
        <v>2921</v>
      </c>
      <c r="D1558" s="14" t="s">
        <v>616</v>
      </c>
      <c r="E1558" s="18" t="s">
        <v>9</v>
      </c>
      <c r="F1558" s="14" t="s">
        <v>601</v>
      </c>
      <c r="G1558" s="14" t="s">
        <v>546</v>
      </c>
      <c r="H1558" s="18" t="s">
        <v>5</v>
      </c>
      <c r="I1558" s="14" t="s">
        <v>115</v>
      </c>
      <c r="J1558" s="14"/>
      <c r="K1558" s="18" t="s">
        <v>651</v>
      </c>
      <c r="L1558" s="14"/>
      <c r="M1558" s="14">
        <v>1</v>
      </c>
      <c r="N1558" s="15">
        <f t="shared" si="59"/>
        <v>81355.932203389835</v>
      </c>
      <c r="O1558" s="15">
        <f t="shared" si="60"/>
        <v>81355.932203389835</v>
      </c>
      <c r="P1558" s="15"/>
      <c r="Q1558" s="14" t="s">
        <v>520</v>
      </c>
      <c r="R1558" s="25">
        <v>45716</v>
      </c>
      <c r="S1558" s="22" t="str">
        <f>TEXT(Table1[[#This Row],[End Date]],"MMMM")</f>
        <v>February</v>
      </c>
      <c r="T1558" s="23" t="str">
        <f>TEXT(Table1[[#This Row],[End Date]],"YYYY")</f>
        <v>2025</v>
      </c>
      <c r="U1558" s="24">
        <f t="shared" ca="1" si="58"/>
        <v>-583</v>
      </c>
      <c r="V1558" s="14" t="str" cm="1">
        <f t="array" aca="1" ref="V1558" ca="1">_xlfn.IFS(Table1[[#This Row],[Agreement Days]]&gt;=0,"Expired",Table1[[#This Row],[Agreement Days]]&gt;=-30,"Expires &lt; 30 Days",Table1[[#This Row],[Agreement Days]]&gt;=-60,"Expires &lt; 60 Days",Table1[[#This Row],[Agreement Days]]&lt;-60,"Valid Contract")</f>
        <v>Valid Contract</v>
      </c>
      <c r="W1558" s="14" t="s">
        <v>20</v>
      </c>
      <c r="X1558" s="14" t="s">
        <v>989</v>
      </c>
      <c r="Y1558" s="16" t="s">
        <v>990</v>
      </c>
      <c r="Z1558" s="27" t="s">
        <v>991</v>
      </c>
      <c r="AA1558" s="19"/>
      <c r="AB1558" s="123"/>
      <c r="AC1558" s="123"/>
    </row>
    <row r="1559" spans="1:29" s="11" customFormat="1" hidden="1" x14ac:dyDescent="0.3">
      <c r="A1559" s="18" t="s">
        <v>987</v>
      </c>
      <c r="B1559" s="18" t="s">
        <v>127</v>
      </c>
      <c r="C1559" s="18" t="s">
        <v>2922</v>
      </c>
      <c r="D1559" s="14" t="s">
        <v>616</v>
      </c>
      <c r="E1559" s="18" t="s">
        <v>9</v>
      </c>
      <c r="F1559" s="14" t="s">
        <v>601</v>
      </c>
      <c r="G1559" s="14" t="s">
        <v>546</v>
      </c>
      <c r="H1559" s="18" t="s">
        <v>5</v>
      </c>
      <c r="I1559" s="14" t="s">
        <v>115</v>
      </c>
      <c r="J1559" s="14"/>
      <c r="K1559" s="18" t="s">
        <v>651</v>
      </c>
      <c r="L1559" s="14"/>
      <c r="M1559" s="14">
        <v>1</v>
      </c>
      <c r="N1559" s="15">
        <f t="shared" si="59"/>
        <v>81355.932203389835</v>
      </c>
      <c r="O1559" s="15">
        <f t="shared" si="60"/>
        <v>81355.932203389835</v>
      </c>
      <c r="P1559" s="15"/>
      <c r="Q1559" s="14" t="s">
        <v>520</v>
      </c>
      <c r="R1559" s="25">
        <v>45716</v>
      </c>
      <c r="S1559" s="22" t="str">
        <f>TEXT(Table1[[#This Row],[End Date]],"MMMM")</f>
        <v>February</v>
      </c>
      <c r="T1559" s="23" t="str">
        <f>TEXT(Table1[[#This Row],[End Date]],"YYYY")</f>
        <v>2025</v>
      </c>
      <c r="U1559" s="24">
        <f t="shared" ca="1" si="58"/>
        <v>-583</v>
      </c>
      <c r="V1559" s="14" t="str" cm="1">
        <f t="array" aca="1" ref="V1559" ca="1">_xlfn.IFS(Table1[[#This Row],[Agreement Days]]&gt;=0,"Expired",Table1[[#This Row],[Agreement Days]]&gt;=-30,"Expires &lt; 30 Days",Table1[[#This Row],[Agreement Days]]&gt;=-60,"Expires &lt; 60 Days",Table1[[#This Row],[Agreement Days]]&lt;-60,"Valid Contract")</f>
        <v>Valid Contract</v>
      </c>
      <c r="W1559" s="14" t="s">
        <v>20</v>
      </c>
      <c r="X1559" s="14" t="s">
        <v>989</v>
      </c>
      <c r="Y1559" s="16" t="s">
        <v>990</v>
      </c>
      <c r="Z1559" s="27" t="s">
        <v>991</v>
      </c>
      <c r="AA1559" s="19"/>
      <c r="AB1559" s="123"/>
      <c r="AC1559" s="123"/>
    </row>
    <row r="1560" spans="1:29" s="11" customFormat="1" hidden="1" x14ac:dyDescent="0.3">
      <c r="A1560" s="18" t="s">
        <v>987</v>
      </c>
      <c r="B1560" s="18" t="s">
        <v>127</v>
      </c>
      <c r="C1560" s="18" t="s">
        <v>2923</v>
      </c>
      <c r="D1560" s="14" t="s">
        <v>616</v>
      </c>
      <c r="E1560" s="18" t="s">
        <v>9</v>
      </c>
      <c r="F1560" s="14" t="s">
        <v>601</v>
      </c>
      <c r="G1560" s="14" t="s">
        <v>546</v>
      </c>
      <c r="H1560" s="18" t="s">
        <v>5</v>
      </c>
      <c r="I1560" s="14" t="s">
        <v>115</v>
      </c>
      <c r="J1560" s="14"/>
      <c r="K1560" s="18" t="s">
        <v>651</v>
      </c>
      <c r="L1560" s="14"/>
      <c r="M1560" s="14">
        <v>1</v>
      </c>
      <c r="N1560" s="15">
        <f t="shared" si="59"/>
        <v>81355.932203389835</v>
      </c>
      <c r="O1560" s="15">
        <f t="shared" si="60"/>
        <v>81355.932203389835</v>
      </c>
      <c r="P1560" s="15"/>
      <c r="Q1560" s="14" t="s">
        <v>520</v>
      </c>
      <c r="R1560" s="25">
        <v>45716</v>
      </c>
      <c r="S1560" s="22" t="str">
        <f>TEXT(Table1[[#This Row],[End Date]],"MMMM")</f>
        <v>February</v>
      </c>
      <c r="T1560" s="23" t="str">
        <f>TEXT(Table1[[#This Row],[End Date]],"YYYY")</f>
        <v>2025</v>
      </c>
      <c r="U1560" s="24">
        <f t="shared" ca="1" si="58"/>
        <v>-583</v>
      </c>
      <c r="V1560" s="14" t="str" cm="1">
        <f t="array" aca="1" ref="V1560" ca="1">_xlfn.IFS(Table1[[#This Row],[Agreement Days]]&gt;=0,"Expired",Table1[[#This Row],[Agreement Days]]&gt;=-30,"Expires &lt; 30 Days",Table1[[#This Row],[Agreement Days]]&gt;=-60,"Expires &lt; 60 Days",Table1[[#This Row],[Agreement Days]]&lt;-60,"Valid Contract")</f>
        <v>Valid Contract</v>
      </c>
      <c r="W1560" s="14" t="s">
        <v>20</v>
      </c>
      <c r="X1560" s="14" t="s">
        <v>989</v>
      </c>
      <c r="Y1560" s="16" t="s">
        <v>990</v>
      </c>
      <c r="Z1560" s="27" t="s">
        <v>991</v>
      </c>
      <c r="AA1560" s="19"/>
      <c r="AB1560" s="123"/>
      <c r="AC1560" s="123"/>
    </row>
    <row r="1561" spans="1:29" s="11" customFormat="1" hidden="1" x14ac:dyDescent="0.3">
      <c r="A1561" s="18" t="s">
        <v>987</v>
      </c>
      <c r="B1561" s="18" t="s">
        <v>127</v>
      </c>
      <c r="C1561" s="18" t="s">
        <v>2924</v>
      </c>
      <c r="D1561" s="14" t="s">
        <v>616</v>
      </c>
      <c r="E1561" s="18" t="s">
        <v>9</v>
      </c>
      <c r="F1561" s="14" t="s">
        <v>601</v>
      </c>
      <c r="G1561" s="14" t="s">
        <v>546</v>
      </c>
      <c r="H1561" s="18" t="s">
        <v>5</v>
      </c>
      <c r="I1561" s="14" t="s">
        <v>115</v>
      </c>
      <c r="J1561" s="14"/>
      <c r="K1561" s="18" t="s">
        <v>651</v>
      </c>
      <c r="L1561" s="14"/>
      <c r="M1561" s="14">
        <v>1</v>
      </c>
      <c r="N1561" s="15">
        <f t="shared" si="59"/>
        <v>81355.932203389835</v>
      </c>
      <c r="O1561" s="15">
        <f t="shared" si="60"/>
        <v>81355.932203389835</v>
      </c>
      <c r="P1561" s="15"/>
      <c r="Q1561" s="14" t="s">
        <v>520</v>
      </c>
      <c r="R1561" s="25">
        <v>45716</v>
      </c>
      <c r="S1561" s="22" t="str">
        <f>TEXT(Table1[[#This Row],[End Date]],"MMMM")</f>
        <v>February</v>
      </c>
      <c r="T1561" s="23" t="str">
        <f>TEXT(Table1[[#This Row],[End Date]],"YYYY")</f>
        <v>2025</v>
      </c>
      <c r="U1561" s="24">
        <f t="shared" ca="1" si="58"/>
        <v>-583</v>
      </c>
      <c r="V1561" s="14" t="str" cm="1">
        <f t="array" aca="1" ref="V1561" ca="1">_xlfn.IFS(Table1[[#This Row],[Agreement Days]]&gt;=0,"Expired",Table1[[#This Row],[Agreement Days]]&gt;=-30,"Expires &lt; 30 Days",Table1[[#This Row],[Agreement Days]]&gt;=-60,"Expires &lt; 60 Days",Table1[[#This Row],[Agreement Days]]&lt;-60,"Valid Contract")</f>
        <v>Valid Contract</v>
      </c>
      <c r="W1561" s="14" t="s">
        <v>20</v>
      </c>
      <c r="X1561" s="14" t="s">
        <v>989</v>
      </c>
      <c r="Y1561" s="16" t="s">
        <v>990</v>
      </c>
      <c r="Z1561" s="27" t="s">
        <v>991</v>
      </c>
      <c r="AA1561" s="19"/>
      <c r="AB1561" s="123"/>
      <c r="AC1561" s="123"/>
    </row>
    <row r="1562" spans="1:29" s="72" customFormat="1" hidden="1" x14ac:dyDescent="0.3">
      <c r="A1562" s="18" t="s">
        <v>987</v>
      </c>
      <c r="B1562" s="18" t="s">
        <v>127</v>
      </c>
      <c r="C1562" s="18" t="s">
        <v>2925</v>
      </c>
      <c r="D1562" s="14" t="s">
        <v>616</v>
      </c>
      <c r="E1562" s="18" t="s">
        <v>9</v>
      </c>
      <c r="F1562" s="14" t="s">
        <v>601</v>
      </c>
      <c r="G1562" s="14" t="s">
        <v>546</v>
      </c>
      <c r="H1562" s="18" t="s">
        <v>5</v>
      </c>
      <c r="I1562" s="14" t="s">
        <v>115</v>
      </c>
      <c r="J1562" s="14"/>
      <c r="K1562" s="18" t="s">
        <v>651</v>
      </c>
      <c r="L1562" s="14"/>
      <c r="M1562" s="14">
        <v>1</v>
      </c>
      <c r="N1562" s="15">
        <f t="shared" si="59"/>
        <v>81355.932203389835</v>
      </c>
      <c r="O1562" s="15">
        <f t="shared" si="60"/>
        <v>81355.932203389835</v>
      </c>
      <c r="P1562" s="15"/>
      <c r="Q1562" s="14" t="s">
        <v>520</v>
      </c>
      <c r="R1562" s="25">
        <v>45716</v>
      </c>
      <c r="S1562" s="22" t="str">
        <f>TEXT(Table1[[#This Row],[End Date]],"MMMM")</f>
        <v>February</v>
      </c>
      <c r="T1562" s="23" t="str">
        <f>TEXT(Table1[[#This Row],[End Date]],"YYYY")</f>
        <v>2025</v>
      </c>
      <c r="U1562" s="24">
        <f t="shared" ca="1" si="58"/>
        <v>-583</v>
      </c>
      <c r="V1562" s="14" t="str" cm="1">
        <f t="array" aca="1" ref="V1562" ca="1">_xlfn.IFS(Table1[[#This Row],[Agreement Days]]&gt;=0,"Expired",Table1[[#This Row],[Agreement Days]]&gt;=-30,"Expires &lt; 30 Days",Table1[[#This Row],[Agreement Days]]&gt;=-60,"Expires &lt; 60 Days",Table1[[#This Row],[Agreement Days]]&lt;-60,"Valid Contract")</f>
        <v>Valid Contract</v>
      </c>
      <c r="W1562" s="14" t="s">
        <v>20</v>
      </c>
      <c r="X1562" s="14" t="s">
        <v>989</v>
      </c>
      <c r="Y1562" s="16" t="s">
        <v>990</v>
      </c>
      <c r="Z1562" s="27" t="s">
        <v>991</v>
      </c>
      <c r="AA1562" s="19"/>
      <c r="AB1562" s="123"/>
      <c r="AC1562" s="123"/>
    </row>
    <row r="1563" spans="1:29" s="11" customFormat="1" hidden="1" x14ac:dyDescent="0.3">
      <c r="A1563" s="18" t="s">
        <v>987</v>
      </c>
      <c r="B1563" s="18" t="s">
        <v>127</v>
      </c>
      <c r="C1563" s="18" t="s">
        <v>2926</v>
      </c>
      <c r="D1563" s="14" t="s">
        <v>616</v>
      </c>
      <c r="E1563" s="18" t="s">
        <v>9</v>
      </c>
      <c r="F1563" s="14" t="s">
        <v>601</v>
      </c>
      <c r="G1563" s="14" t="s">
        <v>546</v>
      </c>
      <c r="H1563" s="18" t="s">
        <v>5</v>
      </c>
      <c r="I1563" s="14" t="s">
        <v>115</v>
      </c>
      <c r="J1563" s="14"/>
      <c r="K1563" s="18" t="s">
        <v>651</v>
      </c>
      <c r="L1563" s="14"/>
      <c r="M1563" s="14">
        <v>1</v>
      </c>
      <c r="N1563" s="15">
        <f t="shared" si="59"/>
        <v>81355.932203389835</v>
      </c>
      <c r="O1563" s="15">
        <f t="shared" si="60"/>
        <v>81355.932203389835</v>
      </c>
      <c r="P1563" s="15"/>
      <c r="Q1563" s="14" t="s">
        <v>520</v>
      </c>
      <c r="R1563" s="25">
        <v>45716</v>
      </c>
      <c r="S1563" s="22" t="str">
        <f>TEXT(Table1[[#This Row],[End Date]],"MMMM")</f>
        <v>February</v>
      </c>
      <c r="T1563" s="23" t="str">
        <f>TEXT(Table1[[#This Row],[End Date]],"YYYY")</f>
        <v>2025</v>
      </c>
      <c r="U1563" s="24">
        <f t="shared" ca="1" si="58"/>
        <v>-583</v>
      </c>
      <c r="V1563" s="14" t="str" cm="1">
        <f t="array" aca="1" ref="V1563" ca="1">_xlfn.IFS(Table1[[#This Row],[Agreement Days]]&gt;=0,"Expired",Table1[[#This Row],[Agreement Days]]&gt;=-30,"Expires &lt; 30 Days",Table1[[#This Row],[Agreement Days]]&gt;=-60,"Expires &lt; 60 Days",Table1[[#This Row],[Agreement Days]]&lt;-60,"Valid Contract")</f>
        <v>Valid Contract</v>
      </c>
      <c r="W1563" s="14" t="s">
        <v>20</v>
      </c>
      <c r="X1563" s="14" t="s">
        <v>989</v>
      </c>
      <c r="Y1563" s="16" t="s">
        <v>990</v>
      </c>
      <c r="Z1563" s="27" t="s">
        <v>991</v>
      </c>
      <c r="AA1563" s="19"/>
      <c r="AB1563" s="123"/>
      <c r="AC1563" s="123"/>
    </row>
    <row r="1564" spans="1:29" s="11" customFormat="1" hidden="1" x14ac:dyDescent="0.3">
      <c r="A1564" s="18" t="s">
        <v>987</v>
      </c>
      <c r="B1564" s="18" t="s">
        <v>127</v>
      </c>
      <c r="C1564" s="18" t="s">
        <v>2927</v>
      </c>
      <c r="D1564" s="14" t="s">
        <v>616</v>
      </c>
      <c r="E1564" s="18" t="s">
        <v>9</v>
      </c>
      <c r="F1564" s="14" t="s">
        <v>601</v>
      </c>
      <c r="G1564" s="14" t="s">
        <v>546</v>
      </c>
      <c r="H1564" s="18" t="s">
        <v>5</v>
      </c>
      <c r="I1564" s="14" t="s">
        <v>115</v>
      </c>
      <c r="J1564" s="14"/>
      <c r="K1564" s="18" t="s">
        <v>651</v>
      </c>
      <c r="L1564" s="14"/>
      <c r="M1564" s="14">
        <v>1</v>
      </c>
      <c r="N1564" s="15">
        <f t="shared" si="59"/>
        <v>81355.932203389835</v>
      </c>
      <c r="O1564" s="15">
        <f t="shared" si="60"/>
        <v>81355.932203389835</v>
      </c>
      <c r="P1564" s="15"/>
      <c r="Q1564" s="14" t="s">
        <v>520</v>
      </c>
      <c r="R1564" s="25">
        <v>45716</v>
      </c>
      <c r="S1564" s="22" t="str">
        <f>TEXT(Table1[[#This Row],[End Date]],"MMMM")</f>
        <v>February</v>
      </c>
      <c r="T1564" s="23" t="str">
        <f>TEXT(Table1[[#This Row],[End Date]],"YYYY")</f>
        <v>2025</v>
      </c>
      <c r="U1564" s="24">
        <f t="shared" ca="1" si="58"/>
        <v>-583</v>
      </c>
      <c r="V1564" s="14" t="str" cm="1">
        <f t="array" aca="1" ref="V1564" ca="1">_xlfn.IFS(Table1[[#This Row],[Agreement Days]]&gt;=0,"Expired",Table1[[#This Row],[Agreement Days]]&gt;=-30,"Expires &lt; 30 Days",Table1[[#This Row],[Agreement Days]]&gt;=-60,"Expires &lt; 60 Days",Table1[[#This Row],[Agreement Days]]&lt;-60,"Valid Contract")</f>
        <v>Valid Contract</v>
      </c>
      <c r="W1564" s="14" t="s">
        <v>20</v>
      </c>
      <c r="X1564" s="14" t="s">
        <v>989</v>
      </c>
      <c r="Y1564" s="16" t="s">
        <v>990</v>
      </c>
      <c r="Z1564" s="27" t="s">
        <v>991</v>
      </c>
      <c r="AA1564" s="19"/>
      <c r="AB1564" s="123"/>
      <c r="AC1564" s="123"/>
    </row>
    <row r="1565" spans="1:29" s="11" customFormat="1" hidden="1" x14ac:dyDescent="0.3">
      <c r="A1565" s="18" t="s">
        <v>987</v>
      </c>
      <c r="B1565" s="18" t="s">
        <v>127</v>
      </c>
      <c r="C1565" s="18" t="s">
        <v>2928</v>
      </c>
      <c r="D1565" s="14" t="s">
        <v>848</v>
      </c>
      <c r="E1565" s="18" t="s">
        <v>9</v>
      </c>
      <c r="F1565" s="14" t="s">
        <v>601</v>
      </c>
      <c r="G1565" s="14" t="s">
        <v>546</v>
      </c>
      <c r="H1565" s="18" t="s">
        <v>5</v>
      </c>
      <c r="I1565" s="14" t="s">
        <v>115</v>
      </c>
      <c r="J1565" s="14"/>
      <c r="K1565" s="18" t="s">
        <v>651</v>
      </c>
      <c r="L1565" s="14"/>
      <c r="M1565" s="14">
        <v>1</v>
      </c>
      <c r="N1565" s="15">
        <f t="shared" si="59"/>
        <v>81355.932203389835</v>
      </c>
      <c r="O1565" s="15">
        <f t="shared" si="60"/>
        <v>81355.932203389835</v>
      </c>
      <c r="P1565" s="15"/>
      <c r="Q1565" s="14" t="s">
        <v>520</v>
      </c>
      <c r="R1565" s="25">
        <v>45716</v>
      </c>
      <c r="S1565" s="22" t="str">
        <f>TEXT(Table1[[#This Row],[End Date]],"MMMM")</f>
        <v>February</v>
      </c>
      <c r="T1565" s="23" t="str">
        <f>TEXT(Table1[[#This Row],[End Date]],"YYYY")</f>
        <v>2025</v>
      </c>
      <c r="U1565" s="24">
        <f t="shared" ca="1" si="58"/>
        <v>-583</v>
      </c>
      <c r="V1565" s="14" t="str" cm="1">
        <f t="array" aca="1" ref="V1565" ca="1">_xlfn.IFS(Table1[[#This Row],[Agreement Days]]&gt;=0,"Expired",Table1[[#This Row],[Agreement Days]]&gt;=-30,"Expires &lt; 30 Days",Table1[[#This Row],[Agreement Days]]&gt;=-60,"Expires &lt; 60 Days",Table1[[#This Row],[Agreement Days]]&lt;-60,"Valid Contract")</f>
        <v>Valid Contract</v>
      </c>
      <c r="W1565" s="14" t="s">
        <v>20</v>
      </c>
      <c r="X1565" s="14" t="s">
        <v>989</v>
      </c>
      <c r="Y1565" s="16" t="s">
        <v>990</v>
      </c>
      <c r="Z1565" s="27" t="s">
        <v>991</v>
      </c>
      <c r="AA1565" s="19"/>
      <c r="AB1565" s="123"/>
      <c r="AC1565" s="123"/>
    </row>
    <row r="1566" spans="1:29" s="11" customFormat="1" hidden="1" x14ac:dyDescent="0.3">
      <c r="A1566" s="18" t="s">
        <v>987</v>
      </c>
      <c r="B1566" s="18" t="s">
        <v>127</v>
      </c>
      <c r="C1566" s="18" t="s">
        <v>2929</v>
      </c>
      <c r="D1566" s="14" t="s">
        <v>848</v>
      </c>
      <c r="E1566" s="18" t="s">
        <v>9</v>
      </c>
      <c r="F1566" s="14" t="s">
        <v>601</v>
      </c>
      <c r="G1566" s="14" t="s">
        <v>546</v>
      </c>
      <c r="H1566" s="18" t="s">
        <v>5</v>
      </c>
      <c r="I1566" s="14" t="s">
        <v>115</v>
      </c>
      <c r="J1566" s="14"/>
      <c r="K1566" s="18" t="s">
        <v>651</v>
      </c>
      <c r="L1566" s="14"/>
      <c r="M1566" s="14">
        <v>1</v>
      </c>
      <c r="N1566" s="15">
        <f t="shared" si="59"/>
        <v>81355.932203389835</v>
      </c>
      <c r="O1566" s="15">
        <f t="shared" si="60"/>
        <v>81355.932203389835</v>
      </c>
      <c r="P1566" s="15"/>
      <c r="Q1566" s="14" t="s">
        <v>520</v>
      </c>
      <c r="R1566" s="25">
        <v>45716</v>
      </c>
      <c r="S1566" s="22" t="str">
        <f>TEXT(Table1[[#This Row],[End Date]],"MMMM")</f>
        <v>February</v>
      </c>
      <c r="T1566" s="23" t="str">
        <f>TEXT(Table1[[#This Row],[End Date]],"YYYY")</f>
        <v>2025</v>
      </c>
      <c r="U1566" s="24">
        <f t="shared" ca="1" si="58"/>
        <v>-583</v>
      </c>
      <c r="V1566" s="14" t="str" cm="1">
        <f t="array" aca="1" ref="V1566" ca="1">_xlfn.IFS(Table1[[#This Row],[Agreement Days]]&gt;=0,"Expired",Table1[[#This Row],[Agreement Days]]&gt;=-30,"Expires &lt; 30 Days",Table1[[#This Row],[Agreement Days]]&gt;=-60,"Expires &lt; 60 Days",Table1[[#This Row],[Agreement Days]]&lt;-60,"Valid Contract")</f>
        <v>Valid Contract</v>
      </c>
      <c r="W1566" s="14" t="s">
        <v>20</v>
      </c>
      <c r="X1566" s="14" t="s">
        <v>989</v>
      </c>
      <c r="Y1566" s="16" t="s">
        <v>990</v>
      </c>
      <c r="Z1566" s="27" t="s">
        <v>991</v>
      </c>
      <c r="AA1566" s="19"/>
      <c r="AB1566" s="123"/>
      <c r="AC1566" s="123"/>
    </row>
    <row r="1567" spans="1:29" s="11" customFormat="1" hidden="1" x14ac:dyDescent="0.3">
      <c r="A1567" s="18" t="s">
        <v>987</v>
      </c>
      <c r="B1567" s="18" t="s">
        <v>127</v>
      </c>
      <c r="C1567" s="18" t="s">
        <v>2930</v>
      </c>
      <c r="D1567" s="14" t="s">
        <v>848</v>
      </c>
      <c r="E1567" s="18" t="s">
        <v>9</v>
      </c>
      <c r="F1567" s="14" t="s">
        <v>601</v>
      </c>
      <c r="G1567" s="14" t="s">
        <v>546</v>
      </c>
      <c r="H1567" s="18" t="s">
        <v>5</v>
      </c>
      <c r="I1567" s="14" t="s">
        <v>115</v>
      </c>
      <c r="J1567" s="14"/>
      <c r="K1567" s="18" t="s">
        <v>651</v>
      </c>
      <c r="L1567" s="14"/>
      <c r="M1567" s="14">
        <v>1</v>
      </c>
      <c r="N1567" s="15">
        <f t="shared" si="59"/>
        <v>81355.932203389835</v>
      </c>
      <c r="O1567" s="15">
        <f t="shared" si="60"/>
        <v>81355.932203389835</v>
      </c>
      <c r="P1567" s="15"/>
      <c r="Q1567" s="14" t="s">
        <v>520</v>
      </c>
      <c r="R1567" s="25">
        <v>45716</v>
      </c>
      <c r="S1567" s="22" t="str">
        <f>TEXT(Table1[[#This Row],[End Date]],"MMMM")</f>
        <v>February</v>
      </c>
      <c r="T1567" s="23" t="str">
        <f>TEXT(Table1[[#This Row],[End Date]],"YYYY")</f>
        <v>2025</v>
      </c>
      <c r="U1567" s="24">
        <f t="shared" ca="1" si="58"/>
        <v>-583</v>
      </c>
      <c r="V1567" s="14" t="str" cm="1">
        <f t="array" aca="1" ref="V1567" ca="1">_xlfn.IFS(Table1[[#This Row],[Agreement Days]]&gt;=0,"Expired",Table1[[#This Row],[Agreement Days]]&gt;=-30,"Expires &lt; 30 Days",Table1[[#This Row],[Agreement Days]]&gt;=-60,"Expires &lt; 60 Days",Table1[[#This Row],[Agreement Days]]&lt;-60,"Valid Contract")</f>
        <v>Valid Contract</v>
      </c>
      <c r="W1567" s="14" t="s">
        <v>20</v>
      </c>
      <c r="X1567" s="14" t="s">
        <v>989</v>
      </c>
      <c r="Y1567" s="16" t="s">
        <v>990</v>
      </c>
      <c r="Z1567" s="27" t="s">
        <v>991</v>
      </c>
      <c r="AA1567" s="19"/>
      <c r="AB1567" s="123"/>
      <c r="AC1567" s="123"/>
    </row>
    <row r="1568" spans="1:29" s="11" customFormat="1" hidden="1" x14ac:dyDescent="0.3">
      <c r="A1568" s="18" t="s">
        <v>987</v>
      </c>
      <c r="B1568" s="18" t="s">
        <v>127</v>
      </c>
      <c r="C1568" s="18" t="s">
        <v>2931</v>
      </c>
      <c r="D1568" s="14" t="s">
        <v>848</v>
      </c>
      <c r="E1568" s="18" t="s">
        <v>9</v>
      </c>
      <c r="F1568" s="14" t="s">
        <v>601</v>
      </c>
      <c r="G1568" s="14" t="s">
        <v>546</v>
      </c>
      <c r="H1568" s="18" t="s">
        <v>5</v>
      </c>
      <c r="I1568" s="14" t="s">
        <v>115</v>
      </c>
      <c r="J1568" s="14"/>
      <c r="K1568" s="18" t="s">
        <v>651</v>
      </c>
      <c r="L1568" s="14"/>
      <c r="M1568" s="14">
        <v>1</v>
      </c>
      <c r="N1568" s="15">
        <f t="shared" si="59"/>
        <v>81355.932203389835</v>
      </c>
      <c r="O1568" s="15">
        <f t="shared" si="60"/>
        <v>81355.932203389835</v>
      </c>
      <c r="P1568" s="15"/>
      <c r="Q1568" s="14" t="s">
        <v>520</v>
      </c>
      <c r="R1568" s="25">
        <v>45716</v>
      </c>
      <c r="S1568" s="22" t="str">
        <f>TEXT(Table1[[#This Row],[End Date]],"MMMM")</f>
        <v>February</v>
      </c>
      <c r="T1568" s="23" t="str">
        <f>TEXT(Table1[[#This Row],[End Date]],"YYYY")</f>
        <v>2025</v>
      </c>
      <c r="U1568" s="24">
        <f t="shared" ca="1" si="58"/>
        <v>-583</v>
      </c>
      <c r="V1568" s="14" t="str" cm="1">
        <f t="array" aca="1" ref="V1568" ca="1">_xlfn.IFS(Table1[[#This Row],[Agreement Days]]&gt;=0,"Expired",Table1[[#This Row],[Agreement Days]]&gt;=-30,"Expires &lt; 30 Days",Table1[[#This Row],[Agreement Days]]&gt;=-60,"Expires &lt; 60 Days",Table1[[#This Row],[Agreement Days]]&lt;-60,"Valid Contract")</f>
        <v>Valid Contract</v>
      </c>
      <c r="W1568" s="14" t="s">
        <v>20</v>
      </c>
      <c r="X1568" s="14" t="s">
        <v>989</v>
      </c>
      <c r="Y1568" s="16" t="s">
        <v>990</v>
      </c>
      <c r="Z1568" s="27" t="s">
        <v>991</v>
      </c>
      <c r="AA1568" s="19"/>
      <c r="AB1568" s="123"/>
      <c r="AC1568" s="123"/>
    </row>
    <row r="1569" spans="1:29" s="11" customFormat="1" hidden="1" x14ac:dyDescent="0.3">
      <c r="A1569" s="18" t="s">
        <v>987</v>
      </c>
      <c r="B1569" s="18" t="s">
        <v>127</v>
      </c>
      <c r="C1569" s="18" t="s">
        <v>2893</v>
      </c>
      <c r="D1569" s="14" t="s">
        <v>848</v>
      </c>
      <c r="E1569" s="18" t="s">
        <v>9</v>
      </c>
      <c r="F1569" s="14" t="s">
        <v>601</v>
      </c>
      <c r="G1569" s="14" t="s">
        <v>546</v>
      </c>
      <c r="H1569" s="18" t="s">
        <v>5</v>
      </c>
      <c r="I1569" s="14" t="s">
        <v>115</v>
      </c>
      <c r="J1569" s="14"/>
      <c r="K1569" s="18" t="s">
        <v>651</v>
      </c>
      <c r="L1569" s="14"/>
      <c r="M1569" s="14">
        <v>1</v>
      </c>
      <c r="N1569" s="15">
        <f t="shared" si="59"/>
        <v>81355.932203389835</v>
      </c>
      <c r="O1569" s="15">
        <f t="shared" si="60"/>
        <v>81355.932203389835</v>
      </c>
      <c r="P1569" s="15"/>
      <c r="Q1569" s="14" t="s">
        <v>520</v>
      </c>
      <c r="R1569" s="25">
        <v>45716</v>
      </c>
      <c r="S1569" s="22" t="str">
        <f>TEXT(Table1[[#This Row],[End Date]],"MMMM")</f>
        <v>February</v>
      </c>
      <c r="T1569" s="23" t="str">
        <f>TEXT(Table1[[#This Row],[End Date]],"YYYY")</f>
        <v>2025</v>
      </c>
      <c r="U1569" s="24">
        <f t="shared" ca="1" si="58"/>
        <v>-583</v>
      </c>
      <c r="V1569" s="14" t="str" cm="1">
        <f t="array" aca="1" ref="V1569" ca="1">_xlfn.IFS(Table1[[#This Row],[Agreement Days]]&gt;=0,"Expired",Table1[[#This Row],[Agreement Days]]&gt;=-30,"Expires &lt; 30 Days",Table1[[#This Row],[Agreement Days]]&gt;=-60,"Expires &lt; 60 Days",Table1[[#This Row],[Agreement Days]]&lt;-60,"Valid Contract")</f>
        <v>Valid Contract</v>
      </c>
      <c r="W1569" s="14" t="s">
        <v>20</v>
      </c>
      <c r="X1569" s="14" t="s">
        <v>989</v>
      </c>
      <c r="Y1569" s="16" t="s">
        <v>990</v>
      </c>
      <c r="Z1569" s="27" t="s">
        <v>991</v>
      </c>
      <c r="AA1569" s="19"/>
      <c r="AB1569" s="123"/>
      <c r="AC1569" s="123"/>
    </row>
    <row r="1570" spans="1:29" s="11" customFormat="1" hidden="1" x14ac:dyDescent="0.3">
      <c r="A1570" s="18" t="s">
        <v>987</v>
      </c>
      <c r="B1570" s="18" t="s">
        <v>127</v>
      </c>
      <c r="C1570" s="18" t="s">
        <v>2932</v>
      </c>
      <c r="D1570" s="14" t="s">
        <v>848</v>
      </c>
      <c r="E1570" s="18" t="s">
        <v>9</v>
      </c>
      <c r="F1570" s="14" t="s">
        <v>601</v>
      </c>
      <c r="G1570" s="14" t="s">
        <v>546</v>
      </c>
      <c r="H1570" s="18" t="s">
        <v>5</v>
      </c>
      <c r="I1570" s="14" t="s">
        <v>115</v>
      </c>
      <c r="J1570" s="14"/>
      <c r="K1570" s="18" t="s">
        <v>651</v>
      </c>
      <c r="L1570" s="14"/>
      <c r="M1570" s="14">
        <v>1</v>
      </c>
      <c r="N1570" s="15">
        <f t="shared" si="59"/>
        <v>81355.932203389835</v>
      </c>
      <c r="O1570" s="15">
        <f t="shared" si="60"/>
        <v>81355.932203389835</v>
      </c>
      <c r="P1570" s="15"/>
      <c r="Q1570" s="14" t="s">
        <v>520</v>
      </c>
      <c r="R1570" s="25">
        <v>45716</v>
      </c>
      <c r="S1570" s="22" t="str">
        <f>TEXT(Table1[[#This Row],[End Date]],"MMMM")</f>
        <v>February</v>
      </c>
      <c r="T1570" s="23" t="str">
        <f>TEXT(Table1[[#This Row],[End Date]],"YYYY")</f>
        <v>2025</v>
      </c>
      <c r="U1570" s="24">
        <f t="shared" ca="1" si="58"/>
        <v>-583</v>
      </c>
      <c r="V1570" s="14" t="str" cm="1">
        <f t="array" aca="1" ref="V1570" ca="1">_xlfn.IFS(Table1[[#This Row],[Agreement Days]]&gt;=0,"Expired",Table1[[#This Row],[Agreement Days]]&gt;=-30,"Expires &lt; 30 Days",Table1[[#This Row],[Agreement Days]]&gt;=-60,"Expires &lt; 60 Days",Table1[[#This Row],[Agreement Days]]&lt;-60,"Valid Contract")</f>
        <v>Valid Contract</v>
      </c>
      <c r="W1570" s="14" t="s">
        <v>20</v>
      </c>
      <c r="X1570" s="14" t="s">
        <v>989</v>
      </c>
      <c r="Y1570" s="16" t="s">
        <v>990</v>
      </c>
      <c r="Z1570" s="27" t="s">
        <v>991</v>
      </c>
      <c r="AA1570" s="19"/>
      <c r="AB1570" s="123"/>
      <c r="AC1570" s="123"/>
    </row>
    <row r="1571" spans="1:29" s="11" customFormat="1" hidden="1" x14ac:dyDescent="0.3">
      <c r="A1571" s="18" t="s">
        <v>987</v>
      </c>
      <c r="B1571" s="18" t="s">
        <v>127</v>
      </c>
      <c r="C1571" s="18" t="s">
        <v>2930</v>
      </c>
      <c r="D1571" s="14" t="s">
        <v>848</v>
      </c>
      <c r="E1571" s="18" t="s">
        <v>9</v>
      </c>
      <c r="F1571" s="14" t="s">
        <v>601</v>
      </c>
      <c r="G1571" s="14" t="s">
        <v>546</v>
      </c>
      <c r="H1571" s="18" t="s">
        <v>5</v>
      </c>
      <c r="I1571" s="14" t="s">
        <v>115</v>
      </c>
      <c r="J1571" s="14"/>
      <c r="K1571" s="18" t="s">
        <v>651</v>
      </c>
      <c r="L1571" s="14"/>
      <c r="M1571" s="14">
        <v>1</v>
      </c>
      <c r="N1571" s="15">
        <f t="shared" si="59"/>
        <v>81355.932203389835</v>
      </c>
      <c r="O1571" s="15">
        <f t="shared" si="60"/>
        <v>81355.932203389835</v>
      </c>
      <c r="P1571" s="15"/>
      <c r="Q1571" s="14" t="s">
        <v>520</v>
      </c>
      <c r="R1571" s="25">
        <v>45716</v>
      </c>
      <c r="S1571" s="22" t="str">
        <f>TEXT(Table1[[#This Row],[End Date]],"MMMM")</f>
        <v>February</v>
      </c>
      <c r="T1571" s="23" t="str">
        <f>TEXT(Table1[[#This Row],[End Date]],"YYYY")</f>
        <v>2025</v>
      </c>
      <c r="U1571" s="24">
        <f t="shared" ca="1" si="58"/>
        <v>-583</v>
      </c>
      <c r="V1571" s="14" t="str" cm="1">
        <f t="array" aca="1" ref="V1571" ca="1">_xlfn.IFS(Table1[[#This Row],[Agreement Days]]&gt;=0,"Expired",Table1[[#This Row],[Agreement Days]]&gt;=-30,"Expires &lt; 30 Days",Table1[[#This Row],[Agreement Days]]&gt;=-60,"Expires &lt; 60 Days",Table1[[#This Row],[Agreement Days]]&lt;-60,"Valid Contract")</f>
        <v>Valid Contract</v>
      </c>
      <c r="W1571" s="14" t="s">
        <v>20</v>
      </c>
      <c r="X1571" s="14" t="s">
        <v>989</v>
      </c>
      <c r="Y1571" s="16" t="s">
        <v>990</v>
      </c>
      <c r="Z1571" s="27" t="s">
        <v>991</v>
      </c>
      <c r="AA1571" s="19"/>
      <c r="AB1571" s="123"/>
      <c r="AC1571" s="123"/>
    </row>
    <row r="1572" spans="1:29" s="11" customFormat="1" hidden="1" x14ac:dyDescent="0.3">
      <c r="A1572" s="18" t="s">
        <v>987</v>
      </c>
      <c r="B1572" s="18" t="s">
        <v>127</v>
      </c>
      <c r="C1572" s="18" t="s">
        <v>2933</v>
      </c>
      <c r="D1572" s="14" t="s">
        <v>848</v>
      </c>
      <c r="E1572" s="18" t="s">
        <v>9</v>
      </c>
      <c r="F1572" s="14" t="s">
        <v>601</v>
      </c>
      <c r="G1572" s="14" t="s">
        <v>546</v>
      </c>
      <c r="H1572" s="18" t="s">
        <v>5</v>
      </c>
      <c r="I1572" s="14" t="s">
        <v>115</v>
      </c>
      <c r="J1572" s="14"/>
      <c r="K1572" s="18" t="s">
        <v>651</v>
      </c>
      <c r="L1572" s="14"/>
      <c r="M1572" s="14">
        <v>1</v>
      </c>
      <c r="N1572" s="15">
        <f t="shared" si="59"/>
        <v>81355.932203389835</v>
      </c>
      <c r="O1572" s="15">
        <f t="shared" si="60"/>
        <v>81355.932203389835</v>
      </c>
      <c r="P1572" s="15"/>
      <c r="Q1572" s="14" t="s">
        <v>520</v>
      </c>
      <c r="R1572" s="25">
        <v>45716</v>
      </c>
      <c r="S1572" s="22" t="str">
        <f>TEXT(Table1[[#This Row],[End Date]],"MMMM")</f>
        <v>February</v>
      </c>
      <c r="T1572" s="23" t="str">
        <f>TEXT(Table1[[#This Row],[End Date]],"YYYY")</f>
        <v>2025</v>
      </c>
      <c r="U1572" s="24">
        <f t="shared" ca="1" si="58"/>
        <v>-583</v>
      </c>
      <c r="V1572" s="14" t="str" cm="1">
        <f t="array" aca="1" ref="V1572" ca="1">_xlfn.IFS(Table1[[#This Row],[Agreement Days]]&gt;=0,"Expired",Table1[[#This Row],[Agreement Days]]&gt;=-30,"Expires &lt; 30 Days",Table1[[#This Row],[Agreement Days]]&gt;=-60,"Expires &lt; 60 Days",Table1[[#This Row],[Agreement Days]]&lt;-60,"Valid Contract")</f>
        <v>Valid Contract</v>
      </c>
      <c r="W1572" s="14" t="s">
        <v>20</v>
      </c>
      <c r="X1572" s="14" t="s">
        <v>989</v>
      </c>
      <c r="Y1572" s="16" t="s">
        <v>990</v>
      </c>
      <c r="Z1572" s="27" t="s">
        <v>991</v>
      </c>
      <c r="AA1572" s="19"/>
      <c r="AB1572" s="123"/>
      <c r="AC1572" s="123"/>
    </row>
    <row r="1573" spans="1:29" s="11" customFormat="1" hidden="1" x14ac:dyDescent="0.3">
      <c r="A1573" s="18" t="s">
        <v>987</v>
      </c>
      <c r="B1573" s="18" t="s">
        <v>127</v>
      </c>
      <c r="C1573" s="18" t="s">
        <v>2931</v>
      </c>
      <c r="D1573" s="14" t="s">
        <v>848</v>
      </c>
      <c r="E1573" s="18" t="s">
        <v>9</v>
      </c>
      <c r="F1573" s="14" t="s">
        <v>601</v>
      </c>
      <c r="G1573" s="14" t="s">
        <v>546</v>
      </c>
      <c r="H1573" s="18" t="s">
        <v>5</v>
      </c>
      <c r="I1573" s="14" t="s">
        <v>115</v>
      </c>
      <c r="J1573" s="14"/>
      <c r="K1573" s="18" t="s">
        <v>651</v>
      </c>
      <c r="L1573" s="14"/>
      <c r="M1573" s="14">
        <v>1</v>
      </c>
      <c r="N1573" s="15">
        <f t="shared" si="59"/>
        <v>81355.932203389835</v>
      </c>
      <c r="O1573" s="15">
        <f t="shared" si="60"/>
        <v>81355.932203389835</v>
      </c>
      <c r="P1573" s="15"/>
      <c r="Q1573" s="14" t="s">
        <v>520</v>
      </c>
      <c r="R1573" s="25">
        <v>45716</v>
      </c>
      <c r="S1573" s="22" t="str">
        <f>TEXT(Table1[[#This Row],[End Date]],"MMMM")</f>
        <v>February</v>
      </c>
      <c r="T1573" s="23" t="str">
        <f>TEXT(Table1[[#This Row],[End Date]],"YYYY")</f>
        <v>2025</v>
      </c>
      <c r="U1573" s="24">
        <f t="shared" ca="1" si="58"/>
        <v>-583</v>
      </c>
      <c r="V1573" s="14" t="str" cm="1">
        <f t="array" aca="1" ref="V1573" ca="1">_xlfn.IFS(Table1[[#This Row],[Agreement Days]]&gt;=0,"Expired",Table1[[#This Row],[Agreement Days]]&gt;=-30,"Expires &lt; 30 Days",Table1[[#This Row],[Agreement Days]]&gt;=-60,"Expires &lt; 60 Days",Table1[[#This Row],[Agreement Days]]&lt;-60,"Valid Contract")</f>
        <v>Valid Contract</v>
      </c>
      <c r="W1573" s="14" t="s">
        <v>20</v>
      </c>
      <c r="X1573" s="14" t="s">
        <v>989</v>
      </c>
      <c r="Y1573" s="16" t="s">
        <v>990</v>
      </c>
      <c r="Z1573" s="27" t="s">
        <v>991</v>
      </c>
      <c r="AA1573" s="19"/>
      <c r="AB1573" s="123"/>
      <c r="AC1573" s="123"/>
    </row>
    <row r="1574" spans="1:29" s="11" customFormat="1" hidden="1" x14ac:dyDescent="0.3">
      <c r="A1574" s="18" t="s">
        <v>987</v>
      </c>
      <c r="B1574" s="18" t="s">
        <v>127</v>
      </c>
      <c r="C1574" s="18" t="s">
        <v>2929</v>
      </c>
      <c r="D1574" s="14" t="s">
        <v>848</v>
      </c>
      <c r="E1574" s="18" t="s">
        <v>9</v>
      </c>
      <c r="F1574" s="14" t="s">
        <v>601</v>
      </c>
      <c r="G1574" s="14" t="s">
        <v>546</v>
      </c>
      <c r="H1574" s="18" t="s">
        <v>5</v>
      </c>
      <c r="I1574" s="14" t="s">
        <v>115</v>
      </c>
      <c r="J1574" s="14"/>
      <c r="K1574" s="18" t="s">
        <v>651</v>
      </c>
      <c r="L1574" s="14"/>
      <c r="M1574" s="14">
        <v>1</v>
      </c>
      <c r="N1574" s="15">
        <f t="shared" si="59"/>
        <v>81355.932203389835</v>
      </c>
      <c r="O1574" s="15">
        <f t="shared" si="60"/>
        <v>81355.932203389835</v>
      </c>
      <c r="P1574" s="15"/>
      <c r="Q1574" s="14" t="s">
        <v>520</v>
      </c>
      <c r="R1574" s="25">
        <v>45716</v>
      </c>
      <c r="S1574" s="22" t="str">
        <f>TEXT(Table1[[#This Row],[End Date]],"MMMM")</f>
        <v>February</v>
      </c>
      <c r="T1574" s="23" t="str">
        <f>TEXT(Table1[[#This Row],[End Date]],"YYYY")</f>
        <v>2025</v>
      </c>
      <c r="U1574" s="24">
        <f t="shared" ca="1" si="58"/>
        <v>-583</v>
      </c>
      <c r="V1574" s="14" t="str" cm="1">
        <f t="array" aca="1" ref="V1574" ca="1">_xlfn.IFS(Table1[[#This Row],[Agreement Days]]&gt;=0,"Expired",Table1[[#This Row],[Agreement Days]]&gt;=-30,"Expires &lt; 30 Days",Table1[[#This Row],[Agreement Days]]&gt;=-60,"Expires &lt; 60 Days",Table1[[#This Row],[Agreement Days]]&lt;-60,"Valid Contract")</f>
        <v>Valid Contract</v>
      </c>
      <c r="W1574" s="14" t="s">
        <v>20</v>
      </c>
      <c r="X1574" s="14" t="s">
        <v>989</v>
      </c>
      <c r="Y1574" s="16" t="s">
        <v>990</v>
      </c>
      <c r="Z1574" s="27" t="s">
        <v>991</v>
      </c>
      <c r="AA1574" s="19"/>
      <c r="AB1574" s="123"/>
      <c r="AC1574" s="123"/>
    </row>
    <row r="1575" spans="1:29" s="11" customFormat="1" hidden="1" x14ac:dyDescent="0.3">
      <c r="A1575" s="18" t="s">
        <v>987</v>
      </c>
      <c r="B1575" s="18" t="s">
        <v>127</v>
      </c>
      <c r="C1575" s="18" t="s">
        <v>2934</v>
      </c>
      <c r="D1575" s="14" t="s">
        <v>848</v>
      </c>
      <c r="E1575" s="18" t="s">
        <v>9</v>
      </c>
      <c r="F1575" s="14" t="s">
        <v>601</v>
      </c>
      <c r="G1575" s="14" t="s">
        <v>546</v>
      </c>
      <c r="H1575" s="18" t="s">
        <v>5</v>
      </c>
      <c r="I1575" s="14" t="s">
        <v>115</v>
      </c>
      <c r="J1575" s="14"/>
      <c r="K1575" s="18" t="s">
        <v>651</v>
      </c>
      <c r="L1575" s="14"/>
      <c r="M1575" s="14">
        <v>1</v>
      </c>
      <c r="N1575" s="15">
        <f t="shared" si="59"/>
        <v>81355.932203389835</v>
      </c>
      <c r="O1575" s="15">
        <f t="shared" si="60"/>
        <v>81355.932203389835</v>
      </c>
      <c r="P1575" s="15"/>
      <c r="Q1575" s="14" t="s">
        <v>520</v>
      </c>
      <c r="R1575" s="25">
        <v>45716</v>
      </c>
      <c r="S1575" s="22" t="str">
        <f>TEXT(Table1[[#This Row],[End Date]],"MMMM")</f>
        <v>February</v>
      </c>
      <c r="T1575" s="23" t="str">
        <f>TEXT(Table1[[#This Row],[End Date]],"YYYY")</f>
        <v>2025</v>
      </c>
      <c r="U1575" s="24">
        <f t="shared" ca="1" si="58"/>
        <v>-583</v>
      </c>
      <c r="V1575" s="14" t="str" cm="1">
        <f t="array" aca="1" ref="V1575" ca="1">_xlfn.IFS(Table1[[#This Row],[Agreement Days]]&gt;=0,"Expired",Table1[[#This Row],[Agreement Days]]&gt;=-30,"Expires &lt; 30 Days",Table1[[#This Row],[Agreement Days]]&gt;=-60,"Expires &lt; 60 Days",Table1[[#This Row],[Agreement Days]]&lt;-60,"Valid Contract")</f>
        <v>Valid Contract</v>
      </c>
      <c r="W1575" s="14" t="s">
        <v>20</v>
      </c>
      <c r="X1575" s="14" t="s">
        <v>989</v>
      </c>
      <c r="Y1575" s="16" t="s">
        <v>990</v>
      </c>
      <c r="Z1575" s="27" t="s">
        <v>991</v>
      </c>
      <c r="AA1575" s="19"/>
      <c r="AB1575" s="123"/>
      <c r="AC1575" s="123"/>
    </row>
    <row r="1576" spans="1:29" s="11" customFormat="1" hidden="1" x14ac:dyDescent="0.3">
      <c r="A1576" s="18" t="s">
        <v>987</v>
      </c>
      <c r="B1576" s="18" t="s">
        <v>127</v>
      </c>
      <c r="C1576" s="18" t="s">
        <v>2935</v>
      </c>
      <c r="D1576" s="14" t="s">
        <v>848</v>
      </c>
      <c r="E1576" s="18" t="s">
        <v>9</v>
      </c>
      <c r="F1576" s="14" t="s">
        <v>601</v>
      </c>
      <c r="G1576" s="14" t="s">
        <v>546</v>
      </c>
      <c r="H1576" s="18" t="s">
        <v>5</v>
      </c>
      <c r="I1576" s="14" t="s">
        <v>115</v>
      </c>
      <c r="J1576" s="14"/>
      <c r="K1576" s="18" t="s">
        <v>651</v>
      </c>
      <c r="L1576" s="14"/>
      <c r="M1576" s="14">
        <v>1</v>
      </c>
      <c r="N1576" s="15">
        <f t="shared" si="59"/>
        <v>81355.932203389835</v>
      </c>
      <c r="O1576" s="15">
        <f t="shared" si="60"/>
        <v>81355.932203389835</v>
      </c>
      <c r="P1576" s="15"/>
      <c r="Q1576" s="14" t="s">
        <v>520</v>
      </c>
      <c r="R1576" s="25">
        <v>45716</v>
      </c>
      <c r="S1576" s="22" t="str">
        <f>TEXT(Table1[[#This Row],[End Date]],"MMMM")</f>
        <v>February</v>
      </c>
      <c r="T1576" s="23" t="str">
        <f>TEXT(Table1[[#This Row],[End Date]],"YYYY")</f>
        <v>2025</v>
      </c>
      <c r="U1576" s="24">
        <f t="shared" ca="1" si="58"/>
        <v>-583</v>
      </c>
      <c r="V1576" s="14" t="str" cm="1">
        <f t="array" aca="1" ref="V1576" ca="1">_xlfn.IFS(Table1[[#This Row],[Agreement Days]]&gt;=0,"Expired",Table1[[#This Row],[Agreement Days]]&gt;=-30,"Expires &lt; 30 Days",Table1[[#This Row],[Agreement Days]]&gt;=-60,"Expires &lt; 60 Days",Table1[[#This Row],[Agreement Days]]&lt;-60,"Valid Contract")</f>
        <v>Valid Contract</v>
      </c>
      <c r="W1576" s="14" t="s">
        <v>20</v>
      </c>
      <c r="X1576" s="14" t="s">
        <v>989</v>
      </c>
      <c r="Y1576" s="16" t="s">
        <v>990</v>
      </c>
      <c r="Z1576" s="27" t="s">
        <v>991</v>
      </c>
      <c r="AA1576" s="19"/>
      <c r="AB1576" s="123"/>
      <c r="AC1576" s="123"/>
    </row>
    <row r="1577" spans="1:29" s="11" customFormat="1" hidden="1" x14ac:dyDescent="0.3">
      <c r="A1577" s="18" t="s">
        <v>987</v>
      </c>
      <c r="B1577" s="18" t="s">
        <v>127</v>
      </c>
      <c r="C1577" s="18" t="s">
        <v>2936</v>
      </c>
      <c r="D1577" s="14" t="s">
        <v>848</v>
      </c>
      <c r="E1577" s="18" t="s">
        <v>9</v>
      </c>
      <c r="F1577" s="14" t="s">
        <v>601</v>
      </c>
      <c r="G1577" s="14" t="s">
        <v>546</v>
      </c>
      <c r="H1577" s="18" t="s">
        <v>5</v>
      </c>
      <c r="I1577" s="14" t="s">
        <v>115</v>
      </c>
      <c r="J1577" s="14"/>
      <c r="K1577" s="18" t="s">
        <v>651</v>
      </c>
      <c r="L1577" s="14"/>
      <c r="M1577" s="14">
        <v>1</v>
      </c>
      <c r="N1577" s="15">
        <f t="shared" ref="N1577:N1608" si="61">96000/1.18</f>
        <v>81355.932203389835</v>
      </c>
      <c r="O1577" s="15">
        <f t="shared" si="60"/>
        <v>81355.932203389835</v>
      </c>
      <c r="P1577" s="15"/>
      <c r="Q1577" s="14" t="s">
        <v>520</v>
      </c>
      <c r="R1577" s="25">
        <v>45716</v>
      </c>
      <c r="S1577" s="22" t="str">
        <f>TEXT(Table1[[#This Row],[End Date]],"MMMM")</f>
        <v>February</v>
      </c>
      <c r="T1577" s="23" t="str">
        <f>TEXT(Table1[[#This Row],[End Date]],"YYYY")</f>
        <v>2025</v>
      </c>
      <c r="U1577" s="24">
        <f t="shared" ca="1" si="58"/>
        <v>-583</v>
      </c>
      <c r="V1577" s="14" t="str" cm="1">
        <f t="array" aca="1" ref="V1577" ca="1">_xlfn.IFS(Table1[[#This Row],[Agreement Days]]&gt;=0,"Expired",Table1[[#This Row],[Agreement Days]]&gt;=-30,"Expires &lt; 30 Days",Table1[[#This Row],[Agreement Days]]&gt;=-60,"Expires &lt; 60 Days",Table1[[#This Row],[Agreement Days]]&lt;-60,"Valid Contract")</f>
        <v>Valid Contract</v>
      </c>
      <c r="W1577" s="14" t="s">
        <v>20</v>
      </c>
      <c r="X1577" s="14" t="s">
        <v>989</v>
      </c>
      <c r="Y1577" s="16" t="s">
        <v>990</v>
      </c>
      <c r="Z1577" s="27" t="s">
        <v>991</v>
      </c>
      <c r="AA1577" s="19"/>
      <c r="AB1577" s="123"/>
      <c r="AC1577" s="123"/>
    </row>
    <row r="1578" spans="1:29" s="11" customFormat="1" hidden="1" x14ac:dyDescent="0.3">
      <c r="A1578" s="18" t="s">
        <v>987</v>
      </c>
      <c r="B1578" s="18" t="s">
        <v>127</v>
      </c>
      <c r="C1578" s="18" t="s">
        <v>2937</v>
      </c>
      <c r="D1578" s="14" t="s">
        <v>540</v>
      </c>
      <c r="E1578" s="18" t="s">
        <v>9</v>
      </c>
      <c r="F1578" s="14" t="s">
        <v>601</v>
      </c>
      <c r="G1578" s="14" t="s">
        <v>546</v>
      </c>
      <c r="H1578" s="18" t="s">
        <v>5</v>
      </c>
      <c r="I1578" s="14" t="s">
        <v>115</v>
      </c>
      <c r="J1578" s="14"/>
      <c r="K1578" s="18" t="s">
        <v>651</v>
      </c>
      <c r="L1578" s="14"/>
      <c r="M1578" s="14">
        <v>1</v>
      </c>
      <c r="N1578" s="15">
        <f t="shared" si="61"/>
        <v>81355.932203389835</v>
      </c>
      <c r="O1578" s="15">
        <f t="shared" si="60"/>
        <v>81355.932203389835</v>
      </c>
      <c r="P1578" s="15"/>
      <c r="Q1578" s="14" t="s">
        <v>520</v>
      </c>
      <c r="R1578" s="25">
        <v>45716</v>
      </c>
      <c r="S1578" s="22" t="str">
        <f>TEXT(Table1[[#This Row],[End Date]],"MMMM")</f>
        <v>February</v>
      </c>
      <c r="T1578" s="23" t="str">
        <f>TEXT(Table1[[#This Row],[End Date]],"YYYY")</f>
        <v>2025</v>
      </c>
      <c r="U1578" s="24">
        <f t="shared" ca="1" si="58"/>
        <v>-583</v>
      </c>
      <c r="V1578" s="14" t="str" cm="1">
        <f t="array" aca="1" ref="V1578" ca="1">_xlfn.IFS(Table1[[#This Row],[Agreement Days]]&gt;=0,"Expired",Table1[[#This Row],[Agreement Days]]&gt;=-30,"Expires &lt; 30 Days",Table1[[#This Row],[Agreement Days]]&gt;=-60,"Expires &lt; 60 Days",Table1[[#This Row],[Agreement Days]]&lt;-60,"Valid Contract")</f>
        <v>Valid Contract</v>
      </c>
      <c r="W1578" s="14" t="s">
        <v>20</v>
      </c>
      <c r="X1578" s="14" t="s">
        <v>989</v>
      </c>
      <c r="Y1578" s="16" t="s">
        <v>990</v>
      </c>
      <c r="Z1578" s="27" t="s">
        <v>991</v>
      </c>
      <c r="AA1578" s="19"/>
      <c r="AB1578" s="123"/>
      <c r="AC1578" s="123"/>
    </row>
    <row r="1579" spans="1:29" s="11" customFormat="1" hidden="1" x14ac:dyDescent="0.3">
      <c r="A1579" s="18" t="s">
        <v>987</v>
      </c>
      <c r="B1579" s="18" t="s">
        <v>127</v>
      </c>
      <c r="C1579" s="18" t="s">
        <v>2938</v>
      </c>
      <c r="D1579" s="14" t="s">
        <v>540</v>
      </c>
      <c r="E1579" s="18" t="s">
        <v>9</v>
      </c>
      <c r="F1579" s="14" t="s">
        <v>601</v>
      </c>
      <c r="G1579" s="14" t="s">
        <v>546</v>
      </c>
      <c r="H1579" s="18" t="s">
        <v>5</v>
      </c>
      <c r="I1579" s="14" t="s">
        <v>115</v>
      </c>
      <c r="J1579" s="14"/>
      <c r="K1579" s="18" t="s">
        <v>651</v>
      </c>
      <c r="L1579" s="14"/>
      <c r="M1579" s="14">
        <v>1</v>
      </c>
      <c r="N1579" s="15">
        <f t="shared" si="61"/>
        <v>81355.932203389835</v>
      </c>
      <c r="O1579" s="15">
        <f t="shared" si="60"/>
        <v>81355.932203389835</v>
      </c>
      <c r="P1579" s="15"/>
      <c r="Q1579" s="14" t="s">
        <v>520</v>
      </c>
      <c r="R1579" s="25">
        <v>45716</v>
      </c>
      <c r="S1579" s="22" t="str">
        <f>TEXT(Table1[[#This Row],[End Date]],"MMMM")</f>
        <v>February</v>
      </c>
      <c r="T1579" s="23" t="str">
        <f>TEXT(Table1[[#This Row],[End Date]],"YYYY")</f>
        <v>2025</v>
      </c>
      <c r="U1579" s="24">
        <f t="shared" ca="1" si="58"/>
        <v>-583</v>
      </c>
      <c r="V1579" s="14" t="str" cm="1">
        <f t="array" aca="1" ref="V1579" ca="1">_xlfn.IFS(Table1[[#This Row],[Agreement Days]]&gt;=0,"Expired",Table1[[#This Row],[Agreement Days]]&gt;=-30,"Expires &lt; 30 Days",Table1[[#This Row],[Agreement Days]]&gt;=-60,"Expires &lt; 60 Days",Table1[[#This Row],[Agreement Days]]&lt;-60,"Valid Contract")</f>
        <v>Valid Contract</v>
      </c>
      <c r="W1579" s="14" t="s">
        <v>20</v>
      </c>
      <c r="X1579" s="14" t="s">
        <v>989</v>
      </c>
      <c r="Y1579" s="16" t="s">
        <v>990</v>
      </c>
      <c r="Z1579" s="27" t="s">
        <v>991</v>
      </c>
      <c r="AA1579" s="19"/>
      <c r="AB1579" s="123"/>
      <c r="AC1579" s="123"/>
    </row>
    <row r="1580" spans="1:29" s="11" customFormat="1" hidden="1" x14ac:dyDescent="0.3">
      <c r="A1580" s="18" t="s">
        <v>987</v>
      </c>
      <c r="B1580" s="18" t="s">
        <v>127</v>
      </c>
      <c r="C1580" s="18" t="s">
        <v>2939</v>
      </c>
      <c r="D1580" s="14" t="s">
        <v>540</v>
      </c>
      <c r="E1580" s="18" t="s">
        <v>9</v>
      </c>
      <c r="F1580" s="14" t="s">
        <v>601</v>
      </c>
      <c r="G1580" s="14" t="s">
        <v>546</v>
      </c>
      <c r="H1580" s="18" t="s">
        <v>5</v>
      </c>
      <c r="I1580" s="14" t="s">
        <v>115</v>
      </c>
      <c r="J1580" s="14"/>
      <c r="K1580" s="18" t="s">
        <v>651</v>
      </c>
      <c r="L1580" s="14"/>
      <c r="M1580" s="14">
        <v>1</v>
      </c>
      <c r="N1580" s="15">
        <f t="shared" si="61"/>
        <v>81355.932203389835</v>
      </c>
      <c r="O1580" s="15">
        <f t="shared" si="60"/>
        <v>81355.932203389835</v>
      </c>
      <c r="P1580" s="15"/>
      <c r="Q1580" s="14" t="s">
        <v>520</v>
      </c>
      <c r="R1580" s="25">
        <v>45716</v>
      </c>
      <c r="S1580" s="22" t="str">
        <f>TEXT(Table1[[#This Row],[End Date]],"MMMM")</f>
        <v>February</v>
      </c>
      <c r="T1580" s="23" t="str">
        <f>TEXT(Table1[[#This Row],[End Date]],"YYYY")</f>
        <v>2025</v>
      </c>
      <c r="U1580" s="24">
        <f t="shared" ca="1" si="58"/>
        <v>-583</v>
      </c>
      <c r="V1580" s="14" t="str" cm="1">
        <f t="array" aca="1" ref="V1580" ca="1">_xlfn.IFS(Table1[[#This Row],[Agreement Days]]&gt;=0,"Expired",Table1[[#This Row],[Agreement Days]]&gt;=-30,"Expires &lt; 30 Days",Table1[[#This Row],[Agreement Days]]&gt;=-60,"Expires &lt; 60 Days",Table1[[#This Row],[Agreement Days]]&lt;-60,"Valid Contract")</f>
        <v>Valid Contract</v>
      </c>
      <c r="W1580" s="14" t="s">
        <v>20</v>
      </c>
      <c r="X1580" s="14" t="s">
        <v>989</v>
      </c>
      <c r="Y1580" s="16" t="s">
        <v>990</v>
      </c>
      <c r="Z1580" s="27" t="s">
        <v>991</v>
      </c>
      <c r="AA1580" s="19"/>
      <c r="AB1580" s="123"/>
      <c r="AC1580" s="123"/>
    </row>
    <row r="1581" spans="1:29" s="11" customFormat="1" hidden="1" x14ac:dyDescent="0.3">
      <c r="A1581" s="18" t="s">
        <v>987</v>
      </c>
      <c r="B1581" s="18" t="s">
        <v>127</v>
      </c>
      <c r="C1581" s="18" t="s">
        <v>2940</v>
      </c>
      <c r="D1581" s="14" t="s">
        <v>540</v>
      </c>
      <c r="E1581" s="18" t="s">
        <v>9</v>
      </c>
      <c r="F1581" s="14" t="s">
        <v>601</v>
      </c>
      <c r="G1581" s="14" t="s">
        <v>546</v>
      </c>
      <c r="H1581" s="18" t="s">
        <v>5</v>
      </c>
      <c r="I1581" s="14" t="s">
        <v>115</v>
      </c>
      <c r="J1581" s="14"/>
      <c r="K1581" s="18" t="s">
        <v>651</v>
      </c>
      <c r="L1581" s="14"/>
      <c r="M1581" s="14">
        <v>1</v>
      </c>
      <c r="N1581" s="15">
        <f t="shared" si="61"/>
        <v>81355.932203389835</v>
      </c>
      <c r="O1581" s="15">
        <f t="shared" si="60"/>
        <v>81355.932203389835</v>
      </c>
      <c r="P1581" s="15"/>
      <c r="Q1581" s="14" t="s">
        <v>520</v>
      </c>
      <c r="R1581" s="25">
        <v>45716</v>
      </c>
      <c r="S1581" s="22" t="str">
        <f>TEXT(Table1[[#This Row],[End Date]],"MMMM")</f>
        <v>February</v>
      </c>
      <c r="T1581" s="23" t="str">
        <f>TEXT(Table1[[#This Row],[End Date]],"YYYY")</f>
        <v>2025</v>
      </c>
      <c r="U1581" s="24">
        <f t="shared" ca="1" si="58"/>
        <v>-583</v>
      </c>
      <c r="V1581" s="14" t="str" cm="1">
        <f t="array" aca="1" ref="V1581" ca="1">_xlfn.IFS(Table1[[#This Row],[Agreement Days]]&gt;=0,"Expired",Table1[[#This Row],[Agreement Days]]&gt;=-30,"Expires &lt; 30 Days",Table1[[#This Row],[Agreement Days]]&gt;=-60,"Expires &lt; 60 Days",Table1[[#This Row],[Agreement Days]]&lt;-60,"Valid Contract")</f>
        <v>Valid Contract</v>
      </c>
      <c r="W1581" s="14" t="s">
        <v>20</v>
      </c>
      <c r="X1581" s="14" t="s">
        <v>989</v>
      </c>
      <c r="Y1581" s="16" t="s">
        <v>990</v>
      </c>
      <c r="Z1581" s="27" t="s">
        <v>991</v>
      </c>
      <c r="AA1581" s="19"/>
      <c r="AB1581" s="123"/>
      <c r="AC1581" s="123"/>
    </row>
    <row r="1582" spans="1:29" s="11" customFormat="1" hidden="1" x14ac:dyDescent="0.3">
      <c r="A1582" s="18" t="s">
        <v>987</v>
      </c>
      <c r="B1582" s="18" t="s">
        <v>127</v>
      </c>
      <c r="C1582" s="18" t="s">
        <v>2941</v>
      </c>
      <c r="D1582" s="14" t="s">
        <v>540</v>
      </c>
      <c r="E1582" s="18" t="s">
        <v>9</v>
      </c>
      <c r="F1582" s="14" t="s">
        <v>601</v>
      </c>
      <c r="G1582" s="14" t="s">
        <v>546</v>
      </c>
      <c r="H1582" s="18" t="s">
        <v>5</v>
      </c>
      <c r="I1582" s="14" t="s">
        <v>115</v>
      </c>
      <c r="J1582" s="14"/>
      <c r="K1582" s="18" t="s">
        <v>651</v>
      </c>
      <c r="L1582" s="14"/>
      <c r="M1582" s="14">
        <v>1</v>
      </c>
      <c r="N1582" s="15">
        <f t="shared" si="61"/>
        <v>81355.932203389835</v>
      </c>
      <c r="O1582" s="15">
        <f t="shared" si="60"/>
        <v>81355.932203389835</v>
      </c>
      <c r="P1582" s="15"/>
      <c r="Q1582" s="14" t="s">
        <v>520</v>
      </c>
      <c r="R1582" s="25">
        <v>45716</v>
      </c>
      <c r="S1582" s="22" t="str">
        <f>TEXT(Table1[[#This Row],[End Date]],"MMMM")</f>
        <v>February</v>
      </c>
      <c r="T1582" s="23" t="str">
        <f>TEXT(Table1[[#This Row],[End Date]],"YYYY")</f>
        <v>2025</v>
      </c>
      <c r="U1582" s="24">
        <f t="shared" ca="1" si="58"/>
        <v>-583</v>
      </c>
      <c r="V1582" s="14" t="str" cm="1">
        <f t="array" aca="1" ref="V1582" ca="1">_xlfn.IFS(Table1[[#This Row],[Agreement Days]]&gt;=0,"Expired",Table1[[#This Row],[Agreement Days]]&gt;=-30,"Expires &lt; 30 Days",Table1[[#This Row],[Agreement Days]]&gt;=-60,"Expires &lt; 60 Days",Table1[[#This Row],[Agreement Days]]&lt;-60,"Valid Contract")</f>
        <v>Valid Contract</v>
      </c>
      <c r="W1582" s="14" t="s">
        <v>20</v>
      </c>
      <c r="X1582" s="14" t="s">
        <v>989</v>
      </c>
      <c r="Y1582" s="16" t="s">
        <v>990</v>
      </c>
      <c r="Z1582" s="27" t="s">
        <v>991</v>
      </c>
      <c r="AA1582" s="19"/>
      <c r="AB1582" s="123"/>
      <c r="AC1582" s="123"/>
    </row>
    <row r="1583" spans="1:29" s="11" customFormat="1" hidden="1" x14ac:dyDescent="0.3">
      <c r="A1583" s="18" t="s">
        <v>987</v>
      </c>
      <c r="B1583" s="18" t="s">
        <v>127</v>
      </c>
      <c r="C1583" s="18" t="s">
        <v>2942</v>
      </c>
      <c r="D1583" s="14" t="s">
        <v>540</v>
      </c>
      <c r="E1583" s="18" t="s">
        <v>9</v>
      </c>
      <c r="F1583" s="14" t="s">
        <v>601</v>
      </c>
      <c r="G1583" s="14" t="s">
        <v>546</v>
      </c>
      <c r="H1583" s="18" t="s">
        <v>5</v>
      </c>
      <c r="I1583" s="14" t="s">
        <v>115</v>
      </c>
      <c r="J1583" s="14"/>
      <c r="K1583" s="18" t="s">
        <v>651</v>
      </c>
      <c r="L1583" s="14"/>
      <c r="M1583" s="14">
        <v>1</v>
      </c>
      <c r="N1583" s="15">
        <f t="shared" si="61"/>
        <v>81355.932203389835</v>
      </c>
      <c r="O1583" s="15">
        <f t="shared" si="60"/>
        <v>81355.932203389835</v>
      </c>
      <c r="P1583" s="15"/>
      <c r="Q1583" s="14" t="s">
        <v>520</v>
      </c>
      <c r="R1583" s="25">
        <v>45716</v>
      </c>
      <c r="S1583" s="22" t="str">
        <f>TEXT(Table1[[#This Row],[End Date]],"MMMM")</f>
        <v>February</v>
      </c>
      <c r="T1583" s="23" t="str">
        <f>TEXT(Table1[[#This Row],[End Date]],"YYYY")</f>
        <v>2025</v>
      </c>
      <c r="U1583" s="24">
        <f t="shared" ca="1" si="58"/>
        <v>-583</v>
      </c>
      <c r="V1583" s="14" t="str" cm="1">
        <f t="array" aca="1" ref="V1583" ca="1">_xlfn.IFS(Table1[[#This Row],[Agreement Days]]&gt;=0,"Expired",Table1[[#This Row],[Agreement Days]]&gt;=-30,"Expires &lt; 30 Days",Table1[[#This Row],[Agreement Days]]&gt;=-60,"Expires &lt; 60 Days",Table1[[#This Row],[Agreement Days]]&lt;-60,"Valid Contract")</f>
        <v>Valid Contract</v>
      </c>
      <c r="W1583" s="14" t="s">
        <v>20</v>
      </c>
      <c r="X1583" s="14" t="s">
        <v>989</v>
      </c>
      <c r="Y1583" s="16" t="s">
        <v>990</v>
      </c>
      <c r="Z1583" s="27" t="s">
        <v>991</v>
      </c>
      <c r="AA1583" s="19"/>
      <c r="AB1583" s="123"/>
      <c r="AC1583" s="123"/>
    </row>
    <row r="1584" spans="1:29" s="11" customFormat="1" hidden="1" x14ac:dyDescent="0.3">
      <c r="A1584" s="18" t="s">
        <v>987</v>
      </c>
      <c r="B1584" s="18" t="s">
        <v>127</v>
      </c>
      <c r="C1584" s="18" t="s">
        <v>2943</v>
      </c>
      <c r="D1584" s="14" t="s">
        <v>540</v>
      </c>
      <c r="E1584" s="18" t="s">
        <v>9</v>
      </c>
      <c r="F1584" s="14" t="s">
        <v>601</v>
      </c>
      <c r="G1584" s="14" t="s">
        <v>546</v>
      </c>
      <c r="H1584" s="18" t="s">
        <v>5</v>
      </c>
      <c r="I1584" s="14" t="s">
        <v>115</v>
      </c>
      <c r="J1584" s="14"/>
      <c r="K1584" s="18" t="s">
        <v>651</v>
      </c>
      <c r="L1584" s="14"/>
      <c r="M1584" s="14">
        <v>1</v>
      </c>
      <c r="N1584" s="15">
        <f t="shared" si="61"/>
        <v>81355.932203389835</v>
      </c>
      <c r="O1584" s="15">
        <f t="shared" si="60"/>
        <v>81355.932203389835</v>
      </c>
      <c r="P1584" s="15"/>
      <c r="Q1584" s="14" t="s">
        <v>520</v>
      </c>
      <c r="R1584" s="25">
        <v>45716</v>
      </c>
      <c r="S1584" s="22" t="str">
        <f>TEXT(Table1[[#This Row],[End Date]],"MMMM")</f>
        <v>February</v>
      </c>
      <c r="T1584" s="23" t="str">
        <f>TEXT(Table1[[#This Row],[End Date]],"YYYY")</f>
        <v>2025</v>
      </c>
      <c r="U1584" s="24">
        <f t="shared" ca="1" si="58"/>
        <v>-583</v>
      </c>
      <c r="V1584" s="14" t="str" cm="1">
        <f t="array" aca="1" ref="V1584" ca="1">_xlfn.IFS(Table1[[#This Row],[Agreement Days]]&gt;=0,"Expired",Table1[[#This Row],[Agreement Days]]&gt;=-30,"Expires &lt; 30 Days",Table1[[#This Row],[Agreement Days]]&gt;=-60,"Expires &lt; 60 Days",Table1[[#This Row],[Agreement Days]]&lt;-60,"Valid Contract")</f>
        <v>Valid Contract</v>
      </c>
      <c r="W1584" s="14" t="s">
        <v>20</v>
      </c>
      <c r="X1584" s="14" t="s">
        <v>989</v>
      </c>
      <c r="Y1584" s="16" t="s">
        <v>990</v>
      </c>
      <c r="Z1584" s="27" t="s">
        <v>991</v>
      </c>
      <c r="AA1584" s="19"/>
      <c r="AB1584" s="123"/>
      <c r="AC1584" s="123"/>
    </row>
    <row r="1585" spans="1:29" s="11" customFormat="1" hidden="1" x14ac:dyDescent="0.3">
      <c r="A1585" s="18" t="s">
        <v>987</v>
      </c>
      <c r="B1585" s="18" t="s">
        <v>127</v>
      </c>
      <c r="C1585" s="18" t="s">
        <v>2944</v>
      </c>
      <c r="D1585" s="14" t="s">
        <v>759</v>
      </c>
      <c r="E1585" s="18" t="s">
        <v>9</v>
      </c>
      <c r="F1585" s="14" t="s">
        <v>601</v>
      </c>
      <c r="G1585" s="14" t="s">
        <v>546</v>
      </c>
      <c r="H1585" s="18" t="s">
        <v>5</v>
      </c>
      <c r="I1585" s="14" t="s">
        <v>115</v>
      </c>
      <c r="J1585" s="14"/>
      <c r="K1585" s="18" t="s">
        <v>651</v>
      </c>
      <c r="L1585" s="14"/>
      <c r="M1585" s="14">
        <v>1</v>
      </c>
      <c r="N1585" s="15">
        <f t="shared" si="61"/>
        <v>81355.932203389835</v>
      </c>
      <c r="O1585" s="15">
        <f t="shared" si="60"/>
        <v>81355.932203389835</v>
      </c>
      <c r="P1585" s="15"/>
      <c r="Q1585" s="14" t="s">
        <v>520</v>
      </c>
      <c r="R1585" s="25">
        <v>45716</v>
      </c>
      <c r="S1585" s="22" t="str">
        <f>TEXT(Table1[[#This Row],[End Date]],"MMMM")</f>
        <v>February</v>
      </c>
      <c r="T1585" s="23" t="str">
        <f>TEXT(Table1[[#This Row],[End Date]],"YYYY")</f>
        <v>2025</v>
      </c>
      <c r="U1585" s="24">
        <f t="shared" ca="1" si="58"/>
        <v>-583</v>
      </c>
      <c r="V1585" s="14" t="str" cm="1">
        <f t="array" aca="1" ref="V1585" ca="1">_xlfn.IFS(Table1[[#This Row],[Agreement Days]]&gt;=0,"Expired",Table1[[#This Row],[Agreement Days]]&gt;=-30,"Expires &lt; 30 Days",Table1[[#This Row],[Agreement Days]]&gt;=-60,"Expires &lt; 60 Days",Table1[[#This Row],[Agreement Days]]&lt;-60,"Valid Contract")</f>
        <v>Valid Contract</v>
      </c>
      <c r="W1585" s="14" t="s">
        <v>20</v>
      </c>
      <c r="X1585" s="14" t="s">
        <v>989</v>
      </c>
      <c r="Y1585" s="16" t="s">
        <v>990</v>
      </c>
      <c r="Z1585" s="27" t="s">
        <v>991</v>
      </c>
      <c r="AA1585" s="19"/>
      <c r="AB1585" s="123"/>
      <c r="AC1585" s="123"/>
    </row>
    <row r="1586" spans="1:29" s="11" customFormat="1" hidden="1" x14ac:dyDescent="0.3">
      <c r="A1586" s="18" t="s">
        <v>987</v>
      </c>
      <c r="B1586" s="18" t="s">
        <v>127</v>
      </c>
      <c r="C1586" s="18" t="s">
        <v>2945</v>
      </c>
      <c r="D1586" s="14" t="s">
        <v>759</v>
      </c>
      <c r="E1586" s="18" t="s">
        <v>9</v>
      </c>
      <c r="F1586" s="14" t="s">
        <v>601</v>
      </c>
      <c r="G1586" s="14" t="s">
        <v>546</v>
      </c>
      <c r="H1586" s="18" t="s">
        <v>5</v>
      </c>
      <c r="I1586" s="14" t="s">
        <v>115</v>
      </c>
      <c r="J1586" s="14"/>
      <c r="K1586" s="18" t="s">
        <v>651</v>
      </c>
      <c r="L1586" s="14"/>
      <c r="M1586" s="14">
        <v>1</v>
      </c>
      <c r="N1586" s="15">
        <f t="shared" si="61"/>
        <v>81355.932203389835</v>
      </c>
      <c r="O1586" s="15">
        <f t="shared" si="60"/>
        <v>81355.932203389835</v>
      </c>
      <c r="P1586" s="15"/>
      <c r="Q1586" s="14" t="s">
        <v>520</v>
      </c>
      <c r="R1586" s="25">
        <v>45716</v>
      </c>
      <c r="S1586" s="22" t="str">
        <f>TEXT(Table1[[#This Row],[End Date]],"MMMM")</f>
        <v>February</v>
      </c>
      <c r="T1586" s="23" t="str">
        <f>TEXT(Table1[[#This Row],[End Date]],"YYYY")</f>
        <v>2025</v>
      </c>
      <c r="U1586" s="24">
        <f t="shared" ca="1" si="58"/>
        <v>-583</v>
      </c>
      <c r="V1586" s="14" t="str" cm="1">
        <f t="array" aca="1" ref="V1586" ca="1">_xlfn.IFS(Table1[[#This Row],[Agreement Days]]&gt;=0,"Expired",Table1[[#This Row],[Agreement Days]]&gt;=-30,"Expires &lt; 30 Days",Table1[[#This Row],[Agreement Days]]&gt;=-60,"Expires &lt; 60 Days",Table1[[#This Row],[Agreement Days]]&lt;-60,"Valid Contract")</f>
        <v>Valid Contract</v>
      </c>
      <c r="W1586" s="14" t="s">
        <v>20</v>
      </c>
      <c r="X1586" s="14" t="s">
        <v>989</v>
      </c>
      <c r="Y1586" s="16" t="s">
        <v>990</v>
      </c>
      <c r="Z1586" s="27" t="s">
        <v>991</v>
      </c>
      <c r="AA1586" s="19"/>
      <c r="AB1586" s="123"/>
      <c r="AC1586" s="123"/>
    </row>
    <row r="1587" spans="1:29" s="11" customFormat="1" hidden="1" x14ac:dyDescent="0.3">
      <c r="A1587" s="18" t="s">
        <v>987</v>
      </c>
      <c r="B1587" s="18" t="s">
        <v>127</v>
      </c>
      <c r="C1587" s="18" t="s">
        <v>2946</v>
      </c>
      <c r="D1587" s="14" t="s">
        <v>759</v>
      </c>
      <c r="E1587" s="18" t="s">
        <v>9</v>
      </c>
      <c r="F1587" s="14" t="s">
        <v>601</v>
      </c>
      <c r="G1587" s="14" t="s">
        <v>546</v>
      </c>
      <c r="H1587" s="18" t="s">
        <v>5</v>
      </c>
      <c r="I1587" s="14" t="s">
        <v>115</v>
      </c>
      <c r="J1587" s="14"/>
      <c r="K1587" s="18" t="s">
        <v>651</v>
      </c>
      <c r="L1587" s="14"/>
      <c r="M1587" s="14">
        <v>1</v>
      </c>
      <c r="N1587" s="15">
        <f t="shared" si="61"/>
        <v>81355.932203389835</v>
      </c>
      <c r="O1587" s="15">
        <f t="shared" si="60"/>
        <v>81355.932203389835</v>
      </c>
      <c r="P1587" s="15"/>
      <c r="Q1587" s="14" t="s">
        <v>520</v>
      </c>
      <c r="R1587" s="25">
        <v>45716</v>
      </c>
      <c r="S1587" s="22" t="str">
        <f>TEXT(Table1[[#This Row],[End Date]],"MMMM")</f>
        <v>February</v>
      </c>
      <c r="T1587" s="23" t="str">
        <f>TEXT(Table1[[#This Row],[End Date]],"YYYY")</f>
        <v>2025</v>
      </c>
      <c r="U1587" s="24">
        <f t="shared" ca="1" si="58"/>
        <v>-583</v>
      </c>
      <c r="V1587" s="14" t="str" cm="1">
        <f t="array" aca="1" ref="V1587" ca="1">_xlfn.IFS(Table1[[#This Row],[Agreement Days]]&gt;=0,"Expired",Table1[[#This Row],[Agreement Days]]&gt;=-30,"Expires &lt; 30 Days",Table1[[#This Row],[Agreement Days]]&gt;=-60,"Expires &lt; 60 Days",Table1[[#This Row],[Agreement Days]]&lt;-60,"Valid Contract")</f>
        <v>Valid Contract</v>
      </c>
      <c r="W1587" s="14" t="s">
        <v>20</v>
      </c>
      <c r="X1587" s="14" t="s">
        <v>989</v>
      </c>
      <c r="Y1587" s="16" t="s">
        <v>990</v>
      </c>
      <c r="Z1587" s="27" t="s">
        <v>991</v>
      </c>
      <c r="AA1587" s="19"/>
      <c r="AB1587" s="123"/>
      <c r="AC1587" s="123"/>
    </row>
    <row r="1588" spans="1:29" s="11" customFormat="1" hidden="1" x14ac:dyDescent="0.3">
      <c r="A1588" s="18" t="s">
        <v>987</v>
      </c>
      <c r="B1588" s="18" t="s">
        <v>127</v>
      </c>
      <c r="C1588" s="18" t="s">
        <v>2947</v>
      </c>
      <c r="D1588" s="14" t="s">
        <v>759</v>
      </c>
      <c r="E1588" s="18" t="s">
        <v>9</v>
      </c>
      <c r="F1588" s="14" t="s">
        <v>601</v>
      </c>
      <c r="G1588" s="14" t="s">
        <v>546</v>
      </c>
      <c r="H1588" s="18" t="s">
        <v>5</v>
      </c>
      <c r="I1588" s="14" t="s">
        <v>115</v>
      </c>
      <c r="J1588" s="14"/>
      <c r="K1588" s="18" t="s">
        <v>651</v>
      </c>
      <c r="L1588" s="14"/>
      <c r="M1588" s="14">
        <v>1</v>
      </c>
      <c r="N1588" s="15">
        <f t="shared" si="61"/>
        <v>81355.932203389835</v>
      </c>
      <c r="O1588" s="15">
        <f t="shared" si="60"/>
        <v>81355.932203389835</v>
      </c>
      <c r="P1588" s="15"/>
      <c r="Q1588" s="14" t="s">
        <v>520</v>
      </c>
      <c r="R1588" s="25">
        <v>45716</v>
      </c>
      <c r="S1588" s="22" t="str">
        <f>TEXT(Table1[[#This Row],[End Date]],"MMMM")</f>
        <v>February</v>
      </c>
      <c r="T1588" s="23" t="str">
        <f>TEXT(Table1[[#This Row],[End Date]],"YYYY")</f>
        <v>2025</v>
      </c>
      <c r="U1588" s="24">
        <f t="shared" ca="1" si="58"/>
        <v>-583</v>
      </c>
      <c r="V1588" s="14" t="str" cm="1">
        <f t="array" aca="1" ref="V1588" ca="1">_xlfn.IFS(Table1[[#This Row],[Agreement Days]]&gt;=0,"Expired",Table1[[#This Row],[Agreement Days]]&gt;=-30,"Expires &lt; 30 Days",Table1[[#This Row],[Agreement Days]]&gt;=-60,"Expires &lt; 60 Days",Table1[[#This Row],[Agreement Days]]&lt;-60,"Valid Contract")</f>
        <v>Valid Contract</v>
      </c>
      <c r="W1588" s="14" t="s">
        <v>20</v>
      </c>
      <c r="X1588" s="14" t="s">
        <v>989</v>
      </c>
      <c r="Y1588" s="16" t="s">
        <v>990</v>
      </c>
      <c r="Z1588" s="27" t="s">
        <v>991</v>
      </c>
      <c r="AA1588" s="19"/>
      <c r="AB1588" s="123"/>
      <c r="AC1588" s="123"/>
    </row>
    <row r="1589" spans="1:29" s="11" customFormat="1" hidden="1" x14ac:dyDescent="0.3">
      <c r="A1589" s="18" t="s">
        <v>987</v>
      </c>
      <c r="B1589" s="18" t="s">
        <v>127</v>
      </c>
      <c r="C1589" s="18" t="s">
        <v>2948</v>
      </c>
      <c r="D1589" s="14" t="s">
        <v>759</v>
      </c>
      <c r="E1589" s="18" t="s">
        <v>9</v>
      </c>
      <c r="F1589" s="14" t="s">
        <v>601</v>
      </c>
      <c r="G1589" s="14" t="s">
        <v>546</v>
      </c>
      <c r="H1589" s="18" t="s">
        <v>5</v>
      </c>
      <c r="I1589" s="14" t="s">
        <v>115</v>
      </c>
      <c r="J1589" s="14"/>
      <c r="K1589" s="18" t="s">
        <v>651</v>
      </c>
      <c r="L1589" s="14"/>
      <c r="M1589" s="14">
        <v>1</v>
      </c>
      <c r="N1589" s="15">
        <f t="shared" si="61"/>
        <v>81355.932203389835</v>
      </c>
      <c r="O1589" s="15">
        <f t="shared" si="60"/>
        <v>81355.932203389835</v>
      </c>
      <c r="P1589" s="15"/>
      <c r="Q1589" s="14" t="s">
        <v>520</v>
      </c>
      <c r="R1589" s="25">
        <v>45716</v>
      </c>
      <c r="S1589" s="22" t="str">
        <f>TEXT(Table1[[#This Row],[End Date]],"MMMM")</f>
        <v>February</v>
      </c>
      <c r="T1589" s="23" t="str">
        <f>TEXT(Table1[[#This Row],[End Date]],"YYYY")</f>
        <v>2025</v>
      </c>
      <c r="U1589" s="24">
        <f t="shared" ca="1" si="58"/>
        <v>-583</v>
      </c>
      <c r="V1589" s="14" t="str" cm="1">
        <f t="array" aca="1" ref="V1589" ca="1">_xlfn.IFS(Table1[[#This Row],[Agreement Days]]&gt;=0,"Expired",Table1[[#This Row],[Agreement Days]]&gt;=-30,"Expires &lt; 30 Days",Table1[[#This Row],[Agreement Days]]&gt;=-60,"Expires &lt; 60 Days",Table1[[#This Row],[Agreement Days]]&lt;-60,"Valid Contract")</f>
        <v>Valid Contract</v>
      </c>
      <c r="W1589" s="14" t="s">
        <v>20</v>
      </c>
      <c r="X1589" s="14" t="s">
        <v>989</v>
      </c>
      <c r="Y1589" s="16" t="s">
        <v>990</v>
      </c>
      <c r="Z1589" s="27" t="s">
        <v>991</v>
      </c>
      <c r="AA1589" s="19"/>
      <c r="AB1589" s="123"/>
      <c r="AC1589" s="123"/>
    </row>
    <row r="1590" spans="1:29" s="11" customFormat="1" hidden="1" x14ac:dyDescent="0.3">
      <c r="A1590" s="18" t="s">
        <v>987</v>
      </c>
      <c r="B1590" s="18" t="s">
        <v>127</v>
      </c>
      <c r="C1590" s="18" t="s">
        <v>2949</v>
      </c>
      <c r="D1590" s="14" t="s">
        <v>759</v>
      </c>
      <c r="E1590" s="18" t="s">
        <v>9</v>
      </c>
      <c r="F1590" s="14" t="s">
        <v>601</v>
      </c>
      <c r="G1590" s="14" t="s">
        <v>546</v>
      </c>
      <c r="H1590" s="18" t="s">
        <v>5</v>
      </c>
      <c r="I1590" s="14" t="s">
        <v>115</v>
      </c>
      <c r="J1590" s="14"/>
      <c r="K1590" s="18" t="s">
        <v>651</v>
      </c>
      <c r="L1590" s="14"/>
      <c r="M1590" s="14">
        <v>1</v>
      </c>
      <c r="N1590" s="15">
        <f t="shared" si="61"/>
        <v>81355.932203389835</v>
      </c>
      <c r="O1590" s="15">
        <f t="shared" si="60"/>
        <v>81355.932203389835</v>
      </c>
      <c r="P1590" s="15"/>
      <c r="Q1590" s="14" t="s">
        <v>520</v>
      </c>
      <c r="R1590" s="25">
        <v>45716</v>
      </c>
      <c r="S1590" s="22" t="str">
        <f>TEXT(Table1[[#This Row],[End Date]],"MMMM")</f>
        <v>February</v>
      </c>
      <c r="T1590" s="23" t="str">
        <f>TEXT(Table1[[#This Row],[End Date]],"YYYY")</f>
        <v>2025</v>
      </c>
      <c r="U1590" s="24">
        <f t="shared" ca="1" si="58"/>
        <v>-583</v>
      </c>
      <c r="V1590" s="14" t="str" cm="1">
        <f t="array" aca="1" ref="V1590" ca="1">_xlfn.IFS(Table1[[#This Row],[Agreement Days]]&gt;=0,"Expired",Table1[[#This Row],[Agreement Days]]&gt;=-30,"Expires &lt; 30 Days",Table1[[#This Row],[Agreement Days]]&gt;=-60,"Expires &lt; 60 Days",Table1[[#This Row],[Agreement Days]]&lt;-60,"Valid Contract")</f>
        <v>Valid Contract</v>
      </c>
      <c r="W1590" s="14" t="s">
        <v>20</v>
      </c>
      <c r="X1590" s="14" t="s">
        <v>989</v>
      </c>
      <c r="Y1590" s="16" t="s">
        <v>990</v>
      </c>
      <c r="Z1590" s="27" t="s">
        <v>991</v>
      </c>
      <c r="AA1590" s="19"/>
      <c r="AB1590" s="123"/>
      <c r="AC1590" s="123"/>
    </row>
    <row r="1591" spans="1:29" s="11" customFormat="1" hidden="1" x14ac:dyDescent="0.3">
      <c r="A1591" s="18" t="s">
        <v>987</v>
      </c>
      <c r="B1591" s="18" t="s">
        <v>127</v>
      </c>
      <c r="C1591" s="18" t="s">
        <v>2950</v>
      </c>
      <c r="D1591" s="14" t="s">
        <v>761</v>
      </c>
      <c r="E1591" s="18" t="s">
        <v>9</v>
      </c>
      <c r="F1591" s="14" t="s">
        <v>601</v>
      </c>
      <c r="G1591" s="14" t="s">
        <v>546</v>
      </c>
      <c r="H1591" s="18" t="s">
        <v>5</v>
      </c>
      <c r="I1591" s="14" t="s">
        <v>115</v>
      </c>
      <c r="J1591" s="14"/>
      <c r="K1591" s="18" t="s">
        <v>651</v>
      </c>
      <c r="L1591" s="14"/>
      <c r="M1591" s="14">
        <v>1</v>
      </c>
      <c r="N1591" s="15">
        <f t="shared" si="61"/>
        <v>81355.932203389835</v>
      </c>
      <c r="O1591" s="15">
        <f t="shared" si="60"/>
        <v>81355.932203389835</v>
      </c>
      <c r="P1591" s="15"/>
      <c r="Q1591" s="14" t="s">
        <v>520</v>
      </c>
      <c r="R1591" s="25">
        <v>45716</v>
      </c>
      <c r="S1591" s="22" t="str">
        <f>TEXT(Table1[[#This Row],[End Date]],"MMMM")</f>
        <v>February</v>
      </c>
      <c r="T1591" s="23" t="str">
        <f>TEXT(Table1[[#This Row],[End Date]],"YYYY")</f>
        <v>2025</v>
      </c>
      <c r="U1591" s="24">
        <f t="shared" ca="1" si="58"/>
        <v>-583</v>
      </c>
      <c r="V1591" s="14" t="str" cm="1">
        <f t="array" aca="1" ref="V1591" ca="1">_xlfn.IFS(Table1[[#This Row],[Agreement Days]]&gt;=0,"Expired",Table1[[#This Row],[Agreement Days]]&gt;=-30,"Expires &lt; 30 Days",Table1[[#This Row],[Agreement Days]]&gt;=-60,"Expires &lt; 60 Days",Table1[[#This Row],[Agreement Days]]&lt;-60,"Valid Contract")</f>
        <v>Valid Contract</v>
      </c>
      <c r="W1591" s="14" t="s">
        <v>20</v>
      </c>
      <c r="X1591" s="14" t="s">
        <v>989</v>
      </c>
      <c r="Y1591" s="16" t="s">
        <v>990</v>
      </c>
      <c r="Z1591" s="27" t="s">
        <v>991</v>
      </c>
      <c r="AA1591" s="19"/>
      <c r="AB1591" s="123"/>
      <c r="AC1591" s="123"/>
    </row>
    <row r="1592" spans="1:29" s="11" customFormat="1" hidden="1" x14ac:dyDescent="0.3">
      <c r="A1592" s="18" t="s">
        <v>987</v>
      </c>
      <c r="B1592" s="18" t="s">
        <v>127</v>
      </c>
      <c r="C1592" s="18" t="s">
        <v>2951</v>
      </c>
      <c r="D1592" s="14" t="s">
        <v>761</v>
      </c>
      <c r="E1592" s="18" t="s">
        <v>9</v>
      </c>
      <c r="F1592" s="14" t="s">
        <v>601</v>
      </c>
      <c r="G1592" s="14" t="s">
        <v>546</v>
      </c>
      <c r="H1592" s="18" t="s">
        <v>5</v>
      </c>
      <c r="I1592" s="14" t="s">
        <v>115</v>
      </c>
      <c r="J1592" s="14"/>
      <c r="K1592" s="18" t="s">
        <v>651</v>
      </c>
      <c r="L1592" s="14"/>
      <c r="M1592" s="14">
        <v>1</v>
      </c>
      <c r="N1592" s="15">
        <f t="shared" si="61"/>
        <v>81355.932203389835</v>
      </c>
      <c r="O1592" s="15">
        <f t="shared" si="60"/>
        <v>81355.932203389835</v>
      </c>
      <c r="P1592" s="15"/>
      <c r="Q1592" s="14" t="s">
        <v>520</v>
      </c>
      <c r="R1592" s="25">
        <v>45716</v>
      </c>
      <c r="S1592" s="22" t="str">
        <f>TEXT(Table1[[#This Row],[End Date]],"MMMM")</f>
        <v>February</v>
      </c>
      <c r="T1592" s="23" t="str">
        <f>TEXT(Table1[[#This Row],[End Date]],"YYYY")</f>
        <v>2025</v>
      </c>
      <c r="U1592" s="24">
        <f t="shared" ca="1" si="58"/>
        <v>-583</v>
      </c>
      <c r="V1592" s="14" t="str" cm="1">
        <f t="array" aca="1" ref="V1592" ca="1">_xlfn.IFS(Table1[[#This Row],[Agreement Days]]&gt;=0,"Expired",Table1[[#This Row],[Agreement Days]]&gt;=-30,"Expires &lt; 30 Days",Table1[[#This Row],[Agreement Days]]&gt;=-60,"Expires &lt; 60 Days",Table1[[#This Row],[Agreement Days]]&lt;-60,"Valid Contract")</f>
        <v>Valid Contract</v>
      </c>
      <c r="W1592" s="14" t="s">
        <v>20</v>
      </c>
      <c r="X1592" s="14" t="s">
        <v>989</v>
      </c>
      <c r="Y1592" s="16" t="s">
        <v>990</v>
      </c>
      <c r="Z1592" s="27" t="s">
        <v>991</v>
      </c>
      <c r="AA1592" s="19"/>
      <c r="AB1592" s="123"/>
      <c r="AC1592" s="123"/>
    </row>
    <row r="1593" spans="1:29" s="11" customFormat="1" hidden="1" x14ac:dyDescent="0.3">
      <c r="A1593" s="18" t="s">
        <v>987</v>
      </c>
      <c r="B1593" s="18" t="s">
        <v>127</v>
      </c>
      <c r="C1593" s="18" t="s">
        <v>2952</v>
      </c>
      <c r="D1593" s="14" t="s">
        <v>761</v>
      </c>
      <c r="E1593" s="18" t="s">
        <v>9</v>
      </c>
      <c r="F1593" s="14" t="s">
        <v>601</v>
      </c>
      <c r="G1593" s="14" t="s">
        <v>546</v>
      </c>
      <c r="H1593" s="18" t="s">
        <v>5</v>
      </c>
      <c r="I1593" s="14" t="s">
        <v>115</v>
      </c>
      <c r="J1593" s="14"/>
      <c r="K1593" s="18" t="s">
        <v>651</v>
      </c>
      <c r="L1593" s="14"/>
      <c r="M1593" s="14">
        <v>1</v>
      </c>
      <c r="N1593" s="15">
        <f t="shared" si="61"/>
        <v>81355.932203389835</v>
      </c>
      <c r="O1593" s="15">
        <f t="shared" si="60"/>
        <v>81355.932203389835</v>
      </c>
      <c r="P1593" s="15"/>
      <c r="Q1593" s="14" t="s">
        <v>520</v>
      </c>
      <c r="R1593" s="25">
        <v>45716</v>
      </c>
      <c r="S1593" s="22" t="str">
        <f>TEXT(Table1[[#This Row],[End Date]],"MMMM")</f>
        <v>February</v>
      </c>
      <c r="T1593" s="23" t="str">
        <f>TEXT(Table1[[#This Row],[End Date]],"YYYY")</f>
        <v>2025</v>
      </c>
      <c r="U1593" s="24">
        <f t="shared" ca="1" si="58"/>
        <v>-583</v>
      </c>
      <c r="V1593" s="14" t="str" cm="1">
        <f t="array" aca="1" ref="V1593" ca="1">_xlfn.IFS(Table1[[#This Row],[Agreement Days]]&gt;=0,"Expired",Table1[[#This Row],[Agreement Days]]&gt;=-30,"Expires &lt; 30 Days",Table1[[#This Row],[Agreement Days]]&gt;=-60,"Expires &lt; 60 Days",Table1[[#This Row],[Agreement Days]]&lt;-60,"Valid Contract")</f>
        <v>Valid Contract</v>
      </c>
      <c r="W1593" s="14" t="s">
        <v>20</v>
      </c>
      <c r="X1593" s="14" t="s">
        <v>989</v>
      </c>
      <c r="Y1593" s="16" t="s">
        <v>990</v>
      </c>
      <c r="Z1593" s="27" t="s">
        <v>991</v>
      </c>
      <c r="AA1593" s="19"/>
      <c r="AB1593" s="123"/>
      <c r="AC1593" s="123"/>
    </row>
    <row r="1594" spans="1:29" s="11" customFormat="1" hidden="1" x14ac:dyDescent="0.3">
      <c r="A1594" s="18" t="s">
        <v>987</v>
      </c>
      <c r="B1594" s="18" t="s">
        <v>127</v>
      </c>
      <c r="C1594" s="18" t="s">
        <v>2953</v>
      </c>
      <c r="D1594" s="14" t="s">
        <v>761</v>
      </c>
      <c r="E1594" s="18" t="s">
        <v>9</v>
      </c>
      <c r="F1594" s="14" t="s">
        <v>601</v>
      </c>
      <c r="G1594" s="14" t="s">
        <v>546</v>
      </c>
      <c r="H1594" s="18" t="s">
        <v>5</v>
      </c>
      <c r="I1594" s="14" t="s">
        <v>115</v>
      </c>
      <c r="J1594" s="14"/>
      <c r="K1594" s="18" t="s">
        <v>651</v>
      </c>
      <c r="L1594" s="14"/>
      <c r="M1594" s="14">
        <v>1</v>
      </c>
      <c r="N1594" s="15">
        <f t="shared" si="61"/>
        <v>81355.932203389835</v>
      </c>
      <c r="O1594" s="15">
        <f t="shared" si="60"/>
        <v>81355.932203389835</v>
      </c>
      <c r="P1594" s="15"/>
      <c r="Q1594" s="14" t="s">
        <v>520</v>
      </c>
      <c r="R1594" s="25">
        <v>45716</v>
      </c>
      <c r="S1594" s="22" t="str">
        <f>TEXT(Table1[[#This Row],[End Date]],"MMMM")</f>
        <v>February</v>
      </c>
      <c r="T1594" s="23" t="str">
        <f>TEXT(Table1[[#This Row],[End Date]],"YYYY")</f>
        <v>2025</v>
      </c>
      <c r="U1594" s="24">
        <f t="shared" ca="1" si="58"/>
        <v>-583</v>
      </c>
      <c r="V1594" s="14" t="str" cm="1">
        <f t="array" aca="1" ref="V1594" ca="1">_xlfn.IFS(Table1[[#This Row],[Agreement Days]]&gt;=0,"Expired",Table1[[#This Row],[Agreement Days]]&gt;=-30,"Expires &lt; 30 Days",Table1[[#This Row],[Agreement Days]]&gt;=-60,"Expires &lt; 60 Days",Table1[[#This Row],[Agreement Days]]&lt;-60,"Valid Contract")</f>
        <v>Valid Contract</v>
      </c>
      <c r="W1594" s="14" t="s">
        <v>20</v>
      </c>
      <c r="X1594" s="14" t="s">
        <v>989</v>
      </c>
      <c r="Y1594" s="16" t="s">
        <v>990</v>
      </c>
      <c r="Z1594" s="27" t="s">
        <v>991</v>
      </c>
      <c r="AA1594" s="19"/>
      <c r="AB1594" s="123"/>
      <c r="AC1594" s="123"/>
    </row>
    <row r="1595" spans="1:29" s="11" customFormat="1" hidden="1" x14ac:dyDescent="0.3">
      <c r="A1595" s="18" t="s">
        <v>987</v>
      </c>
      <c r="B1595" s="18" t="s">
        <v>127</v>
      </c>
      <c r="C1595" s="18" t="s">
        <v>2954</v>
      </c>
      <c r="D1595" s="14" t="s">
        <v>761</v>
      </c>
      <c r="E1595" s="18" t="s">
        <v>9</v>
      </c>
      <c r="F1595" s="14" t="s">
        <v>601</v>
      </c>
      <c r="G1595" s="14" t="s">
        <v>546</v>
      </c>
      <c r="H1595" s="18" t="s">
        <v>5</v>
      </c>
      <c r="I1595" s="14" t="s">
        <v>115</v>
      </c>
      <c r="J1595" s="14"/>
      <c r="K1595" s="18" t="s">
        <v>651</v>
      </c>
      <c r="L1595" s="14"/>
      <c r="M1595" s="14">
        <v>1</v>
      </c>
      <c r="N1595" s="15">
        <f t="shared" si="61"/>
        <v>81355.932203389835</v>
      </c>
      <c r="O1595" s="15">
        <f t="shared" si="60"/>
        <v>81355.932203389835</v>
      </c>
      <c r="P1595" s="15"/>
      <c r="Q1595" s="14" t="s">
        <v>520</v>
      </c>
      <c r="R1595" s="25">
        <v>45716</v>
      </c>
      <c r="S1595" s="22" t="str">
        <f>TEXT(Table1[[#This Row],[End Date]],"MMMM")</f>
        <v>February</v>
      </c>
      <c r="T1595" s="23" t="str">
        <f>TEXT(Table1[[#This Row],[End Date]],"YYYY")</f>
        <v>2025</v>
      </c>
      <c r="U1595" s="24">
        <f t="shared" ca="1" si="58"/>
        <v>-583</v>
      </c>
      <c r="V1595" s="14" t="str" cm="1">
        <f t="array" aca="1" ref="V1595" ca="1">_xlfn.IFS(Table1[[#This Row],[Agreement Days]]&gt;=0,"Expired",Table1[[#This Row],[Agreement Days]]&gt;=-30,"Expires &lt; 30 Days",Table1[[#This Row],[Agreement Days]]&gt;=-60,"Expires &lt; 60 Days",Table1[[#This Row],[Agreement Days]]&lt;-60,"Valid Contract")</f>
        <v>Valid Contract</v>
      </c>
      <c r="W1595" s="14" t="s">
        <v>20</v>
      </c>
      <c r="X1595" s="14" t="s">
        <v>989</v>
      </c>
      <c r="Y1595" s="16" t="s">
        <v>990</v>
      </c>
      <c r="Z1595" s="27" t="s">
        <v>991</v>
      </c>
      <c r="AA1595" s="19"/>
      <c r="AB1595" s="123"/>
      <c r="AC1595" s="123"/>
    </row>
    <row r="1596" spans="1:29" s="11" customFormat="1" hidden="1" x14ac:dyDescent="0.3">
      <c r="A1596" s="18" t="s">
        <v>987</v>
      </c>
      <c r="B1596" s="18" t="s">
        <v>127</v>
      </c>
      <c r="C1596" s="18" t="s">
        <v>2955</v>
      </c>
      <c r="D1596" s="14" t="s">
        <v>735</v>
      </c>
      <c r="E1596" s="18" t="s">
        <v>9</v>
      </c>
      <c r="F1596" s="14" t="s">
        <v>601</v>
      </c>
      <c r="G1596" s="14" t="s">
        <v>546</v>
      </c>
      <c r="H1596" s="18" t="s">
        <v>5</v>
      </c>
      <c r="I1596" s="14" t="s">
        <v>115</v>
      </c>
      <c r="J1596" s="14"/>
      <c r="K1596" s="18" t="s">
        <v>651</v>
      </c>
      <c r="L1596" s="14"/>
      <c r="M1596" s="14">
        <v>1</v>
      </c>
      <c r="N1596" s="15">
        <f t="shared" si="61"/>
        <v>81355.932203389835</v>
      </c>
      <c r="O1596" s="15">
        <f t="shared" si="60"/>
        <v>81355.932203389835</v>
      </c>
      <c r="P1596" s="15"/>
      <c r="Q1596" s="14" t="s">
        <v>520</v>
      </c>
      <c r="R1596" s="25">
        <v>45716</v>
      </c>
      <c r="S1596" s="22" t="str">
        <f>TEXT(Table1[[#This Row],[End Date]],"MMMM")</f>
        <v>February</v>
      </c>
      <c r="T1596" s="23" t="str">
        <f>TEXT(Table1[[#This Row],[End Date]],"YYYY")</f>
        <v>2025</v>
      </c>
      <c r="U1596" s="24">
        <f t="shared" ca="1" si="58"/>
        <v>-583</v>
      </c>
      <c r="V1596" s="14" t="str" cm="1">
        <f t="array" aca="1" ref="V1596" ca="1">_xlfn.IFS(Table1[[#This Row],[Agreement Days]]&gt;=0,"Expired",Table1[[#This Row],[Agreement Days]]&gt;=-30,"Expires &lt; 30 Days",Table1[[#This Row],[Agreement Days]]&gt;=-60,"Expires &lt; 60 Days",Table1[[#This Row],[Agreement Days]]&lt;-60,"Valid Contract")</f>
        <v>Valid Contract</v>
      </c>
      <c r="W1596" s="14" t="s">
        <v>20</v>
      </c>
      <c r="X1596" s="14" t="s">
        <v>989</v>
      </c>
      <c r="Y1596" s="16" t="s">
        <v>990</v>
      </c>
      <c r="Z1596" s="27" t="s">
        <v>991</v>
      </c>
      <c r="AA1596" s="19"/>
      <c r="AB1596" s="123"/>
      <c r="AC1596" s="123"/>
    </row>
    <row r="1597" spans="1:29" s="11" customFormat="1" hidden="1" x14ac:dyDescent="0.3">
      <c r="A1597" s="18" t="s">
        <v>987</v>
      </c>
      <c r="B1597" s="18" t="s">
        <v>127</v>
      </c>
      <c r="C1597" s="18" t="s">
        <v>2956</v>
      </c>
      <c r="D1597" s="14" t="s">
        <v>735</v>
      </c>
      <c r="E1597" s="18" t="s">
        <v>9</v>
      </c>
      <c r="F1597" s="14" t="s">
        <v>601</v>
      </c>
      <c r="G1597" s="14" t="s">
        <v>546</v>
      </c>
      <c r="H1597" s="18" t="s">
        <v>5</v>
      </c>
      <c r="I1597" s="14" t="s">
        <v>115</v>
      </c>
      <c r="J1597" s="14"/>
      <c r="K1597" s="18" t="s">
        <v>651</v>
      </c>
      <c r="L1597" s="14"/>
      <c r="M1597" s="14">
        <v>1</v>
      </c>
      <c r="N1597" s="15">
        <f t="shared" si="61"/>
        <v>81355.932203389835</v>
      </c>
      <c r="O1597" s="15">
        <f t="shared" si="60"/>
        <v>81355.932203389835</v>
      </c>
      <c r="P1597" s="15"/>
      <c r="Q1597" s="14" t="s">
        <v>520</v>
      </c>
      <c r="R1597" s="25">
        <v>45716</v>
      </c>
      <c r="S1597" s="22" t="str">
        <f>TEXT(Table1[[#This Row],[End Date]],"MMMM")</f>
        <v>February</v>
      </c>
      <c r="T1597" s="23" t="str">
        <f>TEXT(Table1[[#This Row],[End Date]],"YYYY")</f>
        <v>2025</v>
      </c>
      <c r="U1597" s="24">
        <f t="shared" ca="1" si="58"/>
        <v>-583</v>
      </c>
      <c r="V1597" s="14" t="str" cm="1">
        <f t="array" aca="1" ref="V1597" ca="1">_xlfn.IFS(Table1[[#This Row],[Agreement Days]]&gt;=0,"Expired",Table1[[#This Row],[Agreement Days]]&gt;=-30,"Expires &lt; 30 Days",Table1[[#This Row],[Agreement Days]]&gt;=-60,"Expires &lt; 60 Days",Table1[[#This Row],[Agreement Days]]&lt;-60,"Valid Contract")</f>
        <v>Valid Contract</v>
      </c>
      <c r="W1597" s="14" t="s">
        <v>20</v>
      </c>
      <c r="X1597" s="14" t="s">
        <v>989</v>
      </c>
      <c r="Y1597" s="16" t="s">
        <v>990</v>
      </c>
      <c r="Z1597" s="27" t="s">
        <v>991</v>
      </c>
      <c r="AA1597" s="19"/>
      <c r="AB1597" s="123"/>
      <c r="AC1597" s="123"/>
    </row>
    <row r="1598" spans="1:29" s="11" customFormat="1" hidden="1" x14ac:dyDescent="0.3">
      <c r="A1598" s="18" t="s">
        <v>987</v>
      </c>
      <c r="B1598" s="18" t="s">
        <v>127</v>
      </c>
      <c r="C1598" s="18" t="s">
        <v>2957</v>
      </c>
      <c r="D1598" s="14" t="s">
        <v>735</v>
      </c>
      <c r="E1598" s="18" t="s">
        <v>9</v>
      </c>
      <c r="F1598" s="14" t="s">
        <v>601</v>
      </c>
      <c r="G1598" s="14" t="s">
        <v>546</v>
      </c>
      <c r="H1598" s="18" t="s">
        <v>5</v>
      </c>
      <c r="I1598" s="14" t="s">
        <v>115</v>
      </c>
      <c r="J1598" s="14"/>
      <c r="K1598" s="18" t="s">
        <v>651</v>
      </c>
      <c r="L1598" s="14"/>
      <c r="M1598" s="14">
        <v>1</v>
      </c>
      <c r="N1598" s="15">
        <f t="shared" si="61"/>
        <v>81355.932203389835</v>
      </c>
      <c r="O1598" s="15">
        <f t="shared" si="60"/>
        <v>81355.932203389835</v>
      </c>
      <c r="P1598" s="15"/>
      <c r="Q1598" s="14" t="s">
        <v>520</v>
      </c>
      <c r="R1598" s="25">
        <v>45716</v>
      </c>
      <c r="S1598" s="22" t="str">
        <f>TEXT(Table1[[#This Row],[End Date]],"MMMM")</f>
        <v>February</v>
      </c>
      <c r="T1598" s="23" t="str">
        <f>TEXT(Table1[[#This Row],[End Date]],"YYYY")</f>
        <v>2025</v>
      </c>
      <c r="U1598" s="24">
        <f t="shared" ca="1" si="58"/>
        <v>-583</v>
      </c>
      <c r="V1598" s="14" t="str" cm="1">
        <f t="array" aca="1" ref="V1598" ca="1">_xlfn.IFS(Table1[[#This Row],[Agreement Days]]&gt;=0,"Expired",Table1[[#This Row],[Agreement Days]]&gt;=-30,"Expires &lt; 30 Days",Table1[[#This Row],[Agreement Days]]&gt;=-60,"Expires &lt; 60 Days",Table1[[#This Row],[Agreement Days]]&lt;-60,"Valid Contract")</f>
        <v>Valid Contract</v>
      </c>
      <c r="W1598" s="14" t="s">
        <v>20</v>
      </c>
      <c r="X1598" s="14" t="s">
        <v>989</v>
      </c>
      <c r="Y1598" s="16" t="s">
        <v>990</v>
      </c>
      <c r="Z1598" s="27" t="s">
        <v>991</v>
      </c>
      <c r="AA1598" s="19"/>
      <c r="AB1598" s="123"/>
      <c r="AC1598" s="123"/>
    </row>
    <row r="1599" spans="1:29" s="11" customFormat="1" hidden="1" x14ac:dyDescent="0.3">
      <c r="A1599" s="18" t="s">
        <v>987</v>
      </c>
      <c r="B1599" s="18" t="s">
        <v>127</v>
      </c>
      <c r="C1599" s="18" t="s">
        <v>2958</v>
      </c>
      <c r="D1599" s="14" t="s">
        <v>619</v>
      </c>
      <c r="E1599" s="18" t="s">
        <v>9</v>
      </c>
      <c r="F1599" s="14" t="s">
        <v>601</v>
      </c>
      <c r="G1599" s="14" t="s">
        <v>546</v>
      </c>
      <c r="H1599" s="18" t="s">
        <v>5</v>
      </c>
      <c r="I1599" s="14" t="s">
        <v>115</v>
      </c>
      <c r="J1599" s="14"/>
      <c r="K1599" s="18" t="s">
        <v>651</v>
      </c>
      <c r="L1599" s="14"/>
      <c r="M1599" s="14">
        <v>1</v>
      </c>
      <c r="N1599" s="15">
        <f t="shared" si="61"/>
        <v>81355.932203389835</v>
      </c>
      <c r="O1599" s="15">
        <f t="shared" si="60"/>
        <v>81355.932203389835</v>
      </c>
      <c r="P1599" s="15"/>
      <c r="Q1599" s="14" t="s">
        <v>520</v>
      </c>
      <c r="R1599" s="25">
        <v>45716</v>
      </c>
      <c r="S1599" s="22" t="str">
        <f>TEXT(Table1[[#This Row],[End Date]],"MMMM")</f>
        <v>February</v>
      </c>
      <c r="T1599" s="23" t="str">
        <f>TEXT(Table1[[#This Row],[End Date]],"YYYY")</f>
        <v>2025</v>
      </c>
      <c r="U1599" s="24">
        <f t="shared" ca="1" si="58"/>
        <v>-583</v>
      </c>
      <c r="V1599" s="14" t="str" cm="1">
        <f t="array" aca="1" ref="V1599" ca="1">_xlfn.IFS(Table1[[#This Row],[Agreement Days]]&gt;=0,"Expired",Table1[[#This Row],[Agreement Days]]&gt;=-30,"Expires &lt; 30 Days",Table1[[#This Row],[Agreement Days]]&gt;=-60,"Expires &lt; 60 Days",Table1[[#This Row],[Agreement Days]]&lt;-60,"Valid Contract")</f>
        <v>Valid Contract</v>
      </c>
      <c r="W1599" s="14" t="s">
        <v>20</v>
      </c>
      <c r="X1599" s="14" t="s">
        <v>989</v>
      </c>
      <c r="Y1599" s="16" t="s">
        <v>990</v>
      </c>
      <c r="Z1599" s="27" t="s">
        <v>991</v>
      </c>
      <c r="AA1599" s="19"/>
      <c r="AB1599" s="123"/>
      <c r="AC1599" s="123"/>
    </row>
    <row r="1600" spans="1:29" s="11" customFormat="1" hidden="1" x14ac:dyDescent="0.3">
      <c r="A1600" s="18" t="s">
        <v>987</v>
      </c>
      <c r="B1600" s="18" t="s">
        <v>127</v>
      </c>
      <c r="C1600" s="18" t="s">
        <v>2959</v>
      </c>
      <c r="D1600" s="14" t="s">
        <v>619</v>
      </c>
      <c r="E1600" s="18" t="s">
        <v>9</v>
      </c>
      <c r="F1600" s="14" t="s">
        <v>601</v>
      </c>
      <c r="G1600" s="14" t="s">
        <v>546</v>
      </c>
      <c r="H1600" s="18" t="s">
        <v>5</v>
      </c>
      <c r="I1600" s="14" t="s">
        <v>115</v>
      </c>
      <c r="J1600" s="14"/>
      <c r="K1600" s="18" t="s">
        <v>651</v>
      </c>
      <c r="L1600" s="14"/>
      <c r="M1600" s="14">
        <v>1</v>
      </c>
      <c r="N1600" s="15">
        <f t="shared" si="61"/>
        <v>81355.932203389835</v>
      </c>
      <c r="O1600" s="15">
        <f t="shared" si="60"/>
        <v>81355.932203389835</v>
      </c>
      <c r="P1600" s="15"/>
      <c r="Q1600" s="14" t="s">
        <v>520</v>
      </c>
      <c r="R1600" s="25">
        <v>45716</v>
      </c>
      <c r="S1600" s="22" t="str">
        <f>TEXT(Table1[[#This Row],[End Date]],"MMMM")</f>
        <v>February</v>
      </c>
      <c r="T1600" s="23" t="str">
        <f>TEXT(Table1[[#This Row],[End Date]],"YYYY")</f>
        <v>2025</v>
      </c>
      <c r="U1600" s="24">
        <f t="shared" ca="1" si="58"/>
        <v>-583</v>
      </c>
      <c r="V1600" s="14" t="str" cm="1">
        <f t="array" aca="1" ref="V1600" ca="1">_xlfn.IFS(Table1[[#This Row],[Agreement Days]]&gt;=0,"Expired",Table1[[#This Row],[Agreement Days]]&gt;=-30,"Expires &lt; 30 Days",Table1[[#This Row],[Agreement Days]]&gt;=-60,"Expires &lt; 60 Days",Table1[[#This Row],[Agreement Days]]&lt;-60,"Valid Contract")</f>
        <v>Valid Contract</v>
      </c>
      <c r="W1600" s="14" t="s">
        <v>20</v>
      </c>
      <c r="X1600" s="14" t="s">
        <v>989</v>
      </c>
      <c r="Y1600" s="16" t="s">
        <v>990</v>
      </c>
      <c r="Z1600" s="27" t="s">
        <v>991</v>
      </c>
      <c r="AA1600" s="19"/>
      <c r="AB1600" s="123"/>
      <c r="AC1600" s="123"/>
    </row>
    <row r="1601" spans="1:29" s="11" customFormat="1" hidden="1" x14ac:dyDescent="0.3">
      <c r="A1601" s="18" t="s">
        <v>987</v>
      </c>
      <c r="B1601" s="18" t="s">
        <v>127</v>
      </c>
      <c r="C1601" s="18" t="s">
        <v>2960</v>
      </c>
      <c r="D1601" s="14" t="s">
        <v>619</v>
      </c>
      <c r="E1601" s="18" t="s">
        <v>9</v>
      </c>
      <c r="F1601" s="14" t="s">
        <v>601</v>
      </c>
      <c r="G1601" s="14" t="s">
        <v>546</v>
      </c>
      <c r="H1601" s="18" t="s">
        <v>5</v>
      </c>
      <c r="I1601" s="14" t="s">
        <v>115</v>
      </c>
      <c r="J1601" s="14"/>
      <c r="K1601" s="18" t="s">
        <v>651</v>
      </c>
      <c r="L1601" s="14"/>
      <c r="M1601" s="14">
        <v>1</v>
      </c>
      <c r="N1601" s="15">
        <f t="shared" si="61"/>
        <v>81355.932203389835</v>
      </c>
      <c r="O1601" s="15">
        <f t="shared" si="60"/>
        <v>81355.932203389835</v>
      </c>
      <c r="P1601" s="15"/>
      <c r="Q1601" s="14" t="s">
        <v>520</v>
      </c>
      <c r="R1601" s="25">
        <v>45716</v>
      </c>
      <c r="S1601" s="22" t="str">
        <f>TEXT(Table1[[#This Row],[End Date]],"MMMM")</f>
        <v>February</v>
      </c>
      <c r="T1601" s="23" t="str">
        <f>TEXT(Table1[[#This Row],[End Date]],"YYYY")</f>
        <v>2025</v>
      </c>
      <c r="U1601" s="24">
        <f t="shared" ca="1" si="58"/>
        <v>-583</v>
      </c>
      <c r="V1601" s="14" t="str" cm="1">
        <f t="array" aca="1" ref="V1601" ca="1">_xlfn.IFS(Table1[[#This Row],[Agreement Days]]&gt;=0,"Expired",Table1[[#This Row],[Agreement Days]]&gt;=-30,"Expires &lt; 30 Days",Table1[[#This Row],[Agreement Days]]&gt;=-60,"Expires &lt; 60 Days",Table1[[#This Row],[Agreement Days]]&lt;-60,"Valid Contract")</f>
        <v>Valid Contract</v>
      </c>
      <c r="W1601" s="14" t="s">
        <v>20</v>
      </c>
      <c r="X1601" s="14" t="s">
        <v>989</v>
      </c>
      <c r="Y1601" s="16" t="s">
        <v>990</v>
      </c>
      <c r="Z1601" s="27" t="s">
        <v>991</v>
      </c>
      <c r="AA1601" s="19"/>
      <c r="AB1601" s="123"/>
      <c r="AC1601" s="123"/>
    </row>
    <row r="1602" spans="1:29" s="11" customFormat="1" hidden="1" x14ac:dyDescent="0.3">
      <c r="A1602" s="18" t="s">
        <v>987</v>
      </c>
      <c r="B1602" s="18" t="s">
        <v>127</v>
      </c>
      <c r="C1602" s="18" t="s">
        <v>2961</v>
      </c>
      <c r="D1602" s="14" t="s">
        <v>619</v>
      </c>
      <c r="E1602" s="18" t="s">
        <v>9</v>
      </c>
      <c r="F1602" s="14" t="s">
        <v>601</v>
      </c>
      <c r="G1602" s="14" t="s">
        <v>546</v>
      </c>
      <c r="H1602" s="18" t="s">
        <v>5</v>
      </c>
      <c r="I1602" s="14" t="s">
        <v>115</v>
      </c>
      <c r="J1602" s="14"/>
      <c r="K1602" s="18" t="s">
        <v>651</v>
      </c>
      <c r="L1602" s="14"/>
      <c r="M1602" s="14">
        <v>1</v>
      </c>
      <c r="N1602" s="15">
        <f t="shared" si="61"/>
        <v>81355.932203389835</v>
      </c>
      <c r="O1602" s="15">
        <f t="shared" si="60"/>
        <v>81355.932203389835</v>
      </c>
      <c r="P1602" s="15"/>
      <c r="Q1602" s="14" t="s">
        <v>520</v>
      </c>
      <c r="R1602" s="25">
        <v>45716</v>
      </c>
      <c r="S1602" s="22" t="str">
        <f>TEXT(Table1[[#This Row],[End Date]],"MMMM")</f>
        <v>February</v>
      </c>
      <c r="T1602" s="23" t="str">
        <f>TEXT(Table1[[#This Row],[End Date]],"YYYY")</f>
        <v>2025</v>
      </c>
      <c r="U1602" s="24">
        <f t="shared" ca="1" si="58"/>
        <v>-583</v>
      </c>
      <c r="V1602" s="14" t="str" cm="1">
        <f t="array" aca="1" ref="V1602" ca="1">_xlfn.IFS(Table1[[#This Row],[Agreement Days]]&gt;=0,"Expired",Table1[[#This Row],[Agreement Days]]&gt;=-30,"Expires &lt; 30 Days",Table1[[#This Row],[Agreement Days]]&gt;=-60,"Expires &lt; 60 Days",Table1[[#This Row],[Agreement Days]]&lt;-60,"Valid Contract")</f>
        <v>Valid Contract</v>
      </c>
      <c r="W1602" s="14" t="s">
        <v>20</v>
      </c>
      <c r="X1602" s="14" t="s">
        <v>989</v>
      </c>
      <c r="Y1602" s="16" t="s">
        <v>990</v>
      </c>
      <c r="Z1602" s="27" t="s">
        <v>991</v>
      </c>
      <c r="AA1602" s="19"/>
      <c r="AB1602" s="123"/>
      <c r="AC1602" s="123"/>
    </row>
    <row r="1603" spans="1:29" s="11" customFormat="1" hidden="1" x14ac:dyDescent="0.3">
      <c r="A1603" s="18" t="s">
        <v>987</v>
      </c>
      <c r="B1603" s="18" t="s">
        <v>127</v>
      </c>
      <c r="C1603" s="18" t="s">
        <v>2962</v>
      </c>
      <c r="D1603" s="14" t="s">
        <v>619</v>
      </c>
      <c r="E1603" s="18" t="s">
        <v>9</v>
      </c>
      <c r="F1603" s="14" t="s">
        <v>601</v>
      </c>
      <c r="G1603" s="14" t="s">
        <v>546</v>
      </c>
      <c r="H1603" s="18" t="s">
        <v>5</v>
      </c>
      <c r="I1603" s="14" t="s">
        <v>115</v>
      </c>
      <c r="J1603" s="14"/>
      <c r="K1603" s="18" t="s">
        <v>651</v>
      </c>
      <c r="L1603" s="14"/>
      <c r="M1603" s="14">
        <v>1</v>
      </c>
      <c r="N1603" s="15">
        <f t="shared" si="61"/>
        <v>81355.932203389835</v>
      </c>
      <c r="O1603" s="15">
        <f t="shared" si="60"/>
        <v>81355.932203389835</v>
      </c>
      <c r="P1603" s="15"/>
      <c r="Q1603" s="14" t="s">
        <v>520</v>
      </c>
      <c r="R1603" s="25">
        <v>45716</v>
      </c>
      <c r="S1603" s="22" t="str">
        <f>TEXT(Table1[[#This Row],[End Date]],"MMMM")</f>
        <v>February</v>
      </c>
      <c r="T1603" s="23" t="str">
        <f>TEXT(Table1[[#This Row],[End Date]],"YYYY")</f>
        <v>2025</v>
      </c>
      <c r="U1603" s="24">
        <f t="shared" ca="1" si="58"/>
        <v>-583</v>
      </c>
      <c r="V1603" s="14" t="str" cm="1">
        <f t="array" aca="1" ref="V1603" ca="1">_xlfn.IFS(Table1[[#This Row],[Agreement Days]]&gt;=0,"Expired",Table1[[#This Row],[Agreement Days]]&gt;=-30,"Expires &lt; 30 Days",Table1[[#This Row],[Agreement Days]]&gt;=-60,"Expires &lt; 60 Days",Table1[[#This Row],[Agreement Days]]&lt;-60,"Valid Contract")</f>
        <v>Valid Contract</v>
      </c>
      <c r="W1603" s="14" t="s">
        <v>20</v>
      </c>
      <c r="X1603" s="14" t="s">
        <v>989</v>
      </c>
      <c r="Y1603" s="16" t="s">
        <v>990</v>
      </c>
      <c r="Z1603" s="27" t="s">
        <v>991</v>
      </c>
      <c r="AA1603" s="19"/>
      <c r="AB1603" s="123"/>
      <c r="AC1603" s="123"/>
    </row>
    <row r="1604" spans="1:29" s="11" customFormat="1" hidden="1" x14ac:dyDescent="0.3">
      <c r="A1604" s="18" t="s">
        <v>987</v>
      </c>
      <c r="B1604" s="18" t="s">
        <v>127</v>
      </c>
      <c r="C1604" s="18" t="s">
        <v>2963</v>
      </c>
      <c r="D1604" s="14" t="s">
        <v>619</v>
      </c>
      <c r="E1604" s="18" t="s">
        <v>9</v>
      </c>
      <c r="F1604" s="14" t="s">
        <v>601</v>
      </c>
      <c r="G1604" s="14" t="s">
        <v>546</v>
      </c>
      <c r="H1604" s="18" t="s">
        <v>5</v>
      </c>
      <c r="I1604" s="14" t="s">
        <v>115</v>
      </c>
      <c r="J1604" s="14"/>
      <c r="K1604" s="18" t="s">
        <v>651</v>
      </c>
      <c r="L1604" s="14"/>
      <c r="M1604" s="14">
        <v>1</v>
      </c>
      <c r="N1604" s="15">
        <f t="shared" si="61"/>
        <v>81355.932203389835</v>
      </c>
      <c r="O1604" s="15">
        <f t="shared" si="60"/>
        <v>81355.932203389835</v>
      </c>
      <c r="P1604" s="15"/>
      <c r="Q1604" s="14" t="s">
        <v>520</v>
      </c>
      <c r="R1604" s="25">
        <v>45716</v>
      </c>
      <c r="S1604" s="22" t="str">
        <f>TEXT(Table1[[#This Row],[End Date]],"MMMM")</f>
        <v>February</v>
      </c>
      <c r="T1604" s="23" t="str">
        <f>TEXT(Table1[[#This Row],[End Date]],"YYYY")</f>
        <v>2025</v>
      </c>
      <c r="U1604" s="24">
        <f t="shared" ca="1" si="58"/>
        <v>-583</v>
      </c>
      <c r="V1604" s="14" t="str" cm="1">
        <f t="array" aca="1" ref="V1604" ca="1">_xlfn.IFS(Table1[[#This Row],[Agreement Days]]&gt;=0,"Expired",Table1[[#This Row],[Agreement Days]]&gt;=-30,"Expires &lt; 30 Days",Table1[[#This Row],[Agreement Days]]&gt;=-60,"Expires &lt; 60 Days",Table1[[#This Row],[Agreement Days]]&lt;-60,"Valid Contract")</f>
        <v>Valid Contract</v>
      </c>
      <c r="W1604" s="14" t="s">
        <v>20</v>
      </c>
      <c r="X1604" s="14" t="s">
        <v>989</v>
      </c>
      <c r="Y1604" s="16" t="s">
        <v>990</v>
      </c>
      <c r="Z1604" s="27" t="s">
        <v>991</v>
      </c>
      <c r="AA1604" s="19"/>
      <c r="AB1604" s="123"/>
      <c r="AC1604" s="123"/>
    </row>
    <row r="1605" spans="1:29" s="11" customFormat="1" hidden="1" x14ac:dyDescent="0.3">
      <c r="A1605" s="18" t="s">
        <v>987</v>
      </c>
      <c r="B1605" s="18" t="s">
        <v>127</v>
      </c>
      <c r="C1605" s="18" t="s">
        <v>2964</v>
      </c>
      <c r="D1605" s="14" t="s">
        <v>810</v>
      </c>
      <c r="E1605" s="18" t="s">
        <v>9</v>
      </c>
      <c r="F1605" s="14" t="s">
        <v>601</v>
      </c>
      <c r="G1605" s="14" t="s">
        <v>546</v>
      </c>
      <c r="H1605" s="18" t="s">
        <v>5</v>
      </c>
      <c r="I1605" s="14" t="s">
        <v>115</v>
      </c>
      <c r="J1605" s="14"/>
      <c r="K1605" s="18" t="s">
        <v>651</v>
      </c>
      <c r="L1605" s="14"/>
      <c r="M1605" s="14">
        <v>1</v>
      </c>
      <c r="N1605" s="15">
        <f t="shared" si="61"/>
        <v>81355.932203389835</v>
      </c>
      <c r="O1605" s="15">
        <f t="shared" si="60"/>
        <v>81355.932203389835</v>
      </c>
      <c r="P1605" s="15"/>
      <c r="Q1605" s="14" t="s">
        <v>520</v>
      </c>
      <c r="R1605" s="25">
        <v>45716</v>
      </c>
      <c r="S1605" s="22" t="str">
        <f>TEXT(Table1[[#This Row],[End Date]],"MMMM")</f>
        <v>February</v>
      </c>
      <c r="T1605" s="23" t="str">
        <f>TEXT(Table1[[#This Row],[End Date]],"YYYY")</f>
        <v>2025</v>
      </c>
      <c r="U1605" s="24">
        <f t="shared" ca="1" si="58"/>
        <v>-583</v>
      </c>
      <c r="V1605" s="14" t="str" cm="1">
        <f t="array" aca="1" ref="V1605" ca="1">_xlfn.IFS(Table1[[#This Row],[Agreement Days]]&gt;=0,"Expired",Table1[[#This Row],[Agreement Days]]&gt;=-30,"Expires &lt; 30 Days",Table1[[#This Row],[Agreement Days]]&gt;=-60,"Expires &lt; 60 Days",Table1[[#This Row],[Agreement Days]]&lt;-60,"Valid Contract")</f>
        <v>Valid Contract</v>
      </c>
      <c r="W1605" s="14" t="s">
        <v>20</v>
      </c>
      <c r="X1605" s="14" t="s">
        <v>989</v>
      </c>
      <c r="Y1605" s="16" t="s">
        <v>990</v>
      </c>
      <c r="Z1605" s="27" t="s">
        <v>991</v>
      </c>
      <c r="AA1605" s="19"/>
      <c r="AB1605" s="123"/>
      <c r="AC1605" s="123"/>
    </row>
    <row r="1606" spans="1:29" s="11" customFormat="1" hidden="1" x14ac:dyDescent="0.3">
      <c r="A1606" s="18" t="s">
        <v>987</v>
      </c>
      <c r="B1606" s="18" t="s">
        <v>127</v>
      </c>
      <c r="C1606" s="18" t="s">
        <v>2965</v>
      </c>
      <c r="D1606" s="14" t="s">
        <v>810</v>
      </c>
      <c r="E1606" s="18" t="s">
        <v>9</v>
      </c>
      <c r="F1606" s="14" t="s">
        <v>601</v>
      </c>
      <c r="G1606" s="14" t="s">
        <v>546</v>
      </c>
      <c r="H1606" s="18" t="s">
        <v>5</v>
      </c>
      <c r="I1606" s="14" t="s">
        <v>115</v>
      </c>
      <c r="J1606" s="14"/>
      <c r="K1606" s="18" t="s">
        <v>651</v>
      </c>
      <c r="L1606" s="14"/>
      <c r="M1606" s="14">
        <v>1</v>
      </c>
      <c r="N1606" s="15">
        <f t="shared" si="61"/>
        <v>81355.932203389835</v>
      </c>
      <c r="O1606" s="15">
        <f t="shared" si="60"/>
        <v>81355.932203389835</v>
      </c>
      <c r="P1606" s="15"/>
      <c r="Q1606" s="14" t="s">
        <v>520</v>
      </c>
      <c r="R1606" s="25">
        <v>45716</v>
      </c>
      <c r="S1606" s="22" t="str">
        <f>TEXT(Table1[[#This Row],[End Date]],"MMMM")</f>
        <v>February</v>
      </c>
      <c r="T1606" s="23" t="str">
        <f>TEXT(Table1[[#This Row],[End Date]],"YYYY")</f>
        <v>2025</v>
      </c>
      <c r="U1606" s="24">
        <f t="shared" ca="1" si="58"/>
        <v>-583</v>
      </c>
      <c r="V1606" s="14" t="str" cm="1">
        <f t="array" aca="1" ref="V1606" ca="1">_xlfn.IFS(Table1[[#This Row],[Agreement Days]]&gt;=0,"Expired",Table1[[#This Row],[Agreement Days]]&gt;=-30,"Expires &lt; 30 Days",Table1[[#This Row],[Agreement Days]]&gt;=-60,"Expires &lt; 60 Days",Table1[[#This Row],[Agreement Days]]&lt;-60,"Valid Contract")</f>
        <v>Valid Contract</v>
      </c>
      <c r="W1606" s="14" t="s">
        <v>20</v>
      </c>
      <c r="X1606" s="14" t="s">
        <v>989</v>
      </c>
      <c r="Y1606" s="16" t="s">
        <v>990</v>
      </c>
      <c r="Z1606" s="27" t="s">
        <v>991</v>
      </c>
      <c r="AA1606" s="19"/>
      <c r="AB1606" s="123"/>
      <c r="AC1606" s="123"/>
    </row>
    <row r="1607" spans="1:29" s="11" customFormat="1" hidden="1" x14ac:dyDescent="0.3">
      <c r="A1607" s="18" t="s">
        <v>987</v>
      </c>
      <c r="B1607" s="18" t="s">
        <v>127</v>
      </c>
      <c r="C1607" s="18" t="s">
        <v>2966</v>
      </c>
      <c r="D1607" s="14" t="s">
        <v>810</v>
      </c>
      <c r="E1607" s="18" t="s">
        <v>9</v>
      </c>
      <c r="F1607" s="14" t="s">
        <v>601</v>
      </c>
      <c r="G1607" s="14" t="s">
        <v>546</v>
      </c>
      <c r="H1607" s="18" t="s">
        <v>5</v>
      </c>
      <c r="I1607" s="14" t="s">
        <v>115</v>
      </c>
      <c r="J1607" s="14"/>
      <c r="K1607" s="18" t="s">
        <v>651</v>
      </c>
      <c r="L1607" s="14"/>
      <c r="M1607" s="14">
        <v>1</v>
      </c>
      <c r="N1607" s="15">
        <f t="shared" si="61"/>
        <v>81355.932203389835</v>
      </c>
      <c r="O1607" s="15">
        <f t="shared" si="60"/>
        <v>81355.932203389835</v>
      </c>
      <c r="P1607" s="15"/>
      <c r="Q1607" s="14" t="s">
        <v>520</v>
      </c>
      <c r="R1607" s="25">
        <v>45716</v>
      </c>
      <c r="S1607" s="22" t="str">
        <f>TEXT(Table1[[#This Row],[End Date]],"MMMM")</f>
        <v>February</v>
      </c>
      <c r="T1607" s="23" t="str">
        <f>TEXT(Table1[[#This Row],[End Date]],"YYYY")</f>
        <v>2025</v>
      </c>
      <c r="U1607" s="24">
        <f t="shared" ref="U1607:U1670" ca="1" si="62">TODAY()-R1607</f>
        <v>-583</v>
      </c>
      <c r="V1607" s="14" t="str" cm="1">
        <f t="array" aca="1" ref="V1607" ca="1">_xlfn.IFS(Table1[[#This Row],[Agreement Days]]&gt;=0,"Expired",Table1[[#This Row],[Agreement Days]]&gt;=-30,"Expires &lt; 30 Days",Table1[[#This Row],[Agreement Days]]&gt;=-60,"Expires &lt; 60 Days",Table1[[#This Row],[Agreement Days]]&lt;-60,"Valid Contract")</f>
        <v>Valid Contract</v>
      </c>
      <c r="W1607" s="14" t="s">
        <v>20</v>
      </c>
      <c r="X1607" s="14" t="s">
        <v>989</v>
      </c>
      <c r="Y1607" s="16" t="s">
        <v>990</v>
      </c>
      <c r="Z1607" s="27" t="s">
        <v>991</v>
      </c>
      <c r="AA1607" s="19"/>
      <c r="AB1607" s="123"/>
      <c r="AC1607" s="123"/>
    </row>
    <row r="1608" spans="1:29" s="11" customFormat="1" hidden="1" x14ac:dyDescent="0.3">
      <c r="A1608" s="18" t="s">
        <v>987</v>
      </c>
      <c r="B1608" s="18" t="s">
        <v>127</v>
      </c>
      <c r="C1608" s="18" t="s">
        <v>2967</v>
      </c>
      <c r="D1608" s="14" t="s">
        <v>810</v>
      </c>
      <c r="E1608" s="18" t="s">
        <v>9</v>
      </c>
      <c r="F1608" s="14" t="s">
        <v>601</v>
      </c>
      <c r="G1608" s="14" t="s">
        <v>546</v>
      </c>
      <c r="H1608" s="18" t="s">
        <v>5</v>
      </c>
      <c r="I1608" s="14" t="s">
        <v>115</v>
      </c>
      <c r="J1608" s="14"/>
      <c r="K1608" s="18" t="s">
        <v>651</v>
      </c>
      <c r="L1608" s="14"/>
      <c r="M1608" s="14">
        <v>1</v>
      </c>
      <c r="N1608" s="15">
        <f t="shared" si="61"/>
        <v>81355.932203389835</v>
      </c>
      <c r="O1608" s="15">
        <f t="shared" si="60"/>
        <v>81355.932203389835</v>
      </c>
      <c r="P1608" s="15"/>
      <c r="Q1608" s="14" t="s">
        <v>520</v>
      </c>
      <c r="R1608" s="25">
        <v>45716</v>
      </c>
      <c r="S1608" s="22" t="str">
        <f>TEXT(Table1[[#This Row],[End Date]],"MMMM")</f>
        <v>February</v>
      </c>
      <c r="T1608" s="23" t="str">
        <f>TEXT(Table1[[#This Row],[End Date]],"YYYY")</f>
        <v>2025</v>
      </c>
      <c r="U1608" s="24">
        <f t="shared" ca="1" si="62"/>
        <v>-583</v>
      </c>
      <c r="V1608" s="14" t="str" cm="1">
        <f t="array" aca="1" ref="V1608" ca="1">_xlfn.IFS(Table1[[#This Row],[Agreement Days]]&gt;=0,"Expired",Table1[[#This Row],[Agreement Days]]&gt;=-30,"Expires &lt; 30 Days",Table1[[#This Row],[Agreement Days]]&gt;=-60,"Expires &lt; 60 Days",Table1[[#This Row],[Agreement Days]]&lt;-60,"Valid Contract")</f>
        <v>Valid Contract</v>
      </c>
      <c r="W1608" s="14" t="s">
        <v>20</v>
      </c>
      <c r="X1608" s="14" t="s">
        <v>989</v>
      </c>
      <c r="Y1608" s="16" t="s">
        <v>990</v>
      </c>
      <c r="Z1608" s="27" t="s">
        <v>991</v>
      </c>
      <c r="AA1608" s="19"/>
      <c r="AB1608" s="123"/>
      <c r="AC1608" s="123"/>
    </row>
    <row r="1609" spans="1:29" s="11" customFormat="1" hidden="1" x14ac:dyDescent="0.3">
      <c r="A1609" s="18" t="s">
        <v>987</v>
      </c>
      <c r="B1609" s="18" t="s">
        <v>127</v>
      </c>
      <c r="C1609" s="18" t="s">
        <v>2968</v>
      </c>
      <c r="D1609" s="14" t="s">
        <v>873</v>
      </c>
      <c r="E1609" s="18" t="s">
        <v>9</v>
      </c>
      <c r="F1609" s="14" t="s">
        <v>601</v>
      </c>
      <c r="G1609" s="14" t="s">
        <v>546</v>
      </c>
      <c r="H1609" s="18" t="s">
        <v>5</v>
      </c>
      <c r="I1609" s="14" t="s">
        <v>115</v>
      </c>
      <c r="J1609" s="14"/>
      <c r="K1609" s="18" t="s">
        <v>651</v>
      </c>
      <c r="L1609" s="14"/>
      <c r="M1609" s="14">
        <v>1</v>
      </c>
      <c r="N1609" s="15">
        <f t="shared" ref="N1609:N1640" si="63">96000/1.18</f>
        <v>81355.932203389835</v>
      </c>
      <c r="O1609" s="15">
        <f t="shared" si="60"/>
        <v>81355.932203389835</v>
      </c>
      <c r="P1609" s="15"/>
      <c r="Q1609" s="14" t="s">
        <v>520</v>
      </c>
      <c r="R1609" s="25">
        <v>45716</v>
      </c>
      <c r="S1609" s="22" t="str">
        <f>TEXT(Table1[[#This Row],[End Date]],"MMMM")</f>
        <v>February</v>
      </c>
      <c r="T1609" s="23" t="str">
        <f>TEXT(Table1[[#This Row],[End Date]],"YYYY")</f>
        <v>2025</v>
      </c>
      <c r="U1609" s="24">
        <f t="shared" ca="1" si="62"/>
        <v>-583</v>
      </c>
      <c r="V1609" s="14" t="str" cm="1">
        <f t="array" aca="1" ref="V1609" ca="1">_xlfn.IFS(Table1[[#This Row],[Agreement Days]]&gt;=0,"Expired",Table1[[#This Row],[Agreement Days]]&gt;=-30,"Expires &lt; 30 Days",Table1[[#This Row],[Agreement Days]]&gt;=-60,"Expires &lt; 60 Days",Table1[[#This Row],[Agreement Days]]&lt;-60,"Valid Contract")</f>
        <v>Valid Contract</v>
      </c>
      <c r="W1609" s="14" t="s">
        <v>20</v>
      </c>
      <c r="X1609" s="14" t="s">
        <v>989</v>
      </c>
      <c r="Y1609" s="16" t="s">
        <v>990</v>
      </c>
      <c r="Z1609" s="27" t="s">
        <v>991</v>
      </c>
      <c r="AA1609" s="19"/>
      <c r="AB1609" s="123"/>
      <c r="AC1609" s="123"/>
    </row>
    <row r="1610" spans="1:29" s="11" customFormat="1" hidden="1" x14ac:dyDescent="0.3">
      <c r="A1610" s="18" t="s">
        <v>987</v>
      </c>
      <c r="B1610" s="18" t="s">
        <v>127</v>
      </c>
      <c r="C1610" s="18" t="s">
        <v>2969</v>
      </c>
      <c r="D1610" s="14" t="s">
        <v>873</v>
      </c>
      <c r="E1610" s="18" t="s">
        <v>9</v>
      </c>
      <c r="F1610" s="14" t="s">
        <v>601</v>
      </c>
      <c r="G1610" s="14" t="s">
        <v>546</v>
      </c>
      <c r="H1610" s="18" t="s">
        <v>5</v>
      </c>
      <c r="I1610" s="14" t="s">
        <v>115</v>
      </c>
      <c r="J1610" s="14"/>
      <c r="K1610" s="18" t="s">
        <v>651</v>
      </c>
      <c r="L1610" s="14"/>
      <c r="M1610" s="14">
        <v>1</v>
      </c>
      <c r="N1610" s="15">
        <f t="shared" si="63"/>
        <v>81355.932203389835</v>
      </c>
      <c r="O1610" s="15">
        <f t="shared" si="60"/>
        <v>81355.932203389835</v>
      </c>
      <c r="P1610" s="15"/>
      <c r="Q1610" s="14" t="s">
        <v>520</v>
      </c>
      <c r="R1610" s="25">
        <v>45716</v>
      </c>
      <c r="S1610" s="22" t="str">
        <f>TEXT(Table1[[#This Row],[End Date]],"MMMM")</f>
        <v>February</v>
      </c>
      <c r="T1610" s="23" t="str">
        <f>TEXT(Table1[[#This Row],[End Date]],"YYYY")</f>
        <v>2025</v>
      </c>
      <c r="U1610" s="24">
        <f t="shared" ca="1" si="62"/>
        <v>-583</v>
      </c>
      <c r="V1610" s="14" t="str" cm="1">
        <f t="array" aca="1" ref="V1610" ca="1">_xlfn.IFS(Table1[[#This Row],[Agreement Days]]&gt;=0,"Expired",Table1[[#This Row],[Agreement Days]]&gt;=-30,"Expires &lt; 30 Days",Table1[[#This Row],[Agreement Days]]&gt;=-60,"Expires &lt; 60 Days",Table1[[#This Row],[Agreement Days]]&lt;-60,"Valid Contract")</f>
        <v>Valid Contract</v>
      </c>
      <c r="W1610" s="14" t="s">
        <v>20</v>
      </c>
      <c r="X1610" s="14" t="s">
        <v>989</v>
      </c>
      <c r="Y1610" s="16" t="s">
        <v>990</v>
      </c>
      <c r="Z1610" s="27" t="s">
        <v>991</v>
      </c>
      <c r="AA1610" s="19"/>
      <c r="AB1610" s="123"/>
      <c r="AC1610" s="123"/>
    </row>
    <row r="1611" spans="1:29" s="11" customFormat="1" hidden="1" x14ac:dyDescent="0.3">
      <c r="A1611" s="18" t="s">
        <v>987</v>
      </c>
      <c r="B1611" s="18" t="s">
        <v>127</v>
      </c>
      <c r="C1611" s="18" t="s">
        <v>2970</v>
      </c>
      <c r="D1611" s="14" t="s">
        <v>873</v>
      </c>
      <c r="E1611" s="18" t="s">
        <v>9</v>
      </c>
      <c r="F1611" s="14" t="s">
        <v>601</v>
      </c>
      <c r="G1611" s="14" t="s">
        <v>546</v>
      </c>
      <c r="H1611" s="18" t="s">
        <v>5</v>
      </c>
      <c r="I1611" s="14" t="s">
        <v>115</v>
      </c>
      <c r="J1611" s="14"/>
      <c r="K1611" s="18" t="s">
        <v>651</v>
      </c>
      <c r="L1611" s="14"/>
      <c r="M1611" s="14">
        <v>1</v>
      </c>
      <c r="N1611" s="15">
        <f t="shared" si="63"/>
        <v>81355.932203389835</v>
      </c>
      <c r="O1611" s="15">
        <f t="shared" si="60"/>
        <v>81355.932203389835</v>
      </c>
      <c r="P1611" s="15"/>
      <c r="Q1611" s="14" t="s">
        <v>520</v>
      </c>
      <c r="R1611" s="25">
        <v>45716</v>
      </c>
      <c r="S1611" s="22" t="str">
        <f>TEXT(Table1[[#This Row],[End Date]],"MMMM")</f>
        <v>February</v>
      </c>
      <c r="T1611" s="23" t="str">
        <f>TEXT(Table1[[#This Row],[End Date]],"YYYY")</f>
        <v>2025</v>
      </c>
      <c r="U1611" s="24">
        <f t="shared" ca="1" si="62"/>
        <v>-583</v>
      </c>
      <c r="V1611" s="14" t="str" cm="1">
        <f t="array" aca="1" ref="V1611" ca="1">_xlfn.IFS(Table1[[#This Row],[Agreement Days]]&gt;=0,"Expired",Table1[[#This Row],[Agreement Days]]&gt;=-30,"Expires &lt; 30 Days",Table1[[#This Row],[Agreement Days]]&gt;=-60,"Expires &lt; 60 Days",Table1[[#This Row],[Agreement Days]]&lt;-60,"Valid Contract")</f>
        <v>Valid Contract</v>
      </c>
      <c r="W1611" s="14" t="s">
        <v>20</v>
      </c>
      <c r="X1611" s="14" t="s">
        <v>989</v>
      </c>
      <c r="Y1611" s="16" t="s">
        <v>990</v>
      </c>
      <c r="Z1611" s="27" t="s">
        <v>991</v>
      </c>
      <c r="AA1611" s="19"/>
      <c r="AB1611" s="123"/>
      <c r="AC1611" s="123"/>
    </row>
    <row r="1612" spans="1:29" s="11" customFormat="1" hidden="1" x14ac:dyDescent="0.3">
      <c r="A1612" s="18" t="s">
        <v>987</v>
      </c>
      <c r="B1612" s="18" t="s">
        <v>127</v>
      </c>
      <c r="C1612" s="18" t="s">
        <v>2971</v>
      </c>
      <c r="D1612" s="14" t="s">
        <v>875</v>
      </c>
      <c r="E1612" s="18" t="s">
        <v>9</v>
      </c>
      <c r="F1612" s="14" t="s">
        <v>601</v>
      </c>
      <c r="G1612" s="14" t="s">
        <v>546</v>
      </c>
      <c r="H1612" s="18" t="s">
        <v>5</v>
      </c>
      <c r="I1612" s="14" t="s">
        <v>115</v>
      </c>
      <c r="J1612" s="14"/>
      <c r="K1612" s="18" t="s">
        <v>651</v>
      </c>
      <c r="L1612" s="14"/>
      <c r="M1612" s="14">
        <v>1</v>
      </c>
      <c r="N1612" s="15">
        <f t="shared" si="63"/>
        <v>81355.932203389835</v>
      </c>
      <c r="O1612" s="15">
        <f t="shared" si="60"/>
        <v>81355.932203389835</v>
      </c>
      <c r="P1612" s="15"/>
      <c r="Q1612" s="14" t="s">
        <v>520</v>
      </c>
      <c r="R1612" s="25">
        <v>45716</v>
      </c>
      <c r="S1612" s="22" t="str">
        <f>TEXT(Table1[[#This Row],[End Date]],"MMMM")</f>
        <v>February</v>
      </c>
      <c r="T1612" s="23" t="str">
        <f>TEXT(Table1[[#This Row],[End Date]],"YYYY")</f>
        <v>2025</v>
      </c>
      <c r="U1612" s="24">
        <f t="shared" ca="1" si="62"/>
        <v>-583</v>
      </c>
      <c r="V1612" s="14" t="str" cm="1">
        <f t="array" aca="1" ref="V1612" ca="1">_xlfn.IFS(Table1[[#This Row],[Agreement Days]]&gt;=0,"Expired",Table1[[#This Row],[Agreement Days]]&gt;=-30,"Expires &lt; 30 Days",Table1[[#This Row],[Agreement Days]]&gt;=-60,"Expires &lt; 60 Days",Table1[[#This Row],[Agreement Days]]&lt;-60,"Valid Contract")</f>
        <v>Valid Contract</v>
      </c>
      <c r="W1612" s="14" t="s">
        <v>20</v>
      </c>
      <c r="X1612" s="14" t="s">
        <v>989</v>
      </c>
      <c r="Y1612" s="16" t="s">
        <v>990</v>
      </c>
      <c r="Z1612" s="27" t="s">
        <v>991</v>
      </c>
      <c r="AA1612" s="19"/>
      <c r="AB1612" s="123"/>
      <c r="AC1612" s="123"/>
    </row>
    <row r="1613" spans="1:29" s="11" customFormat="1" hidden="1" x14ac:dyDescent="0.3">
      <c r="A1613" s="18" t="s">
        <v>987</v>
      </c>
      <c r="B1613" s="18" t="s">
        <v>127</v>
      </c>
      <c r="C1613" s="18" t="s">
        <v>2972</v>
      </c>
      <c r="D1613" s="14" t="s">
        <v>875</v>
      </c>
      <c r="E1613" s="18" t="s">
        <v>9</v>
      </c>
      <c r="F1613" s="14" t="s">
        <v>601</v>
      </c>
      <c r="G1613" s="14" t="s">
        <v>546</v>
      </c>
      <c r="H1613" s="18" t="s">
        <v>5</v>
      </c>
      <c r="I1613" s="14" t="s">
        <v>115</v>
      </c>
      <c r="J1613" s="14"/>
      <c r="K1613" s="18" t="s">
        <v>651</v>
      </c>
      <c r="L1613" s="14"/>
      <c r="M1613" s="14">
        <v>1</v>
      </c>
      <c r="N1613" s="15">
        <f t="shared" si="63"/>
        <v>81355.932203389835</v>
      </c>
      <c r="O1613" s="15">
        <f t="shared" si="60"/>
        <v>81355.932203389835</v>
      </c>
      <c r="P1613" s="15"/>
      <c r="Q1613" s="14" t="s">
        <v>520</v>
      </c>
      <c r="R1613" s="25">
        <v>45716</v>
      </c>
      <c r="S1613" s="22" t="str">
        <f>TEXT(Table1[[#This Row],[End Date]],"MMMM")</f>
        <v>February</v>
      </c>
      <c r="T1613" s="23" t="str">
        <f>TEXT(Table1[[#This Row],[End Date]],"YYYY")</f>
        <v>2025</v>
      </c>
      <c r="U1613" s="24">
        <f t="shared" ca="1" si="62"/>
        <v>-583</v>
      </c>
      <c r="V1613" s="14" t="str" cm="1">
        <f t="array" aca="1" ref="V1613" ca="1">_xlfn.IFS(Table1[[#This Row],[Agreement Days]]&gt;=0,"Expired",Table1[[#This Row],[Agreement Days]]&gt;=-30,"Expires &lt; 30 Days",Table1[[#This Row],[Agreement Days]]&gt;=-60,"Expires &lt; 60 Days",Table1[[#This Row],[Agreement Days]]&lt;-60,"Valid Contract")</f>
        <v>Valid Contract</v>
      </c>
      <c r="W1613" s="14" t="s">
        <v>20</v>
      </c>
      <c r="X1613" s="14" t="s">
        <v>989</v>
      </c>
      <c r="Y1613" s="16" t="s">
        <v>990</v>
      </c>
      <c r="Z1613" s="27" t="s">
        <v>991</v>
      </c>
      <c r="AA1613" s="19"/>
      <c r="AB1613" s="123"/>
      <c r="AC1613" s="123"/>
    </row>
    <row r="1614" spans="1:29" s="11" customFormat="1" hidden="1" x14ac:dyDescent="0.3">
      <c r="A1614" s="18" t="s">
        <v>987</v>
      </c>
      <c r="B1614" s="18" t="s">
        <v>127</v>
      </c>
      <c r="C1614" s="18" t="s">
        <v>2973</v>
      </c>
      <c r="D1614" s="14" t="s">
        <v>875</v>
      </c>
      <c r="E1614" s="18" t="s">
        <v>9</v>
      </c>
      <c r="F1614" s="14" t="s">
        <v>601</v>
      </c>
      <c r="G1614" s="14" t="s">
        <v>546</v>
      </c>
      <c r="H1614" s="18" t="s">
        <v>5</v>
      </c>
      <c r="I1614" s="14" t="s">
        <v>115</v>
      </c>
      <c r="J1614" s="14"/>
      <c r="K1614" s="18" t="s">
        <v>651</v>
      </c>
      <c r="L1614" s="14"/>
      <c r="M1614" s="14">
        <v>1</v>
      </c>
      <c r="N1614" s="15">
        <f t="shared" si="63"/>
        <v>81355.932203389835</v>
      </c>
      <c r="O1614" s="15">
        <f t="shared" ref="O1614:O1677" si="64">N1614*M1614</f>
        <v>81355.932203389835</v>
      </c>
      <c r="P1614" s="15"/>
      <c r="Q1614" s="14" t="s">
        <v>520</v>
      </c>
      <c r="R1614" s="25">
        <v>45716</v>
      </c>
      <c r="S1614" s="22" t="str">
        <f>TEXT(Table1[[#This Row],[End Date]],"MMMM")</f>
        <v>February</v>
      </c>
      <c r="T1614" s="23" t="str">
        <f>TEXT(Table1[[#This Row],[End Date]],"YYYY")</f>
        <v>2025</v>
      </c>
      <c r="U1614" s="24">
        <f t="shared" ca="1" si="62"/>
        <v>-583</v>
      </c>
      <c r="V1614" s="14" t="str" cm="1">
        <f t="array" aca="1" ref="V1614" ca="1">_xlfn.IFS(Table1[[#This Row],[Agreement Days]]&gt;=0,"Expired",Table1[[#This Row],[Agreement Days]]&gt;=-30,"Expires &lt; 30 Days",Table1[[#This Row],[Agreement Days]]&gt;=-60,"Expires &lt; 60 Days",Table1[[#This Row],[Agreement Days]]&lt;-60,"Valid Contract")</f>
        <v>Valid Contract</v>
      </c>
      <c r="W1614" s="14" t="s">
        <v>20</v>
      </c>
      <c r="X1614" s="14" t="s">
        <v>989</v>
      </c>
      <c r="Y1614" s="16" t="s">
        <v>990</v>
      </c>
      <c r="Z1614" s="27" t="s">
        <v>991</v>
      </c>
      <c r="AA1614" s="19"/>
      <c r="AB1614" s="123"/>
      <c r="AC1614" s="123"/>
    </row>
    <row r="1615" spans="1:29" s="11" customFormat="1" hidden="1" x14ac:dyDescent="0.3">
      <c r="A1615" s="18" t="s">
        <v>987</v>
      </c>
      <c r="B1615" s="18" t="s">
        <v>127</v>
      </c>
      <c r="C1615" s="18" t="s">
        <v>2974</v>
      </c>
      <c r="D1615" s="14" t="s">
        <v>875</v>
      </c>
      <c r="E1615" s="18" t="s">
        <v>9</v>
      </c>
      <c r="F1615" s="14" t="s">
        <v>601</v>
      </c>
      <c r="G1615" s="14" t="s">
        <v>546</v>
      </c>
      <c r="H1615" s="18" t="s">
        <v>5</v>
      </c>
      <c r="I1615" s="14" t="s">
        <v>115</v>
      </c>
      <c r="J1615" s="14"/>
      <c r="K1615" s="18" t="s">
        <v>651</v>
      </c>
      <c r="L1615" s="14"/>
      <c r="M1615" s="14">
        <v>1</v>
      </c>
      <c r="N1615" s="15">
        <f t="shared" si="63"/>
        <v>81355.932203389835</v>
      </c>
      <c r="O1615" s="15">
        <f t="shared" si="64"/>
        <v>81355.932203389835</v>
      </c>
      <c r="P1615" s="15"/>
      <c r="Q1615" s="14" t="s">
        <v>520</v>
      </c>
      <c r="R1615" s="25">
        <v>45716</v>
      </c>
      <c r="S1615" s="22" t="str">
        <f>TEXT(Table1[[#This Row],[End Date]],"MMMM")</f>
        <v>February</v>
      </c>
      <c r="T1615" s="23" t="str">
        <f>TEXT(Table1[[#This Row],[End Date]],"YYYY")</f>
        <v>2025</v>
      </c>
      <c r="U1615" s="24">
        <f t="shared" ca="1" si="62"/>
        <v>-583</v>
      </c>
      <c r="V1615" s="14" t="str" cm="1">
        <f t="array" aca="1" ref="V1615" ca="1">_xlfn.IFS(Table1[[#This Row],[Agreement Days]]&gt;=0,"Expired",Table1[[#This Row],[Agreement Days]]&gt;=-30,"Expires &lt; 30 Days",Table1[[#This Row],[Agreement Days]]&gt;=-60,"Expires &lt; 60 Days",Table1[[#This Row],[Agreement Days]]&lt;-60,"Valid Contract")</f>
        <v>Valid Contract</v>
      </c>
      <c r="W1615" s="14" t="s">
        <v>20</v>
      </c>
      <c r="X1615" s="14" t="s">
        <v>989</v>
      </c>
      <c r="Y1615" s="16" t="s">
        <v>990</v>
      </c>
      <c r="Z1615" s="27" t="s">
        <v>991</v>
      </c>
      <c r="AA1615" s="19"/>
      <c r="AB1615" s="123"/>
      <c r="AC1615" s="123"/>
    </row>
    <row r="1616" spans="1:29" s="11" customFormat="1" hidden="1" x14ac:dyDescent="0.3">
      <c r="A1616" s="18" t="s">
        <v>987</v>
      </c>
      <c r="B1616" s="18" t="s">
        <v>127</v>
      </c>
      <c r="C1616" s="18" t="s">
        <v>2975</v>
      </c>
      <c r="D1616" s="14" t="s">
        <v>875</v>
      </c>
      <c r="E1616" s="18" t="s">
        <v>9</v>
      </c>
      <c r="F1616" s="14" t="s">
        <v>601</v>
      </c>
      <c r="G1616" s="14" t="s">
        <v>546</v>
      </c>
      <c r="H1616" s="18" t="s">
        <v>5</v>
      </c>
      <c r="I1616" s="14" t="s">
        <v>115</v>
      </c>
      <c r="J1616" s="14"/>
      <c r="K1616" s="18" t="s">
        <v>651</v>
      </c>
      <c r="L1616" s="14"/>
      <c r="M1616" s="14">
        <v>1</v>
      </c>
      <c r="N1616" s="15">
        <f t="shared" si="63"/>
        <v>81355.932203389835</v>
      </c>
      <c r="O1616" s="15">
        <f t="shared" si="64"/>
        <v>81355.932203389835</v>
      </c>
      <c r="P1616" s="15"/>
      <c r="Q1616" s="14" t="s">
        <v>520</v>
      </c>
      <c r="R1616" s="25">
        <v>45716</v>
      </c>
      <c r="S1616" s="22" t="str">
        <f>TEXT(Table1[[#This Row],[End Date]],"MMMM")</f>
        <v>February</v>
      </c>
      <c r="T1616" s="23" t="str">
        <f>TEXT(Table1[[#This Row],[End Date]],"YYYY")</f>
        <v>2025</v>
      </c>
      <c r="U1616" s="24">
        <f t="shared" ca="1" si="62"/>
        <v>-583</v>
      </c>
      <c r="V1616" s="14" t="str" cm="1">
        <f t="array" aca="1" ref="V1616" ca="1">_xlfn.IFS(Table1[[#This Row],[Agreement Days]]&gt;=0,"Expired",Table1[[#This Row],[Agreement Days]]&gt;=-30,"Expires &lt; 30 Days",Table1[[#This Row],[Agreement Days]]&gt;=-60,"Expires &lt; 60 Days",Table1[[#This Row],[Agreement Days]]&lt;-60,"Valid Contract")</f>
        <v>Valid Contract</v>
      </c>
      <c r="W1616" s="14" t="s">
        <v>20</v>
      </c>
      <c r="X1616" s="14" t="s">
        <v>989</v>
      </c>
      <c r="Y1616" s="16" t="s">
        <v>990</v>
      </c>
      <c r="Z1616" s="27" t="s">
        <v>991</v>
      </c>
      <c r="AA1616" s="19"/>
      <c r="AB1616" s="123"/>
      <c r="AC1616" s="123"/>
    </row>
    <row r="1617" spans="1:29" s="11" customFormat="1" hidden="1" x14ac:dyDescent="0.3">
      <c r="A1617" s="18" t="s">
        <v>987</v>
      </c>
      <c r="B1617" s="18" t="s">
        <v>127</v>
      </c>
      <c r="C1617" s="18" t="s">
        <v>2976</v>
      </c>
      <c r="D1617" s="14" t="s">
        <v>875</v>
      </c>
      <c r="E1617" s="18" t="s">
        <v>9</v>
      </c>
      <c r="F1617" s="14" t="s">
        <v>601</v>
      </c>
      <c r="G1617" s="14" t="s">
        <v>546</v>
      </c>
      <c r="H1617" s="18" t="s">
        <v>5</v>
      </c>
      <c r="I1617" s="14" t="s">
        <v>115</v>
      </c>
      <c r="J1617" s="14"/>
      <c r="K1617" s="18" t="s">
        <v>651</v>
      </c>
      <c r="L1617" s="14"/>
      <c r="M1617" s="14">
        <v>1</v>
      </c>
      <c r="N1617" s="15">
        <f t="shared" si="63"/>
        <v>81355.932203389835</v>
      </c>
      <c r="O1617" s="15">
        <f t="shared" si="64"/>
        <v>81355.932203389835</v>
      </c>
      <c r="P1617" s="15"/>
      <c r="Q1617" s="14" t="s">
        <v>520</v>
      </c>
      <c r="R1617" s="25">
        <v>45716</v>
      </c>
      <c r="S1617" s="22" t="str">
        <f>TEXT(Table1[[#This Row],[End Date]],"MMMM")</f>
        <v>February</v>
      </c>
      <c r="T1617" s="23" t="str">
        <f>TEXT(Table1[[#This Row],[End Date]],"YYYY")</f>
        <v>2025</v>
      </c>
      <c r="U1617" s="24">
        <f t="shared" ca="1" si="62"/>
        <v>-583</v>
      </c>
      <c r="V1617" s="14" t="str" cm="1">
        <f t="array" aca="1" ref="V1617" ca="1">_xlfn.IFS(Table1[[#This Row],[Agreement Days]]&gt;=0,"Expired",Table1[[#This Row],[Agreement Days]]&gt;=-30,"Expires &lt; 30 Days",Table1[[#This Row],[Agreement Days]]&gt;=-60,"Expires &lt; 60 Days",Table1[[#This Row],[Agreement Days]]&lt;-60,"Valid Contract")</f>
        <v>Valid Contract</v>
      </c>
      <c r="W1617" s="14" t="s">
        <v>20</v>
      </c>
      <c r="X1617" s="14" t="s">
        <v>989</v>
      </c>
      <c r="Y1617" s="16" t="s">
        <v>990</v>
      </c>
      <c r="Z1617" s="27" t="s">
        <v>991</v>
      </c>
      <c r="AA1617" s="19"/>
      <c r="AB1617" s="123"/>
      <c r="AC1617" s="123"/>
    </row>
    <row r="1618" spans="1:29" s="11" customFormat="1" hidden="1" x14ac:dyDescent="0.3">
      <c r="A1618" s="18" t="s">
        <v>987</v>
      </c>
      <c r="B1618" s="18" t="s">
        <v>127</v>
      </c>
      <c r="C1618" s="18" t="s">
        <v>2977</v>
      </c>
      <c r="D1618" s="14" t="s">
        <v>875</v>
      </c>
      <c r="E1618" s="18" t="s">
        <v>9</v>
      </c>
      <c r="F1618" s="14" t="s">
        <v>601</v>
      </c>
      <c r="G1618" s="14" t="s">
        <v>546</v>
      </c>
      <c r="H1618" s="18" t="s">
        <v>5</v>
      </c>
      <c r="I1618" s="14" t="s">
        <v>115</v>
      </c>
      <c r="J1618" s="14"/>
      <c r="K1618" s="18" t="s">
        <v>651</v>
      </c>
      <c r="L1618" s="14"/>
      <c r="M1618" s="14">
        <v>1</v>
      </c>
      <c r="N1618" s="15">
        <f t="shared" si="63"/>
        <v>81355.932203389835</v>
      </c>
      <c r="O1618" s="15">
        <f t="shared" si="64"/>
        <v>81355.932203389835</v>
      </c>
      <c r="P1618" s="15"/>
      <c r="Q1618" s="14" t="s">
        <v>520</v>
      </c>
      <c r="R1618" s="25">
        <v>45716</v>
      </c>
      <c r="S1618" s="22" t="str">
        <f>TEXT(Table1[[#This Row],[End Date]],"MMMM")</f>
        <v>February</v>
      </c>
      <c r="T1618" s="23" t="str">
        <f>TEXT(Table1[[#This Row],[End Date]],"YYYY")</f>
        <v>2025</v>
      </c>
      <c r="U1618" s="24">
        <f t="shared" ca="1" si="62"/>
        <v>-583</v>
      </c>
      <c r="V1618" s="14" t="str" cm="1">
        <f t="array" aca="1" ref="V1618" ca="1">_xlfn.IFS(Table1[[#This Row],[Agreement Days]]&gt;=0,"Expired",Table1[[#This Row],[Agreement Days]]&gt;=-30,"Expires &lt; 30 Days",Table1[[#This Row],[Agreement Days]]&gt;=-60,"Expires &lt; 60 Days",Table1[[#This Row],[Agreement Days]]&lt;-60,"Valid Contract")</f>
        <v>Valid Contract</v>
      </c>
      <c r="W1618" s="14" t="s">
        <v>20</v>
      </c>
      <c r="X1618" s="14" t="s">
        <v>989</v>
      </c>
      <c r="Y1618" s="16" t="s">
        <v>990</v>
      </c>
      <c r="Z1618" s="27" t="s">
        <v>991</v>
      </c>
      <c r="AA1618" s="19"/>
      <c r="AB1618" s="123"/>
      <c r="AC1618" s="123"/>
    </row>
    <row r="1619" spans="1:29" s="11" customFormat="1" hidden="1" x14ac:dyDescent="0.3">
      <c r="A1619" s="18" t="s">
        <v>987</v>
      </c>
      <c r="B1619" s="18" t="s">
        <v>127</v>
      </c>
      <c r="C1619" s="18" t="s">
        <v>2978</v>
      </c>
      <c r="D1619" s="14" t="s">
        <v>875</v>
      </c>
      <c r="E1619" s="18" t="s">
        <v>9</v>
      </c>
      <c r="F1619" s="14" t="s">
        <v>601</v>
      </c>
      <c r="G1619" s="14" t="s">
        <v>546</v>
      </c>
      <c r="H1619" s="18" t="s">
        <v>5</v>
      </c>
      <c r="I1619" s="14" t="s">
        <v>115</v>
      </c>
      <c r="J1619" s="14"/>
      <c r="K1619" s="18" t="s">
        <v>651</v>
      </c>
      <c r="L1619" s="14"/>
      <c r="M1619" s="14">
        <v>1</v>
      </c>
      <c r="N1619" s="15">
        <f t="shared" si="63"/>
        <v>81355.932203389835</v>
      </c>
      <c r="O1619" s="15">
        <f t="shared" si="64"/>
        <v>81355.932203389835</v>
      </c>
      <c r="P1619" s="15"/>
      <c r="Q1619" s="14" t="s">
        <v>520</v>
      </c>
      <c r="R1619" s="25">
        <v>45716</v>
      </c>
      <c r="S1619" s="22" t="str">
        <f>TEXT(Table1[[#This Row],[End Date]],"MMMM")</f>
        <v>February</v>
      </c>
      <c r="T1619" s="23" t="str">
        <f>TEXT(Table1[[#This Row],[End Date]],"YYYY")</f>
        <v>2025</v>
      </c>
      <c r="U1619" s="24">
        <f t="shared" ca="1" si="62"/>
        <v>-583</v>
      </c>
      <c r="V1619" s="14" t="str" cm="1">
        <f t="array" aca="1" ref="V1619" ca="1">_xlfn.IFS(Table1[[#This Row],[Agreement Days]]&gt;=0,"Expired",Table1[[#This Row],[Agreement Days]]&gt;=-30,"Expires &lt; 30 Days",Table1[[#This Row],[Agreement Days]]&gt;=-60,"Expires &lt; 60 Days",Table1[[#This Row],[Agreement Days]]&lt;-60,"Valid Contract")</f>
        <v>Valid Contract</v>
      </c>
      <c r="W1619" s="14" t="s">
        <v>20</v>
      </c>
      <c r="X1619" s="14" t="s">
        <v>989</v>
      </c>
      <c r="Y1619" s="16" t="s">
        <v>990</v>
      </c>
      <c r="Z1619" s="27" t="s">
        <v>991</v>
      </c>
      <c r="AA1619" s="19"/>
      <c r="AB1619" s="123"/>
      <c r="AC1619" s="123"/>
    </row>
    <row r="1620" spans="1:29" s="11" customFormat="1" hidden="1" x14ac:dyDescent="0.3">
      <c r="A1620" s="18" t="s">
        <v>987</v>
      </c>
      <c r="B1620" s="18" t="s">
        <v>127</v>
      </c>
      <c r="C1620" s="18" t="s">
        <v>2979</v>
      </c>
      <c r="D1620" s="14" t="s">
        <v>946</v>
      </c>
      <c r="E1620" s="18" t="s">
        <v>9</v>
      </c>
      <c r="F1620" s="14" t="s">
        <v>601</v>
      </c>
      <c r="G1620" s="14" t="s">
        <v>546</v>
      </c>
      <c r="H1620" s="18" t="s">
        <v>5</v>
      </c>
      <c r="I1620" s="14" t="s">
        <v>115</v>
      </c>
      <c r="J1620" s="14"/>
      <c r="K1620" s="18" t="s">
        <v>651</v>
      </c>
      <c r="L1620" s="14"/>
      <c r="M1620" s="14">
        <v>1</v>
      </c>
      <c r="N1620" s="15">
        <f t="shared" si="63"/>
        <v>81355.932203389835</v>
      </c>
      <c r="O1620" s="15">
        <f t="shared" si="64"/>
        <v>81355.932203389835</v>
      </c>
      <c r="P1620" s="15"/>
      <c r="Q1620" s="14" t="s">
        <v>520</v>
      </c>
      <c r="R1620" s="25">
        <v>45716</v>
      </c>
      <c r="S1620" s="22" t="str">
        <f>TEXT(Table1[[#This Row],[End Date]],"MMMM")</f>
        <v>February</v>
      </c>
      <c r="T1620" s="23" t="str">
        <f>TEXT(Table1[[#This Row],[End Date]],"YYYY")</f>
        <v>2025</v>
      </c>
      <c r="U1620" s="24">
        <f t="shared" ca="1" si="62"/>
        <v>-583</v>
      </c>
      <c r="V1620" s="14" t="str" cm="1">
        <f t="array" aca="1" ref="V1620" ca="1">_xlfn.IFS(Table1[[#This Row],[Agreement Days]]&gt;=0,"Expired",Table1[[#This Row],[Agreement Days]]&gt;=-30,"Expires &lt; 30 Days",Table1[[#This Row],[Agreement Days]]&gt;=-60,"Expires &lt; 60 Days",Table1[[#This Row],[Agreement Days]]&lt;-60,"Valid Contract")</f>
        <v>Valid Contract</v>
      </c>
      <c r="W1620" s="14" t="s">
        <v>20</v>
      </c>
      <c r="X1620" s="14" t="s">
        <v>989</v>
      </c>
      <c r="Y1620" s="16" t="s">
        <v>990</v>
      </c>
      <c r="Z1620" s="27" t="s">
        <v>991</v>
      </c>
      <c r="AA1620" s="19"/>
      <c r="AB1620" s="123"/>
      <c r="AC1620" s="123"/>
    </row>
    <row r="1621" spans="1:29" s="11" customFormat="1" hidden="1" x14ac:dyDescent="0.3">
      <c r="A1621" s="18" t="s">
        <v>987</v>
      </c>
      <c r="B1621" s="18" t="s">
        <v>127</v>
      </c>
      <c r="C1621" s="18" t="s">
        <v>2980</v>
      </c>
      <c r="D1621" s="14" t="s">
        <v>946</v>
      </c>
      <c r="E1621" s="18" t="s">
        <v>9</v>
      </c>
      <c r="F1621" s="14" t="s">
        <v>601</v>
      </c>
      <c r="G1621" s="14" t="s">
        <v>546</v>
      </c>
      <c r="H1621" s="18" t="s">
        <v>5</v>
      </c>
      <c r="I1621" s="14" t="s">
        <v>115</v>
      </c>
      <c r="J1621" s="14"/>
      <c r="K1621" s="18" t="s">
        <v>651</v>
      </c>
      <c r="L1621" s="14"/>
      <c r="M1621" s="14">
        <v>1</v>
      </c>
      <c r="N1621" s="15">
        <f t="shared" si="63"/>
        <v>81355.932203389835</v>
      </c>
      <c r="O1621" s="15">
        <f t="shared" si="64"/>
        <v>81355.932203389835</v>
      </c>
      <c r="P1621" s="15"/>
      <c r="Q1621" s="14" t="s">
        <v>520</v>
      </c>
      <c r="R1621" s="25">
        <v>45716</v>
      </c>
      <c r="S1621" s="22" t="str">
        <f>TEXT(Table1[[#This Row],[End Date]],"MMMM")</f>
        <v>February</v>
      </c>
      <c r="T1621" s="23" t="str">
        <f>TEXT(Table1[[#This Row],[End Date]],"YYYY")</f>
        <v>2025</v>
      </c>
      <c r="U1621" s="24">
        <f t="shared" ca="1" si="62"/>
        <v>-583</v>
      </c>
      <c r="V1621" s="14" t="str" cm="1">
        <f t="array" aca="1" ref="V1621" ca="1">_xlfn.IFS(Table1[[#This Row],[Agreement Days]]&gt;=0,"Expired",Table1[[#This Row],[Agreement Days]]&gt;=-30,"Expires &lt; 30 Days",Table1[[#This Row],[Agreement Days]]&gt;=-60,"Expires &lt; 60 Days",Table1[[#This Row],[Agreement Days]]&lt;-60,"Valid Contract")</f>
        <v>Valid Contract</v>
      </c>
      <c r="W1621" s="14" t="s">
        <v>20</v>
      </c>
      <c r="X1621" s="14" t="s">
        <v>989</v>
      </c>
      <c r="Y1621" s="16" t="s">
        <v>990</v>
      </c>
      <c r="Z1621" s="27" t="s">
        <v>991</v>
      </c>
      <c r="AA1621" s="19"/>
      <c r="AB1621" s="123"/>
      <c r="AC1621" s="123"/>
    </row>
    <row r="1622" spans="1:29" s="11" customFormat="1" hidden="1" x14ac:dyDescent="0.3">
      <c r="A1622" s="18" t="s">
        <v>987</v>
      </c>
      <c r="B1622" s="18" t="s">
        <v>127</v>
      </c>
      <c r="C1622" s="18" t="s">
        <v>2981</v>
      </c>
      <c r="D1622" s="14" t="s">
        <v>946</v>
      </c>
      <c r="E1622" s="18" t="s">
        <v>9</v>
      </c>
      <c r="F1622" s="14" t="s">
        <v>601</v>
      </c>
      <c r="G1622" s="14" t="s">
        <v>546</v>
      </c>
      <c r="H1622" s="18" t="s">
        <v>5</v>
      </c>
      <c r="I1622" s="14" t="s">
        <v>115</v>
      </c>
      <c r="J1622" s="14"/>
      <c r="K1622" s="18" t="s">
        <v>651</v>
      </c>
      <c r="L1622" s="14"/>
      <c r="M1622" s="14">
        <v>1</v>
      </c>
      <c r="N1622" s="15">
        <f t="shared" si="63"/>
        <v>81355.932203389835</v>
      </c>
      <c r="O1622" s="15">
        <f t="shared" si="64"/>
        <v>81355.932203389835</v>
      </c>
      <c r="P1622" s="15"/>
      <c r="Q1622" s="14" t="s">
        <v>520</v>
      </c>
      <c r="R1622" s="25">
        <v>45716</v>
      </c>
      <c r="S1622" s="22" t="str">
        <f>TEXT(Table1[[#This Row],[End Date]],"MMMM")</f>
        <v>February</v>
      </c>
      <c r="T1622" s="23" t="str">
        <f>TEXT(Table1[[#This Row],[End Date]],"YYYY")</f>
        <v>2025</v>
      </c>
      <c r="U1622" s="24">
        <f t="shared" ca="1" si="62"/>
        <v>-583</v>
      </c>
      <c r="V1622" s="14" t="str" cm="1">
        <f t="array" aca="1" ref="V1622" ca="1">_xlfn.IFS(Table1[[#This Row],[Agreement Days]]&gt;=0,"Expired",Table1[[#This Row],[Agreement Days]]&gt;=-30,"Expires &lt; 30 Days",Table1[[#This Row],[Agreement Days]]&gt;=-60,"Expires &lt; 60 Days",Table1[[#This Row],[Agreement Days]]&lt;-60,"Valid Contract")</f>
        <v>Valid Contract</v>
      </c>
      <c r="W1622" s="14" t="s">
        <v>20</v>
      </c>
      <c r="X1622" s="14" t="s">
        <v>989</v>
      </c>
      <c r="Y1622" s="16" t="s">
        <v>990</v>
      </c>
      <c r="Z1622" s="27" t="s">
        <v>991</v>
      </c>
      <c r="AA1622" s="19"/>
      <c r="AB1622" s="123"/>
      <c r="AC1622" s="123"/>
    </row>
    <row r="1623" spans="1:29" s="11" customFormat="1" hidden="1" x14ac:dyDescent="0.3">
      <c r="A1623" s="18" t="s">
        <v>987</v>
      </c>
      <c r="B1623" s="18" t="s">
        <v>127</v>
      </c>
      <c r="C1623" s="18" t="s">
        <v>2982</v>
      </c>
      <c r="D1623" s="14" t="s">
        <v>946</v>
      </c>
      <c r="E1623" s="18" t="s">
        <v>9</v>
      </c>
      <c r="F1623" s="14" t="s">
        <v>601</v>
      </c>
      <c r="G1623" s="14" t="s">
        <v>546</v>
      </c>
      <c r="H1623" s="18" t="s">
        <v>5</v>
      </c>
      <c r="I1623" s="14" t="s">
        <v>115</v>
      </c>
      <c r="J1623" s="14"/>
      <c r="K1623" s="18" t="s">
        <v>651</v>
      </c>
      <c r="L1623" s="14"/>
      <c r="M1623" s="14">
        <v>1</v>
      </c>
      <c r="N1623" s="15">
        <f t="shared" si="63"/>
        <v>81355.932203389835</v>
      </c>
      <c r="O1623" s="15">
        <f t="shared" si="64"/>
        <v>81355.932203389835</v>
      </c>
      <c r="P1623" s="15"/>
      <c r="Q1623" s="14" t="s">
        <v>520</v>
      </c>
      <c r="R1623" s="25">
        <v>45716</v>
      </c>
      <c r="S1623" s="22" t="str">
        <f>TEXT(Table1[[#This Row],[End Date]],"MMMM")</f>
        <v>February</v>
      </c>
      <c r="T1623" s="23" t="str">
        <f>TEXT(Table1[[#This Row],[End Date]],"YYYY")</f>
        <v>2025</v>
      </c>
      <c r="U1623" s="24">
        <f t="shared" ca="1" si="62"/>
        <v>-583</v>
      </c>
      <c r="V1623" s="14" t="str" cm="1">
        <f t="array" aca="1" ref="V1623" ca="1">_xlfn.IFS(Table1[[#This Row],[Agreement Days]]&gt;=0,"Expired",Table1[[#This Row],[Agreement Days]]&gt;=-30,"Expires &lt; 30 Days",Table1[[#This Row],[Agreement Days]]&gt;=-60,"Expires &lt; 60 Days",Table1[[#This Row],[Agreement Days]]&lt;-60,"Valid Contract")</f>
        <v>Valid Contract</v>
      </c>
      <c r="W1623" s="14" t="s">
        <v>20</v>
      </c>
      <c r="X1623" s="14" t="s">
        <v>989</v>
      </c>
      <c r="Y1623" s="16" t="s">
        <v>990</v>
      </c>
      <c r="Z1623" s="27" t="s">
        <v>991</v>
      </c>
      <c r="AA1623" s="19"/>
      <c r="AB1623" s="123"/>
      <c r="AC1623" s="123"/>
    </row>
    <row r="1624" spans="1:29" s="11" customFormat="1" hidden="1" x14ac:dyDescent="0.3">
      <c r="A1624" s="18" t="s">
        <v>987</v>
      </c>
      <c r="B1624" s="18" t="s">
        <v>127</v>
      </c>
      <c r="C1624" s="18" t="s">
        <v>2983</v>
      </c>
      <c r="D1624" s="14" t="s">
        <v>946</v>
      </c>
      <c r="E1624" s="18" t="s">
        <v>9</v>
      </c>
      <c r="F1624" s="14" t="s">
        <v>601</v>
      </c>
      <c r="G1624" s="14" t="s">
        <v>546</v>
      </c>
      <c r="H1624" s="18" t="s">
        <v>5</v>
      </c>
      <c r="I1624" s="14" t="s">
        <v>115</v>
      </c>
      <c r="J1624" s="14"/>
      <c r="K1624" s="18" t="s">
        <v>651</v>
      </c>
      <c r="L1624" s="14"/>
      <c r="M1624" s="14">
        <v>1</v>
      </c>
      <c r="N1624" s="15">
        <f t="shared" si="63"/>
        <v>81355.932203389835</v>
      </c>
      <c r="O1624" s="15">
        <f t="shared" si="64"/>
        <v>81355.932203389835</v>
      </c>
      <c r="P1624" s="15"/>
      <c r="Q1624" s="14" t="s">
        <v>520</v>
      </c>
      <c r="R1624" s="25">
        <v>45716</v>
      </c>
      <c r="S1624" s="22" t="str">
        <f>TEXT(Table1[[#This Row],[End Date]],"MMMM")</f>
        <v>February</v>
      </c>
      <c r="T1624" s="23" t="str">
        <f>TEXT(Table1[[#This Row],[End Date]],"YYYY")</f>
        <v>2025</v>
      </c>
      <c r="U1624" s="24">
        <f t="shared" ca="1" si="62"/>
        <v>-583</v>
      </c>
      <c r="V1624" s="14" t="str" cm="1">
        <f t="array" aca="1" ref="V1624" ca="1">_xlfn.IFS(Table1[[#This Row],[Agreement Days]]&gt;=0,"Expired",Table1[[#This Row],[Agreement Days]]&gt;=-30,"Expires &lt; 30 Days",Table1[[#This Row],[Agreement Days]]&gt;=-60,"Expires &lt; 60 Days",Table1[[#This Row],[Agreement Days]]&lt;-60,"Valid Contract")</f>
        <v>Valid Contract</v>
      </c>
      <c r="W1624" s="14" t="s">
        <v>20</v>
      </c>
      <c r="X1624" s="14" t="s">
        <v>989</v>
      </c>
      <c r="Y1624" s="16" t="s">
        <v>990</v>
      </c>
      <c r="Z1624" s="27" t="s">
        <v>991</v>
      </c>
      <c r="AA1624" s="19"/>
      <c r="AB1624" s="123"/>
      <c r="AC1624" s="123"/>
    </row>
    <row r="1625" spans="1:29" s="11" customFormat="1" hidden="1" x14ac:dyDescent="0.3">
      <c r="A1625" s="18" t="s">
        <v>987</v>
      </c>
      <c r="B1625" s="18" t="s">
        <v>127</v>
      </c>
      <c r="C1625" s="18" t="s">
        <v>2984</v>
      </c>
      <c r="D1625" s="14" t="s">
        <v>946</v>
      </c>
      <c r="E1625" s="18" t="s">
        <v>9</v>
      </c>
      <c r="F1625" s="14" t="s">
        <v>601</v>
      </c>
      <c r="G1625" s="14" t="s">
        <v>546</v>
      </c>
      <c r="H1625" s="18" t="s">
        <v>5</v>
      </c>
      <c r="I1625" s="14" t="s">
        <v>115</v>
      </c>
      <c r="J1625" s="14"/>
      <c r="K1625" s="18" t="s">
        <v>651</v>
      </c>
      <c r="L1625" s="14"/>
      <c r="M1625" s="14">
        <v>1</v>
      </c>
      <c r="N1625" s="15">
        <f t="shared" si="63"/>
        <v>81355.932203389835</v>
      </c>
      <c r="O1625" s="15">
        <f t="shared" si="64"/>
        <v>81355.932203389835</v>
      </c>
      <c r="P1625" s="15"/>
      <c r="Q1625" s="14" t="s">
        <v>520</v>
      </c>
      <c r="R1625" s="25">
        <v>45716</v>
      </c>
      <c r="S1625" s="22" t="str">
        <f>TEXT(Table1[[#This Row],[End Date]],"MMMM")</f>
        <v>February</v>
      </c>
      <c r="T1625" s="23" t="str">
        <f>TEXT(Table1[[#This Row],[End Date]],"YYYY")</f>
        <v>2025</v>
      </c>
      <c r="U1625" s="24">
        <f t="shared" ca="1" si="62"/>
        <v>-583</v>
      </c>
      <c r="V1625" s="14" t="str" cm="1">
        <f t="array" aca="1" ref="V1625" ca="1">_xlfn.IFS(Table1[[#This Row],[Agreement Days]]&gt;=0,"Expired",Table1[[#This Row],[Agreement Days]]&gt;=-30,"Expires &lt; 30 Days",Table1[[#This Row],[Agreement Days]]&gt;=-60,"Expires &lt; 60 Days",Table1[[#This Row],[Agreement Days]]&lt;-60,"Valid Contract")</f>
        <v>Valid Contract</v>
      </c>
      <c r="W1625" s="14" t="s">
        <v>20</v>
      </c>
      <c r="X1625" s="14" t="s">
        <v>989</v>
      </c>
      <c r="Y1625" s="16" t="s">
        <v>990</v>
      </c>
      <c r="Z1625" s="27" t="s">
        <v>991</v>
      </c>
      <c r="AA1625" s="19"/>
      <c r="AB1625" s="123"/>
      <c r="AC1625" s="123"/>
    </row>
    <row r="1626" spans="1:29" s="11" customFormat="1" hidden="1" x14ac:dyDescent="0.3">
      <c r="A1626" s="18" t="s">
        <v>987</v>
      </c>
      <c r="B1626" s="18" t="s">
        <v>127</v>
      </c>
      <c r="C1626" s="18" t="s">
        <v>2985</v>
      </c>
      <c r="D1626" s="14" t="s">
        <v>946</v>
      </c>
      <c r="E1626" s="18" t="s">
        <v>9</v>
      </c>
      <c r="F1626" s="14" t="s">
        <v>601</v>
      </c>
      <c r="G1626" s="14" t="s">
        <v>546</v>
      </c>
      <c r="H1626" s="18" t="s">
        <v>5</v>
      </c>
      <c r="I1626" s="14" t="s">
        <v>115</v>
      </c>
      <c r="J1626" s="14"/>
      <c r="K1626" s="18" t="s">
        <v>651</v>
      </c>
      <c r="L1626" s="14"/>
      <c r="M1626" s="14">
        <v>1</v>
      </c>
      <c r="N1626" s="15">
        <f t="shared" si="63"/>
        <v>81355.932203389835</v>
      </c>
      <c r="O1626" s="15">
        <f t="shared" si="64"/>
        <v>81355.932203389835</v>
      </c>
      <c r="P1626" s="15"/>
      <c r="Q1626" s="14" t="s">
        <v>520</v>
      </c>
      <c r="R1626" s="25">
        <v>45716</v>
      </c>
      <c r="S1626" s="22" t="str">
        <f>TEXT(Table1[[#This Row],[End Date]],"MMMM")</f>
        <v>February</v>
      </c>
      <c r="T1626" s="23" t="str">
        <f>TEXT(Table1[[#This Row],[End Date]],"YYYY")</f>
        <v>2025</v>
      </c>
      <c r="U1626" s="24">
        <f t="shared" ca="1" si="62"/>
        <v>-583</v>
      </c>
      <c r="V1626" s="14" t="str" cm="1">
        <f t="array" aca="1" ref="V1626" ca="1">_xlfn.IFS(Table1[[#This Row],[Agreement Days]]&gt;=0,"Expired",Table1[[#This Row],[Agreement Days]]&gt;=-30,"Expires &lt; 30 Days",Table1[[#This Row],[Agreement Days]]&gt;=-60,"Expires &lt; 60 Days",Table1[[#This Row],[Agreement Days]]&lt;-60,"Valid Contract")</f>
        <v>Valid Contract</v>
      </c>
      <c r="W1626" s="14" t="s">
        <v>20</v>
      </c>
      <c r="X1626" s="14" t="s">
        <v>989</v>
      </c>
      <c r="Y1626" s="16" t="s">
        <v>990</v>
      </c>
      <c r="Z1626" s="27" t="s">
        <v>991</v>
      </c>
      <c r="AA1626" s="19"/>
      <c r="AB1626" s="123"/>
      <c r="AC1626" s="123"/>
    </row>
    <row r="1627" spans="1:29" s="11" customFormat="1" hidden="1" x14ac:dyDescent="0.3">
      <c r="A1627" s="18" t="s">
        <v>987</v>
      </c>
      <c r="B1627" s="18" t="s">
        <v>127</v>
      </c>
      <c r="C1627" s="18" t="s">
        <v>2986</v>
      </c>
      <c r="D1627" s="14" t="s">
        <v>946</v>
      </c>
      <c r="E1627" s="18" t="s">
        <v>9</v>
      </c>
      <c r="F1627" s="14" t="s">
        <v>601</v>
      </c>
      <c r="G1627" s="14" t="s">
        <v>546</v>
      </c>
      <c r="H1627" s="18" t="s">
        <v>5</v>
      </c>
      <c r="I1627" s="14" t="s">
        <v>115</v>
      </c>
      <c r="J1627" s="14"/>
      <c r="K1627" s="18" t="s">
        <v>651</v>
      </c>
      <c r="L1627" s="14"/>
      <c r="M1627" s="14">
        <v>1</v>
      </c>
      <c r="N1627" s="15">
        <f t="shared" si="63"/>
        <v>81355.932203389835</v>
      </c>
      <c r="O1627" s="15">
        <f t="shared" si="64"/>
        <v>81355.932203389835</v>
      </c>
      <c r="P1627" s="15"/>
      <c r="Q1627" s="14" t="s">
        <v>520</v>
      </c>
      <c r="R1627" s="25">
        <v>45716</v>
      </c>
      <c r="S1627" s="22" t="str">
        <f>TEXT(Table1[[#This Row],[End Date]],"MMMM")</f>
        <v>February</v>
      </c>
      <c r="T1627" s="23" t="str">
        <f>TEXT(Table1[[#This Row],[End Date]],"YYYY")</f>
        <v>2025</v>
      </c>
      <c r="U1627" s="24">
        <f t="shared" ca="1" si="62"/>
        <v>-583</v>
      </c>
      <c r="V1627" s="14" t="str" cm="1">
        <f t="array" aca="1" ref="V1627" ca="1">_xlfn.IFS(Table1[[#This Row],[Agreement Days]]&gt;=0,"Expired",Table1[[#This Row],[Agreement Days]]&gt;=-30,"Expires &lt; 30 Days",Table1[[#This Row],[Agreement Days]]&gt;=-60,"Expires &lt; 60 Days",Table1[[#This Row],[Agreement Days]]&lt;-60,"Valid Contract")</f>
        <v>Valid Contract</v>
      </c>
      <c r="W1627" s="14" t="s">
        <v>20</v>
      </c>
      <c r="X1627" s="14" t="s">
        <v>989</v>
      </c>
      <c r="Y1627" s="16" t="s">
        <v>990</v>
      </c>
      <c r="Z1627" s="27" t="s">
        <v>991</v>
      </c>
      <c r="AA1627" s="19"/>
      <c r="AB1627" s="123"/>
      <c r="AC1627" s="123"/>
    </row>
    <row r="1628" spans="1:29" s="11" customFormat="1" hidden="1" x14ac:dyDescent="0.3">
      <c r="A1628" s="18" t="s">
        <v>987</v>
      </c>
      <c r="B1628" s="18" t="s">
        <v>127</v>
      </c>
      <c r="C1628" s="18" t="s">
        <v>2987</v>
      </c>
      <c r="D1628" s="14" t="s">
        <v>662</v>
      </c>
      <c r="E1628" s="18" t="s">
        <v>9</v>
      </c>
      <c r="F1628" s="14" t="s">
        <v>601</v>
      </c>
      <c r="G1628" s="14" t="s">
        <v>546</v>
      </c>
      <c r="H1628" s="18" t="s">
        <v>5</v>
      </c>
      <c r="I1628" s="14" t="s">
        <v>115</v>
      </c>
      <c r="J1628" s="14"/>
      <c r="K1628" s="18" t="s">
        <v>651</v>
      </c>
      <c r="L1628" s="14"/>
      <c r="M1628" s="14">
        <v>1</v>
      </c>
      <c r="N1628" s="15">
        <f t="shared" si="63"/>
        <v>81355.932203389835</v>
      </c>
      <c r="O1628" s="15">
        <f t="shared" si="64"/>
        <v>81355.932203389835</v>
      </c>
      <c r="P1628" s="15"/>
      <c r="Q1628" s="14" t="s">
        <v>520</v>
      </c>
      <c r="R1628" s="25">
        <v>45716</v>
      </c>
      <c r="S1628" s="22" t="str">
        <f>TEXT(Table1[[#This Row],[End Date]],"MMMM")</f>
        <v>February</v>
      </c>
      <c r="T1628" s="23" t="str">
        <f>TEXT(Table1[[#This Row],[End Date]],"YYYY")</f>
        <v>2025</v>
      </c>
      <c r="U1628" s="24">
        <f t="shared" ca="1" si="62"/>
        <v>-583</v>
      </c>
      <c r="V1628" s="14" t="str" cm="1">
        <f t="array" aca="1" ref="V1628" ca="1">_xlfn.IFS(Table1[[#This Row],[Agreement Days]]&gt;=0,"Expired",Table1[[#This Row],[Agreement Days]]&gt;=-30,"Expires &lt; 30 Days",Table1[[#This Row],[Agreement Days]]&gt;=-60,"Expires &lt; 60 Days",Table1[[#This Row],[Agreement Days]]&lt;-60,"Valid Contract")</f>
        <v>Valid Contract</v>
      </c>
      <c r="W1628" s="14" t="s">
        <v>20</v>
      </c>
      <c r="X1628" s="14" t="s">
        <v>989</v>
      </c>
      <c r="Y1628" s="16" t="s">
        <v>990</v>
      </c>
      <c r="Z1628" s="27" t="s">
        <v>991</v>
      </c>
      <c r="AA1628" s="19"/>
      <c r="AB1628" s="123"/>
      <c r="AC1628" s="123"/>
    </row>
    <row r="1629" spans="1:29" s="11" customFormat="1" hidden="1" x14ac:dyDescent="0.3">
      <c r="A1629" s="18" t="s">
        <v>987</v>
      </c>
      <c r="B1629" s="18" t="s">
        <v>127</v>
      </c>
      <c r="C1629" s="18" t="s">
        <v>2988</v>
      </c>
      <c r="D1629" s="14" t="s">
        <v>662</v>
      </c>
      <c r="E1629" s="18" t="s">
        <v>9</v>
      </c>
      <c r="F1629" s="14" t="s">
        <v>601</v>
      </c>
      <c r="G1629" s="14" t="s">
        <v>546</v>
      </c>
      <c r="H1629" s="18" t="s">
        <v>5</v>
      </c>
      <c r="I1629" s="14" t="s">
        <v>115</v>
      </c>
      <c r="J1629" s="14"/>
      <c r="K1629" s="18" t="s">
        <v>651</v>
      </c>
      <c r="L1629" s="14"/>
      <c r="M1629" s="14">
        <v>1</v>
      </c>
      <c r="N1629" s="15">
        <f t="shared" si="63"/>
        <v>81355.932203389835</v>
      </c>
      <c r="O1629" s="15">
        <f t="shared" si="64"/>
        <v>81355.932203389835</v>
      </c>
      <c r="P1629" s="15"/>
      <c r="Q1629" s="14" t="s">
        <v>520</v>
      </c>
      <c r="R1629" s="25">
        <v>45716</v>
      </c>
      <c r="S1629" s="22" t="str">
        <f>TEXT(Table1[[#This Row],[End Date]],"MMMM")</f>
        <v>February</v>
      </c>
      <c r="T1629" s="23" t="str">
        <f>TEXT(Table1[[#This Row],[End Date]],"YYYY")</f>
        <v>2025</v>
      </c>
      <c r="U1629" s="24">
        <f t="shared" ca="1" si="62"/>
        <v>-583</v>
      </c>
      <c r="V1629" s="14" t="str" cm="1">
        <f t="array" aca="1" ref="V1629" ca="1">_xlfn.IFS(Table1[[#This Row],[Agreement Days]]&gt;=0,"Expired",Table1[[#This Row],[Agreement Days]]&gt;=-30,"Expires &lt; 30 Days",Table1[[#This Row],[Agreement Days]]&gt;=-60,"Expires &lt; 60 Days",Table1[[#This Row],[Agreement Days]]&lt;-60,"Valid Contract")</f>
        <v>Valid Contract</v>
      </c>
      <c r="W1629" s="14" t="s">
        <v>20</v>
      </c>
      <c r="X1629" s="14" t="s">
        <v>989</v>
      </c>
      <c r="Y1629" s="16" t="s">
        <v>990</v>
      </c>
      <c r="Z1629" s="27" t="s">
        <v>991</v>
      </c>
      <c r="AA1629" s="19"/>
      <c r="AB1629" s="123"/>
      <c r="AC1629" s="123"/>
    </row>
    <row r="1630" spans="1:29" s="11" customFormat="1" hidden="1" x14ac:dyDescent="0.3">
      <c r="A1630" s="18" t="s">
        <v>987</v>
      </c>
      <c r="B1630" s="18" t="s">
        <v>127</v>
      </c>
      <c r="C1630" s="18" t="s">
        <v>2989</v>
      </c>
      <c r="D1630" s="14" t="s">
        <v>662</v>
      </c>
      <c r="E1630" s="18" t="s">
        <v>9</v>
      </c>
      <c r="F1630" s="14" t="s">
        <v>601</v>
      </c>
      <c r="G1630" s="14" t="s">
        <v>546</v>
      </c>
      <c r="H1630" s="18" t="s">
        <v>5</v>
      </c>
      <c r="I1630" s="14" t="s">
        <v>115</v>
      </c>
      <c r="J1630" s="14"/>
      <c r="K1630" s="18" t="s">
        <v>651</v>
      </c>
      <c r="L1630" s="14"/>
      <c r="M1630" s="14">
        <v>1</v>
      </c>
      <c r="N1630" s="15">
        <f t="shared" si="63"/>
        <v>81355.932203389835</v>
      </c>
      <c r="O1630" s="15">
        <f t="shared" si="64"/>
        <v>81355.932203389835</v>
      </c>
      <c r="P1630" s="15"/>
      <c r="Q1630" s="14" t="s">
        <v>520</v>
      </c>
      <c r="R1630" s="25">
        <v>45716</v>
      </c>
      <c r="S1630" s="22" t="str">
        <f>TEXT(Table1[[#This Row],[End Date]],"MMMM")</f>
        <v>February</v>
      </c>
      <c r="T1630" s="23" t="str">
        <f>TEXT(Table1[[#This Row],[End Date]],"YYYY")</f>
        <v>2025</v>
      </c>
      <c r="U1630" s="24">
        <f t="shared" ca="1" si="62"/>
        <v>-583</v>
      </c>
      <c r="V1630" s="14" t="str" cm="1">
        <f t="array" aca="1" ref="V1630" ca="1">_xlfn.IFS(Table1[[#This Row],[Agreement Days]]&gt;=0,"Expired",Table1[[#This Row],[Agreement Days]]&gt;=-30,"Expires &lt; 30 Days",Table1[[#This Row],[Agreement Days]]&gt;=-60,"Expires &lt; 60 Days",Table1[[#This Row],[Agreement Days]]&lt;-60,"Valid Contract")</f>
        <v>Valid Contract</v>
      </c>
      <c r="W1630" s="14" t="s">
        <v>20</v>
      </c>
      <c r="X1630" s="14" t="s">
        <v>989</v>
      </c>
      <c r="Y1630" s="16" t="s">
        <v>990</v>
      </c>
      <c r="Z1630" s="27" t="s">
        <v>991</v>
      </c>
      <c r="AA1630" s="19"/>
      <c r="AB1630" s="123"/>
      <c r="AC1630" s="123"/>
    </row>
    <row r="1631" spans="1:29" s="11" customFormat="1" hidden="1" x14ac:dyDescent="0.3">
      <c r="A1631" s="18" t="s">
        <v>987</v>
      </c>
      <c r="B1631" s="18" t="s">
        <v>127</v>
      </c>
      <c r="C1631" s="18" t="s">
        <v>2990</v>
      </c>
      <c r="D1631" s="14" t="s">
        <v>662</v>
      </c>
      <c r="E1631" s="18" t="s">
        <v>9</v>
      </c>
      <c r="F1631" s="14" t="s">
        <v>601</v>
      </c>
      <c r="G1631" s="14" t="s">
        <v>546</v>
      </c>
      <c r="H1631" s="18" t="s">
        <v>5</v>
      </c>
      <c r="I1631" s="14" t="s">
        <v>115</v>
      </c>
      <c r="J1631" s="14"/>
      <c r="K1631" s="18" t="s">
        <v>651</v>
      </c>
      <c r="L1631" s="14"/>
      <c r="M1631" s="14">
        <v>1</v>
      </c>
      <c r="N1631" s="15">
        <f t="shared" si="63"/>
        <v>81355.932203389835</v>
      </c>
      <c r="O1631" s="15">
        <f t="shared" si="64"/>
        <v>81355.932203389835</v>
      </c>
      <c r="P1631" s="15"/>
      <c r="Q1631" s="14" t="s">
        <v>520</v>
      </c>
      <c r="R1631" s="25">
        <v>45716</v>
      </c>
      <c r="S1631" s="22" t="str">
        <f>TEXT(Table1[[#This Row],[End Date]],"MMMM")</f>
        <v>February</v>
      </c>
      <c r="T1631" s="23" t="str">
        <f>TEXT(Table1[[#This Row],[End Date]],"YYYY")</f>
        <v>2025</v>
      </c>
      <c r="U1631" s="24">
        <f t="shared" ca="1" si="62"/>
        <v>-583</v>
      </c>
      <c r="V1631" s="14" t="str" cm="1">
        <f t="array" aca="1" ref="V1631" ca="1">_xlfn.IFS(Table1[[#This Row],[Agreement Days]]&gt;=0,"Expired",Table1[[#This Row],[Agreement Days]]&gt;=-30,"Expires &lt; 30 Days",Table1[[#This Row],[Agreement Days]]&gt;=-60,"Expires &lt; 60 Days",Table1[[#This Row],[Agreement Days]]&lt;-60,"Valid Contract")</f>
        <v>Valid Contract</v>
      </c>
      <c r="W1631" s="14" t="s">
        <v>20</v>
      </c>
      <c r="X1631" s="14" t="s">
        <v>989</v>
      </c>
      <c r="Y1631" s="16" t="s">
        <v>990</v>
      </c>
      <c r="Z1631" s="27" t="s">
        <v>991</v>
      </c>
      <c r="AA1631" s="19"/>
      <c r="AB1631" s="123"/>
      <c r="AC1631" s="123"/>
    </row>
    <row r="1632" spans="1:29" s="11" customFormat="1" hidden="1" x14ac:dyDescent="0.3">
      <c r="A1632" s="18" t="s">
        <v>987</v>
      </c>
      <c r="B1632" s="18" t="s">
        <v>127</v>
      </c>
      <c r="C1632" s="18" t="s">
        <v>2991</v>
      </c>
      <c r="D1632" s="14" t="s">
        <v>662</v>
      </c>
      <c r="E1632" s="18" t="s">
        <v>9</v>
      </c>
      <c r="F1632" s="14" t="s">
        <v>601</v>
      </c>
      <c r="G1632" s="14" t="s">
        <v>546</v>
      </c>
      <c r="H1632" s="18" t="s">
        <v>5</v>
      </c>
      <c r="I1632" s="14" t="s">
        <v>115</v>
      </c>
      <c r="J1632" s="14"/>
      <c r="K1632" s="18" t="s">
        <v>651</v>
      </c>
      <c r="L1632" s="14"/>
      <c r="M1632" s="14">
        <v>1</v>
      </c>
      <c r="N1632" s="15">
        <f t="shared" si="63"/>
        <v>81355.932203389835</v>
      </c>
      <c r="O1632" s="15">
        <f t="shared" si="64"/>
        <v>81355.932203389835</v>
      </c>
      <c r="P1632" s="15"/>
      <c r="Q1632" s="14" t="s">
        <v>520</v>
      </c>
      <c r="R1632" s="25">
        <v>45716</v>
      </c>
      <c r="S1632" s="22" t="str">
        <f>TEXT(Table1[[#This Row],[End Date]],"MMMM")</f>
        <v>February</v>
      </c>
      <c r="T1632" s="23" t="str">
        <f>TEXT(Table1[[#This Row],[End Date]],"YYYY")</f>
        <v>2025</v>
      </c>
      <c r="U1632" s="24">
        <f t="shared" ca="1" si="62"/>
        <v>-583</v>
      </c>
      <c r="V1632" s="14" t="str" cm="1">
        <f t="array" aca="1" ref="V1632" ca="1">_xlfn.IFS(Table1[[#This Row],[Agreement Days]]&gt;=0,"Expired",Table1[[#This Row],[Agreement Days]]&gt;=-30,"Expires &lt; 30 Days",Table1[[#This Row],[Agreement Days]]&gt;=-60,"Expires &lt; 60 Days",Table1[[#This Row],[Agreement Days]]&lt;-60,"Valid Contract")</f>
        <v>Valid Contract</v>
      </c>
      <c r="W1632" s="14" t="s">
        <v>20</v>
      </c>
      <c r="X1632" s="14" t="s">
        <v>989</v>
      </c>
      <c r="Y1632" s="16" t="s">
        <v>990</v>
      </c>
      <c r="Z1632" s="27" t="s">
        <v>991</v>
      </c>
      <c r="AA1632" s="19"/>
      <c r="AB1632" s="123"/>
      <c r="AC1632" s="123"/>
    </row>
    <row r="1633" spans="1:29" s="11" customFormat="1" hidden="1" x14ac:dyDescent="0.3">
      <c r="A1633" s="18" t="s">
        <v>987</v>
      </c>
      <c r="B1633" s="18" t="s">
        <v>127</v>
      </c>
      <c r="C1633" s="18" t="s">
        <v>2984</v>
      </c>
      <c r="D1633" s="14" t="s">
        <v>662</v>
      </c>
      <c r="E1633" s="18" t="s">
        <v>9</v>
      </c>
      <c r="F1633" s="14" t="s">
        <v>601</v>
      </c>
      <c r="G1633" s="14" t="s">
        <v>546</v>
      </c>
      <c r="H1633" s="18" t="s">
        <v>5</v>
      </c>
      <c r="I1633" s="14" t="s">
        <v>115</v>
      </c>
      <c r="J1633" s="14"/>
      <c r="K1633" s="18" t="s">
        <v>651</v>
      </c>
      <c r="L1633" s="14"/>
      <c r="M1633" s="14">
        <v>1</v>
      </c>
      <c r="N1633" s="15">
        <f t="shared" si="63"/>
        <v>81355.932203389835</v>
      </c>
      <c r="O1633" s="15">
        <f t="shared" si="64"/>
        <v>81355.932203389835</v>
      </c>
      <c r="P1633" s="15"/>
      <c r="Q1633" s="14" t="s">
        <v>520</v>
      </c>
      <c r="R1633" s="25">
        <v>45716</v>
      </c>
      <c r="S1633" s="22" t="str">
        <f>TEXT(Table1[[#This Row],[End Date]],"MMMM")</f>
        <v>February</v>
      </c>
      <c r="T1633" s="23" t="str">
        <f>TEXT(Table1[[#This Row],[End Date]],"YYYY")</f>
        <v>2025</v>
      </c>
      <c r="U1633" s="24">
        <f t="shared" ca="1" si="62"/>
        <v>-583</v>
      </c>
      <c r="V1633" s="14" t="str" cm="1">
        <f t="array" aca="1" ref="V1633" ca="1">_xlfn.IFS(Table1[[#This Row],[Agreement Days]]&gt;=0,"Expired",Table1[[#This Row],[Agreement Days]]&gt;=-30,"Expires &lt; 30 Days",Table1[[#This Row],[Agreement Days]]&gt;=-60,"Expires &lt; 60 Days",Table1[[#This Row],[Agreement Days]]&lt;-60,"Valid Contract")</f>
        <v>Valid Contract</v>
      </c>
      <c r="W1633" s="14" t="s">
        <v>20</v>
      </c>
      <c r="X1633" s="14" t="s">
        <v>989</v>
      </c>
      <c r="Y1633" s="16" t="s">
        <v>990</v>
      </c>
      <c r="Z1633" s="27" t="s">
        <v>991</v>
      </c>
      <c r="AA1633" s="19"/>
      <c r="AB1633" s="123"/>
      <c r="AC1633" s="123"/>
    </row>
    <row r="1634" spans="1:29" s="11" customFormat="1" hidden="1" x14ac:dyDescent="0.3">
      <c r="A1634" s="18" t="s">
        <v>987</v>
      </c>
      <c r="B1634" s="18" t="s">
        <v>127</v>
      </c>
      <c r="C1634" s="18" t="s">
        <v>2992</v>
      </c>
      <c r="D1634" s="14" t="s">
        <v>630</v>
      </c>
      <c r="E1634" s="18" t="s">
        <v>9</v>
      </c>
      <c r="F1634" s="14" t="s">
        <v>601</v>
      </c>
      <c r="G1634" s="14" t="s">
        <v>546</v>
      </c>
      <c r="H1634" s="18" t="s">
        <v>5</v>
      </c>
      <c r="I1634" s="14" t="s">
        <v>115</v>
      </c>
      <c r="J1634" s="14"/>
      <c r="K1634" s="18" t="s">
        <v>651</v>
      </c>
      <c r="L1634" s="14"/>
      <c r="M1634" s="14">
        <v>1</v>
      </c>
      <c r="N1634" s="15">
        <f t="shared" si="63"/>
        <v>81355.932203389835</v>
      </c>
      <c r="O1634" s="15">
        <f t="shared" si="64"/>
        <v>81355.932203389835</v>
      </c>
      <c r="P1634" s="15"/>
      <c r="Q1634" s="14" t="s">
        <v>520</v>
      </c>
      <c r="R1634" s="25">
        <v>45716</v>
      </c>
      <c r="S1634" s="22" t="str">
        <f>TEXT(Table1[[#This Row],[End Date]],"MMMM")</f>
        <v>February</v>
      </c>
      <c r="T1634" s="23" t="str">
        <f>TEXT(Table1[[#This Row],[End Date]],"YYYY")</f>
        <v>2025</v>
      </c>
      <c r="U1634" s="24">
        <f t="shared" ca="1" si="62"/>
        <v>-583</v>
      </c>
      <c r="V1634" s="14" t="str" cm="1">
        <f t="array" aca="1" ref="V1634" ca="1">_xlfn.IFS(Table1[[#This Row],[Agreement Days]]&gt;=0,"Expired",Table1[[#This Row],[Agreement Days]]&gt;=-30,"Expires &lt; 30 Days",Table1[[#This Row],[Agreement Days]]&gt;=-60,"Expires &lt; 60 Days",Table1[[#This Row],[Agreement Days]]&lt;-60,"Valid Contract")</f>
        <v>Valid Contract</v>
      </c>
      <c r="W1634" s="14" t="s">
        <v>20</v>
      </c>
      <c r="X1634" s="14" t="s">
        <v>989</v>
      </c>
      <c r="Y1634" s="16" t="s">
        <v>990</v>
      </c>
      <c r="Z1634" s="27" t="s">
        <v>991</v>
      </c>
      <c r="AA1634" s="19"/>
      <c r="AB1634" s="123"/>
      <c r="AC1634" s="123"/>
    </row>
    <row r="1635" spans="1:29" s="11" customFormat="1" hidden="1" x14ac:dyDescent="0.3">
      <c r="A1635" s="18" t="s">
        <v>987</v>
      </c>
      <c r="B1635" s="18" t="s">
        <v>127</v>
      </c>
      <c r="C1635" s="18" t="s">
        <v>2993</v>
      </c>
      <c r="D1635" s="14" t="s">
        <v>630</v>
      </c>
      <c r="E1635" s="18" t="s">
        <v>9</v>
      </c>
      <c r="F1635" s="14" t="s">
        <v>601</v>
      </c>
      <c r="G1635" s="14" t="s">
        <v>546</v>
      </c>
      <c r="H1635" s="18" t="s">
        <v>5</v>
      </c>
      <c r="I1635" s="14" t="s">
        <v>115</v>
      </c>
      <c r="J1635" s="14"/>
      <c r="K1635" s="18" t="s">
        <v>651</v>
      </c>
      <c r="L1635" s="14"/>
      <c r="M1635" s="14">
        <v>1</v>
      </c>
      <c r="N1635" s="15">
        <f t="shared" si="63"/>
        <v>81355.932203389835</v>
      </c>
      <c r="O1635" s="15">
        <f t="shared" si="64"/>
        <v>81355.932203389835</v>
      </c>
      <c r="P1635" s="15"/>
      <c r="Q1635" s="14" t="s">
        <v>520</v>
      </c>
      <c r="R1635" s="25">
        <v>45716</v>
      </c>
      <c r="S1635" s="22" t="str">
        <f>TEXT(Table1[[#This Row],[End Date]],"MMMM")</f>
        <v>February</v>
      </c>
      <c r="T1635" s="23" t="str">
        <f>TEXT(Table1[[#This Row],[End Date]],"YYYY")</f>
        <v>2025</v>
      </c>
      <c r="U1635" s="24">
        <f t="shared" ca="1" si="62"/>
        <v>-583</v>
      </c>
      <c r="V1635" s="14" t="str" cm="1">
        <f t="array" aca="1" ref="V1635" ca="1">_xlfn.IFS(Table1[[#This Row],[Agreement Days]]&gt;=0,"Expired",Table1[[#This Row],[Agreement Days]]&gt;=-30,"Expires &lt; 30 Days",Table1[[#This Row],[Agreement Days]]&gt;=-60,"Expires &lt; 60 Days",Table1[[#This Row],[Agreement Days]]&lt;-60,"Valid Contract")</f>
        <v>Valid Contract</v>
      </c>
      <c r="W1635" s="14" t="s">
        <v>20</v>
      </c>
      <c r="X1635" s="14" t="s">
        <v>989</v>
      </c>
      <c r="Y1635" s="16" t="s">
        <v>990</v>
      </c>
      <c r="Z1635" s="27" t="s">
        <v>991</v>
      </c>
      <c r="AA1635" s="19"/>
      <c r="AB1635" s="123"/>
      <c r="AC1635" s="123"/>
    </row>
    <row r="1636" spans="1:29" s="11" customFormat="1" hidden="1" x14ac:dyDescent="0.3">
      <c r="A1636" s="18" t="s">
        <v>987</v>
      </c>
      <c r="B1636" s="18" t="s">
        <v>127</v>
      </c>
      <c r="C1636" s="18" t="s">
        <v>2994</v>
      </c>
      <c r="D1636" s="14" t="s">
        <v>630</v>
      </c>
      <c r="E1636" s="18" t="s">
        <v>9</v>
      </c>
      <c r="F1636" s="14" t="s">
        <v>601</v>
      </c>
      <c r="G1636" s="14" t="s">
        <v>546</v>
      </c>
      <c r="H1636" s="18" t="s">
        <v>5</v>
      </c>
      <c r="I1636" s="14" t="s">
        <v>115</v>
      </c>
      <c r="J1636" s="14"/>
      <c r="K1636" s="18" t="s">
        <v>651</v>
      </c>
      <c r="L1636" s="14"/>
      <c r="M1636" s="14">
        <v>1</v>
      </c>
      <c r="N1636" s="15">
        <f t="shared" si="63"/>
        <v>81355.932203389835</v>
      </c>
      <c r="O1636" s="15">
        <f t="shared" si="64"/>
        <v>81355.932203389835</v>
      </c>
      <c r="P1636" s="15"/>
      <c r="Q1636" s="14" t="s">
        <v>520</v>
      </c>
      <c r="R1636" s="25">
        <v>45716</v>
      </c>
      <c r="S1636" s="22" t="str">
        <f>TEXT(Table1[[#This Row],[End Date]],"MMMM")</f>
        <v>February</v>
      </c>
      <c r="T1636" s="23" t="str">
        <f>TEXT(Table1[[#This Row],[End Date]],"YYYY")</f>
        <v>2025</v>
      </c>
      <c r="U1636" s="24">
        <f t="shared" ca="1" si="62"/>
        <v>-583</v>
      </c>
      <c r="V1636" s="14" t="str" cm="1">
        <f t="array" aca="1" ref="V1636" ca="1">_xlfn.IFS(Table1[[#This Row],[Agreement Days]]&gt;=0,"Expired",Table1[[#This Row],[Agreement Days]]&gt;=-30,"Expires &lt; 30 Days",Table1[[#This Row],[Agreement Days]]&gt;=-60,"Expires &lt; 60 Days",Table1[[#This Row],[Agreement Days]]&lt;-60,"Valid Contract")</f>
        <v>Valid Contract</v>
      </c>
      <c r="W1636" s="14" t="s">
        <v>20</v>
      </c>
      <c r="X1636" s="14" t="s">
        <v>989</v>
      </c>
      <c r="Y1636" s="16" t="s">
        <v>990</v>
      </c>
      <c r="Z1636" s="27" t="s">
        <v>991</v>
      </c>
      <c r="AA1636" s="19"/>
      <c r="AB1636" s="123"/>
      <c r="AC1636" s="123"/>
    </row>
    <row r="1637" spans="1:29" s="11" customFormat="1" hidden="1" x14ac:dyDescent="0.3">
      <c r="A1637" s="18" t="s">
        <v>987</v>
      </c>
      <c r="B1637" s="18" t="s">
        <v>127</v>
      </c>
      <c r="C1637" s="18" t="s">
        <v>2995</v>
      </c>
      <c r="D1637" s="14" t="s">
        <v>630</v>
      </c>
      <c r="E1637" s="18" t="s">
        <v>9</v>
      </c>
      <c r="F1637" s="14" t="s">
        <v>601</v>
      </c>
      <c r="G1637" s="14" t="s">
        <v>546</v>
      </c>
      <c r="H1637" s="18" t="s">
        <v>5</v>
      </c>
      <c r="I1637" s="14" t="s">
        <v>115</v>
      </c>
      <c r="J1637" s="14"/>
      <c r="K1637" s="18" t="s">
        <v>651</v>
      </c>
      <c r="L1637" s="14"/>
      <c r="M1637" s="14">
        <v>1</v>
      </c>
      <c r="N1637" s="15">
        <f t="shared" si="63"/>
        <v>81355.932203389835</v>
      </c>
      <c r="O1637" s="15">
        <f t="shared" si="64"/>
        <v>81355.932203389835</v>
      </c>
      <c r="P1637" s="15"/>
      <c r="Q1637" s="14" t="s">
        <v>520</v>
      </c>
      <c r="R1637" s="25">
        <v>45716</v>
      </c>
      <c r="S1637" s="22" t="str">
        <f>TEXT(Table1[[#This Row],[End Date]],"MMMM")</f>
        <v>February</v>
      </c>
      <c r="T1637" s="23" t="str">
        <f>TEXT(Table1[[#This Row],[End Date]],"YYYY")</f>
        <v>2025</v>
      </c>
      <c r="U1637" s="24">
        <f t="shared" ca="1" si="62"/>
        <v>-583</v>
      </c>
      <c r="V1637" s="14" t="str" cm="1">
        <f t="array" aca="1" ref="V1637" ca="1">_xlfn.IFS(Table1[[#This Row],[Agreement Days]]&gt;=0,"Expired",Table1[[#This Row],[Agreement Days]]&gt;=-30,"Expires &lt; 30 Days",Table1[[#This Row],[Agreement Days]]&gt;=-60,"Expires &lt; 60 Days",Table1[[#This Row],[Agreement Days]]&lt;-60,"Valid Contract")</f>
        <v>Valid Contract</v>
      </c>
      <c r="W1637" s="14" t="s">
        <v>20</v>
      </c>
      <c r="X1637" s="14" t="s">
        <v>989</v>
      </c>
      <c r="Y1637" s="16" t="s">
        <v>990</v>
      </c>
      <c r="Z1637" s="27" t="s">
        <v>991</v>
      </c>
      <c r="AA1637" s="19"/>
      <c r="AB1637" s="123"/>
      <c r="AC1637" s="123"/>
    </row>
    <row r="1638" spans="1:29" s="11" customFormat="1" hidden="1" x14ac:dyDescent="0.3">
      <c r="A1638" s="18" t="s">
        <v>987</v>
      </c>
      <c r="B1638" s="18" t="s">
        <v>127</v>
      </c>
      <c r="C1638" s="18" t="s">
        <v>2996</v>
      </c>
      <c r="D1638" s="14" t="s">
        <v>630</v>
      </c>
      <c r="E1638" s="18" t="s">
        <v>9</v>
      </c>
      <c r="F1638" s="14" t="s">
        <v>601</v>
      </c>
      <c r="G1638" s="14" t="s">
        <v>546</v>
      </c>
      <c r="H1638" s="18" t="s">
        <v>5</v>
      </c>
      <c r="I1638" s="14" t="s">
        <v>115</v>
      </c>
      <c r="J1638" s="14"/>
      <c r="K1638" s="18" t="s">
        <v>651</v>
      </c>
      <c r="L1638" s="14"/>
      <c r="M1638" s="14">
        <v>1</v>
      </c>
      <c r="N1638" s="15">
        <f t="shared" si="63"/>
        <v>81355.932203389835</v>
      </c>
      <c r="O1638" s="15">
        <f t="shared" si="64"/>
        <v>81355.932203389835</v>
      </c>
      <c r="P1638" s="15"/>
      <c r="Q1638" s="14" t="s">
        <v>520</v>
      </c>
      <c r="R1638" s="25">
        <v>45716</v>
      </c>
      <c r="S1638" s="22" t="str">
        <f>TEXT(Table1[[#This Row],[End Date]],"MMMM")</f>
        <v>February</v>
      </c>
      <c r="T1638" s="23" t="str">
        <f>TEXT(Table1[[#This Row],[End Date]],"YYYY")</f>
        <v>2025</v>
      </c>
      <c r="U1638" s="24">
        <f t="shared" ca="1" si="62"/>
        <v>-583</v>
      </c>
      <c r="V1638" s="14" t="str" cm="1">
        <f t="array" aca="1" ref="V1638" ca="1">_xlfn.IFS(Table1[[#This Row],[Agreement Days]]&gt;=0,"Expired",Table1[[#This Row],[Agreement Days]]&gt;=-30,"Expires &lt; 30 Days",Table1[[#This Row],[Agreement Days]]&gt;=-60,"Expires &lt; 60 Days",Table1[[#This Row],[Agreement Days]]&lt;-60,"Valid Contract")</f>
        <v>Valid Contract</v>
      </c>
      <c r="W1638" s="14" t="s">
        <v>20</v>
      </c>
      <c r="X1638" s="14" t="s">
        <v>989</v>
      </c>
      <c r="Y1638" s="16" t="s">
        <v>990</v>
      </c>
      <c r="Z1638" s="27" t="s">
        <v>991</v>
      </c>
      <c r="AA1638" s="19"/>
      <c r="AB1638" s="123"/>
      <c r="AC1638" s="123"/>
    </row>
    <row r="1639" spans="1:29" s="11" customFormat="1" hidden="1" x14ac:dyDescent="0.3">
      <c r="A1639" s="18" t="s">
        <v>987</v>
      </c>
      <c r="B1639" s="18" t="s">
        <v>127</v>
      </c>
      <c r="C1639" s="18" t="s">
        <v>2997</v>
      </c>
      <c r="D1639" s="14" t="s">
        <v>630</v>
      </c>
      <c r="E1639" s="18" t="s">
        <v>9</v>
      </c>
      <c r="F1639" s="14" t="s">
        <v>601</v>
      </c>
      <c r="G1639" s="14" t="s">
        <v>546</v>
      </c>
      <c r="H1639" s="18" t="s">
        <v>5</v>
      </c>
      <c r="I1639" s="14" t="s">
        <v>115</v>
      </c>
      <c r="J1639" s="14"/>
      <c r="K1639" s="18" t="s">
        <v>651</v>
      </c>
      <c r="L1639" s="14"/>
      <c r="M1639" s="14">
        <v>1</v>
      </c>
      <c r="N1639" s="15">
        <f t="shared" si="63"/>
        <v>81355.932203389835</v>
      </c>
      <c r="O1639" s="15">
        <f t="shared" si="64"/>
        <v>81355.932203389835</v>
      </c>
      <c r="P1639" s="15"/>
      <c r="Q1639" s="14" t="s">
        <v>520</v>
      </c>
      <c r="R1639" s="25">
        <v>45716</v>
      </c>
      <c r="S1639" s="22" t="str">
        <f>TEXT(Table1[[#This Row],[End Date]],"MMMM")</f>
        <v>February</v>
      </c>
      <c r="T1639" s="23" t="str">
        <f>TEXT(Table1[[#This Row],[End Date]],"YYYY")</f>
        <v>2025</v>
      </c>
      <c r="U1639" s="24">
        <f t="shared" ca="1" si="62"/>
        <v>-583</v>
      </c>
      <c r="V1639" s="14" t="str" cm="1">
        <f t="array" aca="1" ref="V1639" ca="1">_xlfn.IFS(Table1[[#This Row],[Agreement Days]]&gt;=0,"Expired",Table1[[#This Row],[Agreement Days]]&gt;=-30,"Expires &lt; 30 Days",Table1[[#This Row],[Agreement Days]]&gt;=-60,"Expires &lt; 60 Days",Table1[[#This Row],[Agreement Days]]&lt;-60,"Valid Contract")</f>
        <v>Valid Contract</v>
      </c>
      <c r="W1639" s="14" t="s">
        <v>20</v>
      </c>
      <c r="X1639" s="14" t="s">
        <v>989</v>
      </c>
      <c r="Y1639" s="16" t="s">
        <v>990</v>
      </c>
      <c r="Z1639" s="27" t="s">
        <v>991</v>
      </c>
      <c r="AA1639" s="19"/>
      <c r="AB1639" s="123"/>
      <c r="AC1639" s="123"/>
    </row>
    <row r="1640" spans="1:29" s="11" customFormat="1" hidden="1" x14ac:dyDescent="0.3">
      <c r="A1640" s="18" t="s">
        <v>987</v>
      </c>
      <c r="B1640" s="18" t="s">
        <v>127</v>
      </c>
      <c r="C1640" s="18" t="s">
        <v>2998</v>
      </c>
      <c r="D1640" s="14" t="s">
        <v>630</v>
      </c>
      <c r="E1640" s="18" t="s">
        <v>9</v>
      </c>
      <c r="F1640" s="14" t="s">
        <v>601</v>
      </c>
      <c r="G1640" s="14" t="s">
        <v>546</v>
      </c>
      <c r="H1640" s="18" t="s">
        <v>5</v>
      </c>
      <c r="I1640" s="14" t="s">
        <v>115</v>
      </c>
      <c r="J1640" s="14"/>
      <c r="K1640" s="18" t="s">
        <v>651</v>
      </c>
      <c r="L1640" s="14"/>
      <c r="M1640" s="14">
        <v>1</v>
      </c>
      <c r="N1640" s="15">
        <f t="shared" si="63"/>
        <v>81355.932203389835</v>
      </c>
      <c r="O1640" s="15">
        <f t="shared" si="64"/>
        <v>81355.932203389835</v>
      </c>
      <c r="P1640" s="15"/>
      <c r="Q1640" s="14" t="s">
        <v>520</v>
      </c>
      <c r="R1640" s="25">
        <v>45716</v>
      </c>
      <c r="S1640" s="22" t="str">
        <f>TEXT(Table1[[#This Row],[End Date]],"MMMM")</f>
        <v>February</v>
      </c>
      <c r="T1640" s="23" t="str">
        <f>TEXT(Table1[[#This Row],[End Date]],"YYYY")</f>
        <v>2025</v>
      </c>
      <c r="U1640" s="24">
        <f t="shared" ca="1" si="62"/>
        <v>-583</v>
      </c>
      <c r="V1640" s="14" t="str" cm="1">
        <f t="array" aca="1" ref="V1640" ca="1">_xlfn.IFS(Table1[[#This Row],[Agreement Days]]&gt;=0,"Expired",Table1[[#This Row],[Agreement Days]]&gt;=-30,"Expires &lt; 30 Days",Table1[[#This Row],[Agreement Days]]&gt;=-60,"Expires &lt; 60 Days",Table1[[#This Row],[Agreement Days]]&lt;-60,"Valid Contract")</f>
        <v>Valid Contract</v>
      </c>
      <c r="W1640" s="14" t="s">
        <v>20</v>
      </c>
      <c r="X1640" s="14" t="s">
        <v>989</v>
      </c>
      <c r="Y1640" s="16" t="s">
        <v>990</v>
      </c>
      <c r="Z1640" s="27" t="s">
        <v>991</v>
      </c>
      <c r="AA1640" s="19"/>
      <c r="AB1640" s="123"/>
      <c r="AC1640" s="123"/>
    </row>
    <row r="1641" spans="1:29" s="11" customFormat="1" hidden="1" x14ac:dyDescent="0.3">
      <c r="A1641" s="18" t="s">
        <v>987</v>
      </c>
      <c r="B1641" s="18" t="s">
        <v>127</v>
      </c>
      <c r="C1641" s="18" t="s">
        <v>2999</v>
      </c>
      <c r="D1641" s="14" t="s">
        <v>630</v>
      </c>
      <c r="E1641" s="18" t="s">
        <v>9</v>
      </c>
      <c r="F1641" s="14" t="s">
        <v>601</v>
      </c>
      <c r="G1641" s="14" t="s">
        <v>546</v>
      </c>
      <c r="H1641" s="18" t="s">
        <v>5</v>
      </c>
      <c r="I1641" s="14" t="s">
        <v>115</v>
      </c>
      <c r="J1641" s="14"/>
      <c r="K1641" s="18" t="s">
        <v>651</v>
      </c>
      <c r="L1641" s="14"/>
      <c r="M1641" s="14">
        <v>1</v>
      </c>
      <c r="N1641" s="15">
        <f t="shared" ref="N1641:N1672" si="65">96000/1.18</f>
        <v>81355.932203389835</v>
      </c>
      <c r="O1641" s="15">
        <f t="shared" si="64"/>
        <v>81355.932203389835</v>
      </c>
      <c r="P1641" s="15"/>
      <c r="Q1641" s="14" t="s">
        <v>520</v>
      </c>
      <c r="R1641" s="25">
        <v>45716</v>
      </c>
      <c r="S1641" s="22" t="str">
        <f>TEXT(Table1[[#This Row],[End Date]],"MMMM")</f>
        <v>February</v>
      </c>
      <c r="T1641" s="23" t="str">
        <f>TEXT(Table1[[#This Row],[End Date]],"YYYY")</f>
        <v>2025</v>
      </c>
      <c r="U1641" s="24">
        <f t="shared" ca="1" si="62"/>
        <v>-583</v>
      </c>
      <c r="V1641" s="14" t="str" cm="1">
        <f t="array" aca="1" ref="V1641" ca="1">_xlfn.IFS(Table1[[#This Row],[Agreement Days]]&gt;=0,"Expired",Table1[[#This Row],[Agreement Days]]&gt;=-30,"Expires &lt; 30 Days",Table1[[#This Row],[Agreement Days]]&gt;=-60,"Expires &lt; 60 Days",Table1[[#This Row],[Agreement Days]]&lt;-60,"Valid Contract")</f>
        <v>Valid Contract</v>
      </c>
      <c r="W1641" s="14" t="s">
        <v>20</v>
      </c>
      <c r="X1641" s="14" t="s">
        <v>989</v>
      </c>
      <c r="Y1641" s="16" t="s">
        <v>990</v>
      </c>
      <c r="Z1641" s="27" t="s">
        <v>991</v>
      </c>
      <c r="AA1641" s="19"/>
      <c r="AB1641" s="123"/>
      <c r="AC1641" s="123"/>
    </row>
    <row r="1642" spans="1:29" s="11" customFormat="1" hidden="1" x14ac:dyDescent="0.3">
      <c r="A1642" s="18" t="s">
        <v>987</v>
      </c>
      <c r="B1642" s="18" t="s">
        <v>127</v>
      </c>
      <c r="C1642" s="18" t="s">
        <v>3000</v>
      </c>
      <c r="D1642" s="14" t="s">
        <v>630</v>
      </c>
      <c r="E1642" s="18" t="s">
        <v>9</v>
      </c>
      <c r="F1642" s="14" t="s">
        <v>601</v>
      </c>
      <c r="G1642" s="14" t="s">
        <v>546</v>
      </c>
      <c r="H1642" s="18" t="s">
        <v>5</v>
      </c>
      <c r="I1642" s="14" t="s">
        <v>115</v>
      </c>
      <c r="J1642" s="14"/>
      <c r="K1642" s="18" t="s">
        <v>651</v>
      </c>
      <c r="L1642" s="14"/>
      <c r="M1642" s="14">
        <v>1</v>
      </c>
      <c r="N1642" s="15">
        <f t="shared" si="65"/>
        <v>81355.932203389835</v>
      </c>
      <c r="O1642" s="15">
        <f t="shared" si="64"/>
        <v>81355.932203389835</v>
      </c>
      <c r="P1642" s="15"/>
      <c r="Q1642" s="14" t="s">
        <v>520</v>
      </c>
      <c r="R1642" s="25">
        <v>45716</v>
      </c>
      <c r="S1642" s="22" t="str">
        <f>TEXT(Table1[[#This Row],[End Date]],"MMMM")</f>
        <v>February</v>
      </c>
      <c r="T1642" s="23" t="str">
        <f>TEXT(Table1[[#This Row],[End Date]],"YYYY")</f>
        <v>2025</v>
      </c>
      <c r="U1642" s="24">
        <f t="shared" ca="1" si="62"/>
        <v>-583</v>
      </c>
      <c r="V1642" s="14" t="str" cm="1">
        <f t="array" aca="1" ref="V1642" ca="1">_xlfn.IFS(Table1[[#This Row],[Agreement Days]]&gt;=0,"Expired",Table1[[#This Row],[Agreement Days]]&gt;=-30,"Expires &lt; 30 Days",Table1[[#This Row],[Agreement Days]]&gt;=-60,"Expires &lt; 60 Days",Table1[[#This Row],[Agreement Days]]&lt;-60,"Valid Contract")</f>
        <v>Valid Contract</v>
      </c>
      <c r="W1642" s="14" t="s">
        <v>20</v>
      </c>
      <c r="X1642" s="14" t="s">
        <v>989</v>
      </c>
      <c r="Y1642" s="16" t="s">
        <v>990</v>
      </c>
      <c r="Z1642" s="27" t="s">
        <v>991</v>
      </c>
      <c r="AA1642" s="19"/>
      <c r="AB1642" s="123"/>
      <c r="AC1642" s="123"/>
    </row>
    <row r="1643" spans="1:29" s="11" customFormat="1" hidden="1" x14ac:dyDescent="0.3">
      <c r="A1643" s="18" t="s">
        <v>987</v>
      </c>
      <c r="B1643" s="18" t="s">
        <v>127</v>
      </c>
      <c r="C1643" s="18" t="s">
        <v>2986</v>
      </c>
      <c r="D1643" s="14" t="s">
        <v>630</v>
      </c>
      <c r="E1643" s="18" t="s">
        <v>9</v>
      </c>
      <c r="F1643" s="14" t="s">
        <v>601</v>
      </c>
      <c r="G1643" s="14" t="s">
        <v>546</v>
      </c>
      <c r="H1643" s="18" t="s">
        <v>5</v>
      </c>
      <c r="I1643" s="14" t="s">
        <v>115</v>
      </c>
      <c r="J1643" s="14"/>
      <c r="K1643" s="18" t="s">
        <v>651</v>
      </c>
      <c r="L1643" s="14"/>
      <c r="M1643" s="14">
        <v>1</v>
      </c>
      <c r="N1643" s="15">
        <f t="shared" si="65"/>
        <v>81355.932203389835</v>
      </c>
      <c r="O1643" s="15">
        <f t="shared" si="64"/>
        <v>81355.932203389835</v>
      </c>
      <c r="P1643" s="15"/>
      <c r="Q1643" s="14" t="s">
        <v>520</v>
      </c>
      <c r="R1643" s="25">
        <v>45716</v>
      </c>
      <c r="S1643" s="22" t="str">
        <f>TEXT(Table1[[#This Row],[End Date]],"MMMM")</f>
        <v>February</v>
      </c>
      <c r="T1643" s="23" t="str">
        <f>TEXT(Table1[[#This Row],[End Date]],"YYYY")</f>
        <v>2025</v>
      </c>
      <c r="U1643" s="24">
        <f t="shared" ca="1" si="62"/>
        <v>-583</v>
      </c>
      <c r="V1643" s="14" t="str" cm="1">
        <f t="array" aca="1" ref="V1643" ca="1">_xlfn.IFS(Table1[[#This Row],[Agreement Days]]&gt;=0,"Expired",Table1[[#This Row],[Agreement Days]]&gt;=-30,"Expires &lt; 30 Days",Table1[[#This Row],[Agreement Days]]&gt;=-60,"Expires &lt; 60 Days",Table1[[#This Row],[Agreement Days]]&lt;-60,"Valid Contract")</f>
        <v>Valid Contract</v>
      </c>
      <c r="W1643" s="14" t="s">
        <v>20</v>
      </c>
      <c r="X1643" s="14" t="s">
        <v>989</v>
      </c>
      <c r="Y1643" s="16" t="s">
        <v>990</v>
      </c>
      <c r="Z1643" s="27" t="s">
        <v>991</v>
      </c>
      <c r="AA1643" s="19"/>
      <c r="AB1643" s="123"/>
      <c r="AC1643" s="123"/>
    </row>
    <row r="1644" spans="1:29" s="11" customFormat="1" hidden="1" x14ac:dyDescent="0.3">
      <c r="A1644" s="18" t="s">
        <v>987</v>
      </c>
      <c r="B1644" s="18" t="s">
        <v>127</v>
      </c>
      <c r="C1644" s="18" t="s">
        <v>3001</v>
      </c>
      <c r="D1644" s="14" t="s">
        <v>653</v>
      </c>
      <c r="E1644" s="18" t="s">
        <v>9</v>
      </c>
      <c r="F1644" s="14" t="s">
        <v>601</v>
      </c>
      <c r="G1644" s="14" t="s">
        <v>546</v>
      </c>
      <c r="H1644" s="18" t="s">
        <v>5</v>
      </c>
      <c r="I1644" s="14" t="s">
        <v>115</v>
      </c>
      <c r="J1644" s="14"/>
      <c r="K1644" s="18" t="s">
        <v>651</v>
      </c>
      <c r="L1644" s="14"/>
      <c r="M1644" s="14">
        <v>1</v>
      </c>
      <c r="N1644" s="15">
        <f t="shared" si="65"/>
        <v>81355.932203389835</v>
      </c>
      <c r="O1644" s="15">
        <f t="shared" si="64"/>
        <v>81355.932203389835</v>
      </c>
      <c r="P1644" s="15"/>
      <c r="Q1644" s="14" t="s">
        <v>520</v>
      </c>
      <c r="R1644" s="25">
        <v>45716</v>
      </c>
      <c r="S1644" s="22" t="str">
        <f>TEXT(Table1[[#This Row],[End Date]],"MMMM")</f>
        <v>February</v>
      </c>
      <c r="T1644" s="23" t="str">
        <f>TEXT(Table1[[#This Row],[End Date]],"YYYY")</f>
        <v>2025</v>
      </c>
      <c r="U1644" s="24">
        <f t="shared" ca="1" si="62"/>
        <v>-583</v>
      </c>
      <c r="V1644" s="14" t="str" cm="1">
        <f t="array" aca="1" ref="V1644" ca="1">_xlfn.IFS(Table1[[#This Row],[Agreement Days]]&gt;=0,"Expired",Table1[[#This Row],[Agreement Days]]&gt;=-30,"Expires &lt; 30 Days",Table1[[#This Row],[Agreement Days]]&gt;=-60,"Expires &lt; 60 Days",Table1[[#This Row],[Agreement Days]]&lt;-60,"Valid Contract")</f>
        <v>Valid Contract</v>
      </c>
      <c r="W1644" s="14" t="s">
        <v>20</v>
      </c>
      <c r="X1644" s="14" t="s">
        <v>989</v>
      </c>
      <c r="Y1644" s="16" t="s">
        <v>990</v>
      </c>
      <c r="Z1644" s="27" t="s">
        <v>991</v>
      </c>
      <c r="AA1644" s="19"/>
      <c r="AB1644" s="123"/>
      <c r="AC1644" s="123"/>
    </row>
    <row r="1645" spans="1:29" s="11" customFormat="1" hidden="1" x14ac:dyDescent="0.3">
      <c r="A1645" s="18" t="s">
        <v>987</v>
      </c>
      <c r="B1645" s="18" t="s">
        <v>127</v>
      </c>
      <c r="C1645" s="18" t="s">
        <v>3002</v>
      </c>
      <c r="D1645" s="14" t="s">
        <v>653</v>
      </c>
      <c r="E1645" s="18" t="s">
        <v>9</v>
      </c>
      <c r="F1645" s="14" t="s">
        <v>601</v>
      </c>
      <c r="G1645" s="14" t="s">
        <v>546</v>
      </c>
      <c r="H1645" s="18" t="s">
        <v>5</v>
      </c>
      <c r="I1645" s="14" t="s">
        <v>115</v>
      </c>
      <c r="J1645" s="14"/>
      <c r="K1645" s="18" t="s">
        <v>651</v>
      </c>
      <c r="L1645" s="14"/>
      <c r="M1645" s="14">
        <v>1</v>
      </c>
      <c r="N1645" s="15">
        <f t="shared" si="65"/>
        <v>81355.932203389835</v>
      </c>
      <c r="O1645" s="15">
        <f t="shared" si="64"/>
        <v>81355.932203389835</v>
      </c>
      <c r="P1645" s="15"/>
      <c r="Q1645" s="14" t="s">
        <v>520</v>
      </c>
      <c r="R1645" s="25">
        <v>45716</v>
      </c>
      <c r="S1645" s="22" t="str">
        <f>TEXT(Table1[[#This Row],[End Date]],"MMMM")</f>
        <v>February</v>
      </c>
      <c r="T1645" s="23" t="str">
        <f>TEXT(Table1[[#This Row],[End Date]],"YYYY")</f>
        <v>2025</v>
      </c>
      <c r="U1645" s="24">
        <f t="shared" ca="1" si="62"/>
        <v>-583</v>
      </c>
      <c r="V1645" s="14" t="str" cm="1">
        <f t="array" aca="1" ref="V1645" ca="1">_xlfn.IFS(Table1[[#This Row],[Agreement Days]]&gt;=0,"Expired",Table1[[#This Row],[Agreement Days]]&gt;=-30,"Expires &lt; 30 Days",Table1[[#This Row],[Agreement Days]]&gt;=-60,"Expires &lt; 60 Days",Table1[[#This Row],[Agreement Days]]&lt;-60,"Valid Contract")</f>
        <v>Valid Contract</v>
      </c>
      <c r="W1645" s="14" t="s">
        <v>20</v>
      </c>
      <c r="X1645" s="14" t="s">
        <v>989</v>
      </c>
      <c r="Y1645" s="16" t="s">
        <v>990</v>
      </c>
      <c r="Z1645" s="27" t="s">
        <v>991</v>
      </c>
      <c r="AA1645" s="19"/>
      <c r="AB1645" s="123"/>
      <c r="AC1645" s="123"/>
    </row>
    <row r="1646" spans="1:29" s="11" customFormat="1" hidden="1" x14ac:dyDescent="0.3">
      <c r="A1646" s="18" t="s">
        <v>987</v>
      </c>
      <c r="B1646" s="18" t="s">
        <v>127</v>
      </c>
      <c r="C1646" s="18" t="s">
        <v>3003</v>
      </c>
      <c r="D1646" s="14" t="s">
        <v>653</v>
      </c>
      <c r="E1646" s="18" t="s">
        <v>9</v>
      </c>
      <c r="F1646" s="14" t="s">
        <v>601</v>
      </c>
      <c r="G1646" s="14" t="s">
        <v>546</v>
      </c>
      <c r="H1646" s="18" t="s">
        <v>5</v>
      </c>
      <c r="I1646" s="14" t="s">
        <v>115</v>
      </c>
      <c r="J1646" s="14"/>
      <c r="K1646" s="18" t="s">
        <v>651</v>
      </c>
      <c r="L1646" s="14"/>
      <c r="M1646" s="14">
        <v>1</v>
      </c>
      <c r="N1646" s="15">
        <f t="shared" si="65"/>
        <v>81355.932203389835</v>
      </c>
      <c r="O1646" s="15">
        <f t="shared" si="64"/>
        <v>81355.932203389835</v>
      </c>
      <c r="P1646" s="15"/>
      <c r="Q1646" s="14" t="s">
        <v>520</v>
      </c>
      <c r="R1646" s="25">
        <v>45716</v>
      </c>
      <c r="S1646" s="22" t="str">
        <f>TEXT(Table1[[#This Row],[End Date]],"MMMM")</f>
        <v>February</v>
      </c>
      <c r="T1646" s="23" t="str">
        <f>TEXT(Table1[[#This Row],[End Date]],"YYYY")</f>
        <v>2025</v>
      </c>
      <c r="U1646" s="24">
        <f t="shared" ca="1" si="62"/>
        <v>-583</v>
      </c>
      <c r="V1646" s="14" t="str" cm="1">
        <f t="array" aca="1" ref="V1646" ca="1">_xlfn.IFS(Table1[[#This Row],[Agreement Days]]&gt;=0,"Expired",Table1[[#This Row],[Agreement Days]]&gt;=-30,"Expires &lt; 30 Days",Table1[[#This Row],[Agreement Days]]&gt;=-60,"Expires &lt; 60 Days",Table1[[#This Row],[Agreement Days]]&lt;-60,"Valid Contract")</f>
        <v>Valid Contract</v>
      </c>
      <c r="W1646" s="14" t="s">
        <v>20</v>
      </c>
      <c r="X1646" s="14" t="s">
        <v>989</v>
      </c>
      <c r="Y1646" s="16" t="s">
        <v>990</v>
      </c>
      <c r="Z1646" s="27" t="s">
        <v>991</v>
      </c>
      <c r="AA1646" s="19"/>
      <c r="AB1646" s="123"/>
      <c r="AC1646" s="123"/>
    </row>
    <row r="1647" spans="1:29" s="11" customFormat="1" hidden="1" x14ac:dyDescent="0.3">
      <c r="A1647" s="18" t="s">
        <v>987</v>
      </c>
      <c r="B1647" s="18" t="s">
        <v>127</v>
      </c>
      <c r="C1647" s="18" t="s">
        <v>3004</v>
      </c>
      <c r="D1647" s="14" t="s">
        <v>653</v>
      </c>
      <c r="E1647" s="18" t="s">
        <v>9</v>
      </c>
      <c r="F1647" s="14" t="s">
        <v>601</v>
      </c>
      <c r="G1647" s="14" t="s">
        <v>546</v>
      </c>
      <c r="H1647" s="18" t="s">
        <v>5</v>
      </c>
      <c r="I1647" s="14" t="s">
        <v>115</v>
      </c>
      <c r="J1647" s="14"/>
      <c r="K1647" s="18" t="s">
        <v>651</v>
      </c>
      <c r="L1647" s="14"/>
      <c r="M1647" s="14">
        <v>1</v>
      </c>
      <c r="N1647" s="15">
        <f t="shared" si="65"/>
        <v>81355.932203389835</v>
      </c>
      <c r="O1647" s="15">
        <f t="shared" si="64"/>
        <v>81355.932203389835</v>
      </c>
      <c r="P1647" s="15"/>
      <c r="Q1647" s="14" t="s">
        <v>520</v>
      </c>
      <c r="R1647" s="25">
        <v>45716</v>
      </c>
      <c r="S1647" s="22" t="str">
        <f>TEXT(Table1[[#This Row],[End Date]],"MMMM")</f>
        <v>February</v>
      </c>
      <c r="T1647" s="23" t="str">
        <f>TEXT(Table1[[#This Row],[End Date]],"YYYY")</f>
        <v>2025</v>
      </c>
      <c r="U1647" s="24">
        <f t="shared" ca="1" si="62"/>
        <v>-583</v>
      </c>
      <c r="V1647" s="14" t="str" cm="1">
        <f t="array" aca="1" ref="V1647" ca="1">_xlfn.IFS(Table1[[#This Row],[Agreement Days]]&gt;=0,"Expired",Table1[[#This Row],[Agreement Days]]&gt;=-30,"Expires &lt; 30 Days",Table1[[#This Row],[Agreement Days]]&gt;=-60,"Expires &lt; 60 Days",Table1[[#This Row],[Agreement Days]]&lt;-60,"Valid Contract")</f>
        <v>Valid Contract</v>
      </c>
      <c r="W1647" s="14" t="s">
        <v>20</v>
      </c>
      <c r="X1647" s="14" t="s">
        <v>989</v>
      </c>
      <c r="Y1647" s="16" t="s">
        <v>990</v>
      </c>
      <c r="Z1647" s="27" t="s">
        <v>991</v>
      </c>
      <c r="AA1647" s="19"/>
      <c r="AB1647" s="123"/>
      <c r="AC1647" s="123"/>
    </row>
    <row r="1648" spans="1:29" s="11" customFormat="1" hidden="1" x14ac:dyDescent="0.3">
      <c r="A1648" s="18" t="s">
        <v>987</v>
      </c>
      <c r="B1648" s="18" t="s">
        <v>127</v>
      </c>
      <c r="C1648" s="18" t="s">
        <v>3005</v>
      </c>
      <c r="D1648" s="14" t="s">
        <v>653</v>
      </c>
      <c r="E1648" s="18" t="s">
        <v>9</v>
      </c>
      <c r="F1648" s="14" t="s">
        <v>601</v>
      </c>
      <c r="G1648" s="14" t="s">
        <v>546</v>
      </c>
      <c r="H1648" s="18" t="s">
        <v>5</v>
      </c>
      <c r="I1648" s="14" t="s">
        <v>115</v>
      </c>
      <c r="J1648" s="14"/>
      <c r="K1648" s="18" t="s">
        <v>651</v>
      </c>
      <c r="L1648" s="14"/>
      <c r="M1648" s="14">
        <v>1</v>
      </c>
      <c r="N1648" s="15">
        <f t="shared" si="65"/>
        <v>81355.932203389835</v>
      </c>
      <c r="O1648" s="15">
        <f t="shared" si="64"/>
        <v>81355.932203389835</v>
      </c>
      <c r="P1648" s="15"/>
      <c r="Q1648" s="14" t="s">
        <v>520</v>
      </c>
      <c r="R1648" s="25">
        <v>45716</v>
      </c>
      <c r="S1648" s="22" t="str">
        <f>TEXT(Table1[[#This Row],[End Date]],"MMMM")</f>
        <v>February</v>
      </c>
      <c r="T1648" s="23" t="str">
        <f>TEXT(Table1[[#This Row],[End Date]],"YYYY")</f>
        <v>2025</v>
      </c>
      <c r="U1648" s="24">
        <f t="shared" ca="1" si="62"/>
        <v>-583</v>
      </c>
      <c r="V1648" s="14" t="str" cm="1">
        <f t="array" aca="1" ref="V1648" ca="1">_xlfn.IFS(Table1[[#This Row],[Agreement Days]]&gt;=0,"Expired",Table1[[#This Row],[Agreement Days]]&gt;=-30,"Expires &lt; 30 Days",Table1[[#This Row],[Agreement Days]]&gt;=-60,"Expires &lt; 60 Days",Table1[[#This Row],[Agreement Days]]&lt;-60,"Valid Contract")</f>
        <v>Valid Contract</v>
      </c>
      <c r="W1648" s="14" t="s">
        <v>20</v>
      </c>
      <c r="X1648" s="14" t="s">
        <v>989</v>
      </c>
      <c r="Y1648" s="16" t="s">
        <v>990</v>
      </c>
      <c r="Z1648" s="27" t="s">
        <v>991</v>
      </c>
      <c r="AA1648" s="19"/>
      <c r="AB1648" s="123"/>
      <c r="AC1648" s="123"/>
    </row>
    <row r="1649" spans="1:29" s="11" customFormat="1" hidden="1" x14ac:dyDescent="0.3">
      <c r="A1649" s="18" t="s">
        <v>987</v>
      </c>
      <c r="B1649" s="18" t="s">
        <v>127</v>
      </c>
      <c r="C1649" s="18" t="s">
        <v>3006</v>
      </c>
      <c r="D1649" s="14" t="s">
        <v>653</v>
      </c>
      <c r="E1649" s="18" t="s">
        <v>9</v>
      </c>
      <c r="F1649" s="14" t="s">
        <v>601</v>
      </c>
      <c r="G1649" s="14" t="s">
        <v>546</v>
      </c>
      <c r="H1649" s="18" t="s">
        <v>5</v>
      </c>
      <c r="I1649" s="14" t="s">
        <v>115</v>
      </c>
      <c r="J1649" s="14"/>
      <c r="K1649" s="18" t="s">
        <v>651</v>
      </c>
      <c r="L1649" s="14"/>
      <c r="M1649" s="14">
        <v>1</v>
      </c>
      <c r="N1649" s="15">
        <f t="shared" si="65"/>
        <v>81355.932203389835</v>
      </c>
      <c r="O1649" s="15">
        <f t="shared" si="64"/>
        <v>81355.932203389835</v>
      </c>
      <c r="P1649" s="15"/>
      <c r="Q1649" s="14" t="s">
        <v>520</v>
      </c>
      <c r="R1649" s="25">
        <v>45716</v>
      </c>
      <c r="S1649" s="22" t="str">
        <f>TEXT(Table1[[#This Row],[End Date]],"MMMM")</f>
        <v>February</v>
      </c>
      <c r="T1649" s="23" t="str">
        <f>TEXT(Table1[[#This Row],[End Date]],"YYYY")</f>
        <v>2025</v>
      </c>
      <c r="U1649" s="24">
        <f t="shared" ca="1" si="62"/>
        <v>-583</v>
      </c>
      <c r="V1649" s="14" t="str" cm="1">
        <f t="array" aca="1" ref="V1649" ca="1">_xlfn.IFS(Table1[[#This Row],[Agreement Days]]&gt;=0,"Expired",Table1[[#This Row],[Agreement Days]]&gt;=-30,"Expires &lt; 30 Days",Table1[[#This Row],[Agreement Days]]&gt;=-60,"Expires &lt; 60 Days",Table1[[#This Row],[Agreement Days]]&lt;-60,"Valid Contract")</f>
        <v>Valid Contract</v>
      </c>
      <c r="W1649" s="14" t="s">
        <v>20</v>
      </c>
      <c r="X1649" s="14" t="s">
        <v>989</v>
      </c>
      <c r="Y1649" s="16" t="s">
        <v>990</v>
      </c>
      <c r="Z1649" s="27" t="s">
        <v>991</v>
      </c>
      <c r="AA1649" s="19"/>
      <c r="AB1649" s="123"/>
      <c r="AC1649" s="123"/>
    </row>
    <row r="1650" spans="1:29" s="11" customFormat="1" hidden="1" x14ac:dyDescent="0.3">
      <c r="A1650" s="18" t="s">
        <v>987</v>
      </c>
      <c r="B1650" s="18" t="s">
        <v>127</v>
      </c>
      <c r="C1650" s="18" t="s">
        <v>3005</v>
      </c>
      <c r="D1650" s="14" t="s">
        <v>653</v>
      </c>
      <c r="E1650" s="18" t="s">
        <v>9</v>
      </c>
      <c r="F1650" s="14" t="s">
        <v>601</v>
      </c>
      <c r="G1650" s="14" t="s">
        <v>546</v>
      </c>
      <c r="H1650" s="18" t="s">
        <v>5</v>
      </c>
      <c r="I1650" s="14" t="s">
        <v>115</v>
      </c>
      <c r="J1650" s="14"/>
      <c r="K1650" s="18" t="s">
        <v>651</v>
      </c>
      <c r="L1650" s="14"/>
      <c r="M1650" s="14">
        <v>1</v>
      </c>
      <c r="N1650" s="15">
        <f t="shared" si="65"/>
        <v>81355.932203389835</v>
      </c>
      <c r="O1650" s="15">
        <f t="shared" si="64"/>
        <v>81355.932203389835</v>
      </c>
      <c r="P1650" s="15"/>
      <c r="Q1650" s="14" t="s">
        <v>520</v>
      </c>
      <c r="R1650" s="25">
        <v>45716</v>
      </c>
      <c r="S1650" s="22" t="str">
        <f>TEXT(Table1[[#This Row],[End Date]],"MMMM")</f>
        <v>February</v>
      </c>
      <c r="T1650" s="23" t="str">
        <f>TEXT(Table1[[#This Row],[End Date]],"YYYY")</f>
        <v>2025</v>
      </c>
      <c r="U1650" s="24">
        <f t="shared" ca="1" si="62"/>
        <v>-583</v>
      </c>
      <c r="V1650" s="14" t="str" cm="1">
        <f t="array" aca="1" ref="V1650" ca="1">_xlfn.IFS(Table1[[#This Row],[Agreement Days]]&gt;=0,"Expired",Table1[[#This Row],[Agreement Days]]&gt;=-30,"Expires &lt; 30 Days",Table1[[#This Row],[Agreement Days]]&gt;=-60,"Expires &lt; 60 Days",Table1[[#This Row],[Agreement Days]]&lt;-60,"Valid Contract")</f>
        <v>Valid Contract</v>
      </c>
      <c r="W1650" s="14" t="s">
        <v>20</v>
      </c>
      <c r="X1650" s="14" t="s">
        <v>989</v>
      </c>
      <c r="Y1650" s="16" t="s">
        <v>990</v>
      </c>
      <c r="Z1650" s="27" t="s">
        <v>991</v>
      </c>
      <c r="AA1650" s="19"/>
      <c r="AB1650" s="123"/>
      <c r="AC1650" s="123"/>
    </row>
    <row r="1651" spans="1:29" s="11" customFormat="1" hidden="1" x14ac:dyDescent="0.3">
      <c r="A1651" s="18" t="s">
        <v>987</v>
      </c>
      <c r="B1651" s="18" t="s">
        <v>127</v>
      </c>
      <c r="C1651" s="18" t="s">
        <v>3007</v>
      </c>
      <c r="D1651" s="14" t="s">
        <v>653</v>
      </c>
      <c r="E1651" s="18" t="s">
        <v>9</v>
      </c>
      <c r="F1651" s="14" t="s">
        <v>601</v>
      </c>
      <c r="G1651" s="14" t="s">
        <v>546</v>
      </c>
      <c r="H1651" s="18" t="s">
        <v>5</v>
      </c>
      <c r="I1651" s="14" t="s">
        <v>115</v>
      </c>
      <c r="J1651" s="14"/>
      <c r="K1651" s="18" t="s">
        <v>651</v>
      </c>
      <c r="L1651" s="14"/>
      <c r="M1651" s="14">
        <v>1</v>
      </c>
      <c r="N1651" s="15">
        <f t="shared" si="65"/>
        <v>81355.932203389835</v>
      </c>
      <c r="O1651" s="15">
        <f t="shared" si="64"/>
        <v>81355.932203389835</v>
      </c>
      <c r="P1651" s="15"/>
      <c r="Q1651" s="14" t="s">
        <v>520</v>
      </c>
      <c r="R1651" s="25">
        <v>45716</v>
      </c>
      <c r="S1651" s="22" t="str">
        <f>TEXT(Table1[[#This Row],[End Date]],"MMMM")</f>
        <v>February</v>
      </c>
      <c r="T1651" s="23" t="str">
        <f>TEXT(Table1[[#This Row],[End Date]],"YYYY")</f>
        <v>2025</v>
      </c>
      <c r="U1651" s="24">
        <f t="shared" ca="1" si="62"/>
        <v>-583</v>
      </c>
      <c r="V1651" s="14" t="str" cm="1">
        <f t="array" aca="1" ref="V1651" ca="1">_xlfn.IFS(Table1[[#This Row],[Agreement Days]]&gt;=0,"Expired",Table1[[#This Row],[Agreement Days]]&gt;=-30,"Expires &lt; 30 Days",Table1[[#This Row],[Agreement Days]]&gt;=-60,"Expires &lt; 60 Days",Table1[[#This Row],[Agreement Days]]&lt;-60,"Valid Contract")</f>
        <v>Valid Contract</v>
      </c>
      <c r="W1651" s="14" t="s">
        <v>20</v>
      </c>
      <c r="X1651" s="14" t="s">
        <v>989</v>
      </c>
      <c r="Y1651" s="16" t="s">
        <v>990</v>
      </c>
      <c r="Z1651" s="27" t="s">
        <v>991</v>
      </c>
      <c r="AA1651" s="19"/>
      <c r="AB1651" s="123"/>
      <c r="AC1651" s="123"/>
    </row>
    <row r="1652" spans="1:29" s="11" customFormat="1" hidden="1" x14ac:dyDescent="0.3">
      <c r="A1652" s="18" t="s">
        <v>987</v>
      </c>
      <c r="B1652" s="18" t="s">
        <v>127</v>
      </c>
      <c r="C1652" s="18" t="s">
        <v>3008</v>
      </c>
      <c r="D1652" s="14" t="s">
        <v>653</v>
      </c>
      <c r="E1652" s="18" t="s">
        <v>9</v>
      </c>
      <c r="F1652" s="14" t="s">
        <v>601</v>
      </c>
      <c r="G1652" s="14" t="s">
        <v>546</v>
      </c>
      <c r="H1652" s="18" t="s">
        <v>5</v>
      </c>
      <c r="I1652" s="14" t="s">
        <v>115</v>
      </c>
      <c r="J1652" s="14"/>
      <c r="K1652" s="18" t="s">
        <v>651</v>
      </c>
      <c r="L1652" s="14"/>
      <c r="M1652" s="14">
        <v>1</v>
      </c>
      <c r="N1652" s="15">
        <f t="shared" si="65"/>
        <v>81355.932203389835</v>
      </c>
      <c r="O1652" s="15">
        <f t="shared" si="64"/>
        <v>81355.932203389835</v>
      </c>
      <c r="P1652" s="15"/>
      <c r="Q1652" s="14" t="s">
        <v>520</v>
      </c>
      <c r="R1652" s="25">
        <v>45716</v>
      </c>
      <c r="S1652" s="22" t="str">
        <f>TEXT(Table1[[#This Row],[End Date]],"MMMM")</f>
        <v>February</v>
      </c>
      <c r="T1652" s="23" t="str">
        <f>TEXT(Table1[[#This Row],[End Date]],"YYYY")</f>
        <v>2025</v>
      </c>
      <c r="U1652" s="24">
        <f t="shared" ca="1" si="62"/>
        <v>-583</v>
      </c>
      <c r="V1652" s="14" t="str" cm="1">
        <f t="array" aca="1" ref="V1652" ca="1">_xlfn.IFS(Table1[[#This Row],[Agreement Days]]&gt;=0,"Expired",Table1[[#This Row],[Agreement Days]]&gt;=-30,"Expires &lt; 30 Days",Table1[[#This Row],[Agreement Days]]&gt;=-60,"Expires &lt; 60 Days",Table1[[#This Row],[Agreement Days]]&lt;-60,"Valid Contract")</f>
        <v>Valid Contract</v>
      </c>
      <c r="W1652" s="14" t="s">
        <v>20</v>
      </c>
      <c r="X1652" s="14" t="s">
        <v>989</v>
      </c>
      <c r="Y1652" s="16" t="s">
        <v>990</v>
      </c>
      <c r="Z1652" s="27" t="s">
        <v>991</v>
      </c>
      <c r="AA1652" s="19"/>
      <c r="AB1652" s="123"/>
      <c r="AC1652" s="123"/>
    </row>
    <row r="1653" spans="1:29" s="11" customFormat="1" hidden="1" x14ac:dyDescent="0.3">
      <c r="A1653" s="18" t="s">
        <v>987</v>
      </c>
      <c r="B1653" s="18" t="s">
        <v>127</v>
      </c>
      <c r="C1653" s="18" t="s">
        <v>3009</v>
      </c>
      <c r="D1653" s="14" t="s">
        <v>1719</v>
      </c>
      <c r="E1653" s="18" t="s">
        <v>9</v>
      </c>
      <c r="F1653" s="14" t="s">
        <v>601</v>
      </c>
      <c r="G1653" s="14" t="s">
        <v>546</v>
      </c>
      <c r="H1653" s="18" t="s">
        <v>5</v>
      </c>
      <c r="I1653" s="14" t="s">
        <v>115</v>
      </c>
      <c r="J1653" s="14"/>
      <c r="K1653" s="18" t="s">
        <v>651</v>
      </c>
      <c r="L1653" s="14"/>
      <c r="M1653" s="14">
        <v>1</v>
      </c>
      <c r="N1653" s="15">
        <f t="shared" si="65"/>
        <v>81355.932203389835</v>
      </c>
      <c r="O1653" s="15">
        <f t="shared" si="64"/>
        <v>81355.932203389835</v>
      </c>
      <c r="P1653" s="15"/>
      <c r="Q1653" s="14" t="s">
        <v>520</v>
      </c>
      <c r="R1653" s="25">
        <v>45716</v>
      </c>
      <c r="S1653" s="22" t="str">
        <f>TEXT(Table1[[#This Row],[End Date]],"MMMM")</f>
        <v>February</v>
      </c>
      <c r="T1653" s="23" t="str">
        <f>TEXT(Table1[[#This Row],[End Date]],"YYYY")</f>
        <v>2025</v>
      </c>
      <c r="U1653" s="24">
        <f t="shared" ca="1" si="62"/>
        <v>-583</v>
      </c>
      <c r="V1653" s="14" t="str" cm="1">
        <f t="array" aca="1" ref="V1653" ca="1">_xlfn.IFS(Table1[[#This Row],[Agreement Days]]&gt;=0,"Expired",Table1[[#This Row],[Agreement Days]]&gt;=-30,"Expires &lt; 30 Days",Table1[[#This Row],[Agreement Days]]&gt;=-60,"Expires &lt; 60 Days",Table1[[#This Row],[Agreement Days]]&lt;-60,"Valid Contract")</f>
        <v>Valid Contract</v>
      </c>
      <c r="W1653" s="14" t="s">
        <v>20</v>
      </c>
      <c r="X1653" s="14" t="s">
        <v>989</v>
      </c>
      <c r="Y1653" s="16" t="s">
        <v>990</v>
      </c>
      <c r="Z1653" s="27" t="s">
        <v>991</v>
      </c>
      <c r="AA1653" s="19"/>
      <c r="AB1653" s="123"/>
      <c r="AC1653" s="123"/>
    </row>
    <row r="1654" spans="1:29" s="11" customFormat="1" hidden="1" x14ac:dyDescent="0.3">
      <c r="A1654" s="18" t="s">
        <v>987</v>
      </c>
      <c r="B1654" s="18" t="s">
        <v>127</v>
      </c>
      <c r="C1654" s="18" t="s">
        <v>3010</v>
      </c>
      <c r="D1654" s="14" t="s">
        <v>1719</v>
      </c>
      <c r="E1654" s="18" t="s">
        <v>9</v>
      </c>
      <c r="F1654" s="14" t="s">
        <v>601</v>
      </c>
      <c r="G1654" s="14" t="s">
        <v>546</v>
      </c>
      <c r="H1654" s="18" t="s">
        <v>5</v>
      </c>
      <c r="I1654" s="14" t="s">
        <v>115</v>
      </c>
      <c r="J1654" s="14"/>
      <c r="K1654" s="18" t="s">
        <v>651</v>
      </c>
      <c r="L1654" s="14"/>
      <c r="M1654" s="14">
        <v>1</v>
      </c>
      <c r="N1654" s="15">
        <f t="shared" si="65"/>
        <v>81355.932203389835</v>
      </c>
      <c r="O1654" s="15">
        <f t="shared" si="64"/>
        <v>81355.932203389835</v>
      </c>
      <c r="P1654" s="15"/>
      <c r="Q1654" s="14" t="s">
        <v>520</v>
      </c>
      <c r="R1654" s="25">
        <v>45716</v>
      </c>
      <c r="S1654" s="22" t="str">
        <f>TEXT(Table1[[#This Row],[End Date]],"MMMM")</f>
        <v>February</v>
      </c>
      <c r="T1654" s="23" t="str">
        <f>TEXT(Table1[[#This Row],[End Date]],"YYYY")</f>
        <v>2025</v>
      </c>
      <c r="U1654" s="24">
        <f t="shared" ca="1" si="62"/>
        <v>-583</v>
      </c>
      <c r="V1654" s="14" t="str" cm="1">
        <f t="array" aca="1" ref="V1654" ca="1">_xlfn.IFS(Table1[[#This Row],[Agreement Days]]&gt;=0,"Expired",Table1[[#This Row],[Agreement Days]]&gt;=-30,"Expires &lt; 30 Days",Table1[[#This Row],[Agreement Days]]&gt;=-60,"Expires &lt; 60 Days",Table1[[#This Row],[Agreement Days]]&lt;-60,"Valid Contract")</f>
        <v>Valid Contract</v>
      </c>
      <c r="W1654" s="14" t="s">
        <v>20</v>
      </c>
      <c r="X1654" s="14" t="s">
        <v>989</v>
      </c>
      <c r="Y1654" s="16" t="s">
        <v>990</v>
      </c>
      <c r="Z1654" s="27" t="s">
        <v>991</v>
      </c>
      <c r="AA1654" s="19"/>
      <c r="AB1654" s="123"/>
      <c r="AC1654" s="123"/>
    </row>
    <row r="1655" spans="1:29" s="11" customFormat="1" hidden="1" x14ac:dyDescent="0.3">
      <c r="A1655" s="18" t="s">
        <v>987</v>
      </c>
      <c r="B1655" s="18" t="s">
        <v>127</v>
      </c>
      <c r="C1655" s="18" t="s">
        <v>3011</v>
      </c>
      <c r="D1655" s="14" t="s">
        <v>1719</v>
      </c>
      <c r="E1655" s="18" t="s">
        <v>9</v>
      </c>
      <c r="F1655" s="14" t="s">
        <v>601</v>
      </c>
      <c r="G1655" s="14" t="s">
        <v>546</v>
      </c>
      <c r="H1655" s="18" t="s">
        <v>5</v>
      </c>
      <c r="I1655" s="14" t="s">
        <v>115</v>
      </c>
      <c r="J1655" s="14"/>
      <c r="K1655" s="18" t="s">
        <v>651</v>
      </c>
      <c r="L1655" s="14"/>
      <c r="M1655" s="14">
        <v>1</v>
      </c>
      <c r="N1655" s="15">
        <f t="shared" si="65"/>
        <v>81355.932203389835</v>
      </c>
      <c r="O1655" s="15">
        <f t="shared" si="64"/>
        <v>81355.932203389835</v>
      </c>
      <c r="P1655" s="15"/>
      <c r="Q1655" s="14" t="s">
        <v>520</v>
      </c>
      <c r="R1655" s="25">
        <v>45716</v>
      </c>
      <c r="S1655" s="22" t="str">
        <f>TEXT(Table1[[#This Row],[End Date]],"MMMM")</f>
        <v>February</v>
      </c>
      <c r="T1655" s="23" t="str">
        <f>TEXT(Table1[[#This Row],[End Date]],"YYYY")</f>
        <v>2025</v>
      </c>
      <c r="U1655" s="24">
        <f t="shared" ca="1" si="62"/>
        <v>-583</v>
      </c>
      <c r="V1655" s="14" t="str" cm="1">
        <f t="array" aca="1" ref="V1655" ca="1">_xlfn.IFS(Table1[[#This Row],[Agreement Days]]&gt;=0,"Expired",Table1[[#This Row],[Agreement Days]]&gt;=-30,"Expires &lt; 30 Days",Table1[[#This Row],[Agreement Days]]&gt;=-60,"Expires &lt; 60 Days",Table1[[#This Row],[Agreement Days]]&lt;-60,"Valid Contract")</f>
        <v>Valid Contract</v>
      </c>
      <c r="W1655" s="14" t="s">
        <v>20</v>
      </c>
      <c r="X1655" s="14" t="s">
        <v>989</v>
      </c>
      <c r="Y1655" s="16" t="s">
        <v>990</v>
      </c>
      <c r="Z1655" s="27" t="s">
        <v>991</v>
      </c>
      <c r="AA1655" s="19"/>
      <c r="AB1655" s="123"/>
      <c r="AC1655" s="123"/>
    </row>
    <row r="1656" spans="1:29" s="11" customFormat="1" hidden="1" x14ac:dyDescent="0.3">
      <c r="A1656" s="18" t="s">
        <v>987</v>
      </c>
      <c r="B1656" s="18" t="s">
        <v>127</v>
      </c>
      <c r="C1656" s="18" t="s">
        <v>3012</v>
      </c>
      <c r="D1656" s="14" t="s">
        <v>1719</v>
      </c>
      <c r="E1656" s="18" t="s">
        <v>9</v>
      </c>
      <c r="F1656" s="14" t="s">
        <v>601</v>
      </c>
      <c r="G1656" s="14" t="s">
        <v>546</v>
      </c>
      <c r="H1656" s="18" t="s">
        <v>5</v>
      </c>
      <c r="I1656" s="14" t="s">
        <v>115</v>
      </c>
      <c r="J1656" s="14"/>
      <c r="K1656" s="18" t="s">
        <v>651</v>
      </c>
      <c r="L1656" s="14"/>
      <c r="M1656" s="14">
        <v>1</v>
      </c>
      <c r="N1656" s="15">
        <f t="shared" si="65"/>
        <v>81355.932203389835</v>
      </c>
      <c r="O1656" s="15">
        <f t="shared" si="64"/>
        <v>81355.932203389835</v>
      </c>
      <c r="P1656" s="15"/>
      <c r="Q1656" s="14" t="s">
        <v>520</v>
      </c>
      <c r="R1656" s="25">
        <v>45716</v>
      </c>
      <c r="S1656" s="22" t="str">
        <f>TEXT(Table1[[#This Row],[End Date]],"MMMM")</f>
        <v>February</v>
      </c>
      <c r="T1656" s="23" t="str">
        <f>TEXT(Table1[[#This Row],[End Date]],"YYYY")</f>
        <v>2025</v>
      </c>
      <c r="U1656" s="24">
        <f t="shared" ca="1" si="62"/>
        <v>-583</v>
      </c>
      <c r="V1656" s="14" t="str" cm="1">
        <f t="array" aca="1" ref="V1656" ca="1">_xlfn.IFS(Table1[[#This Row],[Agreement Days]]&gt;=0,"Expired",Table1[[#This Row],[Agreement Days]]&gt;=-30,"Expires &lt; 30 Days",Table1[[#This Row],[Agreement Days]]&gt;=-60,"Expires &lt; 60 Days",Table1[[#This Row],[Agreement Days]]&lt;-60,"Valid Contract")</f>
        <v>Valid Contract</v>
      </c>
      <c r="W1656" s="14" t="s">
        <v>20</v>
      </c>
      <c r="X1656" s="14" t="s">
        <v>989</v>
      </c>
      <c r="Y1656" s="16" t="s">
        <v>990</v>
      </c>
      <c r="Z1656" s="27" t="s">
        <v>991</v>
      </c>
      <c r="AA1656" s="19"/>
      <c r="AB1656" s="123"/>
      <c r="AC1656" s="123"/>
    </row>
    <row r="1657" spans="1:29" s="11" customFormat="1" hidden="1" x14ac:dyDescent="0.3">
      <c r="A1657" s="18" t="s">
        <v>987</v>
      </c>
      <c r="B1657" s="18" t="s">
        <v>127</v>
      </c>
      <c r="C1657" s="18" t="s">
        <v>3013</v>
      </c>
      <c r="D1657" s="14" t="s">
        <v>1719</v>
      </c>
      <c r="E1657" s="18" t="s">
        <v>9</v>
      </c>
      <c r="F1657" s="14" t="s">
        <v>601</v>
      </c>
      <c r="G1657" s="14" t="s">
        <v>546</v>
      </c>
      <c r="H1657" s="18" t="s">
        <v>5</v>
      </c>
      <c r="I1657" s="14" t="s">
        <v>115</v>
      </c>
      <c r="J1657" s="14"/>
      <c r="K1657" s="18" t="s">
        <v>651</v>
      </c>
      <c r="L1657" s="14"/>
      <c r="M1657" s="14">
        <v>1</v>
      </c>
      <c r="N1657" s="15">
        <f t="shared" si="65"/>
        <v>81355.932203389835</v>
      </c>
      <c r="O1657" s="15">
        <f t="shared" si="64"/>
        <v>81355.932203389835</v>
      </c>
      <c r="P1657" s="15"/>
      <c r="Q1657" s="14" t="s">
        <v>520</v>
      </c>
      <c r="R1657" s="25">
        <v>45716</v>
      </c>
      <c r="S1657" s="22" t="str">
        <f>TEXT(Table1[[#This Row],[End Date]],"MMMM")</f>
        <v>February</v>
      </c>
      <c r="T1657" s="23" t="str">
        <f>TEXT(Table1[[#This Row],[End Date]],"YYYY")</f>
        <v>2025</v>
      </c>
      <c r="U1657" s="24">
        <f t="shared" ca="1" si="62"/>
        <v>-583</v>
      </c>
      <c r="V1657" s="14" t="str" cm="1">
        <f t="array" aca="1" ref="V1657" ca="1">_xlfn.IFS(Table1[[#This Row],[Agreement Days]]&gt;=0,"Expired",Table1[[#This Row],[Agreement Days]]&gt;=-30,"Expires &lt; 30 Days",Table1[[#This Row],[Agreement Days]]&gt;=-60,"Expires &lt; 60 Days",Table1[[#This Row],[Agreement Days]]&lt;-60,"Valid Contract")</f>
        <v>Valid Contract</v>
      </c>
      <c r="W1657" s="14" t="s">
        <v>20</v>
      </c>
      <c r="X1657" s="14" t="s">
        <v>989</v>
      </c>
      <c r="Y1657" s="16" t="s">
        <v>990</v>
      </c>
      <c r="Z1657" s="27" t="s">
        <v>991</v>
      </c>
      <c r="AA1657" s="19"/>
      <c r="AB1657" s="123"/>
      <c r="AC1657" s="123"/>
    </row>
    <row r="1658" spans="1:29" s="11" customFormat="1" hidden="1" x14ac:dyDescent="0.3">
      <c r="A1658" s="18" t="s">
        <v>987</v>
      </c>
      <c r="B1658" s="18" t="s">
        <v>127</v>
      </c>
      <c r="C1658" s="18" t="s">
        <v>3014</v>
      </c>
      <c r="D1658" s="14" t="s">
        <v>1719</v>
      </c>
      <c r="E1658" s="18" t="s">
        <v>9</v>
      </c>
      <c r="F1658" s="14" t="s">
        <v>601</v>
      </c>
      <c r="G1658" s="14" t="s">
        <v>546</v>
      </c>
      <c r="H1658" s="18" t="s">
        <v>5</v>
      </c>
      <c r="I1658" s="14" t="s">
        <v>115</v>
      </c>
      <c r="J1658" s="14"/>
      <c r="K1658" s="18" t="s">
        <v>651</v>
      </c>
      <c r="L1658" s="14"/>
      <c r="M1658" s="14">
        <v>1</v>
      </c>
      <c r="N1658" s="15">
        <f t="shared" si="65"/>
        <v>81355.932203389835</v>
      </c>
      <c r="O1658" s="15">
        <f t="shared" si="64"/>
        <v>81355.932203389835</v>
      </c>
      <c r="P1658" s="15"/>
      <c r="Q1658" s="14" t="s">
        <v>520</v>
      </c>
      <c r="R1658" s="25">
        <v>45716</v>
      </c>
      <c r="S1658" s="22" t="str">
        <f>TEXT(Table1[[#This Row],[End Date]],"MMMM")</f>
        <v>February</v>
      </c>
      <c r="T1658" s="23" t="str">
        <f>TEXT(Table1[[#This Row],[End Date]],"YYYY")</f>
        <v>2025</v>
      </c>
      <c r="U1658" s="24">
        <f t="shared" ca="1" si="62"/>
        <v>-583</v>
      </c>
      <c r="V1658" s="14" t="str" cm="1">
        <f t="array" aca="1" ref="V1658" ca="1">_xlfn.IFS(Table1[[#This Row],[Agreement Days]]&gt;=0,"Expired",Table1[[#This Row],[Agreement Days]]&gt;=-30,"Expires &lt; 30 Days",Table1[[#This Row],[Agreement Days]]&gt;=-60,"Expires &lt; 60 Days",Table1[[#This Row],[Agreement Days]]&lt;-60,"Valid Contract")</f>
        <v>Valid Contract</v>
      </c>
      <c r="W1658" s="14" t="s">
        <v>20</v>
      </c>
      <c r="X1658" s="14" t="s">
        <v>989</v>
      </c>
      <c r="Y1658" s="16" t="s">
        <v>990</v>
      </c>
      <c r="Z1658" s="27" t="s">
        <v>991</v>
      </c>
      <c r="AA1658" s="19"/>
      <c r="AB1658" s="123"/>
      <c r="AC1658" s="123"/>
    </row>
    <row r="1659" spans="1:29" s="11" customFormat="1" hidden="1" x14ac:dyDescent="0.3">
      <c r="A1659" s="18" t="s">
        <v>987</v>
      </c>
      <c r="B1659" s="18" t="s">
        <v>127</v>
      </c>
      <c r="C1659" s="18" t="s">
        <v>3015</v>
      </c>
      <c r="D1659" s="14" t="s">
        <v>1719</v>
      </c>
      <c r="E1659" s="18" t="s">
        <v>9</v>
      </c>
      <c r="F1659" s="14" t="s">
        <v>601</v>
      </c>
      <c r="G1659" s="14" t="s">
        <v>546</v>
      </c>
      <c r="H1659" s="18" t="s">
        <v>5</v>
      </c>
      <c r="I1659" s="14" t="s">
        <v>115</v>
      </c>
      <c r="J1659" s="14"/>
      <c r="K1659" s="18" t="s">
        <v>651</v>
      </c>
      <c r="L1659" s="14"/>
      <c r="M1659" s="14">
        <v>1</v>
      </c>
      <c r="N1659" s="15">
        <f t="shared" si="65"/>
        <v>81355.932203389835</v>
      </c>
      <c r="O1659" s="15">
        <f t="shared" si="64"/>
        <v>81355.932203389835</v>
      </c>
      <c r="P1659" s="15"/>
      <c r="Q1659" s="14" t="s">
        <v>520</v>
      </c>
      <c r="R1659" s="25">
        <v>45716</v>
      </c>
      <c r="S1659" s="22" t="str">
        <f>TEXT(Table1[[#This Row],[End Date]],"MMMM")</f>
        <v>February</v>
      </c>
      <c r="T1659" s="23" t="str">
        <f>TEXT(Table1[[#This Row],[End Date]],"YYYY")</f>
        <v>2025</v>
      </c>
      <c r="U1659" s="24">
        <f t="shared" ca="1" si="62"/>
        <v>-583</v>
      </c>
      <c r="V1659" s="14" t="str" cm="1">
        <f t="array" aca="1" ref="V1659" ca="1">_xlfn.IFS(Table1[[#This Row],[Agreement Days]]&gt;=0,"Expired",Table1[[#This Row],[Agreement Days]]&gt;=-30,"Expires &lt; 30 Days",Table1[[#This Row],[Agreement Days]]&gt;=-60,"Expires &lt; 60 Days",Table1[[#This Row],[Agreement Days]]&lt;-60,"Valid Contract")</f>
        <v>Valid Contract</v>
      </c>
      <c r="W1659" s="14" t="s">
        <v>20</v>
      </c>
      <c r="X1659" s="14" t="s">
        <v>989</v>
      </c>
      <c r="Y1659" s="16" t="s">
        <v>990</v>
      </c>
      <c r="Z1659" s="27" t="s">
        <v>991</v>
      </c>
      <c r="AA1659" s="19"/>
      <c r="AB1659" s="122"/>
      <c r="AC1659" s="122"/>
    </row>
    <row r="1660" spans="1:29" s="11" customFormat="1" hidden="1" x14ac:dyDescent="0.3">
      <c r="A1660" s="18" t="s">
        <v>987</v>
      </c>
      <c r="B1660" s="18" t="s">
        <v>127</v>
      </c>
      <c r="C1660" s="18" t="s">
        <v>3016</v>
      </c>
      <c r="D1660" s="14" t="s">
        <v>769</v>
      </c>
      <c r="E1660" s="18" t="s">
        <v>9</v>
      </c>
      <c r="F1660" s="14" t="s">
        <v>601</v>
      </c>
      <c r="G1660" s="14" t="s">
        <v>546</v>
      </c>
      <c r="H1660" s="18" t="s">
        <v>5</v>
      </c>
      <c r="I1660" s="14" t="s">
        <v>115</v>
      </c>
      <c r="J1660" s="14"/>
      <c r="K1660" s="18" t="s">
        <v>651</v>
      </c>
      <c r="L1660" s="14"/>
      <c r="M1660" s="14">
        <v>1</v>
      </c>
      <c r="N1660" s="15">
        <f t="shared" si="65"/>
        <v>81355.932203389835</v>
      </c>
      <c r="O1660" s="15">
        <f t="shared" si="64"/>
        <v>81355.932203389835</v>
      </c>
      <c r="P1660" s="15"/>
      <c r="Q1660" s="14" t="s">
        <v>520</v>
      </c>
      <c r="R1660" s="25">
        <v>45716</v>
      </c>
      <c r="S1660" s="22" t="str">
        <f>TEXT(Table1[[#This Row],[End Date]],"MMMM")</f>
        <v>February</v>
      </c>
      <c r="T1660" s="23" t="str">
        <f>TEXT(Table1[[#This Row],[End Date]],"YYYY")</f>
        <v>2025</v>
      </c>
      <c r="U1660" s="24">
        <f t="shared" ca="1" si="62"/>
        <v>-583</v>
      </c>
      <c r="V1660" s="14" t="str" cm="1">
        <f t="array" aca="1" ref="V1660" ca="1">_xlfn.IFS(Table1[[#This Row],[Agreement Days]]&gt;=0,"Expired",Table1[[#This Row],[Agreement Days]]&gt;=-30,"Expires &lt; 30 Days",Table1[[#This Row],[Agreement Days]]&gt;=-60,"Expires &lt; 60 Days",Table1[[#This Row],[Agreement Days]]&lt;-60,"Valid Contract")</f>
        <v>Valid Contract</v>
      </c>
      <c r="W1660" s="14" t="s">
        <v>20</v>
      </c>
      <c r="X1660" s="14" t="s">
        <v>989</v>
      </c>
      <c r="Y1660" s="16" t="s">
        <v>990</v>
      </c>
      <c r="Z1660" s="27" t="s">
        <v>991</v>
      </c>
      <c r="AA1660" s="19"/>
      <c r="AB1660" s="122"/>
      <c r="AC1660" s="122"/>
    </row>
    <row r="1661" spans="1:29" s="11" customFormat="1" hidden="1" x14ac:dyDescent="0.3">
      <c r="A1661" s="18" t="s">
        <v>987</v>
      </c>
      <c r="B1661" s="18" t="s">
        <v>127</v>
      </c>
      <c r="C1661" s="18" t="s">
        <v>3017</v>
      </c>
      <c r="D1661" s="14" t="s">
        <v>769</v>
      </c>
      <c r="E1661" s="18" t="s">
        <v>9</v>
      </c>
      <c r="F1661" s="14" t="s">
        <v>601</v>
      </c>
      <c r="G1661" s="14" t="s">
        <v>546</v>
      </c>
      <c r="H1661" s="18" t="s">
        <v>5</v>
      </c>
      <c r="I1661" s="14" t="s">
        <v>115</v>
      </c>
      <c r="J1661" s="14"/>
      <c r="K1661" s="18" t="s">
        <v>651</v>
      </c>
      <c r="L1661" s="14"/>
      <c r="M1661" s="14">
        <v>1</v>
      </c>
      <c r="N1661" s="15">
        <f t="shared" si="65"/>
        <v>81355.932203389835</v>
      </c>
      <c r="O1661" s="15">
        <f t="shared" si="64"/>
        <v>81355.932203389835</v>
      </c>
      <c r="P1661" s="15"/>
      <c r="Q1661" s="14" t="s">
        <v>520</v>
      </c>
      <c r="R1661" s="25">
        <v>45716</v>
      </c>
      <c r="S1661" s="22" t="str">
        <f>TEXT(Table1[[#This Row],[End Date]],"MMMM")</f>
        <v>February</v>
      </c>
      <c r="T1661" s="23" t="str">
        <f>TEXT(Table1[[#This Row],[End Date]],"YYYY")</f>
        <v>2025</v>
      </c>
      <c r="U1661" s="24">
        <f t="shared" ca="1" si="62"/>
        <v>-583</v>
      </c>
      <c r="V1661" s="14" t="str" cm="1">
        <f t="array" aca="1" ref="V1661" ca="1">_xlfn.IFS(Table1[[#This Row],[Agreement Days]]&gt;=0,"Expired",Table1[[#This Row],[Agreement Days]]&gt;=-30,"Expires &lt; 30 Days",Table1[[#This Row],[Agreement Days]]&gt;=-60,"Expires &lt; 60 Days",Table1[[#This Row],[Agreement Days]]&lt;-60,"Valid Contract")</f>
        <v>Valid Contract</v>
      </c>
      <c r="W1661" s="14" t="s">
        <v>20</v>
      </c>
      <c r="X1661" s="14" t="s">
        <v>989</v>
      </c>
      <c r="Y1661" s="16" t="s">
        <v>990</v>
      </c>
      <c r="Z1661" s="27" t="s">
        <v>991</v>
      </c>
      <c r="AA1661" s="19"/>
      <c r="AB1661" s="122"/>
      <c r="AC1661" s="122"/>
    </row>
    <row r="1662" spans="1:29" s="11" customFormat="1" hidden="1" x14ac:dyDescent="0.3">
      <c r="A1662" s="18" t="s">
        <v>987</v>
      </c>
      <c r="B1662" s="18" t="s">
        <v>127</v>
      </c>
      <c r="C1662" s="18" t="s">
        <v>3018</v>
      </c>
      <c r="D1662" s="14" t="s">
        <v>769</v>
      </c>
      <c r="E1662" s="18" t="s">
        <v>9</v>
      </c>
      <c r="F1662" s="14" t="s">
        <v>601</v>
      </c>
      <c r="G1662" s="14" t="s">
        <v>546</v>
      </c>
      <c r="H1662" s="18" t="s">
        <v>5</v>
      </c>
      <c r="I1662" s="14" t="s">
        <v>115</v>
      </c>
      <c r="J1662" s="14"/>
      <c r="K1662" s="18" t="s">
        <v>651</v>
      </c>
      <c r="L1662" s="14"/>
      <c r="M1662" s="14">
        <v>1</v>
      </c>
      <c r="N1662" s="15">
        <f t="shared" si="65"/>
        <v>81355.932203389835</v>
      </c>
      <c r="O1662" s="15">
        <f t="shared" si="64"/>
        <v>81355.932203389835</v>
      </c>
      <c r="P1662" s="15"/>
      <c r="Q1662" s="14" t="s">
        <v>520</v>
      </c>
      <c r="R1662" s="25">
        <v>45716</v>
      </c>
      <c r="S1662" s="22" t="str">
        <f>TEXT(Table1[[#This Row],[End Date]],"MMMM")</f>
        <v>February</v>
      </c>
      <c r="T1662" s="23" t="str">
        <f>TEXT(Table1[[#This Row],[End Date]],"YYYY")</f>
        <v>2025</v>
      </c>
      <c r="U1662" s="24">
        <f t="shared" ca="1" si="62"/>
        <v>-583</v>
      </c>
      <c r="V1662" s="14" t="str" cm="1">
        <f t="array" aca="1" ref="V1662" ca="1">_xlfn.IFS(Table1[[#This Row],[Agreement Days]]&gt;=0,"Expired",Table1[[#This Row],[Agreement Days]]&gt;=-30,"Expires &lt; 30 Days",Table1[[#This Row],[Agreement Days]]&gt;=-60,"Expires &lt; 60 Days",Table1[[#This Row],[Agreement Days]]&lt;-60,"Valid Contract")</f>
        <v>Valid Contract</v>
      </c>
      <c r="W1662" s="14" t="s">
        <v>20</v>
      </c>
      <c r="X1662" s="14" t="s">
        <v>989</v>
      </c>
      <c r="Y1662" s="16" t="s">
        <v>990</v>
      </c>
      <c r="Z1662" s="27" t="s">
        <v>991</v>
      </c>
      <c r="AA1662" s="19"/>
      <c r="AB1662" s="122"/>
      <c r="AC1662" s="122"/>
    </row>
    <row r="1663" spans="1:29" s="11" customFormat="1" hidden="1" x14ac:dyDescent="0.3">
      <c r="A1663" s="18" t="s">
        <v>987</v>
      </c>
      <c r="B1663" s="18" t="s">
        <v>127</v>
      </c>
      <c r="C1663" s="18" t="s">
        <v>3000</v>
      </c>
      <c r="D1663" s="14" t="s">
        <v>769</v>
      </c>
      <c r="E1663" s="18" t="s">
        <v>9</v>
      </c>
      <c r="F1663" s="14" t="s">
        <v>601</v>
      </c>
      <c r="G1663" s="14" t="s">
        <v>546</v>
      </c>
      <c r="H1663" s="18" t="s">
        <v>5</v>
      </c>
      <c r="I1663" s="14" t="s">
        <v>115</v>
      </c>
      <c r="J1663" s="14"/>
      <c r="K1663" s="18" t="s">
        <v>651</v>
      </c>
      <c r="L1663" s="14"/>
      <c r="M1663" s="14">
        <v>1</v>
      </c>
      <c r="N1663" s="15">
        <f t="shared" si="65"/>
        <v>81355.932203389835</v>
      </c>
      <c r="O1663" s="15">
        <f t="shared" si="64"/>
        <v>81355.932203389835</v>
      </c>
      <c r="P1663" s="15"/>
      <c r="Q1663" s="14" t="s">
        <v>520</v>
      </c>
      <c r="R1663" s="25">
        <v>45716</v>
      </c>
      <c r="S1663" s="22" t="str">
        <f>TEXT(Table1[[#This Row],[End Date]],"MMMM")</f>
        <v>February</v>
      </c>
      <c r="T1663" s="23" t="str">
        <f>TEXT(Table1[[#This Row],[End Date]],"YYYY")</f>
        <v>2025</v>
      </c>
      <c r="U1663" s="24">
        <f t="shared" ca="1" si="62"/>
        <v>-583</v>
      </c>
      <c r="V1663" s="14" t="str" cm="1">
        <f t="array" aca="1" ref="V1663" ca="1">_xlfn.IFS(Table1[[#This Row],[Agreement Days]]&gt;=0,"Expired",Table1[[#This Row],[Agreement Days]]&gt;=-30,"Expires &lt; 30 Days",Table1[[#This Row],[Agreement Days]]&gt;=-60,"Expires &lt; 60 Days",Table1[[#This Row],[Agreement Days]]&lt;-60,"Valid Contract")</f>
        <v>Valid Contract</v>
      </c>
      <c r="W1663" s="14" t="s">
        <v>20</v>
      </c>
      <c r="X1663" s="14" t="s">
        <v>989</v>
      </c>
      <c r="Y1663" s="16" t="s">
        <v>990</v>
      </c>
      <c r="Z1663" s="27" t="s">
        <v>991</v>
      </c>
      <c r="AA1663" s="19"/>
      <c r="AB1663" s="122"/>
      <c r="AC1663" s="122"/>
    </row>
    <row r="1664" spans="1:29" s="11" customFormat="1" hidden="1" x14ac:dyDescent="0.3">
      <c r="A1664" s="18" t="s">
        <v>987</v>
      </c>
      <c r="B1664" s="18" t="s">
        <v>127</v>
      </c>
      <c r="C1664" s="18" t="s">
        <v>3019</v>
      </c>
      <c r="D1664" s="14" t="s">
        <v>771</v>
      </c>
      <c r="E1664" s="18" t="s">
        <v>9</v>
      </c>
      <c r="F1664" s="14" t="s">
        <v>601</v>
      </c>
      <c r="G1664" s="14" t="s">
        <v>546</v>
      </c>
      <c r="H1664" s="18" t="s">
        <v>5</v>
      </c>
      <c r="I1664" s="14" t="s">
        <v>115</v>
      </c>
      <c r="J1664" s="14"/>
      <c r="K1664" s="18" t="s">
        <v>651</v>
      </c>
      <c r="L1664" s="14"/>
      <c r="M1664" s="14">
        <v>1</v>
      </c>
      <c r="N1664" s="15">
        <f t="shared" si="65"/>
        <v>81355.932203389835</v>
      </c>
      <c r="O1664" s="15">
        <f t="shared" si="64"/>
        <v>81355.932203389835</v>
      </c>
      <c r="P1664" s="15"/>
      <c r="Q1664" s="14" t="s">
        <v>520</v>
      </c>
      <c r="R1664" s="25">
        <v>45716</v>
      </c>
      <c r="S1664" s="22" t="str">
        <f>TEXT(Table1[[#This Row],[End Date]],"MMMM")</f>
        <v>February</v>
      </c>
      <c r="T1664" s="23" t="str">
        <f>TEXT(Table1[[#This Row],[End Date]],"YYYY")</f>
        <v>2025</v>
      </c>
      <c r="U1664" s="24">
        <f t="shared" ca="1" si="62"/>
        <v>-583</v>
      </c>
      <c r="V1664" s="14" t="str" cm="1">
        <f t="array" aca="1" ref="V1664" ca="1">_xlfn.IFS(Table1[[#This Row],[Agreement Days]]&gt;=0,"Expired",Table1[[#This Row],[Agreement Days]]&gt;=-30,"Expires &lt; 30 Days",Table1[[#This Row],[Agreement Days]]&gt;=-60,"Expires &lt; 60 Days",Table1[[#This Row],[Agreement Days]]&lt;-60,"Valid Contract")</f>
        <v>Valid Contract</v>
      </c>
      <c r="W1664" s="14" t="s">
        <v>20</v>
      </c>
      <c r="X1664" s="14" t="s">
        <v>989</v>
      </c>
      <c r="Y1664" s="16" t="s">
        <v>990</v>
      </c>
      <c r="Z1664" s="27" t="s">
        <v>991</v>
      </c>
      <c r="AA1664" s="19"/>
      <c r="AB1664" s="122"/>
      <c r="AC1664" s="122"/>
    </row>
    <row r="1665" spans="1:29" s="11" customFormat="1" hidden="1" x14ac:dyDescent="0.3">
      <c r="A1665" s="18" t="s">
        <v>987</v>
      </c>
      <c r="B1665" s="18" t="s">
        <v>127</v>
      </c>
      <c r="C1665" s="18" t="s">
        <v>3020</v>
      </c>
      <c r="D1665" s="14" t="s">
        <v>771</v>
      </c>
      <c r="E1665" s="18" t="s">
        <v>9</v>
      </c>
      <c r="F1665" s="14" t="s">
        <v>601</v>
      </c>
      <c r="G1665" s="14" t="s">
        <v>546</v>
      </c>
      <c r="H1665" s="18" t="s">
        <v>5</v>
      </c>
      <c r="I1665" s="14" t="s">
        <v>115</v>
      </c>
      <c r="J1665" s="14"/>
      <c r="K1665" s="18" t="s">
        <v>651</v>
      </c>
      <c r="L1665" s="14"/>
      <c r="M1665" s="14">
        <v>1</v>
      </c>
      <c r="N1665" s="15">
        <f t="shared" si="65"/>
        <v>81355.932203389835</v>
      </c>
      <c r="O1665" s="15">
        <f t="shared" si="64"/>
        <v>81355.932203389835</v>
      </c>
      <c r="P1665" s="15"/>
      <c r="Q1665" s="14" t="s">
        <v>520</v>
      </c>
      <c r="R1665" s="25">
        <v>45716</v>
      </c>
      <c r="S1665" s="22" t="str">
        <f>TEXT(Table1[[#This Row],[End Date]],"MMMM")</f>
        <v>February</v>
      </c>
      <c r="T1665" s="23" t="str">
        <f>TEXT(Table1[[#This Row],[End Date]],"YYYY")</f>
        <v>2025</v>
      </c>
      <c r="U1665" s="24">
        <f t="shared" ca="1" si="62"/>
        <v>-583</v>
      </c>
      <c r="V1665" s="14" t="str" cm="1">
        <f t="array" aca="1" ref="V1665" ca="1">_xlfn.IFS(Table1[[#This Row],[Agreement Days]]&gt;=0,"Expired",Table1[[#This Row],[Agreement Days]]&gt;=-30,"Expires &lt; 30 Days",Table1[[#This Row],[Agreement Days]]&gt;=-60,"Expires &lt; 60 Days",Table1[[#This Row],[Agreement Days]]&lt;-60,"Valid Contract")</f>
        <v>Valid Contract</v>
      </c>
      <c r="W1665" s="14" t="s">
        <v>20</v>
      </c>
      <c r="X1665" s="14" t="s">
        <v>989</v>
      </c>
      <c r="Y1665" s="16" t="s">
        <v>990</v>
      </c>
      <c r="Z1665" s="27" t="s">
        <v>991</v>
      </c>
      <c r="AA1665" s="19"/>
      <c r="AB1665" s="122"/>
      <c r="AC1665" s="122"/>
    </row>
    <row r="1666" spans="1:29" s="11" customFormat="1" hidden="1" x14ac:dyDescent="0.3">
      <c r="A1666" s="18" t="s">
        <v>987</v>
      </c>
      <c r="B1666" s="18" t="s">
        <v>127</v>
      </c>
      <c r="C1666" s="18" t="s">
        <v>3021</v>
      </c>
      <c r="D1666" s="14" t="s">
        <v>771</v>
      </c>
      <c r="E1666" s="18" t="s">
        <v>9</v>
      </c>
      <c r="F1666" s="14" t="s">
        <v>601</v>
      </c>
      <c r="G1666" s="14" t="s">
        <v>546</v>
      </c>
      <c r="H1666" s="18" t="s">
        <v>5</v>
      </c>
      <c r="I1666" s="14" t="s">
        <v>115</v>
      </c>
      <c r="J1666" s="14"/>
      <c r="K1666" s="18" t="s">
        <v>651</v>
      </c>
      <c r="L1666" s="14"/>
      <c r="M1666" s="14">
        <v>1</v>
      </c>
      <c r="N1666" s="15">
        <f t="shared" si="65"/>
        <v>81355.932203389835</v>
      </c>
      <c r="O1666" s="15">
        <f t="shared" si="64"/>
        <v>81355.932203389835</v>
      </c>
      <c r="P1666" s="15"/>
      <c r="Q1666" s="14" t="s">
        <v>520</v>
      </c>
      <c r="R1666" s="25">
        <v>45716</v>
      </c>
      <c r="S1666" s="22" t="str">
        <f>TEXT(Table1[[#This Row],[End Date]],"MMMM")</f>
        <v>February</v>
      </c>
      <c r="T1666" s="23" t="str">
        <f>TEXT(Table1[[#This Row],[End Date]],"YYYY")</f>
        <v>2025</v>
      </c>
      <c r="U1666" s="24">
        <f t="shared" ca="1" si="62"/>
        <v>-583</v>
      </c>
      <c r="V1666" s="14" t="str" cm="1">
        <f t="array" aca="1" ref="V1666" ca="1">_xlfn.IFS(Table1[[#This Row],[Agreement Days]]&gt;=0,"Expired",Table1[[#This Row],[Agreement Days]]&gt;=-30,"Expires &lt; 30 Days",Table1[[#This Row],[Agreement Days]]&gt;=-60,"Expires &lt; 60 Days",Table1[[#This Row],[Agreement Days]]&lt;-60,"Valid Contract")</f>
        <v>Valid Contract</v>
      </c>
      <c r="W1666" s="14" t="s">
        <v>20</v>
      </c>
      <c r="X1666" s="14" t="s">
        <v>989</v>
      </c>
      <c r="Y1666" s="16" t="s">
        <v>990</v>
      </c>
      <c r="Z1666" s="27" t="s">
        <v>991</v>
      </c>
      <c r="AA1666" s="19"/>
      <c r="AB1666" s="122"/>
      <c r="AC1666" s="122"/>
    </row>
    <row r="1667" spans="1:29" s="11" customFormat="1" hidden="1" x14ac:dyDescent="0.3">
      <c r="A1667" s="18" t="s">
        <v>987</v>
      </c>
      <c r="B1667" s="18" t="s">
        <v>127</v>
      </c>
      <c r="C1667" s="18" t="s">
        <v>3022</v>
      </c>
      <c r="D1667" s="14" t="s">
        <v>542</v>
      </c>
      <c r="E1667" s="18" t="s">
        <v>9</v>
      </c>
      <c r="F1667" s="14" t="s">
        <v>601</v>
      </c>
      <c r="G1667" s="14" t="s">
        <v>546</v>
      </c>
      <c r="H1667" s="18" t="s">
        <v>5</v>
      </c>
      <c r="I1667" s="14" t="s">
        <v>115</v>
      </c>
      <c r="J1667" s="14"/>
      <c r="K1667" s="18" t="s">
        <v>651</v>
      </c>
      <c r="L1667" s="14"/>
      <c r="M1667" s="14">
        <v>1</v>
      </c>
      <c r="N1667" s="15">
        <f t="shared" si="65"/>
        <v>81355.932203389835</v>
      </c>
      <c r="O1667" s="15">
        <f t="shared" si="64"/>
        <v>81355.932203389835</v>
      </c>
      <c r="P1667" s="15"/>
      <c r="Q1667" s="14" t="s">
        <v>520</v>
      </c>
      <c r="R1667" s="25">
        <v>45716</v>
      </c>
      <c r="S1667" s="22" t="str">
        <f>TEXT(Table1[[#This Row],[End Date]],"MMMM")</f>
        <v>February</v>
      </c>
      <c r="T1667" s="23" t="str">
        <f>TEXT(Table1[[#This Row],[End Date]],"YYYY")</f>
        <v>2025</v>
      </c>
      <c r="U1667" s="24">
        <f t="shared" ca="1" si="62"/>
        <v>-583</v>
      </c>
      <c r="V1667" s="14" t="str" cm="1">
        <f t="array" aca="1" ref="V1667" ca="1">_xlfn.IFS(Table1[[#This Row],[Agreement Days]]&gt;=0,"Expired",Table1[[#This Row],[Agreement Days]]&gt;=-30,"Expires &lt; 30 Days",Table1[[#This Row],[Agreement Days]]&gt;=-60,"Expires &lt; 60 Days",Table1[[#This Row],[Agreement Days]]&lt;-60,"Valid Contract")</f>
        <v>Valid Contract</v>
      </c>
      <c r="W1667" s="14" t="s">
        <v>20</v>
      </c>
      <c r="X1667" s="14" t="s">
        <v>989</v>
      </c>
      <c r="Y1667" s="16" t="s">
        <v>990</v>
      </c>
      <c r="Z1667" s="27" t="s">
        <v>991</v>
      </c>
      <c r="AA1667" s="19"/>
      <c r="AB1667" s="122"/>
      <c r="AC1667" s="122"/>
    </row>
    <row r="1668" spans="1:29" s="11" customFormat="1" hidden="1" x14ac:dyDescent="0.3">
      <c r="A1668" s="18" t="s">
        <v>987</v>
      </c>
      <c r="B1668" s="18" t="s">
        <v>127</v>
      </c>
      <c r="C1668" s="18" t="s">
        <v>3023</v>
      </c>
      <c r="D1668" s="14" t="s">
        <v>542</v>
      </c>
      <c r="E1668" s="18" t="s">
        <v>9</v>
      </c>
      <c r="F1668" s="14" t="s">
        <v>601</v>
      </c>
      <c r="G1668" s="14" t="s">
        <v>546</v>
      </c>
      <c r="H1668" s="18" t="s">
        <v>5</v>
      </c>
      <c r="I1668" s="14" t="s">
        <v>115</v>
      </c>
      <c r="J1668" s="14"/>
      <c r="K1668" s="18" t="s">
        <v>651</v>
      </c>
      <c r="L1668" s="14"/>
      <c r="M1668" s="14">
        <v>1</v>
      </c>
      <c r="N1668" s="15">
        <f t="shared" si="65"/>
        <v>81355.932203389835</v>
      </c>
      <c r="O1668" s="15">
        <f t="shared" si="64"/>
        <v>81355.932203389835</v>
      </c>
      <c r="P1668" s="15"/>
      <c r="Q1668" s="14" t="s">
        <v>520</v>
      </c>
      <c r="R1668" s="25">
        <v>45716</v>
      </c>
      <c r="S1668" s="22" t="str">
        <f>TEXT(Table1[[#This Row],[End Date]],"MMMM")</f>
        <v>February</v>
      </c>
      <c r="T1668" s="23" t="str">
        <f>TEXT(Table1[[#This Row],[End Date]],"YYYY")</f>
        <v>2025</v>
      </c>
      <c r="U1668" s="24">
        <f t="shared" ca="1" si="62"/>
        <v>-583</v>
      </c>
      <c r="V1668" s="14" t="str" cm="1">
        <f t="array" aca="1" ref="V1668" ca="1">_xlfn.IFS(Table1[[#This Row],[Agreement Days]]&gt;=0,"Expired",Table1[[#This Row],[Agreement Days]]&gt;=-30,"Expires &lt; 30 Days",Table1[[#This Row],[Agreement Days]]&gt;=-60,"Expires &lt; 60 Days",Table1[[#This Row],[Agreement Days]]&lt;-60,"Valid Contract")</f>
        <v>Valid Contract</v>
      </c>
      <c r="W1668" s="14" t="s">
        <v>20</v>
      </c>
      <c r="X1668" s="14" t="s">
        <v>989</v>
      </c>
      <c r="Y1668" s="16" t="s">
        <v>990</v>
      </c>
      <c r="Z1668" s="27" t="s">
        <v>991</v>
      </c>
      <c r="AA1668" s="19"/>
      <c r="AB1668" s="122"/>
      <c r="AC1668" s="122"/>
    </row>
    <row r="1669" spans="1:29" s="11" customFormat="1" hidden="1" x14ac:dyDescent="0.3">
      <c r="A1669" s="18" t="s">
        <v>987</v>
      </c>
      <c r="B1669" s="18" t="s">
        <v>127</v>
      </c>
      <c r="C1669" s="18" t="s">
        <v>3024</v>
      </c>
      <c r="D1669" s="14" t="s">
        <v>542</v>
      </c>
      <c r="E1669" s="18" t="s">
        <v>9</v>
      </c>
      <c r="F1669" s="14" t="s">
        <v>601</v>
      </c>
      <c r="G1669" s="14" t="s">
        <v>546</v>
      </c>
      <c r="H1669" s="18" t="s">
        <v>5</v>
      </c>
      <c r="I1669" s="14" t="s">
        <v>115</v>
      </c>
      <c r="J1669" s="14"/>
      <c r="K1669" s="18" t="s">
        <v>651</v>
      </c>
      <c r="L1669" s="14"/>
      <c r="M1669" s="14">
        <v>1</v>
      </c>
      <c r="N1669" s="15">
        <f t="shared" si="65"/>
        <v>81355.932203389835</v>
      </c>
      <c r="O1669" s="15">
        <f t="shared" si="64"/>
        <v>81355.932203389835</v>
      </c>
      <c r="P1669" s="15"/>
      <c r="Q1669" s="14" t="s">
        <v>520</v>
      </c>
      <c r="R1669" s="25">
        <v>45716</v>
      </c>
      <c r="S1669" s="22" t="str">
        <f>TEXT(Table1[[#This Row],[End Date]],"MMMM")</f>
        <v>February</v>
      </c>
      <c r="T1669" s="23" t="str">
        <f>TEXT(Table1[[#This Row],[End Date]],"YYYY")</f>
        <v>2025</v>
      </c>
      <c r="U1669" s="24">
        <f t="shared" ca="1" si="62"/>
        <v>-583</v>
      </c>
      <c r="V1669" s="14" t="str" cm="1">
        <f t="array" aca="1" ref="V1669" ca="1">_xlfn.IFS(Table1[[#This Row],[Agreement Days]]&gt;=0,"Expired",Table1[[#This Row],[Agreement Days]]&gt;=-30,"Expires &lt; 30 Days",Table1[[#This Row],[Agreement Days]]&gt;=-60,"Expires &lt; 60 Days",Table1[[#This Row],[Agreement Days]]&lt;-60,"Valid Contract")</f>
        <v>Valid Contract</v>
      </c>
      <c r="W1669" s="14" t="s">
        <v>20</v>
      </c>
      <c r="X1669" s="14" t="s">
        <v>989</v>
      </c>
      <c r="Y1669" s="16" t="s">
        <v>990</v>
      </c>
      <c r="Z1669" s="27" t="s">
        <v>991</v>
      </c>
      <c r="AA1669" s="19"/>
      <c r="AB1669" s="122"/>
      <c r="AC1669" s="122"/>
    </row>
    <row r="1670" spans="1:29" s="11" customFormat="1" hidden="1" x14ac:dyDescent="0.3">
      <c r="A1670" s="18" t="s">
        <v>987</v>
      </c>
      <c r="B1670" s="18" t="s">
        <v>127</v>
      </c>
      <c r="C1670" s="18" t="s">
        <v>3025</v>
      </c>
      <c r="D1670" s="14" t="s">
        <v>542</v>
      </c>
      <c r="E1670" s="18" t="s">
        <v>9</v>
      </c>
      <c r="F1670" s="14" t="s">
        <v>601</v>
      </c>
      <c r="G1670" s="14" t="s">
        <v>546</v>
      </c>
      <c r="H1670" s="18" t="s">
        <v>5</v>
      </c>
      <c r="I1670" s="14" t="s">
        <v>115</v>
      </c>
      <c r="J1670" s="14"/>
      <c r="K1670" s="18" t="s">
        <v>651</v>
      </c>
      <c r="L1670" s="14"/>
      <c r="M1670" s="14">
        <v>1</v>
      </c>
      <c r="N1670" s="15">
        <f t="shared" si="65"/>
        <v>81355.932203389835</v>
      </c>
      <c r="O1670" s="15">
        <f t="shared" si="64"/>
        <v>81355.932203389835</v>
      </c>
      <c r="P1670" s="15"/>
      <c r="Q1670" s="14" t="s">
        <v>520</v>
      </c>
      <c r="R1670" s="25">
        <v>45716</v>
      </c>
      <c r="S1670" s="22" t="str">
        <f>TEXT(Table1[[#This Row],[End Date]],"MMMM")</f>
        <v>February</v>
      </c>
      <c r="T1670" s="23" t="str">
        <f>TEXT(Table1[[#This Row],[End Date]],"YYYY")</f>
        <v>2025</v>
      </c>
      <c r="U1670" s="24">
        <f t="shared" ca="1" si="62"/>
        <v>-583</v>
      </c>
      <c r="V1670" s="14" t="str" cm="1">
        <f t="array" aca="1" ref="V1670" ca="1">_xlfn.IFS(Table1[[#This Row],[Agreement Days]]&gt;=0,"Expired",Table1[[#This Row],[Agreement Days]]&gt;=-30,"Expires &lt; 30 Days",Table1[[#This Row],[Agreement Days]]&gt;=-60,"Expires &lt; 60 Days",Table1[[#This Row],[Agreement Days]]&lt;-60,"Valid Contract")</f>
        <v>Valid Contract</v>
      </c>
      <c r="W1670" s="14" t="s">
        <v>20</v>
      </c>
      <c r="X1670" s="14" t="s">
        <v>989</v>
      </c>
      <c r="Y1670" s="16" t="s">
        <v>990</v>
      </c>
      <c r="Z1670" s="27" t="s">
        <v>991</v>
      </c>
      <c r="AA1670" s="19"/>
      <c r="AB1670" s="122"/>
      <c r="AC1670" s="122"/>
    </row>
    <row r="1671" spans="1:29" s="56" customFormat="1" hidden="1" x14ac:dyDescent="0.3">
      <c r="A1671" s="18" t="s">
        <v>987</v>
      </c>
      <c r="B1671" s="18" t="s">
        <v>127</v>
      </c>
      <c r="C1671" s="18" t="s">
        <v>3026</v>
      </c>
      <c r="D1671" s="14" t="s">
        <v>542</v>
      </c>
      <c r="E1671" s="18" t="s">
        <v>9</v>
      </c>
      <c r="F1671" s="14" t="s">
        <v>601</v>
      </c>
      <c r="G1671" s="14" t="s">
        <v>546</v>
      </c>
      <c r="H1671" s="18" t="s">
        <v>5</v>
      </c>
      <c r="I1671" s="14" t="s">
        <v>115</v>
      </c>
      <c r="J1671" s="14"/>
      <c r="K1671" s="18" t="s">
        <v>651</v>
      </c>
      <c r="L1671" s="14"/>
      <c r="M1671" s="14">
        <v>1</v>
      </c>
      <c r="N1671" s="15">
        <f t="shared" si="65"/>
        <v>81355.932203389835</v>
      </c>
      <c r="O1671" s="15">
        <f t="shared" si="64"/>
        <v>81355.932203389835</v>
      </c>
      <c r="P1671" s="15"/>
      <c r="Q1671" s="14" t="s">
        <v>520</v>
      </c>
      <c r="R1671" s="25">
        <v>45716</v>
      </c>
      <c r="S1671" s="22" t="str">
        <f>TEXT(Table1[[#This Row],[End Date]],"MMMM")</f>
        <v>February</v>
      </c>
      <c r="T1671" s="23" t="str">
        <f>TEXT(Table1[[#This Row],[End Date]],"YYYY")</f>
        <v>2025</v>
      </c>
      <c r="U1671" s="24">
        <f t="shared" ref="U1671:U1734" ca="1" si="66">TODAY()-R1671</f>
        <v>-583</v>
      </c>
      <c r="V1671" s="14" t="str" cm="1">
        <f t="array" aca="1" ref="V1671" ca="1">_xlfn.IFS(Table1[[#This Row],[Agreement Days]]&gt;=0,"Expired",Table1[[#This Row],[Agreement Days]]&gt;=-30,"Expires &lt; 30 Days",Table1[[#This Row],[Agreement Days]]&gt;=-60,"Expires &lt; 60 Days",Table1[[#This Row],[Agreement Days]]&lt;-60,"Valid Contract")</f>
        <v>Valid Contract</v>
      </c>
      <c r="W1671" s="14" t="s">
        <v>20</v>
      </c>
      <c r="X1671" s="14" t="s">
        <v>989</v>
      </c>
      <c r="Y1671" s="16" t="s">
        <v>990</v>
      </c>
      <c r="Z1671" s="27" t="s">
        <v>991</v>
      </c>
      <c r="AA1671" s="19"/>
      <c r="AB1671" s="122"/>
      <c r="AC1671" s="122"/>
    </row>
    <row r="1672" spans="1:29" s="56" customFormat="1" hidden="1" x14ac:dyDescent="0.3">
      <c r="A1672" s="18" t="s">
        <v>987</v>
      </c>
      <c r="B1672" s="18" t="s">
        <v>127</v>
      </c>
      <c r="C1672" s="18" t="s">
        <v>3027</v>
      </c>
      <c r="D1672" s="14" t="s">
        <v>542</v>
      </c>
      <c r="E1672" s="18" t="s">
        <v>9</v>
      </c>
      <c r="F1672" s="14" t="s">
        <v>601</v>
      </c>
      <c r="G1672" s="14" t="s">
        <v>546</v>
      </c>
      <c r="H1672" s="18" t="s">
        <v>5</v>
      </c>
      <c r="I1672" s="14" t="s">
        <v>115</v>
      </c>
      <c r="J1672" s="14"/>
      <c r="K1672" s="18" t="s">
        <v>651</v>
      </c>
      <c r="L1672" s="14"/>
      <c r="M1672" s="14">
        <v>1</v>
      </c>
      <c r="N1672" s="15">
        <f t="shared" si="65"/>
        <v>81355.932203389835</v>
      </c>
      <c r="O1672" s="15">
        <f t="shared" si="64"/>
        <v>81355.932203389835</v>
      </c>
      <c r="P1672" s="15"/>
      <c r="Q1672" s="14" t="s">
        <v>520</v>
      </c>
      <c r="R1672" s="25">
        <v>45716</v>
      </c>
      <c r="S1672" s="22" t="str">
        <f>TEXT(Table1[[#This Row],[End Date]],"MMMM")</f>
        <v>February</v>
      </c>
      <c r="T1672" s="23" t="str">
        <f>TEXT(Table1[[#This Row],[End Date]],"YYYY")</f>
        <v>2025</v>
      </c>
      <c r="U1672" s="24">
        <f t="shared" ca="1" si="66"/>
        <v>-583</v>
      </c>
      <c r="V1672" s="14" t="str" cm="1">
        <f t="array" aca="1" ref="V1672" ca="1">_xlfn.IFS(Table1[[#This Row],[Agreement Days]]&gt;=0,"Expired",Table1[[#This Row],[Agreement Days]]&gt;=-30,"Expires &lt; 30 Days",Table1[[#This Row],[Agreement Days]]&gt;=-60,"Expires &lt; 60 Days",Table1[[#This Row],[Agreement Days]]&lt;-60,"Valid Contract")</f>
        <v>Valid Contract</v>
      </c>
      <c r="W1672" s="14" t="s">
        <v>20</v>
      </c>
      <c r="X1672" s="14" t="s">
        <v>989</v>
      </c>
      <c r="Y1672" s="16" t="s">
        <v>990</v>
      </c>
      <c r="Z1672" s="27" t="s">
        <v>991</v>
      </c>
      <c r="AA1672" s="19"/>
      <c r="AB1672" s="122"/>
      <c r="AC1672" s="122"/>
    </row>
    <row r="1673" spans="1:29" s="56" customFormat="1" hidden="1" x14ac:dyDescent="0.3">
      <c r="A1673" s="18" t="s">
        <v>987</v>
      </c>
      <c r="B1673" s="18" t="s">
        <v>127</v>
      </c>
      <c r="C1673" s="18" t="s">
        <v>3028</v>
      </c>
      <c r="D1673" s="14" t="s">
        <v>579</v>
      </c>
      <c r="E1673" s="18" t="s">
        <v>9</v>
      </c>
      <c r="F1673" s="14" t="s">
        <v>601</v>
      </c>
      <c r="G1673" s="14" t="s">
        <v>546</v>
      </c>
      <c r="H1673" s="18" t="s">
        <v>5</v>
      </c>
      <c r="I1673" s="14" t="s">
        <v>115</v>
      </c>
      <c r="J1673" s="14"/>
      <c r="K1673" s="18" t="s">
        <v>651</v>
      </c>
      <c r="L1673" s="14"/>
      <c r="M1673" s="14">
        <v>1</v>
      </c>
      <c r="N1673" s="15">
        <f t="shared" ref="N1673:N1690" si="67">96000/1.18</f>
        <v>81355.932203389835</v>
      </c>
      <c r="O1673" s="15">
        <f t="shared" si="64"/>
        <v>81355.932203389835</v>
      </c>
      <c r="P1673" s="15"/>
      <c r="Q1673" s="14" t="s">
        <v>520</v>
      </c>
      <c r="R1673" s="25">
        <v>45716</v>
      </c>
      <c r="S1673" s="22" t="str">
        <f>TEXT(Table1[[#This Row],[End Date]],"MMMM")</f>
        <v>February</v>
      </c>
      <c r="T1673" s="23" t="str">
        <f>TEXT(Table1[[#This Row],[End Date]],"YYYY")</f>
        <v>2025</v>
      </c>
      <c r="U1673" s="24">
        <f t="shared" ca="1" si="66"/>
        <v>-583</v>
      </c>
      <c r="V1673" s="14" t="str" cm="1">
        <f t="array" aca="1" ref="V1673" ca="1">_xlfn.IFS(Table1[[#This Row],[Agreement Days]]&gt;=0,"Expired",Table1[[#This Row],[Agreement Days]]&gt;=-30,"Expires &lt; 30 Days",Table1[[#This Row],[Agreement Days]]&gt;=-60,"Expires &lt; 60 Days",Table1[[#This Row],[Agreement Days]]&lt;-60,"Valid Contract")</f>
        <v>Valid Contract</v>
      </c>
      <c r="W1673" s="14" t="s">
        <v>20</v>
      </c>
      <c r="X1673" s="14" t="s">
        <v>989</v>
      </c>
      <c r="Y1673" s="16" t="s">
        <v>990</v>
      </c>
      <c r="Z1673" s="27" t="s">
        <v>991</v>
      </c>
      <c r="AA1673" s="19"/>
      <c r="AB1673" s="122"/>
      <c r="AC1673" s="122"/>
    </row>
    <row r="1674" spans="1:29" s="56" customFormat="1" hidden="1" x14ac:dyDescent="0.3">
      <c r="A1674" s="18" t="s">
        <v>987</v>
      </c>
      <c r="B1674" s="18" t="s">
        <v>127</v>
      </c>
      <c r="C1674" s="18" t="s">
        <v>3028</v>
      </c>
      <c r="D1674" s="14" t="s">
        <v>579</v>
      </c>
      <c r="E1674" s="18" t="s">
        <v>9</v>
      </c>
      <c r="F1674" s="14" t="s">
        <v>601</v>
      </c>
      <c r="G1674" s="14" t="s">
        <v>546</v>
      </c>
      <c r="H1674" s="18" t="s">
        <v>5</v>
      </c>
      <c r="I1674" s="14" t="s">
        <v>115</v>
      </c>
      <c r="J1674" s="14"/>
      <c r="K1674" s="18" t="s">
        <v>651</v>
      </c>
      <c r="L1674" s="14"/>
      <c r="M1674" s="14">
        <v>1</v>
      </c>
      <c r="N1674" s="15">
        <f t="shared" si="67"/>
        <v>81355.932203389835</v>
      </c>
      <c r="O1674" s="15">
        <f t="shared" si="64"/>
        <v>81355.932203389835</v>
      </c>
      <c r="P1674" s="15"/>
      <c r="Q1674" s="14" t="s">
        <v>520</v>
      </c>
      <c r="R1674" s="25">
        <v>45716</v>
      </c>
      <c r="S1674" s="22" t="str">
        <f>TEXT(Table1[[#This Row],[End Date]],"MMMM")</f>
        <v>February</v>
      </c>
      <c r="T1674" s="23" t="str">
        <f>TEXT(Table1[[#This Row],[End Date]],"YYYY")</f>
        <v>2025</v>
      </c>
      <c r="U1674" s="24">
        <f t="shared" ca="1" si="66"/>
        <v>-583</v>
      </c>
      <c r="V1674" s="14" t="str" cm="1">
        <f t="array" aca="1" ref="V1674" ca="1">_xlfn.IFS(Table1[[#This Row],[Agreement Days]]&gt;=0,"Expired",Table1[[#This Row],[Agreement Days]]&gt;=-30,"Expires &lt; 30 Days",Table1[[#This Row],[Agreement Days]]&gt;=-60,"Expires &lt; 60 Days",Table1[[#This Row],[Agreement Days]]&lt;-60,"Valid Contract")</f>
        <v>Valid Contract</v>
      </c>
      <c r="W1674" s="14" t="s">
        <v>20</v>
      </c>
      <c r="X1674" s="14" t="s">
        <v>989</v>
      </c>
      <c r="Y1674" s="16" t="s">
        <v>990</v>
      </c>
      <c r="Z1674" s="27" t="s">
        <v>991</v>
      </c>
      <c r="AA1674" s="19"/>
      <c r="AB1674" s="122"/>
      <c r="AC1674" s="122"/>
    </row>
    <row r="1675" spans="1:29" s="56" customFormat="1" hidden="1" x14ac:dyDescent="0.3">
      <c r="A1675" s="18" t="s">
        <v>987</v>
      </c>
      <c r="B1675" s="18" t="s">
        <v>127</v>
      </c>
      <c r="C1675" s="18" t="s">
        <v>3029</v>
      </c>
      <c r="D1675" s="14" t="s">
        <v>579</v>
      </c>
      <c r="E1675" s="18" t="s">
        <v>9</v>
      </c>
      <c r="F1675" s="14" t="s">
        <v>601</v>
      </c>
      <c r="G1675" s="14" t="s">
        <v>546</v>
      </c>
      <c r="H1675" s="18" t="s">
        <v>5</v>
      </c>
      <c r="I1675" s="14" t="s">
        <v>115</v>
      </c>
      <c r="J1675" s="14"/>
      <c r="K1675" s="18" t="s">
        <v>651</v>
      </c>
      <c r="L1675" s="14"/>
      <c r="M1675" s="14">
        <v>1</v>
      </c>
      <c r="N1675" s="15">
        <f t="shared" si="67"/>
        <v>81355.932203389835</v>
      </c>
      <c r="O1675" s="15">
        <f t="shared" si="64"/>
        <v>81355.932203389835</v>
      </c>
      <c r="P1675" s="15"/>
      <c r="Q1675" s="14" t="s">
        <v>520</v>
      </c>
      <c r="R1675" s="25">
        <v>45716</v>
      </c>
      <c r="S1675" s="22" t="str">
        <f>TEXT(Table1[[#This Row],[End Date]],"MMMM")</f>
        <v>February</v>
      </c>
      <c r="T1675" s="23" t="str">
        <f>TEXT(Table1[[#This Row],[End Date]],"YYYY")</f>
        <v>2025</v>
      </c>
      <c r="U1675" s="24">
        <f t="shared" ca="1" si="66"/>
        <v>-583</v>
      </c>
      <c r="V1675" s="14" t="str" cm="1">
        <f t="array" aca="1" ref="V1675" ca="1">_xlfn.IFS(Table1[[#This Row],[Agreement Days]]&gt;=0,"Expired",Table1[[#This Row],[Agreement Days]]&gt;=-30,"Expires &lt; 30 Days",Table1[[#This Row],[Agreement Days]]&gt;=-60,"Expires &lt; 60 Days",Table1[[#This Row],[Agreement Days]]&lt;-60,"Valid Contract")</f>
        <v>Valid Contract</v>
      </c>
      <c r="W1675" s="14" t="s">
        <v>20</v>
      </c>
      <c r="X1675" s="14" t="s">
        <v>989</v>
      </c>
      <c r="Y1675" s="16" t="s">
        <v>990</v>
      </c>
      <c r="Z1675" s="27" t="s">
        <v>991</v>
      </c>
      <c r="AA1675" s="19"/>
      <c r="AB1675" s="122"/>
      <c r="AC1675" s="122"/>
    </row>
    <row r="1676" spans="1:29" s="56" customFormat="1" hidden="1" x14ac:dyDescent="0.3">
      <c r="A1676" s="18" t="s">
        <v>987</v>
      </c>
      <c r="B1676" s="18" t="s">
        <v>127</v>
      </c>
      <c r="C1676" s="18" t="s">
        <v>3030</v>
      </c>
      <c r="D1676" s="14" t="s">
        <v>579</v>
      </c>
      <c r="E1676" s="18" t="s">
        <v>9</v>
      </c>
      <c r="F1676" s="14" t="s">
        <v>601</v>
      </c>
      <c r="G1676" s="14" t="s">
        <v>546</v>
      </c>
      <c r="H1676" s="18" t="s">
        <v>5</v>
      </c>
      <c r="I1676" s="14" t="s">
        <v>115</v>
      </c>
      <c r="J1676" s="14"/>
      <c r="K1676" s="18" t="s">
        <v>651</v>
      </c>
      <c r="L1676" s="14"/>
      <c r="M1676" s="14">
        <v>1</v>
      </c>
      <c r="N1676" s="15">
        <f t="shared" si="67"/>
        <v>81355.932203389835</v>
      </c>
      <c r="O1676" s="15">
        <f t="shared" si="64"/>
        <v>81355.932203389835</v>
      </c>
      <c r="P1676" s="15"/>
      <c r="Q1676" s="14" t="s">
        <v>520</v>
      </c>
      <c r="R1676" s="25">
        <v>45716</v>
      </c>
      <c r="S1676" s="22" t="str">
        <f>TEXT(Table1[[#This Row],[End Date]],"MMMM")</f>
        <v>February</v>
      </c>
      <c r="T1676" s="23" t="str">
        <f>TEXT(Table1[[#This Row],[End Date]],"YYYY")</f>
        <v>2025</v>
      </c>
      <c r="U1676" s="24">
        <f t="shared" ca="1" si="66"/>
        <v>-583</v>
      </c>
      <c r="V1676" s="14" t="str" cm="1">
        <f t="array" aca="1" ref="V1676" ca="1">_xlfn.IFS(Table1[[#This Row],[Agreement Days]]&gt;=0,"Expired",Table1[[#This Row],[Agreement Days]]&gt;=-30,"Expires &lt; 30 Days",Table1[[#This Row],[Agreement Days]]&gt;=-60,"Expires &lt; 60 Days",Table1[[#This Row],[Agreement Days]]&lt;-60,"Valid Contract")</f>
        <v>Valid Contract</v>
      </c>
      <c r="W1676" s="14" t="s">
        <v>20</v>
      </c>
      <c r="X1676" s="14" t="s">
        <v>989</v>
      </c>
      <c r="Y1676" s="16" t="s">
        <v>990</v>
      </c>
      <c r="Z1676" s="27" t="s">
        <v>991</v>
      </c>
      <c r="AA1676" s="19"/>
      <c r="AB1676" s="122"/>
      <c r="AC1676" s="122"/>
    </row>
    <row r="1677" spans="1:29" s="56" customFormat="1" hidden="1" x14ac:dyDescent="0.3">
      <c r="A1677" s="18" t="s">
        <v>987</v>
      </c>
      <c r="B1677" s="18" t="s">
        <v>127</v>
      </c>
      <c r="C1677" s="18" t="s">
        <v>3031</v>
      </c>
      <c r="D1677" s="14" t="s">
        <v>579</v>
      </c>
      <c r="E1677" s="18" t="s">
        <v>9</v>
      </c>
      <c r="F1677" s="14" t="s">
        <v>601</v>
      </c>
      <c r="G1677" s="14" t="s">
        <v>546</v>
      </c>
      <c r="H1677" s="18" t="s">
        <v>5</v>
      </c>
      <c r="I1677" s="14" t="s">
        <v>115</v>
      </c>
      <c r="J1677" s="14"/>
      <c r="K1677" s="18" t="s">
        <v>651</v>
      </c>
      <c r="L1677" s="14"/>
      <c r="M1677" s="14">
        <v>1</v>
      </c>
      <c r="N1677" s="15">
        <f t="shared" si="67"/>
        <v>81355.932203389835</v>
      </c>
      <c r="O1677" s="15">
        <f t="shared" si="64"/>
        <v>81355.932203389835</v>
      </c>
      <c r="P1677" s="15"/>
      <c r="Q1677" s="14" t="s">
        <v>520</v>
      </c>
      <c r="R1677" s="25">
        <v>45716</v>
      </c>
      <c r="S1677" s="22" t="str">
        <f>TEXT(Table1[[#This Row],[End Date]],"MMMM")</f>
        <v>February</v>
      </c>
      <c r="T1677" s="23" t="str">
        <f>TEXT(Table1[[#This Row],[End Date]],"YYYY")</f>
        <v>2025</v>
      </c>
      <c r="U1677" s="24">
        <f t="shared" ca="1" si="66"/>
        <v>-583</v>
      </c>
      <c r="V1677" s="14" t="str" cm="1">
        <f t="array" aca="1" ref="V1677" ca="1">_xlfn.IFS(Table1[[#This Row],[Agreement Days]]&gt;=0,"Expired",Table1[[#This Row],[Agreement Days]]&gt;=-30,"Expires &lt; 30 Days",Table1[[#This Row],[Agreement Days]]&gt;=-60,"Expires &lt; 60 Days",Table1[[#This Row],[Agreement Days]]&lt;-60,"Valid Contract")</f>
        <v>Valid Contract</v>
      </c>
      <c r="W1677" s="14" t="s">
        <v>20</v>
      </c>
      <c r="X1677" s="14" t="s">
        <v>989</v>
      </c>
      <c r="Y1677" s="16" t="s">
        <v>990</v>
      </c>
      <c r="Z1677" s="27" t="s">
        <v>991</v>
      </c>
      <c r="AA1677" s="19"/>
      <c r="AB1677" s="122"/>
      <c r="AC1677" s="122"/>
    </row>
    <row r="1678" spans="1:29" s="56" customFormat="1" hidden="1" x14ac:dyDescent="0.3">
      <c r="A1678" s="18" t="s">
        <v>987</v>
      </c>
      <c r="B1678" s="18" t="s">
        <v>127</v>
      </c>
      <c r="C1678" s="18" t="s">
        <v>3032</v>
      </c>
      <c r="D1678" s="14" t="s">
        <v>579</v>
      </c>
      <c r="E1678" s="18" t="s">
        <v>9</v>
      </c>
      <c r="F1678" s="14" t="s">
        <v>601</v>
      </c>
      <c r="G1678" s="14" t="s">
        <v>546</v>
      </c>
      <c r="H1678" s="18" t="s">
        <v>5</v>
      </c>
      <c r="I1678" s="14" t="s">
        <v>115</v>
      </c>
      <c r="J1678" s="14"/>
      <c r="K1678" s="18" t="s">
        <v>651</v>
      </c>
      <c r="L1678" s="14"/>
      <c r="M1678" s="14">
        <v>1</v>
      </c>
      <c r="N1678" s="15">
        <f t="shared" si="67"/>
        <v>81355.932203389835</v>
      </c>
      <c r="O1678" s="15">
        <f t="shared" ref="O1678:O1741" si="68">N1678*M1678</f>
        <v>81355.932203389835</v>
      </c>
      <c r="P1678" s="15"/>
      <c r="Q1678" s="14" t="s">
        <v>520</v>
      </c>
      <c r="R1678" s="25">
        <v>45716</v>
      </c>
      <c r="S1678" s="22" t="str">
        <f>TEXT(Table1[[#This Row],[End Date]],"MMMM")</f>
        <v>February</v>
      </c>
      <c r="T1678" s="23" t="str">
        <f>TEXT(Table1[[#This Row],[End Date]],"YYYY")</f>
        <v>2025</v>
      </c>
      <c r="U1678" s="24">
        <f t="shared" ca="1" si="66"/>
        <v>-583</v>
      </c>
      <c r="V1678" s="14" t="str" cm="1">
        <f t="array" aca="1" ref="V1678" ca="1">_xlfn.IFS(Table1[[#This Row],[Agreement Days]]&gt;=0,"Expired",Table1[[#This Row],[Agreement Days]]&gt;=-30,"Expires &lt; 30 Days",Table1[[#This Row],[Agreement Days]]&gt;=-60,"Expires &lt; 60 Days",Table1[[#This Row],[Agreement Days]]&lt;-60,"Valid Contract")</f>
        <v>Valid Contract</v>
      </c>
      <c r="W1678" s="14" t="s">
        <v>20</v>
      </c>
      <c r="X1678" s="14" t="s">
        <v>989</v>
      </c>
      <c r="Y1678" s="16" t="s">
        <v>990</v>
      </c>
      <c r="Z1678" s="27" t="s">
        <v>991</v>
      </c>
      <c r="AA1678" s="19"/>
      <c r="AB1678" s="122"/>
      <c r="AC1678" s="122"/>
    </row>
    <row r="1679" spans="1:29" s="56" customFormat="1" hidden="1" x14ac:dyDescent="0.3">
      <c r="A1679" s="18" t="s">
        <v>987</v>
      </c>
      <c r="B1679" s="18" t="s">
        <v>127</v>
      </c>
      <c r="C1679" s="18" t="s">
        <v>3033</v>
      </c>
      <c r="D1679" s="14" t="s">
        <v>579</v>
      </c>
      <c r="E1679" s="18" t="s">
        <v>9</v>
      </c>
      <c r="F1679" s="14" t="s">
        <v>601</v>
      </c>
      <c r="G1679" s="14" t="s">
        <v>546</v>
      </c>
      <c r="H1679" s="18" t="s">
        <v>5</v>
      </c>
      <c r="I1679" s="14" t="s">
        <v>115</v>
      </c>
      <c r="J1679" s="14"/>
      <c r="K1679" s="18" t="s">
        <v>651</v>
      </c>
      <c r="L1679" s="14"/>
      <c r="M1679" s="14">
        <v>1</v>
      </c>
      <c r="N1679" s="15">
        <f t="shared" si="67"/>
        <v>81355.932203389835</v>
      </c>
      <c r="O1679" s="15">
        <f t="shared" si="68"/>
        <v>81355.932203389835</v>
      </c>
      <c r="P1679" s="15"/>
      <c r="Q1679" s="14" t="s">
        <v>520</v>
      </c>
      <c r="R1679" s="25">
        <v>45716</v>
      </c>
      <c r="S1679" s="22" t="str">
        <f>TEXT(Table1[[#This Row],[End Date]],"MMMM")</f>
        <v>February</v>
      </c>
      <c r="T1679" s="23" t="str">
        <f>TEXT(Table1[[#This Row],[End Date]],"YYYY")</f>
        <v>2025</v>
      </c>
      <c r="U1679" s="24">
        <f t="shared" ca="1" si="66"/>
        <v>-583</v>
      </c>
      <c r="V1679" s="14" t="str" cm="1">
        <f t="array" aca="1" ref="V1679" ca="1">_xlfn.IFS(Table1[[#This Row],[Agreement Days]]&gt;=0,"Expired",Table1[[#This Row],[Agreement Days]]&gt;=-30,"Expires &lt; 30 Days",Table1[[#This Row],[Agreement Days]]&gt;=-60,"Expires &lt; 60 Days",Table1[[#This Row],[Agreement Days]]&lt;-60,"Valid Contract")</f>
        <v>Valid Contract</v>
      </c>
      <c r="W1679" s="14" t="s">
        <v>20</v>
      </c>
      <c r="X1679" s="14" t="s">
        <v>989</v>
      </c>
      <c r="Y1679" s="16" t="s">
        <v>990</v>
      </c>
      <c r="Z1679" s="27" t="s">
        <v>991</v>
      </c>
      <c r="AA1679" s="19"/>
      <c r="AB1679" s="122"/>
      <c r="AC1679" s="122"/>
    </row>
    <row r="1680" spans="1:29" s="56" customFormat="1" hidden="1" x14ac:dyDescent="0.3">
      <c r="A1680" s="18" t="s">
        <v>987</v>
      </c>
      <c r="B1680" s="18" t="s">
        <v>127</v>
      </c>
      <c r="C1680" s="18" t="s">
        <v>3034</v>
      </c>
      <c r="D1680" s="14" t="s">
        <v>579</v>
      </c>
      <c r="E1680" s="18" t="s">
        <v>9</v>
      </c>
      <c r="F1680" s="14" t="s">
        <v>601</v>
      </c>
      <c r="G1680" s="14" t="s">
        <v>546</v>
      </c>
      <c r="H1680" s="18" t="s">
        <v>5</v>
      </c>
      <c r="I1680" s="14" t="s">
        <v>115</v>
      </c>
      <c r="J1680" s="14"/>
      <c r="K1680" s="18" t="s">
        <v>651</v>
      </c>
      <c r="L1680" s="14"/>
      <c r="M1680" s="14">
        <v>1</v>
      </c>
      <c r="N1680" s="15">
        <f t="shared" si="67"/>
        <v>81355.932203389835</v>
      </c>
      <c r="O1680" s="15">
        <f t="shared" si="68"/>
        <v>81355.932203389835</v>
      </c>
      <c r="P1680" s="15"/>
      <c r="Q1680" s="14" t="s">
        <v>520</v>
      </c>
      <c r="R1680" s="25">
        <v>45716</v>
      </c>
      <c r="S1680" s="22" t="str">
        <f>TEXT(Table1[[#This Row],[End Date]],"MMMM")</f>
        <v>February</v>
      </c>
      <c r="T1680" s="23" t="str">
        <f>TEXT(Table1[[#This Row],[End Date]],"YYYY")</f>
        <v>2025</v>
      </c>
      <c r="U1680" s="24">
        <f t="shared" ca="1" si="66"/>
        <v>-583</v>
      </c>
      <c r="V1680" s="14" t="str" cm="1">
        <f t="array" aca="1" ref="V1680" ca="1">_xlfn.IFS(Table1[[#This Row],[Agreement Days]]&gt;=0,"Expired",Table1[[#This Row],[Agreement Days]]&gt;=-30,"Expires &lt; 30 Days",Table1[[#This Row],[Agreement Days]]&gt;=-60,"Expires &lt; 60 Days",Table1[[#This Row],[Agreement Days]]&lt;-60,"Valid Contract")</f>
        <v>Valid Contract</v>
      </c>
      <c r="W1680" s="14" t="s">
        <v>20</v>
      </c>
      <c r="X1680" s="14" t="s">
        <v>989</v>
      </c>
      <c r="Y1680" s="16" t="s">
        <v>990</v>
      </c>
      <c r="Z1680" s="27" t="s">
        <v>991</v>
      </c>
      <c r="AA1680" s="19"/>
      <c r="AB1680" s="122"/>
      <c r="AC1680" s="122"/>
    </row>
    <row r="1681" spans="1:29" s="56" customFormat="1" hidden="1" x14ac:dyDescent="0.3">
      <c r="A1681" s="18" t="s">
        <v>987</v>
      </c>
      <c r="B1681" s="18" t="s">
        <v>127</v>
      </c>
      <c r="C1681" s="18" t="s">
        <v>3035</v>
      </c>
      <c r="D1681" s="14" t="s">
        <v>579</v>
      </c>
      <c r="E1681" s="18" t="s">
        <v>9</v>
      </c>
      <c r="F1681" s="14" t="s">
        <v>601</v>
      </c>
      <c r="G1681" s="14" t="s">
        <v>546</v>
      </c>
      <c r="H1681" s="18" t="s">
        <v>5</v>
      </c>
      <c r="I1681" s="14" t="s">
        <v>115</v>
      </c>
      <c r="J1681" s="14"/>
      <c r="K1681" s="18" t="s">
        <v>651</v>
      </c>
      <c r="L1681" s="14"/>
      <c r="M1681" s="14">
        <v>1</v>
      </c>
      <c r="N1681" s="15">
        <f t="shared" si="67"/>
        <v>81355.932203389835</v>
      </c>
      <c r="O1681" s="15">
        <f t="shared" si="68"/>
        <v>81355.932203389835</v>
      </c>
      <c r="P1681" s="15"/>
      <c r="Q1681" s="14" t="s">
        <v>520</v>
      </c>
      <c r="R1681" s="25">
        <v>45716</v>
      </c>
      <c r="S1681" s="22" t="str">
        <f>TEXT(Table1[[#This Row],[End Date]],"MMMM")</f>
        <v>February</v>
      </c>
      <c r="T1681" s="23" t="str">
        <f>TEXT(Table1[[#This Row],[End Date]],"YYYY")</f>
        <v>2025</v>
      </c>
      <c r="U1681" s="24">
        <f t="shared" ca="1" si="66"/>
        <v>-583</v>
      </c>
      <c r="V1681" s="14" t="str" cm="1">
        <f t="array" aca="1" ref="V1681" ca="1">_xlfn.IFS(Table1[[#This Row],[Agreement Days]]&gt;=0,"Expired",Table1[[#This Row],[Agreement Days]]&gt;=-30,"Expires &lt; 30 Days",Table1[[#This Row],[Agreement Days]]&gt;=-60,"Expires &lt; 60 Days",Table1[[#This Row],[Agreement Days]]&lt;-60,"Valid Contract")</f>
        <v>Valid Contract</v>
      </c>
      <c r="W1681" s="14" t="s">
        <v>20</v>
      </c>
      <c r="X1681" s="14" t="s">
        <v>989</v>
      </c>
      <c r="Y1681" s="16" t="s">
        <v>990</v>
      </c>
      <c r="Z1681" s="27" t="s">
        <v>991</v>
      </c>
      <c r="AA1681" s="19"/>
      <c r="AB1681" s="122"/>
      <c r="AC1681" s="122"/>
    </row>
    <row r="1682" spans="1:29" s="56" customFormat="1" hidden="1" x14ac:dyDescent="0.3">
      <c r="A1682" s="18" t="s">
        <v>987</v>
      </c>
      <c r="B1682" s="18" t="s">
        <v>127</v>
      </c>
      <c r="C1682" s="18" t="s">
        <v>3036</v>
      </c>
      <c r="D1682" s="14" t="s">
        <v>645</v>
      </c>
      <c r="E1682" s="18" t="s">
        <v>9</v>
      </c>
      <c r="F1682" s="14" t="s">
        <v>601</v>
      </c>
      <c r="G1682" s="14" t="s">
        <v>546</v>
      </c>
      <c r="H1682" s="18" t="s">
        <v>5</v>
      </c>
      <c r="I1682" s="14" t="s">
        <v>115</v>
      </c>
      <c r="J1682" s="14"/>
      <c r="K1682" s="18" t="s">
        <v>651</v>
      </c>
      <c r="L1682" s="14"/>
      <c r="M1682" s="14">
        <v>1</v>
      </c>
      <c r="N1682" s="15">
        <f t="shared" si="67"/>
        <v>81355.932203389835</v>
      </c>
      <c r="O1682" s="15">
        <f t="shared" si="68"/>
        <v>81355.932203389835</v>
      </c>
      <c r="P1682" s="15"/>
      <c r="Q1682" s="14" t="s">
        <v>520</v>
      </c>
      <c r="R1682" s="25">
        <v>45716</v>
      </c>
      <c r="S1682" s="22" t="str">
        <f>TEXT(Table1[[#This Row],[End Date]],"MMMM")</f>
        <v>February</v>
      </c>
      <c r="T1682" s="23" t="str">
        <f>TEXT(Table1[[#This Row],[End Date]],"YYYY")</f>
        <v>2025</v>
      </c>
      <c r="U1682" s="24">
        <f t="shared" ca="1" si="66"/>
        <v>-583</v>
      </c>
      <c r="V1682" s="14" t="str" cm="1">
        <f t="array" aca="1" ref="V1682" ca="1">_xlfn.IFS(Table1[[#This Row],[Agreement Days]]&gt;=0,"Expired",Table1[[#This Row],[Agreement Days]]&gt;=-30,"Expires &lt; 30 Days",Table1[[#This Row],[Agreement Days]]&gt;=-60,"Expires &lt; 60 Days",Table1[[#This Row],[Agreement Days]]&lt;-60,"Valid Contract")</f>
        <v>Valid Contract</v>
      </c>
      <c r="W1682" s="14" t="s">
        <v>20</v>
      </c>
      <c r="X1682" s="14" t="s">
        <v>989</v>
      </c>
      <c r="Y1682" s="16" t="s">
        <v>990</v>
      </c>
      <c r="Z1682" s="27" t="s">
        <v>991</v>
      </c>
      <c r="AA1682" s="19"/>
      <c r="AB1682" s="123"/>
      <c r="AC1682" s="123"/>
    </row>
    <row r="1683" spans="1:29" s="56" customFormat="1" hidden="1" x14ac:dyDescent="0.3">
      <c r="A1683" s="18" t="s">
        <v>987</v>
      </c>
      <c r="B1683" s="18" t="s">
        <v>127</v>
      </c>
      <c r="C1683" s="18" t="s">
        <v>3037</v>
      </c>
      <c r="D1683" s="14" t="s">
        <v>645</v>
      </c>
      <c r="E1683" s="18" t="s">
        <v>9</v>
      </c>
      <c r="F1683" s="14" t="s">
        <v>601</v>
      </c>
      <c r="G1683" s="14" t="s">
        <v>546</v>
      </c>
      <c r="H1683" s="18" t="s">
        <v>5</v>
      </c>
      <c r="I1683" s="14" t="s">
        <v>115</v>
      </c>
      <c r="J1683" s="14"/>
      <c r="K1683" s="18" t="s">
        <v>651</v>
      </c>
      <c r="L1683" s="14"/>
      <c r="M1683" s="14">
        <v>1</v>
      </c>
      <c r="N1683" s="15">
        <f t="shared" si="67"/>
        <v>81355.932203389835</v>
      </c>
      <c r="O1683" s="15">
        <f t="shared" si="68"/>
        <v>81355.932203389835</v>
      </c>
      <c r="P1683" s="15"/>
      <c r="Q1683" s="14" t="s">
        <v>520</v>
      </c>
      <c r="R1683" s="25">
        <v>45716</v>
      </c>
      <c r="S1683" s="22" t="str">
        <f>TEXT(Table1[[#This Row],[End Date]],"MMMM")</f>
        <v>February</v>
      </c>
      <c r="T1683" s="23" t="str">
        <f>TEXT(Table1[[#This Row],[End Date]],"YYYY")</f>
        <v>2025</v>
      </c>
      <c r="U1683" s="24">
        <f t="shared" ca="1" si="66"/>
        <v>-583</v>
      </c>
      <c r="V1683" s="14" t="str" cm="1">
        <f t="array" aca="1" ref="V1683" ca="1">_xlfn.IFS(Table1[[#This Row],[Agreement Days]]&gt;=0,"Expired",Table1[[#This Row],[Agreement Days]]&gt;=-30,"Expires &lt; 30 Days",Table1[[#This Row],[Agreement Days]]&gt;=-60,"Expires &lt; 60 Days",Table1[[#This Row],[Agreement Days]]&lt;-60,"Valid Contract")</f>
        <v>Valid Contract</v>
      </c>
      <c r="W1683" s="14" t="s">
        <v>20</v>
      </c>
      <c r="X1683" s="14" t="s">
        <v>989</v>
      </c>
      <c r="Y1683" s="16" t="s">
        <v>990</v>
      </c>
      <c r="Z1683" s="27" t="s">
        <v>991</v>
      </c>
      <c r="AA1683" s="19"/>
      <c r="AB1683" s="123"/>
      <c r="AC1683" s="123"/>
    </row>
    <row r="1684" spans="1:29" s="56" customFormat="1" hidden="1" x14ac:dyDescent="0.3">
      <c r="A1684" s="18" t="s">
        <v>987</v>
      </c>
      <c r="B1684" s="18" t="s">
        <v>127</v>
      </c>
      <c r="C1684" s="18" t="s">
        <v>3038</v>
      </c>
      <c r="D1684" s="14" t="s">
        <v>645</v>
      </c>
      <c r="E1684" s="18" t="s">
        <v>9</v>
      </c>
      <c r="F1684" s="14" t="s">
        <v>601</v>
      </c>
      <c r="G1684" s="14" t="s">
        <v>546</v>
      </c>
      <c r="H1684" s="18" t="s">
        <v>5</v>
      </c>
      <c r="I1684" s="14" t="s">
        <v>115</v>
      </c>
      <c r="J1684" s="14"/>
      <c r="K1684" s="18" t="s">
        <v>651</v>
      </c>
      <c r="L1684" s="14"/>
      <c r="M1684" s="14">
        <v>1</v>
      </c>
      <c r="N1684" s="15">
        <f t="shared" si="67"/>
        <v>81355.932203389835</v>
      </c>
      <c r="O1684" s="15">
        <f t="shared" si="68"/>
        <v>81355.932203389835</v>
      </c>
      <c r="P1684" s="15"/>
      <c r="Q1684" s="14" t="s">
        <v>520</v>
      </c>
      <c r="R1684" s="25">
        <v>45716</v>
      </c>
      <c r="S1684" s="22" t="str">
        <f>TEXT(Table1[[#This Row],[End Date]],"MMMM")</f>
        <v>February</v>
      </c>
      <c r="T1684" s="23" t="str">
        <f>TEXT(Table1[[#This Row],[End Date]],"YYYY")</f>
        <v>2025</v>
      </c>
      <c r="U1684" s="24">
        <f t="shared" ca="1" si="66"/>
        <v>-583</v>
      </c>
      <c r="V1684" s="14" t="str" cm="1">
        <f t="array" aca="1" ref="V1684" ca="1">_xlfn.IFS(Table1[[#This Row],[Agreement Days]]&gt;=0,"Expired",Table1[[#This Row],[Agreement Days]]&gt;=-30,"Expires &lt; 30 Days",Table1[[#This Row],[Agreement Days]]&gt;=-60,"Expires &lt; 60 Days",Table1[[#This Row],[Agreement Days]]&lt;-60,"Valid Contract")</f>
        <v>Valid Contract</v>
      </c>
      <c r="W1684" s="14" t="s">
        <v>20</v>
      </c>
      <c r="X1684" s="14" t="s">
        <v>989</v>
      </c>
      <c r="Y1684" s="16" t="s">
        <v>990</v>
      </c>
      <c r="Z1684" s="27" t="s">
        <v>991</v>
      </c>
      <c r="AA1684" s="19"/>
      <c r="AB1684" s="123"/>
      <c r="AC1684" s="123"/>
    </row>
    <row r="1685" spans="1:29" s="56" customFormat="1" hidden="1" x14ac:dyDescent="0.3">
      <c r="A1685" s="18" t="s">
        <v>987</v>
      </c>
      <c r="B1685" s="18" t="s">
        <v>127</v>
      </c>
      <c r="C1685" s="18" t="s">
        <v>2994</v>
      </c>
      <c r="D1685" s="14" t="s">
        <v>645</v>
      </c>
      <c r="E1685" s="18" t="s">
        <v>9</v>
      </c>
      <c r="F1685" s="14" t="s">
        <v>601</v>
      </c>
      <c r="G1685" s="14" t="s">
        <v>546</v>
      </c>
      <c r="H1685" s="18" t="s">
        <v>5</v>
      </c>
      <c r="I1685" s="14" t="s">
        <v>115</v>
      </c>
      <c r="J1685" s="14"/>
      <c r="K1685" s="18" t="s">
        <v>651</v>
      </c>
      <c r="L1685" s="14"/>
      <c r="M1685" s="14">
        <v>1</v>
      </c>
      <c r="N1685" s="15">
        <f t="shared" si="67"/>
        <v>81355.932203389835</v>
      </c>
      <c r="O1685" s="15">
        <f t="shared" si="68"/>
        <v>81355.932203389835</v>
      </c>
      <c r="P1685" s="15"/>
      <c r="Q1685" s="14" t="s">
        <v>520</v>
      </c>
      <c r="R1685" s="25">
        <v>45716</v>
      </c>
      <c r="S1685" s="22" t="str">
        <f>TEXT(Table1[[#This Row],[End Date]],"MMMM")</f>
        <v>February</v>
      </c>
      <c r="T1685" s="23" t="str">
        <f>TEXT(Table1[[#This Row],[End Date]],"YYYY")</f>
        <v>2025</v>
      </c>
      <c r="U1685" s="24">
        <f t="shared" ca="1" si="66"/>
        <v>-583</v>
      </c>
      <c r="V1685" s="14" t="str" cm="1">
        <f t="array" aca="1" ref="V1685" ca="1">_xlfn.IFS(Table1[[#This Row],[Agreement Days]]&gt;=0,"Expired",Table1[[#This Row],[Agreement Days]]&gt;=-30,"Expires &lt; 30 Days",Table1[[#This Row],[Agreement Days]]&gt;=-60,"Expires &lt; 60 Days",Table1[[#This Row],[Agreement Days]]&lt;-60,"Valid Contract")</f>
        <v>Valid Contract</v>
      </c>
      <c r="W1685" s="14" t="s">
        <v>20</v>
      </c>
      <c r="X1685" s="14" t="s">
        <v>989</v>
      </c>
      <c r="Y1685" s="16" t="s">
        <v>990</v>
      </c>
      <c r="Z1685" s="27" t="s">
        <v>991</v>
      </c>
      <c r="AA1685" s="19"/>
      <c r="AB1685" s="123"/>
      <c r="AC1685" s="123"/>
    </row>
    <row r="1686" spans="1:29" s="56" customFormat="1" hidden="1" x14ac:dyDescent="0.3">
      <c r="A1686" s="18" t="s">
        <v>987</v>
      </c>
      <c r="B1686" s="18" t="s">
        <v>127</v>
      </c>
      <c r="C1686" s="18" t="s">
        <v>3039</v>
      </c>
      <c r="D1686" s="14" t="s">
        <v>516</v>
      </c>
      <c r="E1686" s="18" t="s">
        <v>9</v>
      </c>
      <c r="F1686" s="14" t="s">
        <v>601</v>
      </c>
      <c r="G1686" s="14" t="s">
        <v>546</v>
      </c>
      <c r="H1686" s="18" t="s">
        <v>5</v>
      </c>
      <c r="I1686" s="14" t="s">
        <v>115</v>
      </c>
      <c r="J1686" s="14"/>
      <c r="K1686" s="18" t="s">
        <v>651</v>
      </c>
      <c r="L1686" s="14"/>
      <c r="M1686" s="14">
        <v>1</v>
      </c>
      <c r="N1686" s="15">
        <f t="shared" si="67"/>
        <v>81355.932203389835</v>
      </c>
      <c r="O1686" s="15">
        <f t="shared" si="68"/>
        <v>81355.932203389835</v>
      </c>
      <c r="P1686" s="15"/>
      <c r="Q1686" s="14" t="s">
        <v>520</v>
      </c>
      <c r="R1686" s="25">
        <v>45716</v>
      </c>
      <c r="S1686" s="22" t="str">
        <f>TEXT(Table1[[#This Row],[End Date]],"MMMM")</f>
        <v>February</v>
      </c>
      <c r="T1686" s="23" t="str">
        <f>TEXT(Table1[[#This Row],[End Date]],"YYYY")</f>
        <v>2025</v>
      </c>
      <c r="U1686" s="24">
        <f t="shared" ca="1" si="66"/>
        <v>-583</v>
      </c>
      <c r="V1686" s="14" t="str" cm="1">
        <f t="array" aca="1" ref="V1686" ca="1">_xlfn.IFS(Table1[[#This Row],[Agreement Days]]&gt;=0,"Expired",Table1[[#This Row],[Agreement Days]]&gt;=-30,"Expires &lt; 30 Days",Table1[[#This Row],[Agreement Days]]&gt;=-60,"Expires &lt; 60 Days",Table1[[#This Row],[Agreement Days]]&lt;-60,"Valid Contract")</f>
        <v>Valid Contract</v>
      </c>
      <c r="W1686" s="14" t="s">
        <v>20</v>
      </c>
      <c r="X1686" s="14" t="s">
        <v>989</v>
      </c>
      <c r="Y1686" s="16" t="s">
        <v>990</v>
      </c>
      <c r="Z1686" s="27" t="s">
        <v>991</v>
      </c>
      <c r="AA1686" s="19"/>
      <c r="AB1686" s="123"/>
      <c r="AC1686" s="123"/>
    </row>
    <row r="1687" spans="1:29" s="56" customFormat="1" hidden="1" x14ac:dyDescent="0.3">
      <c r="A1687" s="18" t="s">
        <v>987</v>
      </c>
      <c r="B1687" s="18" t="s">
        <v>127</v>
      </c>
      <c r="C1687" s="18" t="s">
        <v>3040</v>
      </c>
      <c r="D1687" s="14" t="s">
        <v>516</v>
      </c>
      <c r="E1687" s="18" t="s">
        <v>9</v>
      </c>
      <c r="F1687" s="14" t="s">
        <v>601</v>
      </c>
      <c r="G1687" s="14" t="s">
        <v>546</v>
      </c>
      <c r="H1687" s="18" t="s">
        <v>5</v>
      </c>
      <c r="I1687" s="14" t="s">
        <v>115</v>
      </c>
      <c r="J1687" s="14"/>
      <c r="K1687" s="18" t="s">
        <v>651</v>
      </c>
      <c r="L1687" s="14"/>
      <c r="M1687" s="14">
        <v>1</v>
      </c>
      <c r="N1687" s="15">
        <f t="shared" si="67"/>
        <v>81355.932203389835</v>
      </c>
      <c r="O1687" s="15">
        <f t="shared" si="68"/>
        <v>81355.932203389835</v>
      </c>
      <c r="P1687" s="15"/>
      <c r="Q1687" s="14" t="s">
        <v>520</v>
      </c>
      <c r="R1687" s="25">
        <v>45716</v>
      </c>
      <c r="S1687" s="22" t="str">
        <f>TEXT(Table1[[#This Row],[End Date]],"MMMM")</f>
        <v>February</v>
      </c>
      <c r="T1687" s="23" t="str">
        <f>TEXT(Table1[[#This Row],[End Date]],"YYYY")</f>
        <v>2025</v>
      </c>
      <c r="U1687" s="24">
        <f t="shared" ca="1" si="66"/>
        <v>-583</v>
      </c>
      <c r="V1687" s="14" t="str" cm="1">
        <f t="array" aca="1" ref="V1687" ca="1">_xlfn.IFS(Table1[[#This Row],[Agreement Days]]&gt;=0,"Expired",Table1[[#This Row],[Agreement Days]]&gt;=-30,"Expires &lt; 30 Days",Table1[[#This Row],[Agreement Days]]&gt;=-60,"Expires &lt; 60 Days",Table1[[#This Row],[Agreement Days]]&lt;-60,"Valid Contract")</f>
        <v>Valid Contract</v>
      </c>
      <c r="W1687" s="14" t="s">
        <v>20</v>
      </c>
      <c r="X1687" s="14" t="s">
        <v>989</v>
      </c>
      <c r="Y1687" s="16" t="s">
        <v>990</v>
      </c>
      <c r="Z1687" s="27" t="s">
        <v>991</v>
      </c>
      <c r="AA1687" s="19"/>
      <c r="AB1687" s="123"/>
      <c r="AC1687" s="123"/>
    </row>
    <row r="1688" spans="1:29" s="56" customFormat="1" hidden="1" x14ac:dyDescent="0.3">
      <c r="A1688" s="18" t="s">
        <v>987</v>
      </c>
      <c r="B1688" s="18" t="s">
        <v>127</v>
      </c>
      <c r="C1688" s="18" t="s">
        <v>3041</v>
      </c>
      <c r="D1688" s="14" t="s">
        <v>516</v>
      </c>
      <c r="E1688" s="18" t="s">
        <v>9</v>
      </c>
      <c r="F1688" s="14" t="s">
        <v>601</v>
      </c>
      <c r="G1688" s="14" t="s">
        <v>546</v>
      </c>
      <c r="H1688" s="18" t="s">
        <v>5</v>
      </c>
      <c r="I1688" s="14" t="s">
        <v>115</v>
      </c>
      <c r="J1688" s="14"/>
      <c r="K1688" s="18" t="s">
        <v>651</v>
      </c>
      <c r="L1688" s="14"/>
      <c r="M1688" s="14">
        <v>1</v>
      </c>
      <c r="N1688" s="15">
        <f t="shared" si="67"/>
        <v>81355.932203389835</v>
      </c>
      <c r="O1688" s="15">
        <f t="shared" si="68"/>
        <v>81355.932203389835</v>
      </c>
      <c r="P1688" s="15"/>
      <c r="Q1688" s="14" t="s">
        <v>520</v>
      </c>
      <c r="R1688" s="25">
        <v>45716</v>
      </c>
      <c r="S1688" s="22" t="str">
        <f>TEXT(Table1[[#This Row],[End Date]],"MMMM")</f>
        <v>February</v>
      </c>
      <c r="T1688" s="23" t="str">
        <f>TEXT(Table1[[#This Row],[End Date]],"YYYY")</f>
        <v>2025</v>
      </c>
      <c r="U1688" s="24">
        <f t="shared" ca="1" si="66"/>
        <v>-583</v>
      </c>
      <c r="V1688" s="14" t="str" cm="1">
        <f t="array" aca="1" ref="V1688" ca="1">_xlfn.IFS(Table1[[#This Row],[Agreement Days]]&gt;=0,"Expired",Table1[[#This Row],[Agreement Days]]&gt;=-30,"Expires &lt; 30 Days",Table1[[#This Row],[Agreement Days]]&gt;=-60,"Expires &lt; 60 Days",Table1[[#This Row],[Agreement Days]]&lt;-60,"Valid Contract")</f>
        <v>Valid Contract</v>
      </c>
      <c r="W1688" s="14" t="s">
        <v>20</v>
      </c>
      <c r="X1688" s="14" t="s">
        <v>989</v>
      </c>
      <c r="Y1688" s="16" t="s">
        <v>990</v>
      </c>
      <c r="Z1688" s="27" t="s">
        <v>991</v>
      </c>
      <c r="AA1688" s="19"/>
      <c r="AB1688" s="123"/>
      <c r="AC1688" s="123"/>
    </row>
    <row r="1689" spans="1:29" s="56" customFormat="1" hidden="1" x14ac:dyDescent="0.3">
      <c r="A1689" s="18" t="s">
        <v>987</v>
      </c>
      <c r="B1689" s="18" t="s">
        <v>127</v>
      </c>
      <c r="C1689" s="18" t="s">
        <v>3042</v>
      </c>
      <c r="D1689" s="14" t="s">
        <v>516</v>
      </c>
      <c r="E1689" s="18" t="s">
        <v>9</v>
      </c>
      <c r="F1689" s="14" t="s">
        <v>601</v>
      </c>
      <c r="G1689" s="14" t="s">
        <v>546</v>
      </c>
      <c r="H1689" s="18" t="s">
        <v>5</v>
      </c>
      <c r="I1689" s="14" t="s">
        <v>115</v>
      </c>
      <c r="J1689" s="14"/>
      <c r="K1689" s="18" t="s">
        <v>651</v>
      </c>
      <c r="L1689" s="14"/>
      <c r="M1689" s="14">
        <v>1</v>
      </c>
      <c r="N1689" s="15">
        <f t="shared" si="67"/>
        <v>81355.932203389835</v>
      </c>
      <c r="O1689" s="15">
        <f t="shared" si="68"/>
        <v>81355.932203389835</v>
      </c>
      <c r="P1689" s="15"/>
      <c r="Q1689" s="14" t="s">
        <v>520</v>
      </c>
      <c r="R1689" s="25">
        <v>45716</v>
      </c>
      <c r="S1689" s="22" t="str">
        <f>TEXT(Table1[[#This Row],[End Date]],"MMMM")</f>
        <v>February</v>
      </c>
      <c r="T1689" s="23" t="str">
        <f>TEXT(Table1[[#This Row],[End Date]],"YYYY")</f>
        <v>2025</v>
      </c>
      <c r="U1689" s="24">
        <f t="shared" ca="1" si="66"/>
        <v>-583</v>
      </c>
      <c r="V1689" s="14" t="str" cm="1">
        <f t="array" aca="1" ref="V1689" ca="1">_xlfn.IFS(Table1[[#This Row],[Agreement Days]]&gt;=0,"Expired",Table1[[#This Row],[Agreement Days]]&gt;=-30,"Expires &lt; 30 Days",Table1[[#This Row],[Agreement Days]]&gt;=-60,"Expires &lt; 60 Days",Table1[[#This Row],[Agreement Days]]&lt;-60,"Valid Contract")</f>
        <v>Valid Contract</v>
      </c>
      <c r="W1689" s="14" t="s">
        <v>20</v>
      </c>
      <c r="X1689" s="14" t="s">
        <v>989</v>
      </c>
      <c r="Y1689" s="16" t="s">
        <v>990</v>
      </c>
      <c r="Z1689" s="27" t="s">
        <v>991</v>
      </c>
      <c r="AA1689" s="19"/>
      <c r="AB1689" s="123"/>
      <c r="AC1689" s="123"/>
    </row>
    <row r="1690" spans="1:29" s="56" customFormat="1" hidden="1" x14ac:dyDescent="0.3">
      <c r="A1690" s="18" t="s">
        <v>987</v>
      </c>
      <c r="B1690" s="18" t="s">
        <v>127</v>
      </c>
      <c r="C1690" s="18" t="s">
        <v>3043</v>
      </c>
      <c r="D1690" s="14" t="s">
        <v>516</v>
      </c>
      <c r="E1690" s="18" t="s">
        <v>9</v>
      </c>
      <c r="F1690" s="14" t="s">
        <v>601</v>
      </c>
      <c r="G1690" s="14" t="s">
        <v>546</v>
      </c>
      <c r="H1690" s="18" t="s">
        <v>5</v>
      </c>
      <c r="I1690" s="14" t="s">
        <v>115</v>
      </c>
      <c r="J1690" s="14"/>
      <c r="K1690" s="18" t="s">
        <v>651</v>
      </c>
      <c r="L1690" s="14"/>
      <c r="M1690" s="14">
        <v>1</v>
      </c>
      <c r="N1690" s="15">
        <f t="shared" si="67"/>
        <v>81355.932203389835</v>
      </c>
      <c r="O1690" s="15">
        <f t="shared" si="68"/>
        <v>81355.932203389835</v>
      </c>
      <c r="P1690" s="15"/>
      <c r="Q1690" s="14" t="s">
        <v>520</v>
      </c>
      <c r="R1690" s="25">
        <v>45716</v>
      </c>
      <c r="S1690" s="22" t="str">
        <f>TEXT(Table1[[#This Row],[End Date]],"MMMM")</f>
        <v>February</v>
      </c>
      <c r="T1690" s="23" t="str">
        <f>TEXT(Table1[[#This Row],[End Date]],"YYYY")</f>
        <v>2025</v>
      </c>
      <c r="U1690" s="24">
        <f t="shared" ca="1" si="66"/>
        <v>-583</v>
      </c>
      <c r="V1690" s="14" t="str" cm="1">
        <f t="array" aca="1" ref="V1690" ca="1">_xlfn.IFS(Table1[[#This Row],[Agreement Days]]&gt;=0,"Expired",Table1[[#This Row],[Agreement Days]]&gt;=-30,"Expires &lt; 30 Days",Table1[[#This Row],[Agreement Days]]&gt;=-60,"Expires &lt; 60 Days",Table1[[#This Row],[Agreement Days]]&lt;-60,"Valid Contract")</f>
        <v>Valid Contract</v>
      </c>
      <c r="W1690" s="14" t="s">
        <v>20</v>
      </c>
      <c r="X1690" s="14" t="s">
        <v>989</v>
      </c>
      <c r="Y1690" s="16" t="s">
        <v>990</v>
      </c>
      <c r="Z1690" s="27" t="s">
        <v>991</v>
      </c>
      <c r="AA1690" s="19"/>
      <c r="AB1690" s="123"/>
      <c r="AC1690" s="123"/>
    </row>
    <row r="1691" spans="1:29" s="56" customFormat="1" hidden="1" x14ac:dyDescent="0.3">
      <c r="A1691" s="18" t="s">
        <v>987</v>
      </c>
      <c r="B1691" s="18" t="s">
        <v>127</v>
      </c>
      <c r="C1691" s="18" t="s">
        <v>1009</v>
      </c>
      <c r="D1691" s="14" t="s">
        <v>545</v>
      </c>
      <c r="E1691" s="18" t="s">
        <v>9</v>
      </c>
      <c r="F1691" s="14" t="s">
        <v>601</v>
      </c>
      <c r="G1691" s="14" t="s">
        <v>546</v>
      </c>
      <c r="H1691" s="18" t="s">
        <v>5</v>
      </c>
      <c r="I1691" s="14" t="s">
        <v>115</v>
      </c>
      <c r="J1691" s="14"/>
      <c r="K1691" s="18" t="s">
        <v>573</v>
      </c>
      <c r="L1691" s="14"/>
      <c r="M1691" s="14">
        <v>2</v>
      </c>
      <c r="N1691" s="15">
        <v>19491.53</v>
      </c>
      <c r="O1691" s="15">
        <f t="shared" si="68"/>
        <v>38983.06</v>
      </c>
      <c r="P1691" s="15"/>
      <c r="Q1691" s="14" t="s">
        <v>520</v>
      </c>
      <c r="R1691" s="25">
        <v>45716</v>
      </c>
      <c r="S1691" s="22" t="str">
        <f>TEXT(Table1[[#This Row],[End Date]],"MMMM")</f>
        <v>February</v>
      </c>
      <c r="T1691" s="23" t="str">
        <f>TEXT(Table1[[#This Row],[End Date]],"YYYY")</f>
        <v>2025</v>
      </c>
      <c r="U1691" s="24">
        <f t="shared" ca="1" si="66"/>
        <v>-583</v>
      </c>
      <c r="V1691" s="14" t="str" cm="1">
        <f t="array" aca="1" ref="V1691" ca="1">_xlfn.IFS(Table1[[#This Row],[Agreement Days]]&gt;=0,"Expired",Table1[[#This Row],[Agreement Days]]&gt;=-30,"Expires &lt; 30 Days",Table1[[#This Row],[Agreement Days]]&gt;=-60,"Expires &lt; 60 Days",Table1[[#This Row],[Agreement Days]]&lt;-60,"Valid Contract")</f>
        <v>Valid Contract</v>
      </c>
      <c r="W1691" s="14" t="s">
        <v>20</v>
      </c>
      <c r="X1691" s="14" t="s">
        <v>989</v>
      </c>
      <c r="Y1691" s="16" t="s">
        <v>990</v>
      </c>
      <c r="Z1691" s="27" t="s">
        <v>991</v>
      </c>
      <c r="AA1691" s="19"/>
      <c r="AB1691" s="123"/>
      <c r="AC1691" s="123"/>
    </row>
    <row r="1692" spans="1:29" s="56" customFormat="1" hidden="1" x14ac:dyDescent="0.3">
      <c r="A1692" s="18" t="s">
        <v>987</v>
      </c>
      <c r="B1692" s="18" t="s">
        <v>127</v>
      </c>
      <c r="C1692" s="18" t="s">
        <v>1009</v>
      </c>
      <c r="D1692" s="14" t="s">
        <v>545</v>
      </c>
      <c r="E1692" s="18" t="s">
        <v>9</v>
      </c>
      <c r="F1692" s="14" t="s">
        <v>601</v>
      </c>
      <c r="G1692" s="14" t="s">
        <v>546</v>
      </c>
      <c r="H1692" s="18" t="s">
        <v>5</v>
      </c>
      <c r="I1692" s="14" t="s">
        <v>115</v>
      </c>
      <c r="J1692" s="14"/>
      <c r="K1692" s="18" t="s">
        <v>643</v>
      </c>
      <c r="L1692" s="14"/>
      <c r="M1692" s="14">
        <v>5</v>
      </c>
      <c r="N1692" s="15">
        <v>28305.08</v>
      </c>
      <c r="O1692" s="15">
        <f t="shared" si="68"/>
        <v>141525.40000000002</v>
      </c>
      <c r="P1692" s="15"/>
      <c r="Q1692" s="14" t="s">
        <v>520</v>
      </c>
      <c r="R1692" s="25">
        <v>45716</v>
      </c>
      <c r="S1692" s="22" t="str">
        <f>TEXT(Table1[[#This Row],[End Date]],"MMMM")</f>
        <v>February</v>
      </c>
      <c r="T1692" s="23" t="str">
        <f>TEXT(Table1[[#This Row],[End Date]],"YYYY")</f>
        <v>2025</v>
      </c>
      <c r="U1692" s="24">
        <f t="shared" ca="1" si="66"/>
        <v>-583</v>
      </c>
      <c r="V1692" s="14" t="str" cm="1">
        <f t="array" aca="1" ref="V1692" ca="1">_xlfn.IFS(Table1[[#This Row],[Agreement Days]]&gt;=0,"Expired",Table1[[#This Row],[Agreement Days]]&gt;=-30,"Expires &lt; 30 Days",Table1[[#This Row],[Agreement Days]]&gt;=-60,"Expires &lt; 60 Days",Table1[[#This Row],[Agreement Days]]&lt;-60,"Valid Contract")</f>
        <v>Valid Contract</v>
      </c>
      <c r="W1692" s="14" t="s">
        <v>20</v>
      </c>
      <c r="X1692" s="14" t="s">
        <v>989</v>
      </c>
      <c r="Y1692" s="16" t="s">
        <v>990</v>
      </c>
      <c r="Z1692" s="27" t="s">
        <v>991</v>
      </c>
      <c r="AA1692" s="19"/>
      <c r="AB1692" s="123"/>
      <c r="AC1692" s="123"/>
    </row>
    <row r="1693" spans="1:29" s="56" customFormat="1" hidden="1" x14ac:dyDescent="0.3">
      <c r="A1693" s="18" t="s">
        <v>987</v>
      </c>
      <c r="B1693" s="18" t="s">
        <v>127</v>
      </c>
      <c r="C1693" s="18" t="s">
        <v>1009</v>
      </c>
      <c r="D1693" s="14" t="s">
        <v>545</v>
      </c>
      <c r="E1693" s="18" t="s">
        <v>9</v>
      </c>
      <c r="F1693" s="14" t="s">
        <v>601</v>
      </c>
      <c r="G1693" s="14" t="s">
        <v>546</v>
      </c>
      <c r="H1693" s="18" t="s">
        <v>5</v>
      </c>
      <c r="I1693" s="14" t="s">
        <v>115</v>
      </c>
      <c r="J1693" s="14"/>
      <c r="K1693" s="18" t="s">
        <v>657</v>
      </c>
      <c r="L1693" s="14"/>
      <c r="M1693" s="14">
        <v>10</v>
      </c>
      <c r="N1693" s="15">
        <v>45338.98</v>
      </c>
      <c r="O1693" s="15">
        <f t="shared" si="68"/>
        <v>453389.80000000005</v>
      </c>
      <c r="P1693" s="15"/>
      <c r="Q1693" s="14" t="s">
        <v>520</v>
      </c>
      <c r="R1693" s="25">
        <v>45716</v>
      </c>
      <c r="S1693" s="22" t="str">
        <f>TEXT(Table1[[#This Row],[End Date]],"MMMM")</f>
        <v>February</v>
      </c>
      <c r="T1693" s="23" t="str">
        <f>TEXT(Table1[[#This Row],[End Date]],"YYYY")</f>
        <v>2025</v>
      </c>
      <c r="U1693" s="24">
        <f t="shared" ca="1" si="66"/>
        <v>-583</v>
      </c>
      <c r="V1693" s="14" t="str" cm="1">
        <f t="array" aca="1" ref="V1693" ca="1">_xlfn.IFS(Table1[[#This Row],[Agreement Days]]&gt;=0,"Expired",Table1[[#This Row],[Agreement Days]]&gt;=-30,"Expires &lt; 30 Days",Table1[[#This Row],[Agreement Days]]&gt;=-60,"Expires &lt; 60 Days",Table1[[#This Row],[Agreement Days]]&lt;-60,"Valid Contract")</f>
        <v>Valid Contract</v>
      </c>
      <c r="W1693" s="14" t="s">
        <v>20</v>
      </c>
      <c r="X1693" s="14" t="s">
        <v>989</v>
      </c>
      <c r="Y1693" s="16" t="s">
        <v>990</v>
      </c>
      <c r="Z1693" s="27" t="s">
        <v>991</v>
      </c>
      <c r="AA1693" s="19"/>
      <c r="AB1693" s="123"/>
      <c r="AC1693" s="123"/>
    </row>
    <row r="1694" spans="1:29" s="11" customFormat="1" hidden="1" x14ac:dyDescent="0.3">
      <c r="A1694" s="18" t="s">
        <v>987</v>
      </c>
      <c r="B1694" s="18" t="s">
        <v>127</v>
      </c>
      <c r="C1694" s="18" t="s">
        <v>3044</v>
      </c>
      <c r="D1694" s="14" t="s">
        <v>545</v>
      </c>
      <c r="E1694" s="18" t="s">
        <v>9</v>
      </c>
      <c r="F1694" s="14" t="s">
        <v>601</v>
      </c>
      <c r="G1694" s="14" t="s">
        <v>546</v>
      </c>
      <c r="H1694" s="18" t="s">
        <v>5</v>
      </c>
      <c r="I1694" s="14" t="s">
        <v>115</v>
      </c>
      <c r="J1694" s="14"/>
      <c r="K1694" s="18" t="s">
        <v>651</v>
      </c>
      <c r="L1694" s="14"/>
      <c r="M1694" s="14">
        <f>18+74</f>
        <v>92</v>
      </c>
      <c r="N1694" s="15">
        <f>96000/1.18</f>
        <v>81355.932203389835</v>
      </c>
      <c r="O1694" s="15">
        <f t="shared" si="68"/>
        <v>7484745.7627118649</v>
      </c>
      <c r="P1694" s="15"/>
      <c r="Q1694" s="14" t="s">
        <v>520</v>
      </c>
      <c r="R1694" s="25">
        <v>45716</v>
      </c>
      <c r="S1694" s="22" t="str">
        <f>TEXT(Table1[[#This Row],[End Date]],"MMMM")</f>
        <v>February</v>
      </c>
      <c r="T1694" s="23" t="str">
        <f>TEXT(Table1[[#This Row],[End Date]],"YYYY")</f>
        <v>2025</v>
      </c>
      <c r="U1694" s="24">
        <f t="shared" ca="1" si="66"/>
        <v>-583</v>
      </c>
      <c r="V1694" s="14" t="str" cm="1">
        <f t="array" aca="1" ref="V1694" ca="1">_xlfn.IFS(Table1[[#This Row],[Agreement Days]]&gt;=0,"Expired",Table1[[#This Row],[Agreement Days]]&gt;=-30,"Expires &lt; 30 Days",Table1[[#This Row],[Agreement Days]]&gt;=-60,"Expires &lt; 60 Days",Table1[[#This Row],[Agreement Days]]&lt;-60,"Valid Contract")</f>
        <v>Valid Contract</v>
      </c>
      <c r="W1694" s="14" t="s">
        <v>20</v>
      </c>
      <c r="X1694" s="14" t="s">
        <v>989</v>
      </c>
      <c r="Y1694" s="16" t="s">
        <v>990</v>
      </c>
      <c r="Z1694" s="27" t="s">
        <v>991</v>
      </c>
      <c r="AA1694" s="19"/>
      <c r="AB1694" s="123"/>
      <c r="AC1694" s="123"/>
    </row>
    <row r="1695" spans="1:29" s="11" customFormat="1" hidden="1" x14ac:dyDescent="0.3">
      <c r="A1695" s="18" t="s">
        <v>3045</v>
      </c>
      <c r="B1695" s="18" t="s">
        <v>374</v>
      </c>
      <c r="C1695" s="18" t="s">
        <v>544</v>
      </c>
      <c r="D1695" s="18" t="s">
        <v>545</v>
      </c>
      <c r="E1695" s="18" t="s">
        <v>9</v>
      </c>
      <c r="F1695" s="20" t="s">
        <v>693</v>
      </c>
      <c r="G1695" s="20" t="s">
        <v>518</v>
      </c>
      <c r="H1695" s="18" t="s">
        <v>5</v>
      </c>
      <c r="I1695" s="20" t="s">
        <v>115</v>
      </c>
      <c r="J1695" s="20"/>
      <c r="K1695" s="18" t="s">
        <v>642</v>
      </c>
      <c r="L1695" s="18"/>
      <c r="M1695" s="20">
        <v>4</v>
      </c>
      <c r="N1695" s="15">
        <v>101695</v>
      </c>
      <c r="O1695" s="15">
        <f t="shared" si="68"/>
        <v>406780</v>
      </c>
      <c r="P1695" s="15"/>
      <c r="Q1695" s="14" t="s">
        <v>520</v>
      </c>
      <c r="R1695" s="25">
        <v>45716</v>
      </c>
      <c r="S1695" s="22" t="str">
        <f>TEXT(Table1[[#This Row],[End Date]],"MMMM")</f>
        <v>February</v>
      </c>
      <c r="T1695" s="22" t="str">
        <f>TEXT(Table1[[#This Row],[End Date]],"YYYY")</f>
        <v>2025</v>
      </c>
      <c r="U1695" s="24">
        <f t="shared" ca="1" si="66"/>
        <v>-583</v>
      </c>
      <c r="V1695" s="14" t="str" cm="1">
        <f t="array" aca="1" ref="V1695" ca="1">_xlfn.IFS(Table1[[#This Row],[Agreement Days]]&gt;=0,"Expired",Table1[[#This Row],[Agreement Days]]&gt;=-30,"Expires &lt; 30 Days",Table1[[#This Row],[Agreement Days]]&gt;=-60,"Expires &lt; 60 Days",Table1[[#This Row],[Agreement Days]]&lt;-60,"Valid Contract")</f>
        <v>Valid Contract</v>
      </c>
      <c r="W1695" s="18" t="s">
        <v>15</v>
      </c>
      <c r="X1695" s="18" t="s">
        <v>3046</v>
      </c>
      <c r="Y1695" s="39" t="s">
        <v>3047</v>
      </c>
      <c r="Z1695" s="27" t="s">
        <v>3048</v>
      </c>
      <c r="AA1695" s="20"/>
      <c r="AB1695" s="123"/>
      <c r="AC1695" s="123"/>
    </row>
    <row r="1696" spans="1:29" s="11" customFormat="1" hidden="1" x14ac:dyDescent="0.3">
      <c r="A1696" s="18" t="s">
        <v>524</v>
      </c>
      <c r="B1696" s="18" t="s">
        <v>132</v>
      </c>
      <c r="C1696" s="18" t="s">
        <v>544</v>
      </c>
      <c r="D1696" s="14" t="s">
        <v>545</v>
      </c>
      <c r="E1696" s="18" t="s">
        <v>10</v>
      </c>
      <c r="F1696" s="14" t="s">
        <v>527</v>
      </c>
      <c r="G1696" s="14" t="s">
        <v>518</v>
      </c>
      <c r="H1696" s="18" t="s">
        <v>2</v>
      </c>
      <c r="I1696" s="14" t="s">
        <v>123</v>
      </c>
      <c r="J1696" s="18"/>
      <c r="K1696" s="18" t="s">
        <v>3049</v>
      </c>
      <c r="L1696" s="18"/>
      <c r="M1696" s="14">
        <v>1</v>
      </c>
      <c r="N1696" s="15">
        <f>(750*1087)/1.18</f>
        <v>690889.83050847461</v>
      </c>
      <c r="O1696" s="15">
        <f t="shared" si="68"/>
        <v>690889.83050847461</v>
      </c>
      <c r="P1696" s="15"/>
      <c r="Q1696" s="14" t="s">
        <v>520</v>
      </c>
      <c r="R1696" s="25">
        <v>45716</v>
      </c>
      <c r="S1696" s="34" t="str">
        <f>TEXT(Table1[[#This Row],[End Date]],"MMMM")</f>
        <v>February</v>
      </c>
      <c r="T1696" s="34" t="str">
        <f>TEXT(Table1[[#This Row],[End Date]],"YYYY")</f>
        <v>2025</v>
      </c>
      <c r="U1696" s="24">
        <f t="shared" ca="1" si="66"/>
        <v>-583</v>
      </c>
      <c r="V1696" s="14" t="str" cm="1">
        <f t="array" aca="1" ref="V1696" ca="1">_xlfn.IFS(Table1[[#This Row],[Agreement Days]]&gt;=0,"Expired",Table1[[#This Row],[Agreement Days]]&gt;=-30,"Expires &lt; 30 Days",Table1[[#This Row],[Agreement Days]]&gt;=-60,"Expires &lt; 60 Days",Table1[[#This Row],[Agreement Days]]&lt;-60,"Valid Contract")</f>
        <v>Valid Contract</v>
      </c>
      <c r="W1696" s="18" t="s">
        <v>18</v>
      </c>
      <c r="X1696" s="18" t="s">
        <v>529</v>
      </c>
      <c r="Y1696" s="35" t="s">
        <v>530</v>
      </c>
      <c r="Z1696" s="27" t="s">
        <v>531</v>
      </c>
      <c r="AA1696" s="36"/>
      <c r="AB1696" s="123"/>
      <c r="AC1696" s="123"/>
    </row>
    <row r="1697" spans="1:29" s="11" customFormat="1" hidden="1" x14ac:dyDescent="0.3">
      <c r="A1697" s="18" t="s">
        <v>524</v>
      </c>
      <c r="B1697" s="18" t="s">
        <v>132</v>
      </c>
      <c r="C1697" s="18" t="s">
        <v>3050</v>
      </c>
      <c r="D1697" s="14" t="s">
        <v>759</v>
      </c>
      <c r="E1697" s="18" t="s">
        <v>10</v>
      </c>
      <c r="F1697" s="14" t="s">
        <v>527</v>
      </c>
      <c r="G1697" s="14" t="s">
        <v>518</v>
      </c>
      <c r="H1697" s="18" t="s">
        <v>3</v>
      </c>
      <c r="I1697" s="14" t="s">
        <v>116</v>
      </c>
      <c r="J1697" s="18"/>
      <c r="K1697" s="18" t="s">
        <v>533</v>
      </c>
      <c r="L1697" s="14">
        <v>131</v>
      </c>
      <c r="M1697" s="14">
        <v>1</v>
      </c>
      <c r="N1697" s="15">
        <f>(3275*1087)/1.18</f>
        <v>3016885.5932203392</v>
      </c>
      <c r="O1697" s="15">
        <f t="shared" si="68"/>
        <v>3016885.5932203392</v>
      </c>
      <c r="P1697" s="15"/>
      <c r="Q1697" s="14" t="s">
        <v>520</v>
      </c>
      <c r="R1697" s="25">
        <v>45716</v>
      </c>
      <c r="S1697" s="34" t="str">
        <f>TEXT(Table1[[#This Row],[End Date]],"MMMM")</f>
        <v>February</v>
      </c>
      <c r="T1697" s="34" t="str">
        <f>TEXT(Table1[[#This Row],[End Date]],"YYYY")</f>
        <v>2025</v>
      </c>
      <c r="U1697" s="24">
        <f t="shared" ca="1" si="66"/>
        <v>-583</v>
      </c>
      <c r="V1697" s="14" t="str" cm="1">
        <f t="array" aca="1" ref="V1697" ca="1">_xlfn.IFS(Table1[[#This Row],[Agreement Days]]&gt;=0,"Expired",Table1[[#This Row],[Agreement Days]]&gt;=-30,"Expires &lt; 30 Days",Table1[[#This Row],[Agreement Days]]&gt;=-60,"Expires &lt; 60 Days",Table1[[#This Row],[Agreement Days]]&lt;-60,"Valid Contract")</f>
        <v>Valid Contract</v>
      </c>
      <c r="W1697" s="18" t="s">
        <v>18</v>
      </c>
      <c r="X1697" s="18" t="s">
        <v>529</v>
      </c>
      <c r="Y1697" s="35" t="s">
        <v>530</v>
      </c>
      <c r="Z1697" s="27" t="s">
        <v>531</v>
      </c>
      <c r="AA1697" s="36"/>
      <c r="AB1697" s="123"/>
      <c r="AC1697" s="123"/>
    </row>
    <row r="1698" spans="1:29" s="11" customFormat="1" hidden="1" x14ac:dyDescent="0.3">
      <c r="A1698" s="18" t="s">
        <v>524</v>
      </c>
      <c r="B1698" s="18" t="s">
        <v>132</v>
      </c>
      <c r="C1698" s="18" t="s">
        <v>3051</v>
      </c>
      <c r="D1698" s="14" t="s">
        <v>769</v>
      </c>
      <c r="E1698" s="18" t="s">
        <v>10</v>
      </c>
      <c r="F1698" s="14" t="s">
        <v>527</v>
      </c>
      <c r="G1698" s="14" t="s">
        <v>518</v>
      </c>
      <c r="H1698" s="18" t="s">
        <v>3</v>
      </c>
      <c r="I1698" s="14" t="s">
        <v>116</v>
      </c>
      <c r="J1698" s="18"/>
      <c r="K1698" s="18" t="s">
        <v>533</v>
      </c>
      <c r="L1698" s="14">
        <v>161.80000000000001</v>
      </c>
      <c r="M1698" s="14">
        <v>1</v>
      </c>
      <c r="N1698" s="15">
        <f>(4045*1087)/1.18</f>
        <v>3726199.1525423732</v>
      </c>
      <c r="O1698" s="15">
        <f t="shared" si="68"/>
        <v>3726199.1525423732</v>
      </c>
      <c r="P1698" s="15"/>
      <c r="Q1698" s="14" t="s">
        <v>520</v>
      </c>
      <c r="R1698" s="25">
        <v>45716</v>
      </c>
      <c r="S1698" s="34" t="str">
        <f>TEXT(Table1[[#This Row],[End Date]],"MMMM")</f>
        <v>February</v>
      </c>
      <c r="T1698" s="34" t="str">
        <f>TEXT(Table1[[#This Row],[End Date]],"YYYY")</f>
        <v>2025</v>
      </c>
      <c r="U1698" s="24">
        <f t="shared" ca="1" si="66"/>
        <v>-583</v>
      </c>
      <c r="V1698" s="14" t="str" cm="1">
        <f t="array" aca="1" ref="V1698" ca="1">_xlfn.IFS(Table1[[#This Row],[Agreement Days]]&gt;=0,"Expired",Table1[[#This Row],[Agreement Days]]&gt;=-30,"Expires &lt; 30 Days",Table1[[#This Row],[Agreement Days]]&gt;=-60,"Expires &lt; 60 Days",Table1[[#This Row],[Agreement Days]]&lt;-60,"Valid Contract")</f>
        <v>Valid Contract</v>
      </c>
      <c r="W1698" s="18" t="s">
        <v>18</v>
      </c>
      <c r="X1698" s="18" t="s">
        <v>529</v>
      </c>
      <c r="Y1698" s="35" t="s">
        <v>530</v>
      </c>
      <c r="Z1698" s="27" t="s">
        <v>531</v>
      </c>
      <c r="AA1698" s="36"/>
      <c r="AB1698" s="123"/>
      <c r="AC1698" s="123"/>
    </row>
    <row r="1699" spans="1:29" s="11" customFormat="1" hidden="1" x14ac:dyDescent="0.3">
      <c r="A1699" s="18" t="s">
        <v>524</v>
      </c>
      <c r="B1699" s="18" t="s">
        <v>132</v>
      </c>
      <c r="C1699" s="18" t="s">
        <v>3052</v>
      </c>
      <c r="D1699" s="14" t="s">
        <v>769</v>
      </c>
      <c r="E1699" s="18" t="s">
        <v>10</v>
      </c>
      <c r="F1699" s="14" t="s">
        <v>527</v>
      </c>
      <c r="G1699" s="14" t="s">
        <v>518</v>
      </c>
      <c r="H1699" s="18" t="s">
        <v>3</v>
      </c>
      <c r="I1699" s="14" t="s">
        <v>116</v>
      </c>
      <c r="J1699" s="18"/>
      <c r="K1699" s="18" t="s">
        <v>533</v>
      </c>
      <c r="L1699" s="14">
        <v>212.6</v>
      </c>
      <c r="M1699" s="14">
        <v>1</v>
      </c>
      <c r="N1699" s="15">
        <f>(5315*1087)/1.18</f>
        <v>4896105.9322033897</v>
      </c>
      <c r="O1699" s="15">
        <f t="shared" si="68"/>
        <v>4896105.9322033897</v>
      </c>
      <c r="P1699" s="15"/>
      <c r="Q1699" s="14" t="s">
        <v>520</v>
      </c>
      <c r="R1699" s="25">
        <v>45716</v>
      </c>
      <c r="S1699" s="34" t="str">
        <f>TEXT(Table1[[#This Row],[End Date]],"MMMM")</f>
        <v>February</v>
      </c>
      <c r="T1699" s="34" t="str">
        <f>TEXT(Table1[[#This Row],[End Date]],"YYYY")</f>
        <v>2025</v>
      </c>
      <c r="U1699" s="24">
        <f t="shared" ca="1" si="66"/>
        <v>-583</v>
      </c>
      <c r="V1699" s="14" t="str" cm="1">
        <f t="array" aca="1" ref="V1699" ca="1">_xlfn.IFS(Table1[[#This Row],[Agreement Days]]&gt;=0,"Expired",Table1[[#This Row],[Agreement Days]]&gt;=-30,"Expires &lt; 30 Days",Table1[[#This Row],[Agreement Days]]&gt;=-60,"Expires &lt; 60 Days",Table1[[#This Row],[Agreement Days]]&lt;-60,"Valid Contract")</f>
        <v>Valid Contract</v>
      </c>
      <c r="W1699" s="18" t="s">
        <v>18</v>
      </c>
      <c r="X1699" s="18" t="s">
        <v>529</v>
      </c>
      <c r="Y1699" s="35" t="s">
        <v>530</v>
      </c>
      <c r="Z1699" s="27" t="s">
        <v>531</v>
      </c>
      <c r="AA1699" s="36"/>
      <c r="AB1699" s="123"/>
      <c r="AC1699" s="123"/>
    </row>
    <row r="1700" spans="1:29" s="11" customFormat="1" hidden="1" x14ac:dyDescent="0.3">
      <c r="A1700" s="18" t="s">
        <v>3053</v>
      </c>
      <c r="B1700" s="18" t="s">
        <v>247</v>
      </c>
      <c r="C1700" s="18" t="s">
        <v>3054</v>
      </c>
      <c r="D1700" s="14" t="s">
        <v>653</v>
      </c>
      <c r="E1700" s="18" t="s">
        <v>10</v>
      </c>
      <c r="F1700" s="14" t="s">
        <v>560</v>
      </c>
      <c r="G1700" s="14" t="s">
        <v>518</v>
      </c>
      <c r="H1700" s="18" t="s">
        <v>2</v>
      </c>
      <c r="I1700" s="14" t="s">
        <v>134</v>
      </c>
      <c r="J1700" s="14">
        <v>4</v>
      </c>
      <c r="K1700" s="18" t="s">
        <v>1585</v>
      </c>
      <c r="L1700" s="18"/>
      <c r="M1700" s="14">
        <v>1</v>
      </c>
      <c r="N1700" s="15">
        <f>300000/1.18</f>
        <v>254237.28813559323</v>
      </c>
      <c r="O1700" s="15">
        <f t="shared" si="68"/>
        <v>254237.28813559323</v>
      </c>
      <c r="P1700" s="15"/>
      <c r="Q1700" s="14" t="s">
        <v>520</v>
      </c>
      <c r="R1700" s="25">
        <v>45716</v>
      </c>
      <c r="S1700" s="34" t="str">
        <f>TEXT(Table1[[#This Row],[End Date]],"MMMM")</f>
        <v>February</v>
      </c>
      <c r="T1700" s="34" t="str">
        <f>TEXT(Table1[[#This Row],[End Date]],"YYYY")</f>
        <v>2025</v>
      </c>
      <c r="U1700" s="24">
        <f t="shared" ca="1" si="66"/>
        <v>-583</v>
      </c>
      <c r="V1700" s="14" t="str" cm="1">
        <f t="array" aca="1" ref="V1700" ca="1">_xlfn.IFS(Table1[[#This Row],[Agreement Days]]&gt;=0,"Expired",Table1[[#This Row],[Agreement Days]]&gt;=-30,"Expires &lt; 30 Days",Table1[[#This Row],[Agreement Days]]&gt;=-60,"Expires &lt; 60 Days",Table1[[#This Row],[Agreement Days]]&lt;-60,"Valid Contract")</f>
        <v>Valid Contract</v>
      </c>
      <c r="W1700" s="18" t="s">
        <v>18</v>
      </c>
      <c r="X1700" s="18" t="s">
        <v>3055</v>
      </c>
      <c r="Y1700" s="35" t="s">
        <v>3056</v>
      </c>
      <c r="Z1700" s="27" t="s">
        <v>3057</v>
      </c>
      <c r="AA1700" s="27"/>
      <c r="AB1700" s="123"/>
      <c r="AC1700" s="123"/>
    </row>
    <row r="1701" spans="1:29" s="11" customFormat="1" hidden="1" x14ac:dyDescent="0.3">
      <c r="A1701" s="18" t="s">
        <v>3053</v>
      </c>
      <c r="B1701" s="18" t="s">
        <v>247</v>
      </c>
      <c r="C1701" s="18" t="s">
        <v>3058</v>
      </c>
      <c r="D1701" s="14" t="s">
        <v>545</v>
      </c>
      <c r="E1701" s="18" t="s">
        <v>10</v>
      </c>
      <c r="F1701" s="14" t="s">
        <v>560</v>
      </c>
      <c r="G1701" s="14" t="s">
        <v>518</v>
      </c>
      <c r="H1701" s="18" t="s">
        <v>2</v>
      </c>
      <c r="I1701" s="14" t="s">
        <v>134</v>
      </c>
      <c r="J1701" s="14">
        <v>15</v>
      </c>
      <c r="K1701" s="18" t="s">
        <v>627</v>
      </c>
      <c r="L1701" s="18"/>
      <c r="M1701" s="14">
        <v>1</v>
      </c>
      <c r="N1701" s="15">
        <v>720000</v>
      </c>
      <c r="O1701" s="15">
        <f t="shared" si="68"/>
        <v>720000</v>
      </c>
      <c r="P1701" s="15"/>
      <c r="Q1701" s="14" t="s">
        <v>520</v>
      </c>
      <c r="R1701" s="25">
        <v>45716</v>
      </c>
      <c r="S1701" s="34" t="str">
        <f>TEXT(Table1[[#This Row],[End Date]],"MMMM")</f>
        <v>February</v>
      </c>
      <c r="T1701" s="34" t="str">
        <f>TEXT(Table1[[#This Row],[End Date]],"YYYY")</f>
        <v>2025</v>
      </c>
      <c r="U1701" s="24">
        <f t="shared" ca="1" si="66"/>
        <v>-583</v>
      </c>
      <c r="V1701" s="14" t="str" cm="1">
        <f t="array" aca="1" ref="V1701" ca="1">_xlfn.IFS(Table1[[#This Row],[Agreement Days]]&gt;=0,"Expired",Table1[[#This Row],[Agreement Days]]&gt;=-30,"Expires &lt; 30 Days",Table1[[#This Row],[Agreement Days]]&gt;=-60,"Expires &lt; 60 Days",Table1[[#This Row],[Agreement Days]]&lt;-60,"Valid Contract")</f>
        <v>Valid Contract</v>
      </c>
      <c r="W1701" s="18" t="s">
        <v>18</v>
      </c>
      <c r="X1701" s="18" t="s">
        <v>3055</v>
      </c>
      <c r="Y1701" s="35" t="s">
        <v>3056</v>
      </c>
      <c r="Z1701" s="27" t="s">
        <v>3057</v>
      </c>
      <c r="AA1701" s="27"/>
      <c r="AB1701" s="123"/>
      <c r="AC1701" s="123"/>
    </row>
    <row r="1702" spans="1:29" s="11" customFormat="1" hidden="1" x14ac:dyDescent="0.3">
      <c r="A1702" s="18" t="s">
        <v>3053</v>
      </c>
      <c r="B1702" s="18" t="s">
        <v>247</v>
      </c>
      <c r="C1702" s="18" t="s">
        <v>544</v>
      </c>
      <c r="D1702" s="14" t="s">
        <v>653</v>
      </c>
      <c r="E1702" s="18" t="s">
        <v>10</v>
      </c>
      <c r="F1702" s="14" t="s">
        <v>560</v>
      </c>
      <c r="G1702" s="14" t="s">
        <v>518</v>
      </c>
      <c r="H1702" s="18" t="s">
        <v>5</v>
      </c>
      <c r="I1702" s="14" t="s">
        <v>134</v>
      </c>
      <c r="J1702" s="14">
        <v>20</v>
      </c>
      <c r="K1702" s="18" t="s">
        <v>712</v>
      </c>
      <c r="L1702" s="18"/>
      <c r="M1702" s="14">
        <v>1</v>
      </c>
      <c r="N1702" s="15">
        <v>900000</v>
      </c>
      <c r="O1702" s="15">
        <f t="shared" si="68"/>
        <v>900000</v>
      </c>
      <c r="P1702" s="15"/>
      <c r="Q1702" s="14" t="s">
        <v>520</v>
      </c>
      <c r="R1702" s="25">
        <v>45716</v>
      </c>
      <c r="S1702" s="34" t="str">
        <f>TEXT(Table1[[#This Row],[End Date]],"MMMM")</f>
        <v>February</v>
      </c>
      <c r="T1702" s="34" t="str">
        <f>TEXT(Table1[[#This Row],[End Date]],"YYYY")</f>
        <v>2025</v>
      </c>
      <c r="U1702" s="24">
        <f t="shared" ca="1" si="66"/>
        <v>-583</v>
      </c>
      <c r="V1702" s="14" t="str" cm="1">
        <f t="array" aca="1" ref="V1702" ca="1">_xlfn.IFS(Table1[[#This Row],[Agreement Days]]&gt;=0,"Expired",Table1[[#This Row],[Agreement Days]]&gt;=-30,"Expires &lt; 30 Days",Table1[[#This Row],[Agreement Days]]&gt;=-60,"Expires &lt; 60 Days",Table1[[#This Row],[Agreement Days]]&lt;-60,"Valid Contract")</f>
        <v>Valid Contract</v>
      </c>
      <c r="W1702" s="18" t="s">
        <v>18</v>
      </c>
      <c r="X1702" s="18" t="s">
        <v>3055</v>
      </c>
      <c r="Y1702" s="35" t="s">
        <v>3056</v>
      </c>
      <c r="Z1702" s="27" t="s">
        <v>3057</v>
      </c>
      <c r="AA1702" s="36"/>
      <c r="AB1702" s="123"/>
      <c r="AC1702" s="123"/>
    </row>
    <row r="1703" spans="1:29" s="11" customFormat="1" x14ac:dyDescent="0.3">
      <c r="A1703" s="18" t="s">
        <v>1212</v>
      </c>
      <c r="B1703" s="18" t="s">
        <v>38</v>
      </c>
      <c r="C1703" s="18" t="s">
        <v>3059</v>
      </c>
      <c r="D1703" s="14" t="s">
        <v>630</v>
      </c>
      <c r="E1703" s="18" t="s">
        <v>9</v>
      </c>
      <c r="F1703" s="14" t="s">
        <v>631</v>
      </c>
      <c r="G1703" s="14" t="s">
        <v>518</v>
      </c>
      <c r="H1703" s="18" t="s">
        <v>5</v>
      </c>
      <c r="I1703" s="14" t="s">
        <v>117</v>
      </c>
      <c r="J1703" s="14">
        <v>30</v>
      </c>
      <c r="K1703" s="14" t="s">
        <v>796</v>
      </c>
      <c r="L1703" s="14"/>
      <c r="M1703" s="14">
        <v>1</v>
      </c>
      <c r="N1703" s="15">
        <f>1486800/1.18</f>
        <v>1260000</v>
      </c>
      <c r="O1703" s="15">
        <f t="shared" si="68"/>
        <v>1260000</v>
      </c>
      <c r="P1703" s="15"/>
      <c r="Q1703" s="14" t="s">
        <v>520</v>
      </c>
      <c r="R1703" s="25">
        <v>45721</v>
      </c>
      <c r="S1703" s="22" t="str">
        <f>TEXT(Table1[[#This Row],[End Date]],"MMMM")</f>
        <v>March</v>
      </c>
      <c r="T1703" s="23" t="str">
        <f>TEXT(Table1[[#This Row],[End Date]],"YYYY")</f>
        <v>2025</v>
      </c>
      <c r="U1703" s="24">
        <f t="shared" ca="1" si="66"/>
        <v>-588</v>
      </c>
      <c r="V1703" s="14" t="str" cm="1">
        <f t="array" aca="1" ref="V1703" ca="1">_xlfn.IFS(Table1[[#This Row],[Agreement Days]]&gt;=0,"Expired",Table1[[#This Row],[Agreement Days]]&gt;=-30,"Expires &lt; 30 Days",Table1[[#This Row],[Agreement Days]]&gt;=-60,"Expires &lt; 60 Days",Table1[[#This Row],[Agreement Days]]&lt;-60,"Valid Contract")</f>
        <v>Valid Contract</v>
      </c>
      <c r="W1703" s="14" t="s">
        <v>12</v>
      </c>
      <c r="X1703" s="14" t="s">
        <v>1214</v>
      </c>
      <c r="Y1703" s="16" t="s">
        <v>1215</v>
      </c>
      <c r="Z1703" s="27" t="s">
        <v>1216</v>
      </c>
      <c r="AA1703" s="17"/>
      <c r="AB1703" s="123"/>
      <c r="AC1703" s="123"/>
    </row>
    <row r="1704" spans="1:29" s="11" customFormat="1" x14ac:dyDescent="0.3">
      <c r="A1704" s="18" t="s">
        <v>3060</v>
      </c>
      <c r="B1704" s="18" t="s">
        <v>298</v>
      </c>
      <c r="C1704" s="18" t="s">
        <v>3061</v>
      </c>
      <c r="D1704" s="14" t="s">
        <v>540</v>
      </c>
      <c r="E1704" s="18" t="s">
        <v>10</v>
      </c>
      <c r="F1704" s="14" t="s">
        <v>560</v>
      </c>
      <c r="G1704" s="14" t="s">
        <v>518</v>
      </c>
      <c r="H1704" s="18" t="s">
        <v>2</v>
      </c>
      <c r="I1704" s="14" t="s">
        <v>134</v>
      </c>
      <c r="J1704" s="14">
        <v>30</v>
      </c>
      <c r="K1704" s="14" t="s">
        <v>796</v>
      </c>
      <c r="L1704" s="14"/>
      <c r="M1704" s="14">
        <v>1</v>
      </c>
      <c r="N1704" s="15">
        <v>1000000</v>
      </c>
      <c r="O1704" s="15">
        <f t="shared" si="68"/>
        <v>1000000</v>
      </c>
      <c r="P1704" s="15"/>
      <c r="Q1704" s="14" t="s">
        <v>520</v>
      </c>
      <c r="R1704" s="21">
        <v>45722</v>
      </c>
      <c r="S1704" s="22" t="str">
        <f>TEXT(Table1[[#This Row],[End Date]],"MMMM")</f>
        <v>March</v>
      </c>
      <c r="T1704" s="23" t="str">
        <f>TEXT(Table1[[#This Row],[End Date]],"YYYY")</f>
        <v>2025</v>
      </c>
      <c r="U1704" s="24">
        <f t="shared" ca="1" si="66"/>
        <v>-589</v>
      </c>
      <c r="V1704" s="14" t="str" cm="1">
        <f t="array" aca="1" ref="V1704" ca="1">_xlfn.IFS(Table1[[#This Row],[Agreement Days]]&gt;=0,"Expired",Table1[[#This Row],[Agreement Days]]&gt;=-30,"Expires &lt; 30 Days",Table1[[#This Row],[Agreement Days]]&gt;=-60,"Expires &lt; 60 Days",Table1[[#This Row],[Agreement Days]]&lt;-60,"Valid Contract")</f>
        <v>Valid Contract</v>
      </c>
      <c r="W1704" s="14" t="s">
        <v>12</v>
      </c>
      <c r="X1704" s="14" t="s">
        <v>3062</v>
      </c>
      <c r="Y1704" s="73" t="s">
        <v>3063</v>
      </c>
      <c r="Z1704" s="27" t="s">
        <v>3064</v>
      </c>
      <c r="AA1704" s="17"/>
      <c r="AB1704" s="123"/>
      <c r="AC1704" s="123"/>
    </row>
    <row r="1705" spans="1:29" s="11" customFormat="1" hidden="1" x14ac:dyDescent="0.3">
      <c r="A1705" s="18" t="s">
        <v>3065</v>
      </c>
      <c r="B1705" s="18" t="s">
        <v>369</v>
      </c>
      <c r="C1705" s="18" t="s">
        <v>3066</v>
      </c>
      <c r="D1705" s="14" t="s">
        <v>579</v>
      </c>
      <c r="E1705" s="18" t="s">
        <v>10</v>
      </c>
      <c r="F1705" s="70" t="s">
        <v>693</v>
      </c>
      <c r="G1705" s="70" t="s">
        <v>3067</v>
      </c>
      <c r="H1705" s="18" t="s">
        <v>5</v>
      </c>
      <c r="I1705" s="14" t="s">
        <v>134</v>
      </c>
      <c r="J1705" s="14">
        <v>3</v>
      </c>
      <c r="K1705" s="18" t="s">
        <v>3068</v>
      </c>
      <c r="L1705" s="18"/>
      <c r="M1705" s="14">
        <v>1</v>
      </c>
      <c r="N1705" s="14">
        <v>484575</v>
      </c>
      <c r="O1705" s="15">
        <f t="shared" si="68"/>
        <v>484575</v>
      </c>
      <c r="P1705" s="15"/>
      <c r="Q1705" s="14" t="s">
        <v>520</v>
      </c>
      <c r="R1705" s="25">
        <v>45728</v>
      </c>
      <c r="S1705" s="34" t="str">
        <f>TEXT(Table1[[#This Row],[End Date]],"MMMM")</f>
        <v>March</v>
      </c>
      <c r="T1705" s="34" t="str">
        <f>TEXT(Table1[[#This Row],[End Date]],"YYYY")</f>
        <v>2025</v>
      </c>
      <c r="U1705" s="58">
        <f t="shared" ca="1" si="66"/>
        <v>-595</v>
      </c>
      <c r="V1705" s="14" t="str" cm="1">
        <f t="array" aca="1" ref="V1705" ca="1">_xlfn.IFS(Table1[[#This Row],[Agreement Days]]&gt;=0,"Expired",Table1[[#This Row],[Agreement Days]]&gt;=-30,"Expires &lt; 30 Days",Table1[[#This Row],[Agreement Days]]&gt;=-60,"Expires &lt; 60 Days",Table1[[#This Row],[Agreement Days]]&lt;-60,"Valid Contract")</f>
        <v>Valid Contract</v>
      </c>
      <c r="W1705" s="18" t="s">
        <v>13</v>
      </c>
      <c r="X1705" s="18"/>
      <c r="Y1705" s="35"/>
      <c r="Z1705" s="27"/>
      <c r="AA1705" s="27"/>
      <c r="AB1705" s="123"/>
      <c r="AC1705" s="123"/>
    </row>
    <row r="1706" spans="1:29" s="11" customFormat="1" hidden="1" x14ac:dyDescent="0.3">
      <c r="A1706" s="18" t="s">
        <v>3069</v>
      </c>
      <c r="B1706" s="18" t="s">
        <v>143</v>
      </c>
      <c r="C1706" s="18" t="s">
        <v>3070</v>
      </c>
      <c r="D1706" s="20" t="s">
        <v>735</v>
      </c>
      <c r="E1706" s="18" t="s">
        <v>9</v>
      </c>
      <c r="F1706" s="14" t="s">
        <v>517</v>
      </c>
      <c r="G1706" s="14" t="s">
        <v>546</v>
      </c>
      <c r="H1706" s="18" t="s">
        <v>5</v>
      </c>
      <c r="I1706" s="14" t="s">
        <v>117</v>
      </c>
      <c r="J1706" s="14">
        <v>3</v>
      </c>
      <c r="K1706" s="14" t="s">
        <v>646</v>
      </c>
      <c r="L1706" s="14"/>
      <c r="M1706" s="14">
        <v>1</v>
      </c>
      <c r="N1706" s="15">
        <v>180000</v>
      </c>
      <c r="O1706" s="15">
        <f t="shared" si="68"/>
        <v>180000</v>
      </c>
      <c r="P1706" s="15"/>
      <c r="Q1706" s="14" t="s">
        <v>520</v>
      </c>
      <c r="R1706" s="21">
        <v>45747</v>
      </c>
      <c r="S1706" s="22" t="str">
        <f>TEXT(Table1[[#This Row],[End Date]],"MMMM")</f>
        <v>March</v>
      </c>
      <c r="T1706" s="23" t="str">
        <f>TEXT(Table1[[#This Row],[End Date]],"YYYY")</f>
        <v>2025</v>
      </c>
      <c r="U1706" s="24">
        <f t="shared" ca="1" si="66"/>
        <v>-614</v>
      </c>
      <c r="V1706" s="14" t="str" cm="1">
        <f t="array" aca="1" ref="V1706" ca="1">_xlfn.IFS(Table1[[#This Row],[Agreement Days]]&gt;=0,"Expired",Table1[[#This Row],[Agreement Days]]&gt;=-30,"Expires &lt; 30 Days",Table1[[#This Row],[Agreement Days]]&gt;=-60,"Expires &lt; 60 Days",Table1[[#This Row],[Agreement Days]]&lt;-60,"Valid Contract")</f>
        <v>Valid Contract</v>
      </c>
      <c r="W1706" s="14" t="s">
        <v>17</v>
      </c>
      <c r="X1706" s="14" t="s">
        <v>3071</v>
      </c>
      <c r="Y1706" s="73" t="s">
        <v>3072</v>
      </c>
      <c r="Z1706" s="27">
        <v>788550338</v>
      </c>
      <c r="AA1706" s="17"/>
      <c r="AB1706" s="123"/>
      <c r="AC1706" s="123"/>
    </row>
    <row r="1707" spans="1:29" s="11" customFormat="1" hidden="1" x14ac:dyDescent="0.3">
      <c r="A1707" s="18" t="s">
        <v>3069</v>
      </c>
      <c r="B1707" s="18" t="s">
        <v>143</v>
      </c>
      <c r="C1707" s="18" t="s">
        <v>516</v>
      </c>
      <c r="D1707" s="20" t="s">
        <v>516</v>
      </c>
      <c r="E1707" s="18" t="s">
        <v>9</v>
      </c>
      <c r="F1707" s="14" t="s">
        <v>517</v>
      </c>
      <c r="G1707" s="14" t="s">
        <v>546</v>
      </c>
      <c r="H1707" s="18" t="s">
        <v>5</v>
      </c>
      <c r="I1707" s="14" t="s">
        <v>117</v>
      </c>
      <c r="J1707" s="14">
        <v>3</v>
      </c>
      <c r="K1707" s="14" t="s">
        <v>646</v>
      </c>
      <c r="L1707" s="14"/>
      <c r="M1707" s="14">
        <v>1</v>
      </c>
      <c r="N1707" s="15">
        <v>180000</v>
      </c>
      <c r="O1707" s="15">
        <f t="shared" si="68"/>
        <v>180000</v>
      </c>
      <c r="P1707" s="15"/>
      <c r="Q1707" s="14" t="s">
        <v>520</v>
      </c>
      <c r="R1707" s="21">
        <v>45747</v>
      </c>
      <c r="S1707" s="22" t="str">
        <f>TEXT(Table1[[#This Row],[End Date]],"MMMM")</f>
        <v>March</v>
      </c>
      <c r="T1707" s="23" t="str">
        <f>TEXT(Table1[[#This Row],[End Date]],"YYYY")</f>
        <v>2025</v>
      </c>
      <c r="U1707" s="24">
        <f t="shared" ca="1" si="66"/>
        <v>-614</v>
      </c>
      <c r="V1707" s="14" t="str" cm="1">
        <f t="array" aca="1" ref="V1707" ca="1">_xlfn.IFS(Table1[[#This Row],[Agreement Days]]&gt;=0,"Expired",Table1[[#This Row],[Agreement Days]]&gt;=-30,"Expires &lt; 30 Days",Table1[[#This Row],[Agreement Days]]&gt;=-60,"Expires &lt; 60 Days",Table1[[#This Row],[Agreement Days]]&lt;-60,"Valid Contract")</f>
        <v>Valid Contract</v>
      </c>
      <c r="W1707" s="14" t="s">
        <v>17</v>
      </c>
      <c r="X1707" s="14" t="s">
        <v>3071</v>
      </c>
      <c r="Y1707" s="73" t="s">
        <v>3072</v>
      </c>
      <c r="Z1707" s="27">
        <v>788550338</v>
      </c>
      <c r="AA1707" s="17"/>
      <c r="AB1707" s="123"/>
      <c r="AC1707" s="123"/>
    </row>
    <row r="1708" spans="1:29" s="11" customFormat="1" hidden="1" x14ac:dyDescent="0.3">
      <c r="A1708" s="18" t="s">
        <v>3069</v>
      </c>
      <c r="B1708" s="18" t="s">
        <v>143</v>
      </c>
      <c r="C1708" s="18" t="s">
        <v>761</v>
      </c>
      <c r="D1708" s="20" t="s">
        <v>761</v>
      </c>
      <c r="E1708" s="18" t="s">
        <v>9</v>
      </c>
      <c r="F1708" s="14" t="s">
        <v>517</v>
      </c>
      <c r="G1708" s="14" t="s">
        <v>546</v>
      </c>
      <c r="H1708" s="18" t="s">
        <v>5</v>
      </c>
      <c r="I1708" s="14" t="s">
        <v>117</v>
      </c>
      <c r="J1708" s="14">
        <v>3</v>
      </c>
      <c r="K1708" s="14" t="s">
        <v>646</v>
      </c>
      <c r="L1708" s="14"/>
      <c r="M1708" s="14">
        <v>1</v>
      </c>
      <c r="N1708" s="15">
        <v>180000</v>
      </c>
      <c r="O1708" s="15">
        <f t="shared" si="68"/>
        <v>180000</v>
      </c>
      <c r="P1708" s="15"/>
      <c r="Q1708" s="14" t="s">
        <v>520</v>
      </c>
      <c r="R1708" s="21">
        <v>45747</v>
      </c>
      <c r="S1708" s="22" t="str">
        <f>TEXT(Table1[[#This Row],[End Date]],"MMMM")</f>
        <v>March</v>
      </c>
      <c r="T1708" s="23" t="str">
        <f>TEXT(Table1[[#This Row],[End Date]],"YYYY")</f>
        <v>2025</v>
      </c>
      <c r="U1708" s="24">
        <f t="shared" ca="1" si="66"/>
        <v>-614</v>
      </c>
      <c r="V1708" s="14" t="str" cm="1">
        <f t="array" aca="1" ref="V1708" ca="1">_xlfn.IFS(Table1[[#This Row],[Agreement Days]]&gt;=0,"Expired",Table1[[#This Row],[Agreement Days]]&gt;=-30,"Expires &lt; 30 Days",Table1[[#This Row],[Agreement Days]]&gt;=-60,"Expires &lt; 60 Days",Table1[[#This Row],[Agreement Days]]&lt;-60,"Valid Contract")</f>
        <v>Valid Contract</v>
      </c>
      <c r="W1708" s="14" t="s">
        <v>17</v>
      </c>
      <c r="X1708" s="14" t="s">
        <v>3071</v>
      </c>
      <c r="Y1708" s="73" t="s">
        <v>3072</v>
      </c>
      <c r="Z1708" s="27">
        <v>788550338</v>
      </c>
      <c r="AA1708" s="17"/>
      <c r="AB1708" s="123"/>
      <c r="AC1708" s="123"/>
    </row>
    <row r="1709" spans="1:29" s="11" customFormat="1" hidden="1" x14ac:dyDescent="0.3">
      <c r="A1709" s="18" t="s">
        <v>3069</v>
      </c>
      <c r="B1709" s="18" t="s">
        <v>143</v>
      </c>
      <c r="C1709" s="18" t="s">
        <v>808</v>
      </c>
      <c r="D1709" s="20" t="s">
        <v>808</v>
      </c>
      <c r="E1709" s="18" t="s">
        <v>9</v>
      </c>
      <c r="F1709" s="14" t="s">
        <v>517</v>
      </c>
      <c r="G1709" s="14" t="s">
        <v>546</v>
      </c>
      <c r="H1709" s="18" t="s">
        <v>5</v>
      </c>
      <c r="I1709" s="14" t="s">
        <v>117</v>
      </c>
      <c r="J1709" s="14">
        <v>3</v>
      </c>
      <c r="K1709" s="14" t="s">
        <v>646</v>
      </c>
      <c r="L1709" s="14"/>
      <c r="M1709" s="14">
        <v>1</v>
      </c>
      <c r="N1709" s="15">
        <v>180000</v>
      </c>
      <c r="O1709" s="15">
        <f t="shared" si="68"/>
        <v>180000</v>
      </c>
      <c r="P1709" s="15"/>
      <c r="Q1709" s="14" t="s">
        <v>520</v>
      </c>
      <c r="R1709" s="21">
        <v>45747</v>
      </c>
      <c r="S1709" s="22" t="str">
        <f>TEXT(Table1[[#This Row],[End Date]],"MMMM")</f>
        <v>March</v>
      </c>
      <c r="T1709" s="23" t="str">
        <f>TEXT(Table1[[#This Row],[End Date]],"YYYY")</f>
        <v>2025</v>
      </c>
      <c r="U1709" s="24">
        <f t="shared" ca="1" si="66"/>
        <v>-614</v>
      </c>
      <c r="V1709" s="14" t="str" cm="1">
        <f t="array" aca="1" ref="V1709" ca="1">_xlfn.IFS(Table1[[#This Row],[Agreement Days]]&gt;=0,"Expired",Table1[[#This Row],[Agreement Days]]&gt;=-30,"Expires &lt; 30 Days",Table1[[#This Row],[Agreement Days]]&gt;=-60,"Expires &lt; 60 Days",Table1[[#This Row],[Agreement Days]]&lt;-60,"Valid Contract")</f>
        <v>Valid Contract</v>
      </c>
      <c r="W1709" s="14" t="s">
        <v>17</v>
      </c>
      <c r="X1709" s="14" t="s">
        <v>3071</v>
      </c>
      <c r="Y1709" s="73" t="s">
        <v>3072</v>
      </c>
      <c r="Z1709" s="27">
        <v>788550338</v>
      </c>
      <c r="AA1709" s="17"/>
      <c r="AB1709" s="123"/>
      <c r="AC1709" s="123"/>
    </row>
    <row r="1710" spans="1:29" s="11" customFormat="1" hidden="1" x14ac:dyDescent="0.3">
      <c r="A1710" s="18" t="s">
        <v>3069</v>
      </c>
      <c r="B1710" s="18" t="s">
        <v>143</v>
      </c>
      <c r="C1710" s="18" t="s">
        <v>616</v>
      </c>
      <c r="D1710" s="20" t="s">
        <v>616</v>
      </c>
      <c r="E1710" s="18" t="s">
        <v>9</v>
      </c>
      <c r="F1710" s="14" t="s">
        <v>517</v>
      </c>
      <c r="G1710" s="14" t="s">
        <v>546</v>
      </c>
      <c r="H1710" s="18" t="s">
        <v>5</v>
      </c>
      <c r="I1710" s="14" t="s">
        <v>117</v>
      </c>
      <c r="J1710" s="14">
        <v>3</v>
      </c>
      <c r="K1710" s="14" t="s">
        <v>646</v>
      </c>
      <c r="L1710" s="14"/>
      <c r="M1710" s="14">
        <v>1</v>
      </c>
      <c r="N1710" s="15">
        <v>180000</v>
      </c>
      <c r="O1710" s="15">
        <f t="shared" si="68"/>
        <v>180000</v>
      </c>
      <c r="P1710" s="15"/>
      <c r="Q1710" s="14" t="s">
        <v>520</v>
      </c>
      <c r="R1710" s="21">
        <v>45747</v>
      </c>
      <c r="S1710" s="22" t="str">
        <f>TEXT(Table1[[#This Row],[End Date]],"MMMM")</f>
        <v>March</v>
      </c>
      <c r="T1710" s="23" t="str">
        <f>TEXT(Table1[[#This Row],[End Date]],"YYYY")</f>
        <v>2025</v>
      </c>
      <c r="U1710" s="24">
        <f t="shared" ca="1" si="66"/>
        <v>-614</v>
      </c>
      <c r="V1710" s="14" t="str" cm="1">
        <f t="array" aca="1" ref="V1710" ca="1">_xlfn.IFS(Table1[[#This Row],[Agreement Days]]&gt;=0,"Expired",Table1[[#This Row],[Agreement Days]]&gt;=-30,"Expires &lt; 30 Days",Table1[[#This Row],[Agreement Days]]&gt;=-60,"Expires &lt; 60 Days",Table1[[#This Row],[Agreement Days]]&lt;-60,"Valid Contract")</f>
        <v>Valid Contract</v>
      </c>
      <c r="W1710" s="14" t="s">
        <v>17</v>
      </c>
      <c r="X1710" s="14" t="s">
        <v>3071</v>
      </c>
      <c r="Y1710" s="73" t="s">
        <v>3072</v>
      </c>
      <c r="Z1710" s="27">
        <v>788550338</v>
      </c>
      <c r="AA1710" s="17"/>
      <c r="AB1710" s="123"/>
      <c r="AC1710" s="123"/>
    </row>
    <row r="1711" spans="1:29" s="11" customFormat="1" hidden="1" x14ac:dyDescent="0.3">
      <c r="A1711" s="18" t="s">
        <v>3069</v>
      </c>
      <c r="B1711" s="18" t="s">
        <v>143</v>
      </c>
      <c r="C1711" s="18" t="s">
        <v>873</v>
      </c>
      <c r="D1711" s="20" t="s">
        <v>873</v>
      </c>
      <c r="E1711" s="18" t="s">
        <v>9</v>
      </c>
      <c r="F1711" s="14" t="s">
        <v>517</v>
      </c>
      <c r="G1711" s="14" t="s">
        <v>546</v>
      </c>
      <c r="H1711" s="18" t="s">
        <v>5</v>
      </c>
      <c r="I1711" s="14" t="s">
        <v>117</v>
      </c>
      <c r="J1711" s="14">
        <v>3</v>
      </c>
      <c r="K1711" s="14" t="s">
        <v>646</v>
      </c>
      <c r="L1711" s="14"/>
      <c r="M1711" s="14">
        <v>1</v>
      </c>
      <c r="N1711" s="15">
        <v>180000</v>
      </c>
      <c r="O1711" s="15">
        <f t="shared" si="68"/>
        <v>180000</v>
      </c>
      <c r="P1711" s="15"/>
      <c r="Q1711" s="14" t="s">
        <v>520</v>
      </c>
      <c r="R1711" s="21">
        <v>45747</v>
      </c>
      <c r="S1711" s="22" t="str">
        <f>TEXT(Table1[[#This Row],[End Date]],"MMMM")</f>
        <v>March</v>
      </c>
      <c r="T1711" s="23" t="str">
        <f>TEXT(Table1[[#This Row],[End Date]],"YYYY")</f>
        <v>2025</v>
      </c>
      <c r="U1711" s="24">
        <f t="shared" ca="1" si="66"/>
        <v>-614</v>
      </c>
      <c r="V1711" s="14" t="str" cm="1">
        <f t="array" aca="1" ref="V1711" ca="1">_xlfn.IFS(Table1[[#This Row],[Agreement Days]]&gt;=0,"Expired",Table1[[#This Row],[Agreement Days]]&gt;=-30,"Expires &lt; 30 Days",Table1[[#This Row],[Agreement Days]]&gt;=-60,"Expires &lt; 60 Days",Table1[[#This Row],[Agreement Days]]&lt;-60,"Valid Contract")</f>
        <v>Valid Contract</v>
      </c>
      <c r="W1711" s="14" t="s">
        <v>17</v>
      </c>
      <c r="X1711" s="14" t="s">
        <v>3071</v>
      </c>
      <c r="Y1711" s="73" t="s">
        <v>3072</v>
      </c>
      <c r="Z1711" s="27">
        <v>788550338</v>
      </c>
      <c r="AA1711" s="17"/>
      <c r="AB1711" s="123"/>
      <c r="AC1711" s="123"/>
    </row>
    <row r="1712" spans="1:29" s="11" customFormat="1" hidden="1" x14ac:dyDescent="0.3">
      <c r="A1712" s="18" t="s">
        <v>3069</v>
      </c>
      <c r="B1712" s="18" t="s">
        <v>143</v>
      </c>
      <c r="C1712" s="18" t="s">
        <v>619</v>
      </c>
      <c r="D1712" s="20" t="s">
        <v>619</v>
      </c>
      <c r="E1712" s="18" t="s">
        <v>9</v>
      </c>
      <c r="F1712" s="14" t="s">
        <v>517</v>
      </c>
      <c r="G1712" s="14" t="s">
        <v>546</v>
      </c>
      <c r="H1712" s="18" t="s">
        <v>5</v>
      </c>
      <c r="I1712" s="14" t="s">
        <v>117</v>
      </c>
      <c r="J1712" s="14">
        <v>3</v>
      </c>
      <c r="K1712" s="14" t="s">
        <v>646</v>
      </c>
      <c r="L1712" s="14"/>
      <c r="M1712" s="14">
        <v>1</v>
      </c>
      <c r="N1712" s="15">
        <v>180000</v>
      </c>
      <c r="O1712" s="15">
        <f t="shared" si="68"/>
        <v>180000</v>
      </c>
      <c r="P1712" s="15"/>
      <c r="Q1712" s="14" t="s">
        <v>520</v>
      </c>
      <c r="R1712" s="21">
        <v>45747</v>
      </c>
      <c r="S1712" s="22" t="str">
        <f>TEXT(Table1[[#This Row],[End Date]],"MMMM")</f>
        <v>March</v>
      </c>
      <c r="T1712" s="23" t="str">
        <f>TEXT(Table1[[#This Row],[End Date]],"YYYY")</f>
        <v>2025</v>
      </c>
      <c r="U1712" s="24">
        <f t="shared" ca="1" si="66"/>
        <v>-614</v>
      </c>
      <c r="V1712" s="14" t="str" cm="1">
        <f t="array" aca="1" ref="V1712" ca="1">_xlfn.IFS(Table1[[#This Row],[Agreement Days]]&gt;=0,"Expired",Table1[[#This Row],[Agreement Days]]&gt;=-30,"Expires &lt; 30 Days",Table1[[#This Row],[Agreement Days]]&gt;=-60,"Expires &lt; 60 Days",Table1[[#This Row],[Agreement Days]]&lt;-60,"Valid Contract")</f>
        <v>Valid Contract</v>
      </c>
      <c r="W1712" s="14" t="s">
        <v>17</v>
      </c>
      <c r="X1712" s="14" t="s">
        <v>3071</v>
      </c>
      <c r="Y1712" s="73" t="s">
        <v>3072</v>
      </c>
      <c r="Z1712" s="27">
        <v>788550338</v>
      </c>
      <c r="AA1712" s="17"/>
      <c r="AB1712" s="123"/>
      <c r="AC1712" s="123"/>
    </row>
    <row r="1713" spans="1:29" s="11" customFormat="1" hidden="1" x14ac:dyDescent="0.3">
      <c r="A1713" s="18" t="s">
        <v>3069</v>
      </c>
      <c r="B1713" s="18" t="s">
        <v>143</v>
      </c>
      <c r="C1713" s="18" t="s">
        <v>875</v>
      </c>
      <c r="D1713" s="20" t="s">
        <v>875</v>
      </c>
      <c r="E1713" s="18" t="s">
        <v>9</v>
      </c>
      <c r="F1713" s="14" t="s">
        <v>517</v>
      </c>
      <c r="G1713" s="14" t="s">
        <v>546</v>
      </c>
      <c r="H1713" s="18" t="s">
        <v>5</v>
      </c>
      <c r="I1713" s="14" t="s">
        <v>117</v>
      </c>
      <c r="J1713" s="14">
        <v>3</v>
      </c>
      <c r="K1713" s="14" t="s">
        <v>646</v>
      </c>
      <c r="L1713" s="14"/>
      <c r="M1713" s="14">
        <v>1</v>
      </c>
      <c r="N1713" s="15">
        <v>180000</v>
      </c>
      <c r="O1713" s="15">
        <f t="shared" si="68"/>
        <v>180000</v>
      </c>
      <c r="P1713" s="15"/>
      <c r="Q1713" s="14" t="s">
        <v>520</v>
      </c>
      <c r="R1713" s="21">
        <v>45747</v>
      </c>
      <c r="S1713" s="22" t="str">
        <f>TEXT(Table1[[#This Row],[End Date]],"MMMM")</f>
        <v>March</v>
      </c>
      <c r="T1713" s="23" t="str">
        <f>TEXT(Table1[[#This Row],[End Date]],"YYYY")</f>
        <v>2025</v>
      </c>
      <c r="U1713" s="24">
        <f t="shared" ca="1" si="66"/>
        <v>-614</v>
      </c>
      <c r="V1713" s="14" t="str" cm="1">
        <f t="array" aca="1" ref="V1713" ca="1">_xlfn.IFS(Table1[[#This Row],[Agreement Days]]&gt;=0,"Expired",Table1[[#This Row],[Agreement Days]]&gt;=-30,"Expires &lt; 30 Days",Table1[[#This Row],[Agreement Days]]&gt;=-60,"Expires &lt; 60 Days",Table1[[#This Row],[Agreement Days]]&lt;-60,"Valid Contract")</f>
        <v>Valid Contract</v>
      </c>
      <c r="W1713" s="14" t="s">
        <v>17</v>
      </c>
      <c r="X1713" s="14" t="s">
        <v>3071</v>
      </c>
      <c r="Y1713" s="73" t="s">
        <v>3072</v>
      </c>
      <c r="Z1713" s="27">
        <v>788550338</v>
      </c>
      <c r="AA1713" s="17"/>
      <c r="AB1713" s="123"/>
      <c r="AC1713" s="123"/>
    </row>
    <row r="1714" spans="1:29" s="11" customFormat="1" hidden="1" x14ac:dyDescent="0.3">
      <c r="A1714" s="18" t="s">
        <v>3069</v>
      </c>
      <c r="B1714" s="18" t="s">
        <v>143</v>
      </c>
      <c r="C1714" s="18" t="s">
        <v>769</v>
      </c>
      <c r="D1714" s="20" t="s">
        <v>769</v>
      </c>
      <c r="E1714" s="18" t="s">
        <v>9</v>
      </c>
      <c r="F1714" s="14" t="s">
        <v>517</v>
      </c>
      <c r="G1714" s="14" t="s">
        <v>546</v>
      </c>
      <c r="H1714" s="18" t="s">
        <v>5</v>
      </c>
      <c r="I1714" s="14" t="s">
        <v>117</v>
      </c>
      <c r="J1714" s="14">
        <v>3</v>
      </c>
      <c r="K1714" s="14" t="s">
        <v>646</v>
      </c>
      <c r="L1714" s="14"/>
      <c r="M1714" s="14">
        <v>1</v>
      </c>
      <c r="N1714" s="15">
        <v>180000</v>
      </c>
      <c r="O1714" s="15">
        <f t="shared" si="68"/>
        <v>180000</v>
      </c>
      <c r="P1714" s="15"/>
      <c r="Q1714" s="14" t="s">
        <v>520</v>
      </c>
      <c r="R1714" s="21">
        <v>45747</v>
      </c>
      <c r="S1714" s="22" t="str">
        <f>TEXT(Table1[[#This Row],[End Date]],"MMMM")</f>
        <v>March</v>
      </c>
      <c r="T1714" s="23" t="str">
        <f>TEXT(Table1[[#This Row],[End Date]],"YYYY")</f>
        <v>2025</v>
      </c>
      <c r="U1714" s="24">
        <f t="shared" ca="1" si="66"/>
        <v>-614</v>
      </c>
      <c r="V1714" s="14" t="str" cm="1">
        <f t="array" aca="1" ref="V1714" ca="1">_xlfn.IFS(Table1[[#This Row],[Agreement Days]]&gt;=0,"Expired",Table1[[#This Row],[Agreement Days]]&gt;=-30,"Expires &lt; 30 Days",Table1[[#This Row],[Agreement Days]]&gt;=-60,"Expires &lt; 60 Days",Table1[[#This Row],[Agreement Days]]&lt;-60,"Valid Contract")</f>
        <v>Valid Contract</v>
      </c>
      <c r="W1714" s="14" t="s">
        <v>17</v>
      </c>
      <c r="X1714" s="14" t="s">
        <v>3071</v>
      </c>
      <c r="Y1714" s="73" t="s">
        <v>3072</v>
      </c>
      <c r="Z1714" s="27">
        <v>788550338</v>
      </c>
      <c r="AA1714" s="17"/>
      <c r="AB1714" s="123"/>
      <c r="AC1714" s="123"/>
    </row>
    <row r="1715" spans="1:29" s="11" customFormat="1" hidden="1" x14ac:dyDescent="0.3">
      <c r="A1715" s="18" t="s">
        <v>3069</v>
      </c>
      <c r="B1715" s="18" t="s">
        <v>143</v>
      </c>
      <c r="C1715" s="18" t="s">
        <v>579</v>
      </c>
      <c r="D1715" s="20" t="s">
        <v>579</v>
      </c>
      <c r="E1715" s="18" t="s">
        <v>9</v>
      </c>
      <c r="F1715" s="14" t="s">
        <v>517</v>
      </c>
      <c r="G1715" s="14" t="s">
        <v>546</v>
      </c>
      <c r="H1715" s="18" t="s">
        <v>5</v>
      </c>
      <c r="I1715" s="14" t="s">
        <v>117</v>
      </c>
      <c r="J1715" s="14">
        <v>3</v>
      </c>
      <c r="K1715" s="14" t="s">
        <v>646</v>
      </c>
      <c r="L1715" s="14"/>
      <c r="M1715" s="14">
        <v>1</v>
      </c>
      <c r="N1715" s="15">
        <v>180000</v>
      </c>
      <c r="O1715" s="15">
        <f t="shared" si="68"/>
        <v>180000</v>
      </c>
      <c r="P1715" s="15"/>
      <c r="Q1715" s="14" t="s">
        <v>520</v>
      </c>
      <c r="R1715" s="21">
        <v>45747</v>
      </c>
      <c r="S1715" s="22" t="str">
        <f>TEXT(Table1[[#This Row],[End Date]],"MMMM")</f>
        <v>March</v>
      </c>
      <c r="T1715" s="23" t="str">
        <f>TEXT(Table1[[#This Row],[End Date]],"YYYY")</f>
        <v>2025</v>
      </c>
      <c r="U1715" s="24">
        <f t="shared" ca="1" si="66"/>
        <v>-614</v>
      </c>
      <c r="V1715" s="14" t="str" cm="1">
        <f t="array" aca="1" ref="V1715" ca="1">_xlfn.IFS(Table1[[#This Row],[Agreement Days]]&gt;=0,"Expired",Table1[[#This Row],[Agreement Days]]&gt;=-30,"Expires &lt; 30 Days",Table1[[#This Row],[Agreement Days]]&gt;=-60,"Expires &lt; 60 Days",Table1[[#This Row],[Agreement Days]]&lt;-60,"Valid Contract")</f>
        <v>Valid Contract</v>
      </c>
      <c r="W1715" s="14" t="s">
        <v>17</v>
      </c>
      <c r="X1715" s="14" t="s">
        <v>3071</v>
      </c>
      <c r="Y1715" s="73" t="s">
        <v>3072</v>
      </c>
      <c r="Z1715" s="27">
        <v>788550338</v>
      </c>
      <c r="AA1715" s="17"/>
      <c r="AB1715" s="123"/>
      <c r="AC1715" s="123"/>
    </row>
    <row r="1716" spans="1:29" s="11" customFormat="1" hidden="1" x14ac:dyDescent="0.3">
      <c r="A1716" s="18" t="s">
        <v>3069</v>
      </c>
      <c r="B1716" s="18" t="s">
        <v>143</v>
      </c>
      <c r="C1716" s="18" t="s">
        <v>532</v>
      </c>
      <c r="D1716" s="20" t="s">
        <v>532</v>
      </c>
      <c r="E1716" s="18" t="s">
        <v>9</v>
      </c>
      <c r="F1716" s="14" t="s">
        <v>517</v>
      </c>
      <c r="G1716" s="14" t="s">
        <v>546</v>
      </c>
      <c r="H1716" s="18" t="s">
        <v>5</v>
      </c>
      <c r="I1716" s="14" t="s">
        <v>117</v>
      </c>
      <c r="J1716" s="14">
        <v>3</v>
      </c>
      <c r="K1716" s="14" t="s">
        <v>646</v>
      </c>
      <c r="L1716" s="14"/>
      <c r="M1716" s="14">
        <v>1</v>
      </c>
      <c r="N1716" s="15">
        <v>180000</v>
      </c>
      <c r="O1716" s="15">
        <f t="shared" si="68"/>
        <v>180000</v>
      </c>
      <c r="P1716" s="15"/>
      <c r="Q1716" s="14" t="s">
        <v>520</v>
      </c>
      <c r="R1716" s="21">
        <v>45747</v>
      </c>
      <c r="S1716" s="22" t="str">
        <f>TEXT(Table1[[#This Row],[End Date]],"MMMM")</f>
        <v>March</v>
      </c>
      <c r="T1716" s="23" t="str">
        <f>TEXT(Table1[[#This Row],[End Date]],"YYYY")</f>
        <v>2025</v>
      </c>
      <c r="U1716" s="24">
        <f t="shared" ca="1" si="66"/>
        <v>-614</v>
      </c>
      <c r="V1716" s="14" t="str" cm="1">
        <f t="array" aca="1" ref="V1716" ca="1">_xlfn.IFS(Table1[[#This Row],[Agreement Days]]&gt;=0,"Expired",Table1[[#This Row],[Agreement Days]]&gt;=-30,"Expires &lt; 30 Days",Table1[[#This Row],[Agreement Days]]&gt;=-60,"Expires &lt; 60 Days",Table1[[#This Row],[Agreement Days]]&lt;-60,"Valid Contract")</f>
        <v>Valid Contract</v>
      </c>
      <c r="W1716" s="14" t="s">
        <v>17</v>
      </c>
      <c r="X1716" s="14" t="s">
        <v>3071</v>
      </c>
      <c r="Y1716" s="73" t="s">
        <v>3072</v>
      </c>
      <c r="Z1716" s="27">
        <v>788550338</v>
      </c>
      <c r="AA1716" s="17"/>
      <c r="AB1716" s="123"/>
      <c r="AC1716" s="123"/>
    </row>
    <row r="1717" spans="1:29" s="11" customFormat="1" hidden="1" x14ac:dyDescent="0.3">
      <c r="A1717" s="18" t="s">
        <v>3069</v>
      </c>
      <c r="B1717" s="18" t="s">
        <v>143</v>
      </c>
      <c r="C1717" s="18" t="s">
        <v>739</v>
      </c>
      <c r="D1717" s="20" t="s">
        <v>739</v>
      </c>
      <c r="E1717" s="18" t="s">
        <v>9</v>
      </c>
      <c r="F1717" s="14" t="s">
        <v>517</v>
      </c>
      <c r="G1717" s="14" t="s">
        <v>546</v>
      </c>
      <c r="H1717" s="18" t="s">
        <v>5</v>
      </c>
      <c r="I1717" s="14" t="s">
        <v>117</v>
      </c>
      <c r="J1717" s="14">
        <v>3</v>
      </c>
      <c r="K1717" s="14" t="s">
        <v>646</v>
      </c>
      <c r="L1717" s="14"/>
      <c r="M1717" s="14">
        <v>1</v>
      </c>
      <c r="N1717" s="15">
        <v>180000</v>
      </c>
      <c r="O1717" s="15">
        <f t="shared" si="68"/>
        <v>180000</v>
      </c>
      <c r="P1717" s="15"/>
      <c r="Q1717" s="14" t="s">
        <v>520</v>
      </c>
      <c r="R1717" s="21">
        <v>45747</v>
      </c>
      <c r="S1717" s="22" t="str">
        <f>TEXT(Table1[[#This Row],[End Date]],"MMMM")</f>
        <v>March</v>
      </c>
      <c r="T1717" s="23" t="str">
        <f>TEXT(Table1[[#This Row],[End Date]],"YYYY")</f>
        <v>2025</v>
      </c>
      <c r="U1717" s="24">
        <f t="shared" ca="1" si="66"/>
        <v>-614</v>
      </c>
      <c r="V1717" s="14" t="str" cm="1">
        <f t="array" aca="1" ref="V1717" ca="1">_xlfn.IFS(Table1[[#This Row],[Agreement Days]]&gt;=0,"Expired",Table1[[#This Row],[Agreement Days]]&gt;=-30,"Expires &lt; 30 Days",Table1[[#This Row],[Agreement Days]]&gt;=-60,"Expires &lt; 60 Days",Table1[[#This Row],[Agreement Days]]&lt;-60,"Valid Contract")</f>
        <v>Valid Contract</v>
      </c>
      <c r="W1717" s="14" t="s">
        <v>17</v>
      </c>
      <c r="X1717" s="14" t="s">
        <v>3071</v>
      </c>
      <c r="Y1717" s="73" t="s">
        <v>3072</v>
      </c>
      <c r="Z1717" s="27">
        <v>788550338</v>
      </c>
      <c r="AA1717" s="17"/>
      <c r="AB1717" s="123"/>
      <c r="AC1717" s="123"/>
    </row>
    <row r="1718" spans="1:29" s="11" customFormat="1" hidden="1" x14ac:dyDescent="0.3">
      <c r="A1718" s="18" t="s">
        <v>3069</v>
      </c>
      <c r="B1718" s="18" t="s">
        <v>143</v>
      </c>
      <c r="C1718" s="18" t="s">
        <v>526</v>
      </c>
      <c r="D1718" s="20" t="s">
        <v>526</v>
      </c>
      <c r="E1718" s="18" t="s">
        <v>9</v>
      </c>
      <c r="F1718" s="14" t="s">
        <v>517</v>
      </c>
      <c r="G1718" s="14" t="s">
        <v>546</v>
      </c>
      <c r="H1718" s="18" t="s">
        <v>5</v>
      </c>
      <c r="I1718" s="14" t="s">
        <v>117</v>
      </c>
      <c r="J1718" s="14">
        <v>3</v>
      </c>
      <c r="K1718" s="14" t="s">
        <v>646</v>
      </c>
      <c r="L1718" s="14"/>
      <c r="M1718" s="14">
        <v>1</v>
      </c>
      <c r="N1718" s="15">
        <v>180000</v>
      </c>
      <c r="O1718" s="15">
        <f t="shared" si="68"/>
        <v>180000</v>
      </c>
      <c r="P1718" s="15"/>
      <c r="Q1718" s="14" t="s">
        <v>520</v>
      </c>
      <c r="R1718" s="21">
        <v>45747</v>
      </c>
      <c r="S1718" s="22" t="str">
        <f>TEXT(Table1[[#This Row],[End Date]],"MMMM")</f>
        <v>March</v>
      </c>
      <c r="T1718" s="23" t="str">
        <f>TEXT(Table1[[#This Row],[End Date]],"YYYY")</f>
        <v>2025</v>
      </c>
      <c r="U1718" s="24">
        <f t="shared" ca="1" si="66"/>
        <v>-614</v>
      </c>
      <c r="V1718" s="14" t="str" cm="1">
        <f t="array" aca="1" ref="V1718" ca="1">_xlfn.IFS(Table1[[#This Row],[Agreement Days]]&gt;=0,"Expired",Table1[[#This Row],[Agreement Days]]&gt;=-30,"Expires &lt; 30 Days",Table1[[#This Row],[Agreement Days]]&gt;=-60,"Expires &lt; 60 Days",Table1[[#This Row],[Agreement Days]]&lt;-60,"Valid Contract")</f>
        <v>Valid Contract</v>
      </c>
      <c r="W1718" s="14" t="s">
        <v>17</v>
      </c>
      <c r="X1718" s="14" t="s">
        <v>3071</v>
      </c>
      <c r="Y1718" s="73" t="s">
        <v>3072</v>
      </c>
      <c r="Z1718" s="27">
        <v>788550338</v>
      </c>
      <c r="AA1718" s="17"/>
      <c r="AB1718" s="123"/>
      <c r="AC1718" s="123"/>
    </row>
    <row r="1719" spans="1:29" s="11" customFormat="1" hidden="1" x14ac:dyDescent="0.3">
      <c r="A1719" s="18" t="s">
        <v>3069</v>
      </c>
      <c r="B1719" s="18" t="s">
        <v>143</v>
      </c>
      <c r="C1719" s="18" t="s">
        <v>586</v>
      </c>
      <c r="D1719" s="20" t="s">
        <v>586</v>
      </c>
      <c r="E1719" s="18" t="s">
        <v>9</v>
      </c>
      <c r="F1719" s="14" t="s">
        <v>517</v>
      </c>
      <c r="G1719" s="14" t="s">
        <v>546</v>
      </c>
      <c r="H1719" s="18" t="s">
        <v>5</v>
      </c>
      <c r="I1719" s="14" t="s">
        <v>117</v>
      </c>
      <c r="J1719" s="14">
        <v>3</v>
      </c>
      <c r="K1719" s="14" t="s">
        <v>646</v>
      </c>
      <c r="L1719" s="14"/>
      <c r="M1719" s="14">
        <v>1</v>
      </c>
      <c r="N1719" s="15">
        <v>180000</v>
      </c>
      <c r="O1719" s="15">
        <f t="shared" si="68"/>
        <v>180000</v>
      </c>
      <c r="P1719" s="15"/>
      <c r="Q1719" s="14" t="s">
        <v>520</v>
      </c>
      <c r="R1719" s="21">
        <v>45747</v>
      </c>
      <c r="S1719" s="22" t="str">
        <f>TEXT(Table1[[#This Row],[End Date]],"MMMM")</f>
        <v>March</v>
      </c>
      <c r="T1719" s="23" t="str">
        <f>TEXT(Table1[[#This Row],[End Date]],"YYYY")</f>
        <v>2025</v>
      </c>
      <c r="U1719" s="24">
        <f t="shared" ca="1" si="66"/>
        <v>-614</v>
      </c>
      <c r="V1719" s="14" t="str" cm="1">
        <f t="array" aca="1" ref="V1719" ca="1">_xlfn.IFS(Table1[[#This Row],[Agreement Days]]&gt;=0,"Expired",Table1[[#This Row],[Agreement Days]]&gt;=-30,"Expires &lt; 30 Days",Table1[[#This Row],[Agreement Days]]&gt;=-60,"Expires &lt; 60 Days",Table1[[#This Row],[Agreement Days]]&lt;-60,"Valid Contract")</f>
        <v>Valid Contract</v>
      </c>
      <c r="W1719" s="14" t="s">
        <v>17</v>
      </c>
      <c r="X1719" s="14" t="s">
        <v>3071</v>
      </c>
      <c r="Y1719" s="73" t="s">
        <v>3072</v>
      </c>
      <c r="Z1719" s="27">
        <v>788550338</v>
      </c>
      <c r="AA1719" s="17"/>
      <c r="AB1719" s="123"/>
      <c r="AC1719" s="123"/>
    </row>
    <row r="1720" spans="1:29" s="11" customFormat="1" hidden="1" x14ac:dyDescent="0.3">
      <c r="A1720" s="18" t="s">
        <v>3069</v>
      </c>
      <c r="B1720" s="18" t="s">
        <v>143</v>
      </c>
      <c r="C1720" s="18" t="s">
        <v>929</v>
      </c>
      <c r="D1720" s="20" t="s">
        <v>929</v>
      </c>
      <c r="E1720" s="18" t="s">
        <v>9</v>
      </c>
      <c r="F1720" s="14" t="s">
        <v>517</v>
      </c>
      <c r="G1720" s="14" t="s">
        <v>546</v>
      </c>
      <c r="H1720" s="18" t="s">
        <v>5</v>
      </c>
      <c r="I1720" s="14" t="s">
        <v>117</v>
      </c>
      <c r="J1720" s="14">
        <v>3</v>
      </c>
      <c r="K1720" s="14" t="s">
        <v>646</v>
      </c>
      <c r="L1720" s="14"/>
      <c r="M1720" s="14">
        <v>1</v>
      </c>
      <c r="N1720" s="15">
        <v>180000</v>
      </c>
      <c r="O1720" s="15">
        <f t="shared" si="68"/>
        <v>180000</v>
      </c>
      <c r="P1720" s="15"/>
      <c r="Q1720" s="14" t="s">
        <v>520</v>
      </c>
      <c r="R1720" s="21">
        <v>45747</v>
      </c>
      <c r="S1720" s="22" t="str">
        <f>TEXT(Table1[[#This Row],[End Date]],"MMMM")</f>
        <v>March</v>
      </c>
      <c r="T1720" s="23" t="str">
        <f>TEXT(Table1[[#This Row],[End Date]],"YYYY")</f>
        <v>2025</v>
      </c>
      <c r="U1720" s="24">
        <f t="shared" ca="1" si="66"/>
        <v>-614</v>
      </c>
      <c r="V1720" s="14" t="str" cm="1">
        <f t="array" aca="1" ref="V1720" ca="1">_xlfn.IFS(Table1[[#This Row],[Agreement Days]]&gt;=0,"Expired",Table1[[#This Row],[Agreement Days]]&gt;=-30,"Expires &lt; 30 Days",Table1[[#This Row],[Agreement Days]]&gt;=-60,"Expires &lt; 60 Days",Table1[[#This Row],[Agreement Days]]&lt;-60,"Valid Contract")</f>
        <v>Valid Contract</v>
      </c>
      <c r="W1720" s="14" t="s">
        <v>17</v>
      </c>
      <c r="X1720" s="14" t="s">
        <v>3071</v>
      </c>
      <c r="Y1720" s="73" t="s">
        <v>3072</v>
      </c>
      <c r="Z1720" s="27">
        <v>788550338</v>
      </c>
      <c r="AA1720" s="17"/>
      <c r="AB1720" s="123"/>
      <c r="AC1720" s="123"/>
    </row>
    <row r="1721" spans="1:29" s="11" customFormat="1" hidden="1" x14ac:dyDescent="0.3">
      <c r="A1721" s="18" t="s">
        <v>3069</v>
      </c>
      <c r="B1721" s="18" t="s">
        <v>143</v>
      </c>
      <c r="C1721" s="18" t="s">
        <v>848</v>
      </c>
      <c r="D1721" s="20" t="s">
        <v>848</v>
      </c>
      <c r="E1721" s="18" t="s">
        <v>9</v>
      </c>
      <c r="F1721" s="14" t="s">
        <v>517</v>
      </c>
      <c r="G1721" s="14" t="s">
        <v>546</v>
      </c>
      <c r="H1721" s="18" t="s">
        <v>5</v>
      </c>
      <c r="I1721" s="14" t="s">
        <v>117</v>
      </c>
      <c r="J1721" s="14">
        <v>3</v>
      </c>
      <c r="K1721" s="14" t="s">
        <v>646</v>
      </c>
      <c r="L1721" s="14"/>
      <c r="M1721" s="14">
        <v>1</v>
      </c>
      <c r="N1721" s="15">
        <v>180000</v>
      </c>
      <c r="O1721" s="15">
        <f t="shared" si="68"/>
        <v>180000</v>
      </c>
      <c r="P1721" s="15"/>
      <c r="Q1721" s="14" t="s">
        <v>520</v>
      </c>
      <c r="R1721" s="21">
        <v>45747</v>
      </c>
      <c r="S1721" s="22" t="str">
        <f>TEXT(Table1[[#This Row],[End Date]],"MMMM")</f>
        <v>March</v>
      </c>
      <c r="T1721" s="23" t="str">
        <f>TEXT(Table1[[#This Row],[End Date]],"YYYY")</f>
        <v>2025</v>
      </c>
      <c r="U1721" s="24">
        <f t="shared" ca="1" si="66"/>
        <v>-614</v>
      </c>
      <c r="V1721" s="14" t="str" cm="1">
        <f t="array" aca="1" ref="V1721" ca="1">_xlfn.IFS(Table1[[#This Row],[Agreement Days]]&gt;=0,"Expired",Table1[[#This Row],[Agreement Days]]&gt;=-30,"Expires &lt; 30 Days",Table1[[#This Row],[Agreement Days]]&gt;=-60,"Expires &lt; 60 Days",Table1[[#This Row],[Agreement Days]]&lt;-60,"Valid Contract")</f>
        <v>Valid Contract</v>
      </c>
      <c r="W1721" s="14" t="s">
        <v>17</v>
      </c>
      <c r="X1721" s="14" t="s">
        <v>3071</v>
      </c>
      <c r="Y1721" s="73" t="s">
        <v>3072</v>
      </c>
      <c r="Z1721" s="27">
        <v>788550338</v>
      </c>
      <c r="AA1721" s="17"/>
      <c r="AB1721" s="123"/>
      <c r="AC1721" s="123"/>
    </row>
    <row r="1722" spans="1:29" s="11" customFormat="1" hidden="1" x14ac:dyDescent="0.3">
      <c r="A1722" s="18" t="s">
        <v>3069</v>
      </c>
      <c r="B1722" s="18" t="s">
        <v>143</v>
      </c>
      <c r="C1722" s="18" t="s">
        <v>759</v>
      </c>
      <c r="D1722" s="20" t="s">
        <v>759</v>
      </c>
      <c r="E1722" s="18" t="s">
        <v>9</v>
      </c>
      <c r="F1722" s="14" t="s">
        <v>517</v>
      </c>
      <c r="G1722" s="14" t="s">
        <v>546</v>
      </c>
      <c r="H1722" s="18" t="s">
        <v>5</v>
      </c>
      <c r="I1722" s="14" t="s">
        <v>117</v>
      </c>
      <c r="J1722" s="14">
        <v>3</v>
      </c>
      <c r="K1722" s="14" t="s">
        <v>646</v>
      </c>
      <c r="L1722" s="14"/>
      <c r="M1722" s="14">
        <v>1</v>
      </c>
      <c r="N1722" s="15">
        <v>180000</v>
      </c>
      <c r="O1722" s="15">
        <f t="shared" si="68"/>
        <v>180000</v>
      </c>
      <c r="P1722" s="15"/>
      <c r="Q1722" s="14" t="s">
        <v>520</v>
      </c>
      <c r="R1722" s="21">
        <v>45747</v>
      </c>
      <c r="S1722" s="22" t="str">
        <f>TEXT(Table1[[#This Row],[End Date]],"MMMM")</f>
        <v>March</v>
      </c>
      <c r="T1722" s="23" t="str">
        <f>TEXT(Table1[[#This Row],[End Date]],"YYYY")</f>
        <v>2025</v>
      </c>
      <c r="U1722" s="24">
        <f t="shared" ca="1" si="66"/>
        <v>-614</v>
      </c>
      <c r="V1722" s="14" t="str" cm="1">
        <f t="array" aca="1" ref="V1722" ca="1">_xlfn.IFS(Table1[[#This Row],[Agreement Days]]&gt;=0,"Expired",Table1[[#This Row],[Agreement Days]]&gt;=-30,"Expires &lt; 30 Days",Table1[[#This Row],[Agreement Days]]&gt;=-60,"Expires &lt; 60 Days",Table1[[#This Row],[Agreement Days]]&lt;-60,"Valid Contract")</f>
        <v>Valid Contract</v>
      </c>
      <c r="W1722" s="14" t="s">
        <v>17</v>
      </c>
      <c r="X1722" s="14" t="s">
        <v>3071</v>
      </c>
      <c r="Y1722" s="73" t="s">
        <v>3072</v>
      </c>
      <c r="Z1722" s="27">
        <v>788550338</v>
      </c>
      <c r="AA1722" s="17"/>
      <c r="AB1722" s="123"/>
      <c r="AC1722" s="123"/>
    </row>
    <row r="1723" spans="1:29" s="11" customFormat="1" hidden="1" x14ac:dyDescent="0.3">
      <c r="A1723" s="18" t="s">
        <v>3069</v>
      </c>
      <c r="B1723" s="18" t="s">
        <v>143</v>
      </c>
      <c r="C1723" s="18" t="s">
        <v>810</v>
      </c>
      <c r="D1723" s="20" t="s">
        <v>810</v>
      </c>
      <c r="E1723" s="18" t="s">
        <v>9</v>
      </c>
      <c r="F1723" s="14" t="s">
        <v>517</v>
      </c>
      <c r="G1723" s="14" t="s">
        <v>546</v>
      </c>
      <c r="H1723" s="18" t="s">
        <v>5</v>
      </c>
      <c r="I1723" s="14" t="s">
        <v>117</v>
      </c>
      <c r="J1723" s="14">
        <v>3</v>
      </c>
      <c r="K1723" s="14" t="s">
        <v>646</v>
      </c>
      <c r="L1723" s="14"/>
      <c r="M1723" s="14">
        <v>1</v>
      </c>
      <c r="N1723" s="15">
        <v>180000</v>
      </c>
      <c r="O1723" s="15">
        <f t="shared" si="68"/>
        <v>180000</v>
      </c>
      <c r="P1723" s="15"/>
      <c r="Q1723" s="14" t="s">
        <v>520</v>
      </c>
      <c r="R1723" s="21">
        <v>45747</v>
      </c>
      <c r="S1723" s="22" t="str">
        <f>TEXT(Table1[[#This Row],[End Date]],"MMMM")</f>
        <v>March</v>
      </c>
      <c r="T1723" s="23" t="str">
        <f>TEXT(Table1[[#This Row],[End Date]],"YYYY")</f>
        <v>2025</v>
      </c>
      <c r="U1723" s="24">
        <f t="shared" ca="1" si="66"/>
        <v>-614</v>
      </c>
      <c r="V1723" s="14" t="str" cm="1">
        <f t="array" aca="1" ref="V1723" ca="1">_xlfn.IFS(Table1[[#This Row],[Agreement Days]]&gt;=0,"Expired",Table1[[#This Row],[Agreement Days]]&gt;=-30,"Expires &lt; 30 Days",Table1[[#This Row],[Agreement Days]]&gt;=-60,"Expires &lt; 60 Days",Table1[[#This Row],[Agreement Days]]&lt;-60,"Valid Contract")</f>
        <v>Valid Contract</v>
      </c>
      <c r="W1723" s="14" t="s">
        <v>17</v>
      </c>
      <c r="X1723" s="14" t="s">
        <v>3071</v>
      </c>
      <c r="Y1723" s="73" t="s">
        <v>3072</v>
      </c>
      <c r="Z1723" s="27">
        <v>788550338</v>
      </c>
      <c r="AA1723" s="17"/>
      <c r="AB1723" s="123"/>
      <c r="AC1723" s="123"/>
    </row>
    <row r="1724" spans="1:29" s="11" customFormat="1" hidden="1" x14ac:dyDescent="0.3">
      <c r="A1724" s="18" t="s">
        <v>3069</v>
      </c>
      <c r="B1724" s="18" t="s">
        <v>143</v>
      </c>
      <c r="C1724" s="18" t="s">
        <v>662</v>
      </c>
      <c r="D1724" s="20" t="s">
        <v>662</v>
      </c>
      <c r="E1724" s="18" t="s">
        <v>9</v>
      </c>
      <c r="F1724" s="14" t="s">
        <v>517</v>
      </c>
      <c r="G1724" s="14" t="s">
        <v>546</v>
      </c>
      <c r="H1724" s="18" t="s">
        <v>5</v>
      </c>
      <c r="I1724" s="14" t="s">
        <v>117</v>
      </c>
      <c r="J1724" s="14">
        <v>3</v>
      </c>
      <c r="K1724" s="14" t="s">
        <v>646</v>
      </c>
      <c r="L1724" s="14"/>
      <c r="M1724" s="14">
        <v>1</v>
      </c>
      <c r="N1724" s="15">
        <v>180000</v>
      </c>
      <c r="O1724" s="15">
        <f t="shared" si="68"/>
        <v>180000</v>
      </c>
      <c r="P1724" s="15"/>
      <c r="Q1724" s="14" t="s">
        <v>520</v>
      </c>
      <c r="R1724" s="21">
        <v>45747</v>
      </c>
      <c r="S1724" s="22" t="str">
        <f>TEXT(Table1[[#This Row],[End Date]],"MMMM")</f>
        <v>March</v>
      </c>
      <c r="T1724" s="23" t="str">
        <f>TEXT(Table1[[#This Row],[End Date]],"YYYY")</f>
        <v>2025</v>
      </c>
      <c r="U1724" s="24">
        <f t="shared" ca="1" si="66"/>
        <v>-614</v>
      </c>
      <c r="V1724" s="14" t="str" cm="1">
        <f t="array" aca="1" ref="V1724" ca="1">_xlfn.IFS(Table1[[#This Row],[Agreement Days]]&gt;=0,"Expired",Table1[[#This Row],[Agreement Days]]&gt;=-30,"Expires &lt; 30 Days",Table1[[#This Row],[Agreement Days]]&gt;=-60,"Expires &lt; 60 Days",Table1[[#This Row],[Agreement Days]]&lt;-60,"Valid Contract")</f>
        <v>Valid Contract</v>
      </c>
      <c r="W1724" s="14" t="s">
        <v>17</v>
      </c>
      <c r="X1724" s="14" t="s">
        <v>3071</v>
      </c>
      <c r="Y1724" s="73" t="s">
        <v>3072</v>
      </c>
      <c r="Z1724" s="27">
        <v>788550338</v>
      </c>
      <c r="AA1724" s="17"/>
      <c r="AB1724" s="123"/>
      <c r="AC1724" s="123"/>
    </row>
    <row r="1725" spans="1:29" s="11" customFormat="1" hidden="1" x14ac:dyDescent="0.3">
      <c r="A1725" s="18" t="s">
        <v>3069</v>
      </c>
      <c r="B1725" s="18" t="s">
        <v>143</v>
      </c>
      <c r="C1725" s="18" t="s">
        <v>1719</v>
      </c>
      <c r="D1725" s="20" t="s">
        <v>1719</v>
      </c>
      <c r="E1725" s="18" t="s">
        <v>9</v>
      </c>
      <c r="F1725" s="14" t="s">
        <v>517</v>
      </c>
      <c r="G1725" s="14" t="s">
        <v>546</v>
      </c>
      <c r="H1725" s="18" t="s">
        <v>5</v>
      </c>
      <c r="I1725" s="14" t="s">
        <v>117</v>
      </c>
      <c r="J1725" s="14">
        <v>3</v>
      </c>
      <c r="K1725" s="14" t="s">
        <v>646</v>
      </c>
      <c r="L1725" s="14"/>
      <c r="M1725" s="14">
        <v>1</v>
      </c>
      <c r="N1725" s="15">
        <v>180000</v>
      </c>
      <c r="O1725" s="15">
        <f t="shared" si="68"/>
        <v>180000</v>
      </c>
      <c r="P1725" s="15"/>
      <c r="Q1725" s="14" t="s">
        <v>520</v>
      </c>
      <c r="R1725" s="21">
        <v>45747</v>
      </c>
      <c r="S1725" s="22" t="str">
        <f>TEXT(Table1[[#This Row],[End Date]],"MMMM")</f>
        <v>March</v>
      </c>
      <c r="T1725" s="23" t="str">
        <f>TEXT(Table1[[#This Row],[End Date]],"YYYY")</f>
        <v>2025</v>
      </c>
      <c r="U1725" s="24">
        <f t="shared" ca="1" si="66"/>
        <v>-614</v>
      </c>
      <c r="V1725" s="14" t="str" cm="1">
        <f t="array" aca="1" ref="V1725" ca="1">_xlfn.IFS(Table1[[#This Row],[Agreement Days]]&gt;=0,"Expired",Table1[[#This Row],[Agreement Days]]&gt;=-30,"Expires &lt; 30 Days",Table1[[#This Row],[Agreement Days]]&gt;=-60,"Expires &lt; 60 Days",Table1[[#This Row],[Agreement Days]]&lt;-60,"Valid Contract")</f>
        <v>Valid Contract</v>
      </c>
      <c r="W1725" s="14" t="s">
        <v>17</v>
      </c>
      <c r="X1725" s="14" t="s">
        <v>3071</v>
      </c>
      <c r="Y1725" s="73" t="s">
        <v>3072</v>
      </c>
      <c r="Z1725" s="27">
        <v>788550338</v>
      </c>
      <c r="AA1725" s="17"/>
      <c r="AB1725" s="123"/>
      <c r="AC1725" s="123"/>
    </row>
    <row r="1726" spans="1:29" s="11" customFormat="1" hidden="1" x14ac:dyDescent="0.3">
      <c r="A1726" s="18" t="s">
        <v>3069</v>
      </c>
      <c r="B1726" s="18" t="s">
        <v>143</v>
      </c>
      <c r="C1726" s="18" t="s">
        <v>645</v>
      </c>
      <c r="D1726" s="20" t="s">
        <v>645</v>
      </c>
      <c r="E1726" s="18" t="s">
        <v>9</v>
      </c>
      <c r="F1726" s="14" t="s">
        <v>517</v>
      </c>
      <c r="G1726" s="14" t="s">
        <v>546</v>
      </c>
      <c r="H1726" s="18" t="s">
        <v>5</v>
      </c>
      <c r="I1726" s="14" t="s">
        <v>117</v>
      </c>
      <c r="J1726" s="14">
        <v>3</v>
      </c>
      <c r="K1726" s="14" t="s">
        <v>646</v>
      </c>
      <c r="L1726" s="14"/>
      <c r="M1726" s="14">
        <v>1</v>
      </c>
      <c r="N1726" s="15">
        <v>180000</v>
      </c>
      <c r="O1726" s="15">
        <f t="shared" si="68"/>
        <v>180000</v>
      </c>
      <c r="P1726" s="15"/>
      <c r="Q1726" s="14" t="s">
        <v>520</v>
      </c>
      <c r="R1726" s="21">
        <v>45747</v>
      </c>
      <c r="S1726" s="22" t="str">
        <f>TEXT(Table1[[#This Row],[End Date]],"MMMM")</f>
        <v>March</v>
      </c>
      <c r="T1726" s="23" t="str">
        <f>TEXT(Table1[[#This Row],[End Date]],"YYYY")</f>
        <v>2025</v>
      </c>
      <c r="U1726" s="24">
        <f t="shared" ca="1" si="66"/>
        <v>-614</v>
      </c>
      <c r="V1726" s="14" t="str" cm="1">
        <f t="array" aca="1" ref="V1726" ca="1">_xlfn.IFS(Table1[[#This Row],[Agreement Days]]&gt;=0,"Expired",Table1[[#This Row],[Agreement Days]]&gt;=-30,"Expires &lt; 30 Days",Table1[[#This Row],[Agreement Days]]&gt;=-60,"Expires &lt; 60 Days",Table1[[#This Row],[Agreement Days]]&lt;-60,"Valid Contract")</f>
        <v>Valid Contract</v>
      </c>
      <c r="W1726" s="14" t="s">
        <v>17</v>
      </c>
      <c r="X1726" s="14" t="s">
        <v>3071</v>
      </c>
      <c r="Y1726" s="73" t="s">
        <v>3072</v>
      </c>
      <c r="Z1726" s="27">
        <v>788550338</v>
      </c>
      <c r="AA1726" s="17"/>
      <c r="AB1726" s="123"/>
      <c r="AC1726" s="123"/>
    </row>
    <row r="1727" spans="1:29" s="11" customFormat="1" hidden="1" x14ac:dyDescent="0.3">
      <c r="A1727" s="18" t="s">
        <v>3069</v>
      </c>
      <c r="B1727" s="18" t="s">
        <v>143</v>
      </c>
      <c r="C1727" s="18" t="s">
        <v>630</v>
      </c>
      <c r="D1727" s="20" t="s">
        <v>630</v>
      </c>
      <c r="E1727" s="18" t="s">
        <v>9</v>
      </c>
      <c r="F1727" s="14" t="s">
        <v>517</v>
      </c>
      <c r="G1727" s="14" t="s">
        <v>546</v>
      </c>
      <c r="H1727" s="18" t="s">
        <v>5</v>
      </c>
      <c r="I1727" s="14" t="s">
        <v>117</v>
      </c>
      <c r="J1727" s="14">
        <v>3</v>
      </c>
      <c r="K1727" s="14" t="s">
        <v>646</v>
      </c>
      <c r="L1727" s="14"/>
      <c r="M1727" s="14">
        <v>1</v>
      </c>
      <c r="N1727" s="15">
        <v>180000</v>
      </c>
      <c r="O1727" s="15">
        <f t="shared" si="68"/>
        <v>180000</v>
      </c>
      <c r="P1727" s="15"/>
      <c r="Q1727" s="14" t="s">
        <v>520</v>
      </c>
      <c r="R1727" s="21">
        <v>45747</v>
      </c>
      <c r="S1727" s="22" t="str">
        <f>TEXT(Table1[[#This Row],[End Date]],"MMMM")</f>
        <v>March</v>
      </c>
      <c r="T1727" s="23" t="str">
        <f>TEXT(Table1[[#This Row],[End Date]],"YYYY")</f>
        <v>2025</v>
      </c>
      <c r="U1727" s="24">
        <f t="shared" ca="1" si="66"/>
        <v>-614</v>
      </c>
      <c r="V1727" s="14" t="str" cm="1">
        <f t="array" aca="1" ref="V1727" ca="1">_xlfn.IFS(Table1[[#This Row],[Agreement Days]]&gt;=0,"Expired",Table1[[#This Row],[Agreement Days]]&gt;=-30,"Expires &lt; 30 Days",Table1[[#This Row],[Agreement Days]]&gt;=-60,"Expires &lt; 60 Days",Table1[[#This Row],[Agreement Days]]&lt;-60,"Valid Contract")</f>
        <v>Valid Contract</v>
      </c>
      <c r="W1727" s="14" t="s">
        <v>17</v>
      </c>
      <c r="X1727" s="14" t="s">
        <v>3071</v>
      </c>
      <c r="Y1727" s="73" t="s">
        <v>3072</v>
      </c>
      <c r="Z1727" s="27">
        <v>788550338</v>
      </c>
      <c r="AA1727" s="17"/>
      <c r="AB1727" s="123"/>
      <c r="AC1727" s="123"/>
    </row>
    <row r="1728" spans="1:29" s="11" customFormat="1" hidden="1" x14ac:dyDescent="0.3">
      <c r="A1728" s="18" t="s">
        <v>3069</v>
      </c>
      <c r="B1728" s="18" t="s">
        <v>143</v>
      </c>
      <c r="C1728" s="18" t="s">
        <v>771</v>
      </c>
      <c r="D1728" s="20" t="s">
        <v>771</v>
      </c>
      <c r="E1728" s="18" t="s">
        <v>9</v>
      </c>
      <c r="F1728" s="14" t="s">
        <v>517</v>
      </c>
      <c r="G1728" s="14" t="s">
        <v>546</v>
      </c>
      <c r="H1728" s="18" t="s">
        <v>5</v>
      </c>
      <c r="I1728" s="14" t="s">
        <v>117</v>
      </c>
      <c r="J1728" s="14">
        <v>3</v>
      </c>
      <c r="K1728" s="14" t="s">
        <v>646</v>
      </c>
      <c r="L1728" s="14"/>
      <c r="M1728" s="14">
        <v>1</v>
      </c>
      <c r="N1728" s="15">
        <v>180000</v>
      </c>
      <c r="O1728" s="15">
        <f t="shared" si="68"/>
        <v>180000</v>
      </c>
      <c r="P1728" s="15"/>
      <c r="Q1728" s="14" t="s">
        <v>520</v>
      </c>
      <c r="R1728" s="21">
        <v>45747</v>
      </c>
      <c r="S1728" s="22" t="str">
        <f>TEXT(Table1[[#This Row],[End Date]],"MMMM")</f>
        <v>March</v>
      </c>
      <c r="T1728" s="23" t="str">
        <f>TEXT(Table1[[#This Row],[End Date]],"YYYY")</f>
        <v>2025</v>
      </c>
      <c r="U1728" s="24">
        <f t="shared" ca="1" si="66"/>
        <v>-614</v>
      </c>
      <c r="V1728" s="14" t="str" cm="1">
        <f t="array" aca="1" ref="V1728" ca="1">_xlfn.IFS(Table1[[#This Row],[Agreement Days]]&gt;=0,"Expired",Table1[[#This Row],[Agreement Days]]&gt;=-30,"Expires &lt; 30 Days",Table1[[#This Row],[Agreement Days]]&gt;=-60,"Expires &lt; 60 Days",Table1[[#This Row],[Agreement Days]]&lt;-60,"Valid Contract")</f>
        <v>Valid Contract</v>
      </c>
      <c r="W1728" s="14" t="s">
        <v>17</v>
      </c>
      <c r="X1728" s="14" t="s">
        <v>3071</v>
      </c>
      <c r="Y1728" s="73" t="s">
        <v>3072</v>
      </c>
      <c r="Z1728" s="27">
        <v>788550338</v>
      </c>
      <c r="AA1728" s="17"/>
      <c r="AB1728" s="123"/>
      <c r="AC1728" s="123"/>
    </row>
    <row r="1729" spans="1:29" s="11" customFormat="1" hidden="1" x14ac:dyDescent="0.3">
      <c r="A1729" s="18" t="s">
        <v>3069</v>
      </c>
      <c r="B1729" s="18" t="s">
        <v>143</v>
      </c>
      <c r="C1729" s="18" t="s">
        <v>1140</v>
      </c>
      <c r="D1729" s="20" t="s">
        <v>1140</v>
      </c>
      <c r="E1729" s="18" t="s">
        <v>9</v>
      </c>
      <c r="F1729" s="14" t="s">
        <v>517</v>
      </c>
      <c r="G1729" s="14" t="s">
        <v>546</v>
      </c>
      <c r="H1729" s="18" t="s">
        <v>5</v>
      </c>
      <c r="I1729" s="14" t="s">
        <v>117</v>
      </c>
      <c r="J1729" s="14">
        <v>3</v>
      </c>
      <c r="K1729" s="14" t="s">
        <v>646</v>
      </c>
      <c r="L1729" s="14"/>
      <c r="M1729" s="14">
        <v>1</v>
      </c>
      <c r="N1729" s="15">
        <v>180000</v>
      </c>
      <c r="O1729" s="15">
        <f t="shared" si="68"/>
        <v>180000</v>
      </c>
      <c r="P1729" s="15"/>
      <c r="Q1729" s="14" t="s">
        <v>520</v>
      </c>
      <c r="R1729" s="21">
        <v>45747</v>
      </c>
      <c r="S1729" s="22" t="str">
        <f>TEXT(Table1[[#This Row],[End Date]],"MMMM")</f>
        <v>March</v>
      </c>
      <c r="T1729" s="23" t="str">
        <f>TEXT(Table1[[#This Row],[End Date]],"YYYY")</f>
        <v>2025</v>
      </c>
      <c r="U1729" s="24">
        <f t="shared" ca="1" si="66"/>
        <v>-614</v>
      </c>
      <c r="V1729" s="14" t="str" cm="1">
        <f t="array" aca="1" ref="V1729" ca="1">_xlfn.IFS(Table1[[#This Row],[Agreement Days]]&gt;=0,"Expired",Table1[[#This Row],[Agreement Days]]&gt;=-30,"Expires &lt; 30 Days",Table1[[#This Row],[Agreement Days]]&gt;=-60,"Expires &lt; 60 Days",Table1[[#This Row],[Agreement Days]]&lt;-60,"Valid Contract")</f>
        <v>Valid Contract</v>
      </c>
      <c r="W1729" s="14" t="s">
        <v>17</v>
      </c>
      <c r="X1729" s="14" t="s">
        <v>3071</v>
      </c>
      <c r="Y1729" s="73" t="s">
        <v>3072</v>
      </c>
      <c r="Z1729" s="27">
        <v>788550338</v>
      </c>
      <c r="AA1729" s="17"/>
      <c r="AB1729" s="123"/>
      <c r="AC1729" s="123"/>
    </row>
    <row r="1730" spans="1:29" s="11" customFormat="1" hidden="1" x14ac:dyDescent="0.3">
      <c r="A1730" s="18" t="s">
        <v>3069</v>
      </c>
      <c r="B1730" s="18" t="s">
        <v>143</v>
      </c>
      <c r="C1730" s="18" t="s">
        <v>1280</v>
      </c>
      <c r="D1730" s="20" t="s">
        <v>1280</v>
      </c>
      <c r="E1730" s="18" t="s">
        <v>9</v>
      </c>
      <c r="F1730" s="14" t="s">
        <v>517</v>
      </c>
      <c r="G1730" s="14" t="s">
        <v>546</v>
      </c>
      <c r="H1730" s="18" t="s">
        <v>5</v>
      </c>
      <c r="I1730" s="14" t="s">
        <v>117</v>
      </c>
      <c r="J1730" s="14">
        <v>3</v>
      </c>
      <c r="K1730" s="14" t="s">
        <v>646</v>
      </c>
      <c r="L1730" s="14"/>
      <c r="M1730" s="14">
        <v>1</v>
      </c>
      <c r="N1730" s="15">
        <v>180000</v>
      </c>
      <c r="O1730" s="15">
        <f t="shared" si="68"/>
        <v>180000</v>
      </c>
      <c r="P1730" s="15"/>
      <c r="Q1730" s="14" t="s">
        <v>520</v>
      </c>
      <c r="R1730" s="21">
        <v>45747</v>
      </c>
      <c r="S1730" s="22" t="str">
        <f>TEXT(Table1[[#This Row],[End Date]],"MMMM")</f>
        <v>March</v>
      </c>
      <c r="T1730" s="23" t="str">
        <f>TEXT(Table1[[#This Row],[End Date]],"YYYY")</f>
        <v>2025</v>
      </c>
      <c r="U1730" s="24">
        <f t="shared" ca="1" si="66"/>
        <v>-614</v>
      </c>
      <c r="V1730" s="14" t="str" cm="1">
        <f t="array" aca="1" ref="V1730" ca="1">_xlfn.IFS(Table1[[#This Row],[Agreement Days]]&gt;=0,"Expired",Table1[[#This Row],[Agreement Days]]&gt;=-30,"Expires &lt; 30 Days",Table1[[#This Row],[Agreement Days]]&gt;=-60,"Expires &lt; 60 Days",Table1[[#This Row],[Agreement Days]]&lt;-60,"Valid Contract")</f>
        <v>Valid Contract</v>
      </c>
      <c r="W1730" s="14" t="s">
        <v>17</v>
      </c>
      <c r="X1730" s="14" t="s">
        <v>3071</v>
      </c>
      <c r="Y1730" s="73" t="s">
        <v>3072</v>
      </c>
      <c r="Z1730" s="27">
        <v>788550338</v>
      </c>
      <c r="AA1730" s="17"/>
      <c r="AB1730" s="123"/>
      <c r="AC1730" s="123"/>
    </row>
    <row r="1731" spans="1:29" s="11" customFormat="1" hidden="1" x14ac:dyDescent="0.3">
      <c r="A1731" s="18" t="s">
        <v>3069</v>
      </c>
      <c r="B1731" s="18" t="s">
        <v>143</v>
      </c>
      <c r="C1731" s="18" t="s">
        <v>946</v>
      </c>
      <c r="D1731" s="20" t="s">
        <v>946</v>
      </c>
      <c r="E1731" s="18" t="s">
        <v>9</v>
      </c>
      <c r="F1731" s="14" t="s">
        <v>517</v>
      </c>
      <c r="G1731" s="14" t="s">
        <v>546</v>
      </c>
      <c r="H1731" s="18" t="s">
        <v>5</v>
      </c>
      <c r="I1731" s="14" t="s">
        <v>117</v>
      </c>
      <c r="J1731" s="14">
        <v>3</v>
      </c>
      <c r="K1731" s="14" t="s">
        <v>646</v>
      </c>
      <c r="L1731" s="14"/>
      <c r="M1731" s="14">
        <v>1</v>
      </c>
      <c r="N1731" s="15">
        <v>180000</v>
      </c>
      <c r="O1731" s="15">
        <f t="shared" si="68"/>
        <v>180000</v>
      </c>
      <c r="P1731" s="15"/>
      <c r="Q1731" s="14" t="s">
        <v>520</v>
      </c>
      <c r="R1731" s="21">
        <v>45747</v>
      </c>
      <c r="S1731" s="22" t="str">
        <f>TEXT(Table1[[#This Row],[End Date]],"MMMM")</f>
        <v>March</v>
      </c>
      <c r="T1731" s="23" t="str">
        <f>TEXT(Table1[[#This Row],[End Date]],"YYYY")</f>
        <v>2025</v>
      </c>
      <c r="U1731" s="24">
        <f t="shared" ca="1" si="66"/>
        <v>-614</v>
      </c>
      <c r="V1731" s="14" t="str" cm="1">
        <f t="array" aca="1" ref="V1731" ca="1">_xlfn.IFS(Table1[[#This Row],[Agreement Days]]&gt;=0,"Expired",Table1[[#This Row],[Agreement Days]]&gt;=-30,"Expires &lt; 30 Days",Table1[[#This Row],[Agreement Days]]&gt;=-60,"Expires &lt; 60 Days",Table1[[#This Row],[Agreement Days]]&lt;-60,"Valid Contract")</f>
        <v>Valid Contract</v>
      </c>
      <c r="W1731" s="14" t="s">
        <v>17</v>
      </c>
      <c r="X1731" s="14" t="s">
        <v>3071</v>
      </c>
      <c r="Y1731" s="73" t="s">
        <v>3072</v>
      </c>
      <c r="Z1731" s="27">
        <v>788550338</v>
      </c>
      <c r="AA1731" s="17"/>
      <c r="AB1731" s="123"/>
      <c r="AC1731" s="123"/>
    </row>
    <row r="1732" spans="1:29" s="11" customFormat="1" hidden="1" x14ac:dyDescent="0.3">
      <c r="A1732" s="18" t="s">
        <v>3069</v>
      </c>
      <c r="B1732" s="18" t="s">
        <v>143</v>
      </c>
      <c r="C1732" s="18" t="s">
        <v>542</v>
      </c>
      <c r="D1732" s="20" t="s">
        <v>542</v>
      </c>
      <c r="E1732" s="18" t="s">
        <v>9</v>
      </c>
      <c r="F1732" s="14" t="s">
        <v>517</v>
      </c>
      <c r="G1732" s="14" t="s">
        <v>546</v>
      </c>
      <c r="H1732" s="18" t="s">
        <v>5</v>
      </c>
      <c r="I1732" s="14" t="s">
        <v>117</v>
      </c>
      <c r="J1732" s="14">
        <v>3</v>
      </c>
      <c r="K1732" s="14" t="s">
        <v>646</v>
      </c>
      <c r="L1732" s="14"/>
      <c r="M1732" s="14">
        <v>1</v>
      </c>
      <c r="N1732" s="15">
        <v>180000</v>
      </c>
      <c r="O1732" s="15">
        <f t="shared" si="68"/>
        <v>180000</v>
      </c>
      <c r="P1732" s="15"/>
      <c r="Q1732" s="14" t="s">
        <v>520</v>
      </c>
      <c r="R1732" s="21">
        <v>45747</v>
      </c>
      <c r="S1732" s="22" t="str">
        <f>TEXT(Table1[[#This Row],[End Date]],"MMMM")</f>
        <v>March</v>
      </c>
      <c r="T1732" s="23" t="str">
        <f>TEXT(Table1[[#This Row],[End Date]],"YYYY")</f>
        <v>2025</v>
      </c>
      <c r="U1732" s="24">
        <f t="shared" ca="1" si="66"/>
        <v>-614</v>
      </c>
      <c r="V1732" s="14" t="str" cm="1">
        <f t="array" aca="1" ref="V1732" ca="1">_xlfn.IFS(Table1[[#This Row],[Agreement Days]]&gt;=0,"Expired",Table1[[#This Row],[Agreement Days]]&gt;=-30,"Expires &lt; 30 Days",Table1[[#This Row],[Agreement Days]]&gt;=-60,"Expires &lt; 60 Days",Table1[[#This Row],[Agreement Days]]&lt;-60,"Valid Contract")</f>
        <v>Valid Contract</v>
      </c>
      <c r="W1732" s="14" t="s">
        <v>17</v>
      </c>
      <c r="X1732" s="14" t="s">
        <v>3071</v>
      </c>
      <c r="Y1732" s="73" t="s">
        <v>3072</v>
      </c>
      <c r="Z1732" s="27">
        <v>788550338</v>
      </c>
      <c r="AA1732" s="17"/>
      <c r="AB1732" s="123"/>
      <c r="AC1732" s="123"/>
    </row>
    <row r="1733" spans="1:29" s="11" customFormat="1" hidden="1" x14ac:dyDescent="0.3">
      <c r="A1733" s="18" t="s">
        <v>3069</v>
      </c>
      <c r="B1733" s="18" t="s">
        <v>143</v>
      </c>
      <c r="C1733" s="18" t="s">
        <v>3073</v>
      </c>
      <c r="D1733" s="20" t="s">
        <v>526</v>
      </c>
      <c r="E1733" s="18" t="s">
        <v>9</v>
      </c>
      <c r="F1733" s="14" t="s">
        <v>517</v>
      </c>
      <c r="G1733" s="14" t="s">
        <v>546</v>
      </c>
      <c r="H1733" s="18" t="s">
        <v>5</v>
      </c>
      <c r="I1733" s="14" t="s">
        <v>117</v>
      </c>
      <c r="J1733" s="14">
        <v>5</v>
      </c>
      <c r="K1733" s="14" t="s">
        <v>519</v>
      </c>
      <c r="L1733" s="14"/>
      <c r="M1733" s="14">
        <v>1</v>
      </c>
      <c r="N1733" s="15">
        <v>270000</v>
      </c>
      <c r="O1733" s="15">
        <f t="shared" si="68"/>
        <v>270000</v>
      </c>
      <c r="P1733" s="15"/>
      <c r="Q1733" s="14" t="s">
        <v>520</v>
      </c>
      <c r="R1733" s="21">
        <v>45747</v>
      </c>
      <c r="S1733" s="22" t="str">
        <f>TEXT(Table1[[#This Row],[End Date]],"MMMM")</f>
        <v>March</v>
      </c>
      <c r="T1733" s="23" t="str">
        <f>TEXT(Table1[[#This Row],[End Date]],"YYYY")</f>
        <v>2025</v>
      </c>
      <c r="U1733" s="24">
        <f t="shared" ca="1" si="66"/>
        <v>-614</v>
      </c>
      <c r="V1733" s="14" t="str" cm="1">
        <f t="array" aca="1" ref="V1733" ca="1">_xlfn.IFS(Table1[[#This Row],[Agreement Days]]&gt;=0,"Expired",Table1[[#This Row],[Agreement Days]]&gt;=-30,"Expires &lt; 30 Days",Table1[[#This Row],[Agreement Days]]&gt;=-60,"Expires &lt; 60 Days",Table1[[#This Row],[Agreement Days]]&lt;-60,"Valid Contract")</f>
        <v>Valid Contract</v>
      </c>
      <c r="W1733" s="14" t="s">
        <v>17</v>
      </c>
      <c r="X1733" s="14" t="s">
        <v>3071</v>
      </c>
      <c r="Y1733" s="73" t="s">
        <v>3072</v>
      </c>
      <c r="Z1733" s="27">
        <v>788550338</v>
      </c>
      <c r="AA1733" s="17"/>
      <c r="AB1733" s="123"/>
      <c r="AC1733" s="123"/>
    </row>
    <row r="1734" spans="1:29" s="11" customFormat="1" hidden="1" x14ac:dyDescent="0.3">
      <c r="A1734" s="18" t="s">
        <v>3069</v>
      </c>
      <c r="B1734" s="18" t="s">
        <v>143</v>
      </c>
      <c r="C1734" s="18" t="s">
        <v>3074</v>
      </c>
      <c r="D1734" s="20" t="s">
        <v>532</v>
      </c>
      <c r="E1734" s="18" t="s">
        <v>9</v>
      </c>
      <c r="F1734" s="14" t="s">
        <v>517</v>
      </c>
      <c r="G1734" s="14" t="s">
        <v>546</v>
      </c>
      <c r="H1734" s="18" t="s">
        <v>5</v>
      </c>
      <c r="I1734" s="14" t="s">
        <v>117</v>
      </c>
      <c r="J1734" s="14">
        <v>5</v>
      </c>
      <c r="K1734" s="14" t="s">
        <v>519</v>
      </c>
      <c r="L1734" s="14"/>
      <c r="M1734" s="14">
        <v>1</v>
      </c>
      <c r="N1734" s="15">
        <v>270000</v>
      </c>
      <c r="O1734" s="15">
        <f t="shared" si="68"/>
        <v>270000</v>
      </c>
      <c r="P1734" s="15"/>
      <c r="Q1734" s="14" t="s">
        <v>520</v>
      </c>
      <c r="R1734" s="21">
        <v>45747</v>
      </c>
      <c r="S1734" s="22" t="str">
        <f>TEXT(Table1[[#This Row],[End Date]],"MMMM")</f>
        <v>March</v>
      </c>
      <c r="T1734" s="23" t="str">
        <f>TEXT(Table1[[#This Row],[End Date]],"YYYY")</f>
        <v>2025</v>
      </c>
      <c r="U1734" s="24">
        <f t="shared" ca="1" si="66"/>
        <v>-614</v>
      </c>
      <c r="V1734" s="14" t="str" cm="1">
        <f t="array" aca="1" ref="V1734" ca="1">_xlfn.IFS(Table1[[#This Row],[Agreement Days]]&gt;=0,"Expired",Table1[[#This Row],[Agreement Days]]&gt;=-30,"Expires &lt; 30 Days",Table1[[#This Row],[Agreement Days]]&gt;=-60,"Expires &lt; 60 Days",Table1[[#This Row],[Agreement Days]]&lt;-60,"Valid Contract")</f>
        <v>Valid Contract</v>
      </c>
      <c r="W1734" s="14" t="s">
        <v>17</v>
      </c>
      <c r="X1734" s="14" t="s">
        <v>3071</v>
      </c>
      <c r="Y1734" s="73" t="s">
        <v>3072</v>
      </c>
      <c r="Z1734" s="27">
        <v>788550338</v>
      </c>
      <c r="AA1734" s="17"/>
      <c r="AB1734" s="123"/>
      <c r="AC1734" s="123"/>
    </row>
    <row r="1735" spans="1:29" s="11" customFormat="1" hidden="1" x14ac:dyDescent="0.3">
      <c r="A1735" s="18" t="s">
        <v>3069</v>
      </c>
      <c r="B1735" s="18" t="s">
        <v>143</v>
      </c>
      <c r="C1735" s="18" t="s">
        <v>3075</v>
      </c>
      <c r="D1735" s="20" t="s">
        <v>759</v>
      </c>
      <c r="E1735" s="18" t="s">
        <v>9</v>
      </c>
      <c r="F1735" s="14" t="s">
        <v>517</v>
      </c>
      <c r="G1735" s="14" t="s">
        <v>546</v>
      </c>
      <c r="H1735" s="18" t="s">
        <v>5</v>
      </c>
      <c r="I1735" s="14" t="s">
        <v>117</v>
      </c>
      <c r="J1735" s="14">
        <v>5</v>
      </c>
      <c r="K1735" s="14" t="s">
        <v>519</v>
      </c>
      <c r="L1735" s="14"/>
      <c r="M1735" s="14">
        <v>1</v>
      </c>
      <c r="N1735" s="15">
        <v>270000</v>
      </c>
      <c r="O1735" s="15">
        <f t="shared" si="68"/>
        <v>270000</v>
      </c>
      <c r="P1735" s="15"/>
      <c r="Q1735" s="14" t="s">
        <v>520</v>
      </c>
      <c r="R1735" s="21">
        <v>45747</v>
      </c>
      <c r="S1735" s="22" t="str">
        <f>TEXT(Table1[[#This Row],[End Date]],"MMMM")</f>
        <v>March</v>
      </c>
      <c r="T1735" s="23" t="str">
        <f>TEXT(Table1[[#This Row],[End Date]],"YYYY")</f>
        <v>2025</v>
      </c>
      <c r="U1735" s="24">
        <f t="shared" ref="U1735:U1798" ca="1" si="69">TODAY()-R1735</f>
        <v>-614</v>
      </c>
      <c r="V1735" s="14" t="str" cm="1">
        <f t="array" aca="1" ref="V1735" ca="1">_xlfn.IFS(Table1[[#This Row],[Agreement Days]]&gt;=0,"Expired",Table1[[#This Row],[Agreement Days]]&gt;=-30,"Expires &lt; 30 Days",Table1[[#This Row],[Agreement Days]]&gt;=-60,"Expires &lt; 60 Days",Table1[[#This Row],[Agreement Days]]&lt;-60,"Valid Contract")</f>
        <v>Valid Contract</v>
      </c>
      <c r="W1735" s="14" t="s">
        <v>17</v>
      </c>
      <c r="X1735" s="14" t="s">
        <v>3071</v>
      </c>
      <c r="Y1735" s="73" t="s">
        <v>3072</v>
      </c>
      <c r="Z1735" s="27">
        <v>788550338</v>
      </c>
      <c r="AA1735" s="17"/>
      <c r="AB1735" s="123"/>
      <c r="AC1735" s="123"/>
    </row>
    <row r="1736" spans="1:29" s="11" customFormat="1" hidden="1" x14ac:dyDescent="0.3">
      <c r="A1736" s="18" t="s">
        <v>3069</v>
      </c>
      <c r="B1736" s="18" t="s">
        <v>143</v>
      </c>
      <c r="C1736" s="18" t="s">
        <v>3076</v>
      </c>
      <c r="D1736" s="20" t="s">
        <v>579</v>
      </c>
      <c r="E1736" s="18" t="s">
        <v>9</v>
      </c>
      <c r="F1736" s="14" t="s">
        <v>517</v>
      </c>
      <c r="G1736" s="14" t="s">
        <v>546</v>
      </c>
      <c r="H1736" s="18" t="s">
        <v>5</v>
      </c>
      <c r="I1736" s="14" t="s">
        <v>117</v>
      </c>
      <c r="J1736" s="14">
        <v>5</v>
      </c>
      <c r="K1736" s="14" t="s">
        <v>519</v>
      </c>
      <c r="L1736" s="14"/>
      <c r="M1736" s="14">
        <v>1</v>
      </c>
      <c r="N1736" s="15">
        <v>270000</v>
      </c>
      <c r="O1736" s="15">
        <f t="shared" si="68"/>
        <v>270000</v>
      </c>
      <c r="P1736" s="15"/>
      <c r="Q1736" s="14" t="s">
        <v>520</v>
      </c>
      <c r="R1736" s="21">
        <v>45747</v>
      </c>
      <c r="S1736" s="22" t="str">
        <f>TEXT(Table1[[#This Row],[End Date]],"MMMM")</f>
        <v>March</v>
      </c>
      <c r="T1736" s="23" t="str">
        <f>TEXT(Table1[[#This Row],[End Date]],"YYYY")</f>
        <v>2025</v>
      </c>
      <c r="U1736" s="24">
        <f t="shared" ca="1" si="69"/>
        <v>-614</v>
      </c>
      <c r="V1736" s="14" t="str" cm="1">
        <f t="array" aca="1" ref="V1736" ca="1">_xlfn.IFS(Table1[[#This Row],[Agreement Days]]&gt;=0,"Expired",Table1[[#This Row],[Agreement Days]]&gt;=-30,"Expires &lt; 30 Days",Table1[[#This Row],[Agreement Days]]&gt;=-60,"Expires &lt; 60 Days",Table1[[#This Row],[Agreement Days]]&lt;-60,"Valid Contract")</f>
        <v>Valid Contract</v>
      </c>
      <c r="W1736" s="14" t="s">
        <v>17</v>
      </c>
      <c r="X1736" s="14" t="s">
        <v>3071</v>
      </c>
      <c r="Y1736" s="73" t="s">
        <v>3072</v>
      </c>
      <c r="Z1736" s="27">
        <v>788550338</v>
      </c>
      <c r="AA1736" s="17"/>
      <c r="AB1736" s="123"/>
      <c r="AC1736" s="123"/>
    </row>
    <row r="1737" spans="1:29" s="11" customFormat="1" hidden="1" x14ac:dyDescent="0.3">
      <c r="A1737" s="18" t="s">
        <v>3069</v>
      </c>
      <c r="B1737" s="18" t="s">
        <v>143</v>
      </c>
      <c r="C1737" s="18" t="s">
        <v>3077</v>
      </c>
      <c r="D1737" s="20" t="s">
        <v>579</v>
      </c>
      <c r="E1737" s="18" t="s">
        <v>9</v>
      </c>
      <c r="F1737" s="14" t="s">
        <v>517</v>
      </c>
      <c r="G1737" s="14" t="s">
        <v>546</v>
      </c>
      <c r="H1737" s="18" t="s">
        <v>5</v>
      </c>
      <c r="I1737" s="14" t="s">
        <v>117</v>
      </c>
      <c r="J1737" s="14">
        <v>5</v>
      </c>
      <c r="K1737" s="14" t="s">
        <v>519</v>
      </c>
      <c r="L1737" s="14"/>
      <c r="M1737" s="14">
        <v>1</v>
      </c>
      <c r="N1737" s="15">
        <v>270000</v>
      </c>
      <c r="O1737" s="15">
        <f t="shared" si="68"/>
        <v>270000</v>
      </c>
      <c r="P1737" s="15"/>
      <c r="Q1737" s="14" t="s">
        <v>520</v>
      </c>
      <c r="R1737" s="21">
        <v>45747</v>
      </c>
      <c r="S1737" s="22" t="str">
        <f>TEXT(Table1[[#This Row],[End Date]],"MMMM")</f>
        <v>March</v>
      </c>
      <c r="T1737" s="23" t="str">
        <f>TEXT(Table1[[#This Row],[End Date]],"YYYY")</f>
        <v>2025</v>
      </c>
      <c r="U1737" s="24">
        <f t="shared" ca="1" si="69"/>
        <v>-614</v>
      </c>
      <c r="V1737" s="14" t="str" cm="1">
        <f t="array" aca="1" ref="V1737" ca="1">_xlfn.IFS(Table1[[#This Row],[Agreement Days]]&gt;=0,"Expired",Table1[[#This Row],[Agreement Days]]&gt;=-30,"Expires &lt; 30 Days",Table1[[#This Row],[Agreement Days]]&gt;=-60,"Expires &lt; 60 Days",Table1[[#This Row],[Agreement Days]]&lt;-60,"Valid Contract")</f>
        <v>Valid Contract</v>
      </c>
      <c r="W1737" s="14" t="s">
        <v>17</v>
      </c>
      <c r="X1737" s="14" t="s">
        <v>3071</v>
      </c>
      <c r="Y1737" s="73" t="s">
        <v>3072</v>
      </c>
      <c r="Z1737" s="27">
        <v>788550338</v>
      </c>
      <c r="AA1737" s="17"/>
      <c r="AB1737" s="123"/>
      <c r="AC1737" s="123"/>
    </row>
    <row r="1738" spans="1:29" s="11" customFormat="1" hidden="1" x14ac:dyDescent="0.3">
      <c r="A1738" s="18" t="s">
        <v>3069</v>
      </c>
      <c r="B1738" s="18" t="s">
        <v>143</v>
      </c>
      <c r="C1738" s="18" t="s">
        <v>3078</v>
      </c>
      <c r="D1738" s="20" t="s">
        <v>630</v>
      </c>
      <c r="E1738" s="18" t="s">
        <v>9</v>
      </c>
      <c r="F1738" s="14" t="s">
        <v>517</v>
      </c>
      <c r="G1738" s="14" t="s">
        <v>546</v>
      </c>
      <c r="H1738" s="18" t="s">
        <v>5</v>
      </c>
      <c r="I1738" s="14" t="s">
        <v>117</v>
      </c>
      <c r="J1738" s="14">
        <v>5</v>
      </c>
      <c r="K1738" s="14" t="s">
        <v>519</v>
      </c>
      <c r="L1738" s="14"/>
      <c r="M1738" s="14">
        <v>1</v>
      </c>
      <c r="N1738" s="15">
        <v>270000</v>
      </c>
      <c r="O1738" s="15">
        <f t="shared" si="68"/>
        <v>270000</v>
      </c>
      <c r="P1738" s="15"/>
      <c r="Q1738" s="14" t="s">
        <v>520</v>
      </c>
      <c r="R1738" s="21">
        <v>45747</v>
      </c>
      <c r="S1738" s="22" t="str">
        <f>TEXT(Table1[[#This Row],[End Date]],"MMMM")</f>
        <v>March</v>
      </c>
      <c r="T1738" s="23" t="str">
        <f>TEXT(Table1[[#This Row],[End Date]],"YYYY")</f>
        <v>2025</v>
      </c>
      <c r="U1738" s="24">
        <f t="shared" ca="1" si="69"/>
        <v>-614</v>
      </c>
      <c r="V1738" s="14" t="str" cm="1">
        <f t="array" aca="1" ref="V1738" ca="1">_xlfn.IFS(Table1[[#This Row],[Agreement Days]]&gt;=0,"Expired",Table1[[#This Row],[Agreement Days]]&gt;=-30,"Expires &lt; 30 Days",Table1[[#This Row],[Agreement Days]]&gt;=-60,"Expires &lt; 60 Days",Table1[[#This Row],[Agreement Days]]&lt;-60,"Valid Contract")</f>
        <v>Valid Contract</v>
      </c>
      <c r="W1738" s="14" t="s">
        <v>17</v>
      </c>
      <c r="X1738" s="14" t="s">
        <v>3071</v>
      </c>
      <c r="Y1738" s="73" t="s">
        <v>3072</v>
      </c>
      <c r="Z1738" s="27">
        <v>788550338</v>
      </c>
      <c r="AA1738" s="17"/>
      <c r="AB1738" s="123"/>
      <c r="AC1738" s="123"/>
    </row>
    <row r="1739" spans="1:29" s="11" customFormat="1" hidden="1" x14ac:dyDescent="0.3">
      <c r="A1739" s="18" t="s">
        <v>3069</v>
      </c>
      <c r="B1739" s="18" t="s">
        <v>143</v>
      </c>
      <c r="C1739" s="18" t="s">
        <v>3076</v>
      </c>
      <c r="D1739" s="20" t="s">
        <v>579</v>
      </c>
      <c r="E1739" s="18" t="s">
        <v>9</v>
      </c>
      <c r="F1739" s="14" t="s">
        <v>517</v>
      </c>
      <c r="G1739" s="14" t="s">
        <v>546</v>
      </c>
      <c r="H1739" s="18" t="s">
        <v>5</v>
      </c>
      <c r="I1739" s="14" t="s">
        <v>117</v>
      </c>
      <c r="J1739" s="14">
        <v>5</v>
      </c>
      <c r="K1739" s="14" t="s">
        <v>519</v>
      </c>
      <c r="L1739" s="14"/>
      <c r="M1739" s="14">
        <v>1</v>
      </c>
      <c r="N1739" s="15">
        <v>270000</v>
      </c>
      <c r="O1739" s="15">
        <f t="shared" si="68"/>
        <v>270000</v>
      </c>
      <c r="P1739" s="15"/>
      <c r="Q1739" s="14" t="s">
        <v>520</v>
      </c>
      <c r="R1739" s="21">
        <v>45747</v>
      </c>
      <c r="S1739" s="22" t="str">
        <f>TEXT(Table1[[#This Row],[End Date]],"MMMM")</f>
        <v>March</v>
      </c>
      <c r="T1739" s="23" t="str">
        <f>TEXT(Table1[[#This Row],[End Date]],"YYYY")</f>
        <v>2025</v>
      </c>
      <c r="U1739" s="24">
        <f t="shared" ca="1" si="69"/>
        <v>-614</v>
      </c>
      <c r="V1739" s="14" t="str" cm="1">
        <f t="array" aca="1" ref="V1739" ca="1">_xlfn.IFS(Table1[[#This Row],[Agreement Days]]&gt;=0,"Expired",Table1[[#This Row],[Agreement Days]]&gt;=-30,"Expires &lt; 30 Days",Table1[[#This Row],[Agreement Days]]&gt;=-60,"Expires &lt; 60 Days",Table1[[#This Row],[Agreement Days]]&lt;-60,"Valid Contract")</f>
        <v>Valid Contract</v>
      </c>
      <c r="W1739" s="14" t="s">
        <v>17</v>
      </c>
      <c r="X1739" s="14" t="s">
        <v>3071</v>
      </c>
      <c r="Y1739" s="73" t="s">
        <v>3072</v>
      </c>
      <c r="Z1739" s="27">
        <v>788550338</v>
      </c>
      <c r="AA1739" s="17"/>
      <c r="AB1739" s="123"/>
      <c r="AC1739" s="123"/>
    </row>
    <row r="1740" spans="1:29" s="11" customFormat="1" hidden="1" x14ac:dyDescent="0.3">
      <c r="A1740" s="18" t="s">
        <v>3069</v>
      </c>
      <c r="B1740" s="18" t="s">
        <v>143</v>
      </c>
      <c r="C1740" s="18" t="s">
        <v>3079</v>
      </c>
      <c r="D1740" s="20" t="s">
        <v>579</v>
      </c>
      <c r="E1740" s="18" t="s">
        <v>9</v>
      </c>
      <c r="F1740" s="14" t="s">
        <v>517</v>
      </c>
      <c r="G1740" s="14" t="s">
        <v>546</v>
      </c>
      <c r="H1740" s="18" t="s">
        <v>5</v>
      </c>
      <c r="I1740" s="14" t="s">
        <v>117</v>
      </c>
      <c r="J1740" s="14">
        <v>5</v>
      </c>
      <c r="K1740" s="14" t="s">
        <v>519</v>
      </c>
      <c r="L1740" s="14"/>
      <c r="M1740" s="14">
        <v>1</v>
      </c>
      <c r="N1740" s="15">
        <v>270000</v>
      </c>
      <c r="O1740" s="15">
        <f t="shared" si="68"/>
        <v>270000</v>
      </c>
      <c r="P1740" s="15"/>
      <c r="Q1740" s="14" t="s">
        <v>520</v>
      </c>
      <c r="R1740" s="21">
        <v>45747</v>
      </c>
      <c r="S1740" s="22" t="str">
        <f>TEXT(Table1[[#This Row],[End Date]],"MMMM")</f>
        <v>March</v>
      </c>
      <c r="T1740" s="23" t="str">
        <f>TEXT(Table1[[#This Row],[End Date]],"YYYY")</f>
        <v>2025</v>
      </c>
      <c r="U1740" s="24">
        <f t="shared" ca="1" si="69"/>
        <v>-614</v>
      </c>
      <c r="V1740" s="14" t="str" cm="1">
        <f t="array" aca="1" ref="V1740" ca="1">_xlfn.IFS(Table1[[#This Row],[Agreement Days]]&gt;=0,"Expired",Table1[[#This Row],[Agreement Days]]&gt;=-30,"Expires &lt; 30 Days",Table1[[#This Row],[Agreement Days]]&gt;=-60,"Expires &lt; 60 Days",Table1[[#This Row],[Agreement Days]]&lt;-60,"Valid Contract")</f>
        <v>Valid Contract</v>
      </c>
      <c r="W1740" s="14" t="s">
        <v>17</v>
      </c>
      <c r="X1740" s="14" t="s">
        <v>3071</v>
      </c>
      <c r="Y1740" s="73" t="s">
        <v>3072</v>
      </c>
      <c r="Z1740" s="27">
        <v>788550338</v>
      </c>
      <c r="AA1740" s="17"/>
      <c r="AB1740" s="123"/>
      <c r="AC1740" s="123"/>
    </row>
    <row r="1741" spans="1:29" s="11" customFormat="1" hidden="1" x14ac:dyDescent="0.3">
      <c r="A1741" s="18" t="s">
        <v>3069</v>
      </c>
      <c r="B1741" s="18" t="s">
        <v>143</v>
      </c>
      <c r="C1741" s="18" t="s">
        <v>3080</v>
      </c>
      <c r="D1741" s="20" t="s">
        <v>579</v>
      </c>
      <c r="E1741" s="18" t="s">
        <v>9</v>
      </c>
      <c r="F1741" s="14" t="s">
        <v>517</v>
      </c>
      <c r="G1741" s="14" t="s">
        <v>546</v>
      </c>
      <c r="H1741" s="18" t="s">
        <v>5</v>
      </c>
      <c r="I1741" s="14" t="s">
        <v>117</v>
      </c>
      <c r="J1741" s="14">
        <v>5</v>
      </c>
      <c r="K1741" s="14" t="s">
        <v>519</v>
      </c>
      <c r="L1741" s="14"/>
      <c r="M1741" s="14">
        <v>1</v>
      </c>
      <c r="N1741" s="15">
        <v>270000</v>
      </c>
      <c r="O1741" s="15">
        <f t="shared" si="68"/>
        <v>270000</v>
      </c>
      <c r="P1741" s="15"/>
      <c r="Q1741" s="14" t="s">
        <v>520</v>
      </c>
      <c r="R1741" s="21">
        <v>45747</v>
      </c>
      <c r="S1741" s="22" t="str">
        <f>TEXT(Table1[[#This Row],[End Date]],"MMMM")</f>
        <v>March</v>
      </c>
      <c r="T1741" s="23" t="str">
        <f>TEXT(Table1[[#This Row],[End Date]],"YYYY")</f>
        <v>2025</v>
      </c>
      <c r="U1741" s="24">
        <f t="shared" ca="1" si="69"/>
        <v>-614</v>
      </c>
      <c r="V1741" s="14" t="str" cm="1">
        <f t="array" aca="1" ref="V1741" ca="1">_xlfn.IFS(Table1[[#This Row],[Agreement Days]]&gt;=0,"Expired",Table1[[#This Row],[Agreement Days]]&gt;=-30,"Expires &lt; 30 Days",Table1[[#This Row],[Agreement Days]]&gt;=-60,"Expires &lt; 60 Days",Table1[[#This Row],[Agreement Days]]&lt;-60,"Valid Contract")</f>
        <v>Valid Contract</v>
      </c>
      <c r="W1741" s="14" t="s">
        <v>17</v>
      </c>
      <c r="X1741" s="14" t="s">
        <v>3071</v>
      </c>
      <c r="Y1741" s="73" t="s">
        <v>3072</v>
      </c>
      <c r="Z1741" s="27">
        <v>788550338</v>
      </c>
      <c r="AA1741" s="17"/>
      <c r="AB1741" s="123"/>
      <c r="AC1741" s="123"/>
    </row>
    <row r="1742" spans="1:29" s="11" customFormat="1" hidden="1" x14ac:dyDescent="0.3">
      <c r="A1742" s="18" t="s">
        <v>3069</v>
      </c>
      <c r="B1742" s="18" t="s">
        <v>143</v>
      </c>
      <c r="C1742" s="18" t="s">
        <v>3081</v>
      </c>
      <c r="D1742" s="20" t="s">
        <v>662</v>
      </c>
      <c r="E1742" s="18" t="s">
        <v>9</v>
      </c>
      <c r="F1742" s="14" t="s">
        <v>517</v>
      </c>
      <c r="G1742" s="14" t="s">
        <v>546</v>
      </c>
      <c r="H1742" s="18" t="s">
        <v>5</v>
      </c>
      <c r="I1742" s="14" t="s">
        <v>117</v>
      </c>
      <c r="J1742" s="14">
        <v>5</v>
      </c>
      <c r="K1742" s="14" t="s">
        <v>519</v>
      </c>
      <c r="L1742" s="14"/>
      <c r="M1742" s="14">
        <v>1</v>
      </c>
      <c r="N1742" s="15">
        <v>270000</v>
      </c>
      <c r="O1742" s="15">
        <f t="shared" ref="O1742:O1805" si="70">N1742*M1742</f>
        <v>270000</v>
      </c>
      <c r="P1742" s="15"/>
      <c r="Q1742" s="14" t="s">
        <v>520</v>
      </c>
      <c r="R1742" s="21">
        <v>45747</v>
      </c>
      <c r="S1742" s="22" t="str">
        <f>TEXT(Table1[[#This Row],[End Date]],"MMMM")</f>
        <v>March</v>
      </c>
      <c r="T1742" s="23" t="str">
        <f>TEXT(Table1[[#This Row],[End Date]],"YYYY")</f>
        <v>2025</v>
      </c>
      <c r="U1742" s="24">
        <f t="shared" ca="1" si="69"/>
        <v>-614</v>
      </c>
      <c r="V1742" s="14" t="str" cm="1">
        <f t="array" aca="1" ref="V1742" ca="1">_xlfn.IFS(Table1[[#This Row],[Agreement Days]]&gt;=0,"Expired",Table1[[#This Row],[Agreement Days]]&gt;=-30,"Expires &lt; 30 Days",Table1[[#This Row],[Agreement Days]]&gt;=-60,"Expires &lt; 60 Days",Table1[[#This Row],[Agreement Days]]&lt;-60,"Valid Contract")</f>
        <v>Valid Contract</v>
      </c>
      <c r="W1742" s="14" t="s">
        <v>17</v>
      </c>
      <c r="X1742" s="14" t="s">
        <v>3071</v>
      </c>
      <c r="Y1742" s="73" t="s">
        <v>3072</v>
      </c>
      <c r="Z1742" s="27">
        <v>788550338</v>
      </c>
      <c r="AA1742" s="17"/>
      <c r="AB1742" s="123"/>
      <c r="AC1742" s="123"/>
    </row>
    <row r="1743" spans="1:29" s="11" customFormat="1" hidden="1" x14ac:dyDescent="0.3">
      <c r="A1743" s="18" t="s">
        <v>3069</v>
      </c>
      <c r="B1743" s="18" t="s">
        <v>143</v>
      </c>
      <c r="C1743" s="18" t="s">
        <v>3082</v>
      </c>
      <c r="D1743" s="20" t="s">
        <v>759</v>
      </c>
      <c r="E1743" s="18" t="s">
        <v>9</v>
      </c>
      <c r="F1743" s="14" t="s">
        <v>517</v>
      </c>
      <c r="G1743" s="14" t="s">
        <v>546</v>
      </c>
      <c r="H1743" s="18" t="s">
        <v>5</v>
      </c>
      <c r="I1743" s="14" t="s">
        <v>117</v>
      </c>
      <c r="J1743" s="14">
        <v>5</v>
      </c>
      <c r="K1743" s="14" t="s">
        <v>519</v>
      </c>
      <c r="L1743" s="14"/>
      <c r="M1743" s="14">
        <v>1</v>
      </c>
      <c r="N1743" s="15">
        <v>270000</v>
      </c>
      <c r="O1743" s="15">
        <f t="shared" si="70"/>
        <v>270000</v>
      </c>
      <c r="P1743" s="15"/>
      <c r="Q1743" s="14" t="s">
        <v>520</v>
      </c>
      <c r="R1743" s="21">
        <v>45747</v>
      </c>
      <c r="S1743" s="22" t="str">
        <f>TEXT(Table1[[#This Row],[End Date]],"MMMM")</f>
        <v>March</v>
      </c>
      <c r="T1743" s="23" t="str">
        <f>TEXT(Table1[[#This Row],[End Date]],"YYYY")</f>
        <v>2025</v>
      </c>
      <c r="U1743" s="24">
        <f t="shared" ca="1" si="69"/>
        <v>-614</v>
      </c>
      <c r="V1743" s="14" t="str" cm="1">
        <f t="array" aca="1" ref="V1743" ca="1">_xlfn.IFS(Table1[[#This Row],[Agreement Days]]&gt;=0,"Expired",Table1[[#This Row],[Agreement Days]]&gt;=-30,"Expires &lt; 30 Days",Table1[[#This Row],[Agreement Days]]&gt;=-60,"Expires &lt; 60 Days",Table1[[#This Row],[Agreement Days]]&lt;-60,"Valid Contract")</f>
        <v>Valid Contract</v>
      </c>
      <c r="W1743" s="14" t="s">
        <v>17</v>
      </c>
      <c r="X1743" s="14" t="s">
        <v>3071</v>
      </c>
      <c r="Y1743" s="73" t="s">
        <v>3072</v>
      </c>
      <c r="Z1743" s="27">
        <v>788550338</v>
      </c>
      <c r="AA1743" s="17"/>
      <c r="AB1743" s="123"/>
      <c r="AC1743" s="123"/>
    </row>
    <row r="1744" spans="1:29" s="11" customFormat="1" hidden="1" x14ac:dyDescent="0.3">
      <c r="A1744" s="18" t="s">
        <v>3069</v>
      </c>
      <c r="B1744" s="18" t="s">
        <v>143</v>
      </c>
      <c r="C1744" s="18" t="s">
        <v>3083</v>
      </c>
      <c r="D1744" s="20" t="s">
        <v>769</v>
      </c>
      <c r="E1744" s="18" t="s">
        <v>9</v>
      </c>
      <c r="F1744" s="14" t="s">
        <v>517</v>
      </c>
      <c r="G1744" s="14" t="s">
        <v>546</v>
      </c>
      <c r="H1744" s="18" t="s">
        <v>5</v>
      </c>
      <c r="I1744" s="14" t="s">
        <v>117</v>
      </c>
      <c r="J1744" s="14">
        <v>5</v>
      </c>
      <c r="K1744" s="14" t="s">
        <v>519</v>
      </c>
      <c r="L1744" s="14"/>
      <c r="M1744" s="14">
        <v>1</v>
      </c>
      <c r="N1744" s="15">
        <v>270000</v>
      </c>
      <c r="O1744" s="15">
        <f t="shared" si="70"/>
        <v>270000</v>
      </c>
      <c r="P1744" s="15"/>
      <c r="Q1744" s="14" t="s">
        <v>520</v>
      </c>
      <c r="R1744" s="21">
        <v>45747</v>
      </c>
      <c r="S1744" s="22" t="str">
        <f>TEXT(Table1[[#This Row],[End Date]],"MMMM")</f>
        <v>March</v>
      </c>
      <c r="T1744" s="23" t="str">
        <f>TEXT(Table1[[#This Row],[End Date]],"YYYY")</f>
        <v>2025</v>
      </c>
      <c r="U1744" s="24">
        <f t="shared" ca="1" si="69"/>
        <v>-614</v>
      </c>
      <c r="V1744" s="14" t="str" cm="1">
        <f t="array" aca="1" ref="V1744" ca="1">_xlfn.IFS(Table1[[#This Row],[Agreement Days]]&gt;=0,"Expired",Table1[[#This Row],[Agreement Days]]&gt;=-30,"Expires &lt; 30 Days",Table1[[#This Row],[Agreement Days]]&gt;=-60,"Expires &lt; 60 Days",Table1[[#This Row],[Agreement Days]]&lt;-60,"Valid Contract")</f>
        <v>Valid Contract</v>
      </c>
      <c r="W1744" s="14" t="s">
        <v>17</v>
      </c>
      <c r="X1744" s="14" t="s">
        <v>3071</v>
      </c>
      <c r="Y1744" s="73" t="s">
        <v>3072</v>
      </c>
      <c r="Z1744" s="27">
        <v>788550338</v>
      </c>
      <c r="AA1744" s="17"/>
      <c r="AB1744" s="123"/>
      <c r="AC1744" s="123"/>
    </row>
    <row r="1745" spans="1:29" s="11" customFormat="1" hidden="1" x14ac:dyDescent="0.3">
      <c r="A1745" s="18" t="s">
        <v>3069</v>
      </c>
      <c r="B1745" s="18" t="s">
        <v>143</v>
      </c>
      <c r="C1745" s="18" t="s">
        <v>3084</v>
      </c>
      <c r="D1745" s="20" t="s">
        <v>545</v>
      </c>
      <c r="E1745" s="18" t="s">
        <v>9</v>
      </c>
      <c r="F1745" s="14" t="s">
        <v>517</v>
      </c>
      <c r="G1745" s="14" t="s">
        <v>546</v>
      </c>
      <c r="H1745" s="18" t="s">
        <v>5</v>
      </c>
      <c r="I1745" s="14" t="s">
        <v>117</v>
      </c>
      <c r="J1745" s="14">
        <v>5</v>
      </c>
      <c r="K1745" s="14" t="s">
        <v>519</v>
      </c>
      <c r="L1745" s="14"/>
      <c r="M1745" s="14">
        <v>1</v>
      </c>
      <c r="N1745" s="15">
        <v>270000</v>
      </c>
      <c r="O1745" s="15">
        <f t="shared" si="70"/>
        <v>270000</v>
      </c>
      <c r="P1745" s="15"/>
      <c r="Q1745" s="14" t="s">
        <v>520</v>
      </c>
      <c r="R1745" s="21">
        <v>45747</v>
      </c>
      <c r="S1745" s="22" t="str">
        <f>TEXT(Table1[[#This Row],[End Date]],"MMMM")</f>
        <v>March</v>
      </c>
      <c r="T1745" s="23" t="str">
        <f>TEXT(Table1[[#This Row],[End Date]],"YYYY")</f>
        <v>2025</v>
      </c>
      <c r="U1745" s="24">
        <f t="shared" ca="1" si="69"/>
        <v>-614</v>
      </c>
      <c r="V1745" s="14" t="str" cm="1">
        <f t="array" aca="1" ref="V1745" ca="1">_xlfn.IFS(Table1[[#This Row],[Agreement Days]]&gt;=0,"Expired",Table1[[#This Row],[Agreement Days]]&gt;=-30,"Expires &lt; 30 Days",Table1[[#This Row],[Agreement Days]]&gt;=-60,"Expires &lt; 60 Days",Table1[[#This Row],[Agreement Days]]&lt;-60,"Valid Contract")</f>
        <v>Valid Contract</v>
      </c>
      <c r="W1745" s="14" t="s">
        <v>17</v>
      </c>
      <c r="X1745" s="14" t="s">
        <v>3071</v>
      </c>
      <c r="Y1745" s="73" t="s">
        <v>3072</v>
      </c>
      <c r="Z1745" s="27">
        <v>788550338</v>
      </c>
      <c r="AA1745" s="17"/>
      <c r="AB1745" s="123"/>
      <c r="AC1745" s="123"/>
    </row>
    <row r="1746" spans="1:29" s="11" customFormat="1" hidden="1" x14ac:dyDescent="0.3">
      <c r="A1746" s="18" t="s">
        <v>3069</v>
      </c>
      <c r="B1746" s="18" t="s">
        <v>143</v>
      </c>
      <c r="C1746" s="18" t="s">
        <v>3085</v>
      </c>
      <c r="D1746" s="20" t="s">
        <v>545</v>
      </c>
      <c r="E1746" s="18" t="s">
        <v>9</v>
      </c>
      <c r="F1746" s="14" t="s">
        <v>517</v>
      </c>
      <c r="G1746" s="14" t="s">
        <v>546</v>
      </c>
      <c r="H1746" s="18" t="s">
        <v>5</v>
      </c>
      <c r="I1746" s="14" t="s">
        <v>117</v>
      </c>
      <c r="J1746" s="14">
        <v>5</v>
      </c>
      <c r="K1746" s="14" t="s">
        <v>519</v>
      </c>
      <c r="L1746" s="14"/>
      <c r="M1746" s="14">
        <v>1</v>
      </c>
      <c r="N1746" s="15">
        <v>270000</v>
      </c>
      <c r="O1746" s="15">
        <f t="shared" si="70"/>
        <v>270000</v>
      </c>
      <c r="P1746" s="15"/>
      <c r="Q1746" s="14" t="s">
        <v>520</v>
      </c>
      <c r="R1746" s="21">
        <v>45747</v>
      </c>
      <c r="S1746" s="22" t="str">
        <f>TEXT(Table1[[#This Row],[End Date]],"MMMM")</f>
        <v>March</v>
      </c>
      <c r="T1746" s="23" t="str">
        <f>TEXT(Table1[[#This Row],[End Date]],"YYYY")</f>
        <v>2025</v>
      </c>
      <c r="U1746" s="24">
        <f t="shared" ca="1" si="69"/>
        <v>-614</v>
      </c>
      <c r="V1746" s="14" t="str" cm="1">
        <f t="array" aca="1" ref="V1746" ca="1">_xlfn.IFS(Table1[[#This Row],[Agreement Days]]&gt;=0,"Expired",Table1[[#This Row],[Agreement Days]]&gt;=-30,"Expires &lt; 30 Days",Table1[[#This Row],[Agreement Days]]&gt;=-60,"Expires &lt; 60 Days",Table1[[#This Row],[Agreement Days]]&lt;-60,"Valid Contract")</f>
        <v>Valid Contract</v>
      </c>
      <c r="W1746" s="14" t="s">
        <v>17</v>
      </c>
      <c r="X1746" s="14" t="s">
        <v>3071</v>
      </c>
      <c r="Y1746" s="73" t="s">
        <v>3072</v>
      </c>
      <c r="Z1746" s="27">
        <v>788550338</v>
      </c>
      <c r="AA1746" s="17"/>
      <c r="AB1746" s="123"/>
      <c r="AC1746" s="123"/>
    </row>
    <row r="1747" spans="1:29" s="11" customFormat="1" hidden="1" x14ac:dyDescent="0.3">
      <c r="A1747" s="18" t="s">
        <v>3069</v>
      </c>
      <c r="B1747" s="18" t="s">
        <v>143</v>
      </c>
      <c r="C1747" s="18" t="s">
        <v>3086</v>
      </c>
      <c r="D1747" s="20" t="s">
        <v>759</v>
      </c>
      <c r="E1747" s="18" t="s">
        <v>9</v>
      </c>
      <c r="F1747" s="14" t="s">
        <v>517</v>
      </c>
      <c r="G1747" s="14" t="s">
        <v>546</v>
      </c>
      <c r="H1747" s="18" t="s">
        <v>5</v>
      </c>
      <c r="I1747" s="14" t="s">
        <v>117</v>
      </c>
      <c r="J1747" s="14">
        <v>5</v>
      </c>
      <c r="K1747" s="14" t="s">
        <v>519</v>
      </c>
      <c r="L1747" s="14"/>
      <c r="M1747" s="14">
        <v>1</v>
      </c>
      <c r="N1747" s="15">
        <v>270000</v>
      </c>
      <c r="O1747" s="15">
        <f t="shared" si="70"/>
        <v>270000</v>
      </c>
      <c r="P1747" s="15"/>
      <c r="Q1747" s="14" t="s">
        <v>520</v>
      </c>
      <c r="R1747" s="21">
        <v>45747</v>
      </c>
      <c r="S1747" s="22" t="str">
        <f>TEXT(Table1[[#This Row],[End Date]],"MMMM")</f>
        <v>March</v>
      </c>
      <c r="T1747" s="23" t="str">
        <f>TEXT(Table1[[#This Row],[End Date]],"YYYY")</f>
        <v>2025</v>
      </c>
      <c r="U1747" s="24">
        <f t="shared" ca="1" si="69"/>
        <v>-614</v>
      </c>
      <c r="V1747" s="14" t="str" cm="1">
        <f t="array" aca="1" ref="V1747" ca="1">_xlfn.IFS(Table1[[#This Row],[Agreement Days]]&gt;=0,"Expired",Table1[[#This Row],[Agreement Days]]&gt;=-30,"Expires &lt; 30 Days",Table1[[#This Row],[Agreement Days]]&gt;=-60,"Expires &lt; 60 Days",Table1[[#This Row],[Agreement Days]]&lt;-60,"Valid Contract")</f>
        <v>Valid Contract</v>
      </c>
      <c r="W1747" s="14" t="s">
        <v>17</v>
      </c>
      <c r="X1747" s="14" t="s">
        <v>3071</v>
      </c>
      <c r="Y1747" s="73" t="s">
        <v>3072</v>
      </c>
      <c r="Z1747" s="27">
        <v>788550338</v>
      </c>
      <c r="AA1747" s="17"/>
      <c r="AB1747" s="123"/>
      <c r="AC1747" s="123"/>
    </row>
    <row r="1748" spans="1:29" s="11" customFormat="1" hidden="1" x14ac:dyDescent="0.3">
      <c r="A1748" s="18" t="s">
        <v>3069</v>
      </c>
      <c r="B1748" s="18" t="s">
        <v>143</v>
      </c>
      <c r="C1748" s="18" t="s">
        <v>3087</v>
      </c>
      <c r="D1748" s="20" t="s">
        <v>759</v>
      </c>
      <c r="E1748" s="18" t="s">
        <v>9</v>
      </c>
      <c r="F1748" s="14" t="s">
        <v>517</v>
      </c>
      <c r="G1748" s="14" t="s">
        <v>546</v>
      </c>
      <c r="H1748" s="18" t="s">
        <v>5</v>
      </c>
      <c r="I1748" s="14" t="s">
        <v>117</v>
      </c>
      <c r="J1748" s="14">
        <v>5</v>
      </c>
      <c r="K1748" s="14" t="s">
        <v>519</v>
      </c>
      <c r="L1748" s="14"/>
      <c r="M1748" s="14">
        <v>1</v>
      </c>
      <c r="N1748" s="15">
        <v>270000</v>
      </c>
      <c r="O1748" s="15">
        <f t="shared" si="70"/>
        <v>270000</v>
      </c>
      <c r="P1748" s="15"/>
      <c r="Q1748" s="14" t="s">
        <v>520</v>
      </c>
      <c r="R1748" s="21">
        <v>45747</v>
      </c>
      <c r="S1748" s="22" t="str">
        <f>TEXT(Table1[[#This Row],[End Date]],"MMMM")</f>
        <v>March</v>
      </c>
      <c r="T1748" s="23" t="str">
        <f>TEXT(Table1[[#This Row],[End Date]],"YYYY")</f>
        <v>2025</v>
      </c>
      <c r="U1748" s="24">
        <f t="shared" ca="1" si="69"/>
        <v>-614</v>
      </c>
      <c r="V1748" s="14" t="str" cm="1">
        <f t="array" aca="1" ref="V1748" ca="1">_xlfn.IFS(Table1[[#This Row],[Agreement Days]]&gt;=0,"Expired",Table1[[#This Row],[Agreement Days]]&gt;=-30,"Expires &lt; 30 Days",Table1[[#This Row],[Agreement Days]]&gt;=-60,"Expires &lt; 60 Days",Table1[[#This Row],[Agreement Days]]&lt;-60,"Valid Contract")</f>
        <v>Valid Contract</v>
      </c>
      <c r="W1748" s="14" t="s">
        <v>17</v>
      </c>
      <c r="X1748" s="14" t="s">
        <v>3071</v>
      </c>
      <c r="Y1748" s="73" t="s">
        <v>3072</v>
      </c>
      <c r="Z1748" s="27">
        <v>788550338</v>
      </c>
      <c r="AA1748" s="17"/>
      <c r="AB1748" s="123"/>
      <c r="AC1748" s="123"/>
    </row>
    <row r="1749" spans="1:29" s="11" customFormat="1" hidden="1" x14ac:dyDescent="0.3">
      <c r="A1749" s="18" t="s">
        <v>3069</v>
      </c>
      <c r="B1749" s="18" t="s">
        <v>143</v>
      </c>
      <c r="C1749" s="18" t="s">
        <v>3088</v>
      </c>
      <c r="D1749" s="20" t="s">
        <v>769</v>
      </c>
      <c r="E1749" s="18" t="s">
        <v>9</v>
      </c>
      <c r="F1749" s="14" t="s">
        <v>517</v>
      </c>
      <c r="G1749" s="14" t="s">
        <v>546</v>
      </c>
      <c r="H1749" s="18" t="s">
        <v>5</v>
      </c>
      <c r="I1749" s="14" t="s">
        <v>117</v>
      </c>
      <c r="J1749" s="14">
        <v>5</v>
      </c>
      <c r="K1749" s="14" t="s">
        <v>519</v>
      </c>
      <c r="L1749" s="14"/>
      <c r="M1749" s="14">
        <v>1</v>
      </c>
      <c r="N1749" s="15">
        <v>270000</v>
      </c>
      <c r="O1749" s="15">
        <f t="shared" si="70"/>
        <v>270000</v>
      </c>
      <c r="P1749" s="15"/>
      <c r="Q1749" s="14" t="s">
        <v>520</v>
      </c>
      <c r="R1749" s="21">
        <v>45747</v>
      </c>
      <c r="S1749" s="22" t="str">
        <f>TEXT(Table1[[#This Row],[End Date]],"MMMM")</f>
        <v>March</v>
      </c>
      <c r="T1749" s="23" t="str">
        <f>TEXT(Table1[[#This Row],[End Date]],"YYYY")</f>
        <v>2025</v>
      </c>
      <c r="U1749" s="24">
        <f t="shared" ca="1" si="69"/>
        <v>-614</v>
      </c>
      <c r="V1749" s="14" t="str" cm="1">
        <f t="array" aca="1" ref="V1749" ca="1">_xlfn.IFS(Table1[[#This Row],[Agreement Days]]&gt;=0,"Expired",Table1[[#This Row],[Agreement Days]]&gt;=-30,"Expires &lt; 30 Days",Table1[[#This Row],[Agreement Days]]&gt;=-60,"Expires &lt; 60 Days",Table1[[#This Row],[Agreement Days]]&lt;-60,"Valid Contract")</f>
        <v>Valid Contract</v>
      </c>
      <c r="W1749" s="14" t="s">
        <v>17</v>
      </c>
      <c r="X1749" s="14" t="s">
        <v>3071</v>
      </c>
      <c r="Y1749" s="73" t="s">
        <v>3072</v>
      </c>
      <c r="Z1749" s="27">
        <v>788550338</v>
      </c>
      <c r="AA1749" s="17"/>
      <c r="AB1749" s="123"/>
      <c r="AC1749" s="123"/>
    </row>
    <row r="1750" spans="1:29" s="11" customFormat="1" hidden="1" x14ac:dyDescent="0.3">
      <c r="A1750" s="18" t="s">
        <v>3069</v>
      </c>
      <c r="B1750" s="18" t="s">
        <v>143</v>
      </c>
      <c r="C1750" s="18" t="s">
        <v>3089</v>
      </c>
      <c r="D1750" s="14" t="s">
        <v>545</v>
      </c>
      <c r="E1750" s="18" t="s">
        <v>9</v>
      </c>
      <c r="F1750" s="14" t="s">
        <v>517</v>
      </c>
      <c r="G1750" s="14" t="s">
        <v>546</v>
      </c>
      <c r="H1750" s="18" t="s">
        <v>5</v>
      </c>
      <c r="I1750" s="14" t="s">
        <v>117</v>
      </c>
      <c r="J1750" s="14">
        <v>50</v>
      </c>
      <c r="K1750" s="14" t="s">
        <v>673</v>
      </c>
      <c r="L1750" s="14"/>
      <c r="M1750" s="14">
        <v>1</v>
      </c>
      <c r="N1750" s="15">
        <v>1800000</v>
      </c>
      <c r="O1750" s="15">
        <f t="shared" si="70"/>
        <v>1800000</v>
      </c>
      <c r="P1750" s="15"/>
      <c r="Q1750" s="14" t="s">
        <v>520</v>
      </c>
      <c r="R1750" s="21">
        <v>45747</v>
      </c>
      <c r="S1750" s="22" t="str">
        <f>TEXT(Table1[[#This Row],[End Date]],"MMMM")</f>
        <v>March</v>
      </c>
      <c r="T1750" s="23" t="str">
        <f>TEXT(Table1[[#This Row],[End Date]],"YYYY")</f>
        <v>2025</v>
      </c>
      <c r="U1750" s="24">
        <f t="shared" ca="1" si="69"/>
        <v>-614</v>
      </c>
      <c r="V1750" s="14" t="str" cm="1">
        <f t="array" aca="1" ref="V1750" ca="1">_xlfn.IFS(Table1[[#This Row],[Agreement Days]]&gt;=0,"Expired",Table1[[#This Row],[Agreement Days]]&gt;=-30,"Expires &lt; 30 Days",Table1[[#This Row],[Agreement Days]]&gt;=-60,"Expires &lt; 60 Days",Table1[[#This Row],[Agreement Days]]&lt;-60,"Valid Contract")</f>
        <v>Valid Contract</v>
      </c>
      <c r="W1750" s="14" t="s">
        <v>17</v>
      </c>
      <c r="X1750" s="14" t="s">
        <v>3071</v>
      </c>
      <c r="Y1750" s="73" t="s">
        <v>3072</v>
      </c>
      <c r="Z1750" s="27">
        <v>788550338</v>
      </c>
      <c r="AA1750" s="17"/>
      <c r="AB1750" s="123"/>
      <c r="AC1750" s="123"/>
    </row>
    <row r="1751" spans="1:29" s="11" customFormat="1" hidden="1" x14ac:dyDescent="0.3">
      <c r="A1751" s="18" t="s">
        <v>851</v>
      </c>
      <c r="B1751" s="18" t="s">
        <v>260</v>
      </c>
      <c r="C1751" s="18" t="s">
        <v>852</v>
      </c>
      <c r="D1751" s="14" t="s">
        <v>769</v>
      </c>
      <c r="E1751" s="18" t="s">
        <v>9</v>
      </c>
      <c r="F1751" s="14" t="s">
        <v>688</v>
      </c>
      <c r="G1751" s="14" t="s">
        <v>518</v>
      </c>
      <c r="H1751" s="18" t="s">
        <v>5</v>
      </c>
      <c r="I1751" s="14" t="s">
        <v>117</v>
      </c>
      <c r="J1751" s="14">
        <v>10</v>
      </c>
      <c r="K1751" s="18" t="s">
        <v>547</v>
      </c>
      <c r="L1751" s="18"/>
      <c r="M1751" s="14">
        <v>1</v>
      </c>
      <c r="N1751" s="15">
        <v>510000</v>
      </c>
      <c r="O1751" s="15">
        <f t="shared" si="70"/>
        <v>510000</v>
      </c>
      <c r="P1751" s="15"/>
      <c r="Q1751" s="14" t="s">
        <v>520</v>
      </c>
      <c r="R1751" s="25">
        <v>45747</v>
      </c>
      <c r="S1751" s="34" t="str">
        <f>TEXT(Table1[[#This Row],[End Date]],"MMMM")</f>
        <v>March</v>
      </c>
      <c r="T1751" s="34" t="str">
        <f>TEXT(Table1[[#This Row],[End Date]],"YYYY")</f>
        <v>2025</v>
      </c>
      <c r="U1751" s="24">
        <f t="shared" ca="1" si="69"/>
        <v>-614</v>
      </c>
      <c r="V1751" s="14" t="str" cm="1">
        <f t="array" aca="1" ref="V1751" ca="1">_xlfn.IFS(Table1[[#This Row],[Agreement Days]]&gt;=0,"Expired",Table1[[#This Row],[Agreement Days]]&gt;=-30,"Expires &lt; 30 Days",Table1[[#This Row],[Agreement Days]]&gt;=-60,"Expires &lt; 60 Days",Table1[[#This Row],[Agreement Days]]&lt;-60,"Valid Contract")</f>
        <v>Valid Contract</v>
      </c>
      <c r="W1751" s="18" t="s">
        <v>21</v>
      </c>
      <c r="X1751" s="18" t="s">
        <v>853</v>
      </c>
      <c r="Y1751" s="42" t="s">
        <v>854</v>
      </c>
      <c r="Z1751" s="27">
        <v>788823232</v>
      </c>
      <c r="AA1751" s="27"/>
      <c r="AB1751" s="123"/>
      <c r="AC1751" s="123"/>
    </row>
    <row r="1752" spans="1:29" s="11" customFormat="1" hidden="1" x14ac:dyDescent="0.3">
      <c r="A1752" s="18" t="s">
        <v>3090</v>
      </c>
      <c r="B1752" s="18" t="s">
        <v>44</v>
      </c>
      <c r="C1752" s="18" t="s">
        <v>544</v>
      </c>
      <c r="D1752" s="14" t="s">
        <v>545</v>
      </c>
      <c r="E1752" s="18" t="s">
        <v>10</v>
      </c>
      <c r="F1752" s="14" t="s">
        <v>631</v>
      </c>
      <c r="G1752" s="14" t="s">
        <v>518</v>
      </c>
      <c r="H1752" s="18" t="s">
        <v>2</v>
      </c>
      <c r="I1752" s="14" t="s">
        <v>134</v>
      </c>
      <c r="J1752" s="19">
        <v>25</v>
      </c>
      <c r="K1752" s="26" t="s">
        <v>1075</v>
      </c>
      <c r="L1752" s="26"/>
      <c r="M1752" s="19">
        <v>1</v>
      </c>
      <c r="N1752" s="15">
        <v>1000000</v>
      </c>
      <c r="O1752" s="15">
        <f t="shared" si="70"/>
        <v>1000000</v>
      </c>
      <c r="P1752" s="15"/>
      <c r="Q1752" s="14" t="s">
        <v>520</v>
      </c>
      <c r="R1752" s="25">
        <v>45747</v>
      </c>
      <c r="S1752" s="34" t="str">
        <f>TEXT(Table1[[#This Row],[End Date]],"MMMM")</f>
        <v>March</v>
      </c>
      <c r="T1752" s="34" t="str">
        <f>TEXT(Table1[[#This Row],[End Date]],"YYYY")</f>
        <v>2025</v>
      </c>
      <c r="U1752" s="24">
        <f t="shared" ca="1" si="69"/>
        <v>-614</v>
      </c>
      <c r="V1752" s="14" t="str" cm="1">
        <f t="array" aca="1" ref="V1752" ca="1">_xlfn.IFS(Table1[[#This Row],[Agreement Days]]&gt;=0,"Expired",Table1[[#This Row],[Agreement Days]]&gt;=-30,"Expires &lt; 30 Days",Table1[[#This Row],[Agreement Days]]&gt;=-60,"Expires &lt; 60 Days",Table1[[#This Row],[Agreement Days]]&lt;-60,"Valid Contract")</f>
        <v>Valid Contract</v>
      </c>
      <c r="W1752" s="26" t="s">
        <v>17</v>
      </c>
      <c r="X1752" s="26" t="s">
        <v>3091</v>
      </c>
      <c r="Y1752" s="35" t="s">
        <v>3092</v>
      </c>
      <c r="Z1752" s="27">
        <v>782859121</v>
      </c>
      <c r="AA1752" s="27"/>
      <c r="AB1752" s="123"/>
      <c r="AC1752" s="123"/>
    </row>
    <row r="1753" spans="1:29" s="11" customFormat="1" hidden="1" x14ac:dyDescent="0.3">
      <c r="A1753" s="18" t="s">
        <v>3093</v>
      </c>
      <c r="B1753" s="18" t="s">
        <v>401</v>
      </c>
      <c r="C1753" s="18" t="s">
        <v>3094</v>
      </c>
      <c r="D1753" s="14" t="s">
        <v>759</v>
      </c>
      <c r="E1753" s="18" t="s">
        <v>9</v>
      </c>
      <c r="F1753" s="14" t="s">
        <v>517</v>
      </c>
      <c r="G1753" s="14" t="s">
        <v>518</v>
      </c>
      <c r="H1753" s="18" t="s">
        <v>5</v>
      </c>
      <c r="I1753" s="14" t="s">
        <v>117</v>
      </c>
      <c r="J1753" s="14">
        <v>5</v>
      </c>
      <c r="K1753" s="14" t="s">
        <v>519</v>
      </c>
      <c r="L1753" s="14"/>
      <c r="M1753" s="14">
        <v>1</v>
      </c>
      <c r="N1753" s="15">
        <v>270000</v>
      </c>
      <c r="O1753" s="15">
        <f t="shared" si="70"/>
        <v>270000</v>
      </c>
      <c r="P1753" s="15"/>
      <c r="Q1753" s="14" t="s">
        <v>520</v>
      </c>
      <c r="R1753" s="25">
        <v>45747</v>
      </c>
      <c r="S1753" s="22" t="str">
        <f>TEXT(Table1[[#This Row],[End Date]],"MMMM")</f>
        <v>March</v>
      </c>
      <c r="T1753" s="34" t="str">
        <f>TEXT(Table1[[#This Row],[End Date]],"YYYY")</f>
        <v>2025</v>
      </c>
      <c r="U1753" s="24">
        <f t="shared" ca="1" si="69"/>
        <v>-614</v>
      </c>
      <c r="V1753" s="14" t="str" cm="1">
        <f t="array" aca="1" ref="V1753" ca="1">_xlfn.IFS(Table1[[#This Row],[Agreement Days]]&gt;=0,"Expired",Table1[[#This Row],[Agreement Days]]&gt;=-30,"Expires &lt; 30 Days",Table1[[#This Row],[Agreement Days]]&gt;=-60,"Expires &lt; 60 Days",Table1[[#This Row],[Agreement Days]]&lt;-60,"Valid Contract")</f>
        <v>Valid Contract</v>
      </c>
      <c r="W1753" s="14" t="s">
        <v>20</v>
      </c>
      <c r="X1753" s="14" t="s">
        <v>3095</v>
      </c>
      <c r="Y1753" s="16" t="s">
        <v>3096</v>
      </c>
      <c r="Z1753" s="27" t="s">
        <v>3097</v>
      </c>
      <c r="AA1753" s="19"/>
      <c r="AB1753" s="123"/>
      <c r="AC1753" s="123"/>
    </row>
    <row r="1754" spans="1:29" s="11" customFormat="1" hidden="1" x14ac:dyDescent="0.3">
      <c r="A1754" s="18" t="s">
        <v>947</v>
      </c>
      <c r="B1754" s="18" t="s">
        <v>308</v>
      </c>
      <c r="C1754" s="18" t="s">
        <v>948</v>
      </c>
      <c r="D1754" s="14" t="s">
        <v>586</v>
      </c>
      <c r="E1754" s="18" t="s">
        <v>9</v>
      </c>
      <c r="F1754" s="14" t="s">
        <v>688</v>
      </c>
      <c r="G1754" s="14" t="s">
        <v>518</v>
      </c>
      <c r="H1754" s="18" t="s">
        <v>5</v>
      </c>
      <c r="I1754" s="14" t="s">
        <v>117</v>
      </c>
      <c r="J1754" s="14">
        <v>5</v>
      </c>
      <c r="K1754" s="18" t="s">
        <v>519</v>
      </c>
      <c r="L1754" s="18"/>
      <c r="M1754" s="14">
        <v>1</v>
      </c>
      <c r="N1754" s="15">
        <v>270000</v>
      </c>
      <c r="O1754" s="15">
        <f t="shared" si="70"/>
        <v>270000</v>
      </c>
      <c r="P1754" s="15"/>
      <c r="Q1754" s="14" t="s">
        <v>520</v>
      </c>
      <c r="R1754" s="25">
        <v>45747</v>
      </c>
      <c r="S1754" s="34" t="str">
        <f>TEXT(Table1[[#This Row],[End Date]],"MMMM")</f>
        <v>March</v>
      </c>
      <c r="T1754" s="34" t="str">
        <f>TEXT(Table1[[#This Row],[End Date]],"YYYY")</f>
        <v>2025</v>
      </c>
      <c r="U1754" s="24">
        <f t="shared" ca="1" si="69"/>
        <v>-614</v>
      </c>
      <c r="V1754" s="14" t="str" cm="1">
        <f t="array" aca="1" ref="V1754" ca="1">_xlfn.IFS(Table1[[#This Row],[Agreement Days]]&gt;=0,"Expired",Table1[[#This Row],[Agreement Days]]&gt;=-30,"Expires &lt; 30 Days",Table1[[#This Row],[Agreement Days]]&gt;=-60,"Expires &lt; 60 Days",Table1[[#This Row],[Agreement Days]]&lt;-60,"Valid Contract")</f>
        <v>Valid Contract</v>
      </c>
      <c r="W1754" s="18" t="s">
        <v>21</v>
      </c>
      <c r="X1754" s="18" t="s">
        <v>949</v>
      </c>
      <c r="Y1754" s="42" t="s">
        <v>950</v>
      </c>
      <c r="Z1754" s="27">
        <v>785164119</v>
      </c>
      <c r="AA1754" s="27"/>
      <c r="AB1754" s="123"/>
      <c r="AC1754" s="123"/>
    </row>
    <row r="1755" spans="1:29" s="11" customFormat="1" hidden="1" x14ac:dyDescent="0.3">
      <c r="A1755" s="18" t="s">
        <v>3098</v>
      </c>
      <c r="B1755" s="18" t="s">
        <v>139</v>
      </c>
      <c r="C1755" s="18" t="s">
        <v>3099</v>
      </c>
      <c r="D1755" s="14" t="s">
        <v>545</v>
      </c>
      <c r="E1755" s="18" t="s">
        <v>9</v>
      </c>
      <c r="F1755" s="14" t="s">
        <v>517</v>
      </c>
      <c r="G1755" s="14" t="s">
        <v>546</v>
      </c>
      <c r="H1755" s="18" t="s">
        <v>2</v>
      </c>
      <c r="I1755" s="14" t="s">
        <v>117</v>
      </c>
      <c r="J1755" s="14">
        <v>1</v>
      </c>
      <c r="K1755" s="14" t="s">
        <v>2087</v>
      </c>
      <c r="L1755" s="14"/>
      <c r="M1755" s="14">
        <v>1</v>
      </c>
      <c r="N1755" s="15">
        <f>106200/1.18</f>
        <v>90000</v>
      </c>
      <c r="O1755" s="15">
        <f t="shared" si="70"/>
        <v>90000</v>
      </c>
      <c r="P1755" s="15"/>
      <c r="Q1755" s="14" t="s">
        <v>520</v>
      </c>
      <c r="R1755" s="21">
        <v>45747</v>
      </c>
      <c r="S1755" s="34" t="str">
        <f>TEXT(Table1[[#This Row],[End Date]],"MMMM")</f>
        <v>March</v>
      </c>
      <c r="T1755" s="23" t="str">
        <f>TEXT(Table1[[#This Row],[End Date]],"YYYY")</f>
        <v>2025</v>
      </c>
      <c r="U1755" s="24">
        <f t="shared" ca="1" si="69"/>
        <v>-614</v>
      </c>
      <c r="V1755" s="14" t="str" cm="1">
        <f t="array" aca="1" ref="V1755" ca="1">_xlfn.IFS(Table1[[#This Row],[Agreement Days]]&gt;=0,"Expired",Table1[[#This Row],[Agreement Days]]&gt;=-30,"Expires &lt; 30 Days",Table1[[#This Row],[Agreement Days]]&gt;=-60,"Expires &lt; 60 Days",Table1[[#This Row],[Agreement Days]]&lt;-60,"Valid Contract")</f>
        <v>Valid Contract</v>
      </c>
      <c r="W1755" s="14" t="s">
        <v>17</v>
      </c>
      <c r="X1755" s="14" t="s">
        <v>3071</v>
      </c>
      <c r="Y1755" s="73" t="s">
        <v>3072</v>
      </c>
      <c r="Z1755" s="27">
        <v>788550338</v>
      </c>
      <c r="AA1755" s="17"/>
      <c r="AB1755" s="123"/>
      <c r="AC1755" s="123"/>
    </row>
    <row r="1756" spans="1:29" s="11" customFormat="1" hidden="1" x14ac:dyDescent="0.3">
      <c r="A1756" s="18" t="s">
        <v>3098</v>
      </c>
      <c r="B1756" s="18" t="s">
        <v>139</v>
      </c>
      <c r="C1756" s="18" t="s">
        <v>3099</v>
      </c>
      <c r="D1756" s="14" t="s">
        <v>545</v>
      </c>
      <c r="E1756" s="18" t="s">
        <v>9</v>
      </c>
      <c r="F1756" s="14" t="s">
        <v>517</v>
      </c>
      <c r="G1756" s="14" t="s">
        <v>546</v>
      </c>
      <c r="H1756" s="18" t="s">
        <v>2</v>
      </c>
      <c r="I1756" s="14" t="s">
        <v>126</v>
      </c>
      <c r="J1756" s="14">
        <v>5</v>
      </c>
      <c r="K1756" s="14" t="s">
        <v>3100</v>
      </c>
      <c r="L1756" s="14"/>
      <c r="M1756" s="14">
        <v>1</v>
      </c>
      <c r="N1756" s="15">
        <f>289100/1.18</f>
        <v>245000</v>
      </c>
      <c r="O1756" s="15">
        <f t="shared" si="70"/>
        <v>245000</v>
      </c>
      <c r="P1756" s="15"/>
      <c r="Q1756" s="14" t="s">
        <v>520</v>
      </c>
      <c r="R1756" s="21">
        <v>45747</v>
      </c>
      <c r="S1756" s="22" t="str">
        <f>TEXT(Table1[[#This Row],[End Date]],"MMMM")</f>
        <v>March</v>
      </c>
      <c r="T1756" s="23" t="str">
        <f>TEXT(Table1[[#This Row],[End Date]],"YYYY")</f>
        <v>2025</v>
      </c>
      <c r="U1756" s="24">
        <f t="shared" ca="1" si="69"/>
        <v>-614</v>
      </c>
      <c r="V1756" s="14" t="str" cm="1">
        <f t="array" aca="1" ref="V1756" ca="1">_xlfn.IFS(Table1[[#This Row],[Agreement Days]]&gt;=0,"Expired",Table1[[#This Row],[Agreement Days]]&gt;=-30,"Expires &lt; 30 Days",Table1[[#This Row],[Agreement Days]]&gt;=-60,"Expires &lt; 60 Days",Table1[[#This Row],[Agreement Days]]&lt;-60,"Valid Contract")</f>
        <v>Valid Contract</v>
      </c>
      <c r="W1756" s="14" t="s">
        <v>17</v>
      </c>
      <c r="X1756" s="14" t="s">
        <v>3071</v>
      </c>
      <c r="Y1756" s="73" t="s">
        <v>3072</v>
      </c>
      <c r="Z1756" s="27">
        <v>788550338</v>
      </c>
      <c r="AA1756" s="17"/>
      <c r="AB1756" s="123"/>
      <c r="AC1756" s="123"/>
    </row>
    <row r="1757" spans="1:29" s="11" customFormat="1" hidden="1" x14ac:dyDescent="0.3">
      <c r="A1757" s="18" t="s">
        <v>3098</v>
      </c>
      <c r="B1757" s="18" t="s">
        <v>139</v>
      </c>
      <c r="C1757" s="18" t="s">
        <v>3101</v>
      </c>
      <c r="D1757" s="14" t="s">
        <v>545</v>
      </c>
      <c r="E1757" s="18" t="s">
        <v>9</v>
      </c>
      <c r="F1757" s="14" t="s">
        <v>517</v>
      </c>
      <c r="G1757" s="14" t="s">
        <v>546</v>
      </c>
      <c r="H1757" s="18" t="s">
        <v>5</v>
      </c>
      <c r="I1757" s="14" t="s">
        <v>117</v>
      </c>
      <c r="J1757" s="14">
        <v>15</v>
      </c>
      <c r="K1757" s="14" t="s">
        <v>899</v>
      </c>
      <c r="L1757" s="14"/>
      <c r="M1757" s="14">
        <v>1</v>
      </c>
      <c r="N1757" s="15">
        <f>849600/1.18</f>
        <v>720000</v>
      </c>
      <c r="O1757" s="15">
        <f t="shared" si="70"/>
        <v>720000</v>
      </c>
      <c r="P1757" s="15"/>
      <c r="Q1757" s="14" t="s">
        <v>520</v>
      </c>
      <c r="R1757" s="21">
        <v>45747</v>
      </c>
      <c r="S1757" s="22" t="str">
        <f>TEXT(Table1[[#This Row],[End Date]],"MMMM")</f>
        <v>March</v>
      </c>
      <c r="T1757" s="23" t="str">
        <f>TEXT(Table1[[#This Row],[End Date]],"YYYY")</f>
        <v>2025</v>
      </c>
      <c r="U1757" s="24">
        <f t="shared" ca="1" si="69"/>
        <v>-614</v>
      </c>
      <c r="V1757" s="14" t="str" cm="1">
        <f t="array" aca="1" ref="V1757" ca="1">_xlfn.IFS(Table1[[#This Row],[Agreement Days]]&gt;=0,"Expired",Table1[[#This Row],[Agreement Days]]&gt;=-30,"Expires &lt; 30 Days",Table1[[#This Row],[Agreement Days]]&gt;=-60,"Expires &lt; 60 Days",Table1[[#This Row],[Agreement Days]]&lt;-60,"Valid Contract")</f>
        <v>Valid Contract</v>
      </c>
      <c r="W1757" s="14" t="s">
        <v>17</v>
      </c>
      <c r="X1757" s="14" t="s">
        <v>3071</v>
      </c>
      <c r="Y1757" s="73" t="s">
        <v>3072</v>
      </c>
      <c r="Z1757" s="27">
        <v>788550338</v>
      </c>
      <c r="AA1757" s="17"/>
      <c r="AB1757" s="123"/>
      <c r="AC1757" s="123"/>
    </row>
    <row r="1758" spans="1:29" s="11" customFormat="1" hidden="1" x14ac:dyDescent="0.3">
      <c r="A1758" s="18" t="s">
        <v>3098</v>
      </c>
      <c r="B1758" s="18" t="s">
        <v>139</v>
      </c>
      <c r="C1758" s="18" t="s">
        <v>3101</v>
      </c>
      <c r="D1758" s="14" t="s">
        <v>545</v>
      </c>
      <c r="E1758" s="18" t="s">
        <v>9</v>
      </c>
      <c r="F1758" s="14" t="s">
        <v>517</v>
      </c>
      <c r="G1758" s="14" t="s">
        <v>546</v>
      </c>
      <c r="H1758" s="18" t="s">
        <v>5</v>
      </c>
      <c r="I1758" s="14" t="s">
        <v>117</v>
      </c>
      <c r="J1758" s="14">
        <v>20</v>
      </c>
      <c r="K1758" s="14" t="s">
        <v>689</v>
      </c>
      <c r="L1758" s="14"/>
      <c r="M1758" s="14">
        <v>1</v>
      </c>
      <c r="N1758" s="15">
        <f>1062000/1.18</f>
        <v>900000</v>
      </c>
      <c r="O1758" s="15">
        <f t="shared" si="70"/>
        <v>900000</v>
      </c>
      <c r="P1758" s="15"/>
      <c r="Q1758" s="14" t="s">
        <v>520</v>
      </c>
      <c r="R1758" s="21">
        <v>45747</v>
      </c>
      <c r="S1758" s="22" t="str">
        <f>TEXT(Table1[[#This Row],[End Date]],"MMMM")</f>
        <v>March</v>
      </c>
      <c r="T1758" s="23" t="str">
        <f>TEXT(Table1[[#This Row],[End Date]],"YYYY")</f>
        <v>2025</v>
      </c>
      <c r="U1758" s="24">
        <f t="shared" ca="1" si="69"/>
        <v>-614</v>
      </c>
      <c r="V1758" s="14" t="str" cm="1">
        <f t="array" aca="1" ref="V1758" ca="1">_xlfn.IFS(Table1[[#This Row],[Agreement Days]]&gt;=0,"Expired",Table1[[#This Row],[Agreement Days]]&gt;=-30,"Expires &lt; 30 Days",Table1[[#This Row],[Agreement Days]]&gt;=-60,"Expires &lt; 60 Days",Table1[[#This Row],[Agreement Days]]&lt;-60,"Valid Contract")</f>
        <v>Valid Contract</v>
      </c>
      <c r="W1758" s="14" t="s">
        <v>17</v>
      </c>
      <c r="X1758" s="14" t="s">
        <v>3071</v>
      </c>
      <c r="Y1758" s="73" t="s">
        <v>3072</v>
      </c>
      <c r="Z1758" s="27">
        <v>788550338</v>
      </c>
      <c r="AA1758" s="17"/>
      <c r="AB1758" s="123"/>
      <c r="AC1758" s="123"/>
    </row>
    <row r="1759" spans="1:29" s="11" customFormat="1" hidden="1" x14ac:dyDescent="0.3">
      <c r="A1759" s="18" t="s">
        <v>3098</v>
      </c>
      <c r="B1759" s="18" t="s">
        <v>139</v>
      </c>
      <c r="C1759" s="18" t="s">
        <v>3102</v>
      </c>
      <c r="D1759" s="14" t="s">
        <v>739</v>
      </c>
      <c r="E1759" s="18" t="s">
        <v>9</v>
      </c>
      <c r="F1759" s="14" t="s">
        <v>517</v>
      </c>
      <c r="G1759" s="14" t="s">
        <v>546</v>
      </c>
      <c r="H1759" s="18" t="s">
        <v>5</v>
      </c>
      <c r="I1759" s="14" t="s">
        <v>117</v>
      </c>
      <c r="J1759" s="14">
        <v>30</v>
      </c>
      <c r="K1759" s="14" t="s">
        <v>694</v>
      </c>
      <c r="L1759" s="14"/>
      <c r="M1759" s="14">
        <v>1</v>
      </c>
      <c r="N1759" s="15">
        <f>1486800/1.18</f>
        <v>1260000</v>
      </c>
      <c r="O1759" s="15">
        <f t="shared" si="70"/>
        <v>1260000</v>
      </c>
      <c r="P1759" s="15"/>
      <c r="Q1759" s="14" t="s">
        <v>520</v>
      </c>
      <c r="R1759" s="21">
        <v>45747</v>
      </c>
      <c r="S1759" s="22" t="str">
        <f>TEXT(Table1[[#This Row],[End Date]],"MMMM")</f>
        <v>March</v>
      </c>
      <c r="T1759" s="23" t="str">
        <f>TEXT(Table1[[#This Row],[End Date]],"YYYY")</f>
        <v>2025</v>
      </c>
      <c r="U1759" s="24">
        <f t="shared" ca="1" si="69"/>
        <v>-614</v>
      </c>
      <c r="V1759" s="14" t="str" cm="1">
        <f t="array" aca="1" ref="V1759" ca="1">_xlfn.IFS(Table1[[#This Row],[Agreement Days]]&gt;=0,"Expired",Table1[[#This Row],[Agreement Days]]&gt;=-30,"Expires &lt; 30 Days",Table1[[#This Row],[Agreement Days]]&gt;=-60,"Expires &lt; 60 Days",Table1[[#This Row],[Agreement Days]]&lt;-60,"Valid Contract")</f>
        <v>Valid Contract</v>
      </c>
      <c r="W1759" s="14" t="s">
        <v>17</v>
      </c>
      <c r="X1759" s="14" t="s">
        <v>3071</v>
      </c>
      <c r="Y1759" s="73" t="s">
        <v>3072</v>
      </c>
      <c r="Z1759" s="27">
        <v>788550338</v>
      </c>
      <c r="AA1759" s="17"/>
      <c r="AB1759" s="123"/>
      <c r="AC1759" s="123"/>
    </row>
    <row r="1760" spans="1:29" s="11" customFormat="1" hidden="1" x14ac:dyDescent="0.3">
      <c r="A1760" s="18" t="s">
        <v>3098</v>
      </c>
      <c r="B1760" s="18" t="s">
        <v>139</v>
      </c>
      <c r="C1760" s="18" t="s">
        <v>3099</v>
      </c>
      <c r="D1760" s="14" t="s">
        <v>545</v>
      </c>
      <c r="E1760" s="18" t="s">
        <v>9</v>
      </c>
      <c r="F1760" s="14" t="s">
        <v>517</v>
      </c>
      <c r="G1760" s="14" t="s">
        <v>546</v>
      </c>
      <c r="H1760" s="18" t="s">
        <v>2</v>
      </c>
      <c r="I1760" s="14" t="s">
        <v>117</v>
      </c>
      <c r="J1760" s="14">
        <v>35</v>
      </c>
      <c r="K1760" s="14" t="s">
        <v>3103</v>
      </c>
      <c r="L1760" s="14"/>
      <c r="M1760" s="14">
        <v>1</v>
      </c>
      <c r="N1760" s="15">
        <v>1530000</v>
      </c>
      <c r="O1760" s="15">
        <f t="shared" si="70"/>
        <v>1530000</v>
      </c>
      <c r="P1760" s="15"/>
      <c r="Q1760" s="14" t="s">
        <v>520</v>
      </c>
      <c r="R1760" s="21">
        <v>45747</v>
      </c>
      <c r="S1760" s="34" t="str">
        <f>TEXT(Table1[[#This Row],[End Date]],"MMMM")</f>
        <v>March</v>
      </c>
      <c r="T1760" s="23" t="str">
        <f>TEXT(Table1[[#This Row],[End Date]],"YYYY")</f>
        <v>2025</v>
      </c>
      <c r="U1760" s="24">
        <f t="shared" ca="1" si="69"/>
        <v>-614</v>
      </c>
      <c r="V1760" s="14" t="str" cm="1">
        <f t="array" aca="1" ref="V1760" ca="1">_xlfn.IFS(Table1[[#This Row],[Agreement Days]]&gt;=0,"Expired",Table1[[#This Row],[Agreement Days]]&gt;=-30,"Expires &lt; 30 Days",Table1[[#This Row],[Agreement Days]]&gt;=-60,"Expires &lt; 60 Days",Table1[[#This Row],[Agreement Days]]&lt;-60,"Valid Contract")</f>
        <v>Valid Contract</v>
      </c>
      <c r="W1760" s="14" t="s">
        <v>17</v>
      </c>
      <c r="X1760" s="14" t="s">
        <v>3071</v>
      </c>
      <c r="Y1760" s="73" t="s">
        <v>3072</v>
      </c>
      <c r="Z1760" s="27">
        <v>788550338</v>
      </c>
      <c r="AA1760" s="17"/>
      <c r="AB1760" s="123"/>
      <c r="AC1760" s="123"/>
    </row>
    <row r="1761" spans="1:29" s="11" customFormat="1" hidden="1" x14ac:dyDescent="0.3">
      <c r="A1761" s="18" t="s">
        <v>3098</v>
      </c>
      <c r="B1761" s="18" t="s">
        <v>139</v>
      </c>
      <c r="C1761" s="18" t="s">
        <v>3104</v>
      </c>
      <c r="D1761" s="14" t="s">
        <v>545</v>
      </c>
      <c r="E1761" s="18" t="s">
        <v>9</v>
      </c>
      <c r="F1761" s="14" t="s">
        <v>517</v>
      </c>
      <c r="G1761" s="14" t="s">
        <v>546</v>
      </c>
      <c r="H1761" s="18" t="s">
        <v>5</v>
      </c>
      <c r="I1761" s="14" t="s">
        <v>115</v>
      </c>
      <c r="J1761" s="14"/>
      <c r="K1761" s="18" t="s">
        <v>3105</v>
      </c>
      <c r="L1761" s="14"/>
      <c r="M1761" s="17">
        <v>1</v>
      </c>
      <c r="N1761" s="15">
        <f>529000/1.18</f>
        <v>448305.08474576275</v>
      </c>
      <c r="O1761" s="15">
        <f t="shared" si="70"/>
        <v>448305.08474576275</v>
      </c>
      <c r="P1761" s="15"/>
      <c r="Q1761" s="14" t="s">
        <v>520</v>
      </c>
      <c r="R1761" s="21">
        <v>45747</v>
      </c>
      <c r="S1761" s="22" t="str">
        <f>TEXT(Table1[[#This Row],[End Date]],"MMMM")</f>
        <v>March</v>
      </c>
      <c r="T1761" s="23" t="str">
        <f>TEXT(Table1[[#This Row],[End Date]],"YYYY")</f>
        <v>2025</v>
      </c>
      <c r="U1761" s="24">
        <f t="shared" ca="1" si="69"/>
        <v>-614</v>
      </c>
      <c r="V1761" s="14" t="str" cm="1">
        <f t="array" aca="1" ref="V1761" ca="1">_xlfn.IFS(Table1[[#This Row],[Agreement Days]]&gt;=0,"Expired",Table1[[#This Row],[Agreement Days]]&gt;=-30,"Expires &lt; 30 Days",Table1[[#This Row],[Agreement Days]]&gt;=-60,"Expires &lt; 60 Days",Table1[[#This Row],[Agreement Days]]&lt;-60,"Valid Contract")</f>
        <v>Valid Contract</v>
      </c>
      <c r="W1761" s="14" t="s">
        <v>17</v>
      </c>
      <c r="X1761" s="14" t="s">
        <v>3071</v>
      </c>
      <c r="Y1761" s="73" t="s">
        <v>3072</v>
      </c>
      <c r="Z1761" s="27">
        <v>788550338</v>
      </c>
      <c r="AA1761" s="17"/>
      <c r="AB1761" s="123"/>
      <c r="AC1761" s="123"/>
    </row>
    <row r="1762" spans="1:29" s="11" customFormat="1" hidden="1" x14ac:dyDescent="0.3">
      <c r="A1762" s="18" t="s">
        <v>3098</v>
      </c>
      <c r="B1762" s="18" t="s">
        <v>139</v>
      </c>
      <c r="C1762" s="18" t="s">
        <v>3104</v>
      </c>
      <c r="D1762" s="14" t="s">
        <v>545</v>
      </c>
      <c r="E1762" s="18" t="s">
        <v>9</v>
      </c>
      <c r="F1762" s="14" t="s">
        <v>517</v>
      </c>
      <c r="G1762" s="14" t="s">
        <v>546</v>
      </c>
      <c r="H1762" s="18" t="s">
        <v>5</v>
      </c>
      <c r="I1762" s="14" t="s">
        <v>115</v>
      </c>
      <c r="J1762" s="14"/>
      <c r="K1762" s="18" t="s">
        <v>3106</v>
      </c>
      <c r="L1762" s="14"/>
      <c r="M1762" s="17">
        <v>1</v>
      </c>
      <c r="N1762" s="15">
        <v>245677.96610200001</v>
      </c>
      <c r="O1762" s="15">
        <f t="shared" si="70"/>
        <v>245677.96610200001</v>
      </c>
      <c r="P1762" s="15"/>
      <c r="Q1762" s="14" t="s">
        <v>520</v>
      </c>
      <c r="R1762" s="21">
        <v>45747</v>
      </c>
      <c r="S1762" s="22" t="str">
        <f>TEXT(Table1[[#This Row],[End Date]],"MMMM")</f>
        <v>March</v>
      </c>
      <c r="T1762" s="23" t="str">
        <f>TEXT(Table1[[#This Row],[End Date]],"YYYY")</f>
        <v>2025</v>
      </c>
      <c r="U1762" s="24">
        <f t="shared" ca="1" si="69"/>
        <v>-614</v>
      </c>
      <c r="V1762" s="14" t="str" cm="1">
        <f t="array" aca="1" ref="V1762" ca="1">_xlfn.IFS(Table1[[#This Row],[Agreement Days]]&gt;=0,"Expired",Table1[[#This Row],[Agreement Days]]&gt;=-30,"Expires &lt; 30 Days",Table1[[#This Row],[Agreement Days]]&gt;=-60,"Expires &lt; 60 Days",Table1[[#This Row],[Agreement Days]]&lt;-60,"Valid Contract")</f>
        <v>Valid Contract</v>
      </c>
      <c r="W1762" s="14" t="s">
        <v>17</v>
      </c>
      <c r="X1762" s="14" t="s">
        <v>3071</v>
      </c>
      <c r="Y1762" s="73" t="s">
        <v>3072</v>
      </c>
      <c r="Z1762" s="27">
        <v>788550338</v>
      </c>
      <c r="AA1762" s="17"/>
      <c r="AB1762" s="123"/>
      <c r="AC1762" s="123"/>
    </row>
    <row r="1763" spans="1:29" s="11" customFormat="1" hidden="1" x14ac:dyDescent="0.3">
      <c r="A1763" s="18" t="s">
        <v>3098</v>
      </c>
      <c r="B1763" s="18" t="s">
        <v>139</v>
      </c>
      <c r="C1763" s="18" t="s">
        <v>3107</v>
      </c>
      <c r="D1763" s="14" t="s">
        <v>739</v>
      </c>
      <c r="E1763" s="18" t="s">
        <v>9</v>
      </c>
      <c r="F1763" s="14" t="s">
        <v>517</v>
      </c>
      <c r="G1763" s="14" t="s">
        <v>546</v>
      </c>
      <c r="H1763" s="18" t="s">
        <v>5</v>
      </c>
      <c r="I1763" s="14" t="s">
        <v>117</v>
      </c>
      <c r="J1763" s="14">
        <v>1</v>
      </c>
      <c r="K1763" s="14" t="s">
        <v>2087</v>
      </c>
      <c r="L1763" s="14"/>
      <c r="M1763" s="14">
        <v>1</v>
      </c>
      <c r="N1763" s="15">
        <f t="shared" ref="N1763:N1805" si="71">106200/1.18</f>
        <v>90000</v>
      </c>
      <c r="O1763" s="15">
        <f t="shared" si="70"/>
        <v>90000</v>
      </c>
      <c r="P1763" s="15"/>
      <c r="Q1763" s="14" t="s">
        <v>520</v>
      </c>
      <c r="R1763" s="21">
        <v>45747</v>
      </c>
      <c r="S1763" s="22" t="str">
        <f>TEXT(Table1[[#This Row],[End Date]],"MMMM")</f>
        <v>March</v>
      </c>
      <c r="T1763" s="23" t="str">
        <f>TEXT(Table1[[#This Row],[End Date]],"YYYY")</f>
        <v>2025</v>
      </c>
      <c r="U1763" s="24">
        <f t="shared" ca="1" si="69"/>
        <v>-614</v>
      </c>
      <c r="V1763" s="14" t="str" cm="1">
        <f t="array" aca="1" ref="V1763" ca="1">_xlfn.IFS(Table1[[#This Row],[Agreement Days]]&gt;=0,"Expired",Table1[[#This Row],[Agreement Days]]&gt;=-30,"Expires &lt; 30 Days",Table1[[#This Row],[Agreement Days]]&gt;=-60,"Expires &lt; 60 Days",Table1[[#This Row],[Agreement Days]]&lt;-60,"Valid Contract")</f>
        <v>Valid Contract</v>
      </c>
      <c r="W1763" s="14" t="s">
        <v>17</v>
      </c>
      <c r="X1763" s="14" t="s">
        <v>3071</v>
      </c>
      <c r="Y1763" s="73" t="s">
        <v>3072</v>
      </c>
      <c r="Z1763" s="27">
        <v>788550338</v>
      </c>
      <c r="AA1763" s="17"/>
      <c r="AB1763" s="123"/>
      <c r="AC1763" s="123"/>
    </row>
    <row r="1764" spans="1:29" s="11" customFormat="1" hidden="1" x14ac:dyDescent="0.3">
      <c r="A1764" s="18" t="s">
        <v>3098</v>
      </c>
      <c r="B1764" s="18" t="s">
        <v>139</v>
      </c>
      <c r="C1764" s="18" t="s">
        <v>526</v>
      </c>
      <c r="D1764" s="14" t="s">
        <v>526</v>
      </c>
      <c r="E1764" s="18" t="s">
        <v>9</v>
      </c>
      <c r="F1764" s="14" t="s">
        <v>517</v>
      </c>
      <c r="G1764" s="14" t="s">
        <v>546</v>
      </c>
      <c r="H1764" s="18" t="s">
        <v>5</v>
      </c>
      <c r="I1764" s="14" t="s">
        <v>117</v>
      </c>
      <c r="J1764" s="14">
        <v>1</v>
      </c>
      <c r="K1764" s="14" t="s">
        <v>2087</v>
      </c>
      <c r="L1764" s="14"/>
      <c r="M1764" s="14">
        <v>1</v>
      </c>
      <c r="N1764" s="15">
        <f t="shared" si="71"/>
        <v>90000</v>
      </c>
      <c r="O1764" s="15">
        <f t="shared" si="70"/>
        <v>90000</v>
      </c>
      <c r="P1764" s="15"/>
      <c r="Q1764" s="14" t="s">
        <v>520</v>
      </c>
      <c r="R1764" s="21">
        <v>45747</v>
      </c>
      <c r="S1764" s="22" t="str">
        <f>TEXT(Table1[[#This Row],[End Date]],"MMMM")</f>
        <v>March</v>
      </c>
      <c r="T1764" s="23" t="str">
        <f>TEXT(Table1[[#This Row],[End Date]],"YYYY")</f>
        <v>2025</v>
      </c>
      <c r="U1764" s="24">
        <f t="shared" ca="1" si="69"/>
        <v>-614</v>
      </c>
      <c r="V1764" s="14" t="str" cm="1">
        <f t="array" aca="1" ref="V1764" ca="1">_xlfn.IFS(Table1[[#This Row],[Agreement Days]]&gt;=0,"Expired",Table1[[#This Row],[Agreement Days]]&gt;=-30,"Expires &lt; 30 Days",Table1[[#This Row],[Agreement Days]]&gt;=-60,"Expires &lt; 60 Days",Table1[[#This Row],[Agreement Days]]&lt;-60,"Valid Contract")</f>
        <v>Valid Contract</v>
      </c>
      <c r="W1764" s="14" t="s">
        <v>17</v>
      </c>
      <c r="X1764" s="14" t="s">
        <v>3071</v>
      </c>
      <c r="Y1764" s="73" t="s">
        <v>3072</v>
      </c>
      <c r="Z1764" s="27">
        <v>788550338</v>
      </c>
      <c r="AA1764" s="17"/>
      <c r="AB1764" s="123"/>
      <c r="AC1764" s="123"/>
    </row>
    <row r="1765" spans="1:29" s="11" customFormat="1" hidden="1" x14ac:dyDescent="0.3">
      <c r="A1765" s="18" t="s">
        <v>3098</v>
      </c>
      <c r="B1765" s="18" t="s">
        <v>139</v>
      </c>
      <c r="C1765" s="18" t="s">
        <v>3108</v>
      </c>
      <c r="D1765" s="14" t="s">
        <v>1140</v>
      </c>
      <c r="E1765" s="18" t="s">
        <v>9</v>
      </c>
      <c r="F1765" s="14" t="s">
        <v>517</v>
      </c>
      <c r="G1765" s="14" t="s">
        <v>546</v>
      </c>
      <c r="H1765" s="18" t="s">
        <v>5</v>
      </c>
      <c r="I1765" s="14" t="s">
        <v>117</v>
      </c>
      <c r="J1765" s="14">
        <v>1</v>
      </c>
      <c r="K1765" s="14" t="s">
        <v>2087</v>
      </c>
      <c r="L1765" s="14"/>
      <c r="M1765" s="14">
        <v>1</v>
      </c>
      <c r="N1765" s="15">
        <f t="shared" si="71"/>
        <v>90000</v>
      </c>
      <c r="O1765" s="15">
        <f t="shared" si="70"/>
        <v>90000</v>
      </c>
      <c r="P1765" s="15"/>
      <c r="Q1765" s="14" t="s">
        <v>520</v>
      </c>
      <c r="R1765" s="21">
        <v>45747</v>
      </c>
      <c r="S1765" s="22" t="str">
        <f>TEXT(Table1[[#This Row],[End Date]],"MMMM")</f>
        <v>March</v>
      </c>
      <c r="T1765" s="23" t="str">
        <f>TEXT(Table1[[#This Row],[End Date]],"YYYY")</f>
        <v>2025</v>
      </c>
      <c r="U1765" s="24">
        <f t="shared" ca="1" si="69"/>
        <v>-614</v>
      </c>
      <c r="V1765" s="14" t="str" cm="1">
        <f t="array" aca="1" ref="V1765" ca="1">_xlfn.IFS(Table1[[#This Row],[Agreement Days]]&gt;=0,"Expired",Table1[[#This Row],[Agreement Days]]&gt;=-30,"Expires &lt; 30 Days",Table1[[#This Row],[Agreement Days]]&gt;=-60,"Expires &lt; 60 Days",Table1[[#This Row],[Agreement Days]]&lt;-60,"Valid Contract")</f>
        <v>Valid Contract</v>
      </c>
      <c r="W1765" s="14" t="s">
        <v>17</v>
      </c>
      <c r="X1765" s="14" t="s">
        <v>3071</v>
      </c>
      <c r="Y1765" s="73" t="s">
        <v>3072</v>
      </c>
      <c r="Z1765" s="27">
        <v>788550338</v>
      </c>
      <c r="AA1765" s="17"/>
      <c r="AB1765" s="123"/>
      <c r="AC1765" s="123"/>
    </row>
    <row r="1766" spans="1:29" s="11" customFormat="1" hidden="1" x14ac:dyDescent="0.3">
      <c r="A1766" s="18" t="s">
        <v>3098</v>
      </c>
      <c r="B1766" s="18" t="s">
        <v>139</v>
      </c>
      <c r="C1766" s="18" t="s">
        <v>3109</v>
      </c>
      <c r="D1766" s="14" t="s">
        <v>1140</v>
      </c>
      <c r="E1766" s="18" t="s">
        <v>9</v>
      </c>
      <c r="F1766" s="14" t="s">
        <v>517</v>
      </c>
      <c r="G1766" s="14" t="s">
        <v>546</v>
      </c>
      <c r="H1766" s="18" t="s">
        <v>5</v>
      </c>
      <c r="I1766" s="14" t="s">
        <v>117</v>
      </c>
      <c r="J1766" s="14">
        <v>1</v>
      </c>
      <c r="K1766" s="14" t="s">
        <v>2087</v>
      </c>
      <c r="L1766" s="14"/>
      <c r="M1766" s="14">
        <v>1</v>
      </c>
      <c r="N1766" s="15">
        <f t="shared" si="71"/>
        <v>90000</v>
      </c>
      <c r="O1766" s="15">
        <f t="shared" si="70"/>
        <v>90000</v>
      </c>
      <c r="P1766" s="15"/>
      <c r="Q1766" s="14" t="s">
        <v>520</v>
      </c>
      <c r="R1766" s="21">
        <v>45747</v>
      </c>
      <c r="S1766" s="22" t="str">
        <f>TEXT(Table1[[#This Row],[End Date]],"MMMM")</f>
        <v>March</v>
      </c>
      <c r="T1766" s="23" t="str">
        <f>TEXT(Table1[[#This Row],[End Date]],"YYYY")</f>
        <v>2025</v>
      </c>
      <c r="U1766" s="24">
        <f t="shared" ca="1" si="69"/>
        <v>-614</v>
      </c>
      <c r="V1766" s="14" t="str" cm="1">
        <f t="array" aca="1" ref="V1766" ca="1">_xlfn.IFS(Table1[[#This Row],[Agreement Days]]&gt;=0,"Expired",Table1[[#This Row],[Agreement Days]]&gt;=-30,"Expires &lt; 30 Days",Table1[[#This Row],[Agreement Days]]&gt;=-60,"Expires &lt; 60 Days",Table1[[#This Row],[Agreement Days]]&lt;-60,"Valid Contract")</f>
        <v>Valid Contract</v>
      </c>
      <c r="W1766" s="14" t="s">
        <v>17</v>
      </c>
      <c r="X1766" s="14" t="s">
        <v>3071</v>
      </c>
      <c r="Y1766" s="73" t="s">
        <v>3072</v>
      </c>
      <c r="Z1766" s="27">
        <v>788550338</v>
      </c>
      <c r="AA1766" s="17"/>
      <c r="AB1766" s="123"/>
      <c r="AC1766" s="123"/>
    </row>
    <row r="1767" spans="1:29" s="11" customFormat="1" hidden="1" x14ac:dyDescent="0.3">
      <c r="A1767" s="18" t="s">
        <v>3098</v>
      </c>
      <c r="B1767" s="18" t="s">
        <v>139</v>
      </c>
      <c r="C1767" s="18" t="s">
        <v>3110</v>
      </c>
      <c r="D1767" s="14" t="s">
        <v>545</v>
      </c>
      <c r="E1767" s="18" t="s">
        <v>9</v>
      </c>
      <c r="F1767" s="14" t="s">
        <v>517</v>
      </c>
      <c r="G1767" s="14" t="s">
        <v>546</v>
      </c>
      <c r="H1767" s="18" t="s">
        <v>5</v>
      </c>
      <c r="I1767" s="14" t="s">
        <v>117</v>
      </c>
      <c r="J1767" s="14">
        <v>1</v>
      </c>
      <c r="K1767" s="14" t="s">
        <v>2087</v>
      </c>
      <c r="L1767" s="14"/>
      <c r="M1767" s="14">
        <v>1</v>
      </c>
      <c r="N1767" s="15">
        <f t="shared" si="71"/>
        <v>90000</v>
      </c>
      <c r="O1767" s="15">
        <f t="shared" si="70"/>
        <v>90000</v>
      </c>
      <c r="P1767" s="15"/>
      <c r="Q1767" s="14" t="s">
        <v>520</v>
      </c>
      <c r="R1767" s="21">
        <v>45747</v>
      </c>
      <c r="S1767" s="22" t="str">
        <f>TEXT(Table1[[#This Row],[End Date]],"MMMM")</f>
        <v>March</v>
      </c>
      <c r="T1767" s="23" t="str">
        <f>TEXT(Table1[[#This Row],[End Date]],"YYYY")</f>
        <v>2025</v>
      </c>
      <c r="U1767" s="24">
        <f t="shared" ca="1" si="69"/>
        <v>-614</v>
      </c>
      <c r="V1767" s="14" t="str" cm="1">
        <f t="array" aca="1" ref="V1767" ca="1">_xlfn.IFS(Table1[[#This Row],[Agreement Days]]&gt;=0,"Expired",Table1[[#This Row],[Agreement Days]]&gt;=-30,"Expires &lt; 30 Days",Table1[[#This Row],[Agreement Days]]&gt;=-60,"Expires &lt; 60 Days",Table1[[#This Row],[Agreement Days]]&lt;-60,"Valid Contract")</f>
        <v>Valid Contract</v>
      </c>
      <c r="W1767" s="14" t="s">
        <v>17</v>
      </c>
      <c r="X1767" s="14" t="s">
        <v>3071</v>
      </c>
      <c r="Y1767" s="73" t="s">
        <v>3072</v>
      </c>
      <c r="Z1767" s="27">
        <v>788550338</v>
      </c>
      <c r="AA1767" s="17"/>
      <c r="AB1767" s="123"/>
      <c r="AC1767" s="123"/>
    </row>
    <row r="1768" spans="1:29" s="11" customFormat="1" hidden="1" x14ac:dyDescent="0.3">
      <c r="A1768" s="18" t="s">
        <v>3098</v>
      </c>
      <c r="B1768" s="18" t="s">
        <v>139</v>
      </c>
      <c r="C1768" s="18" t="s">
        <v>3111</v>
      </c>
      <c r="D1768" s="14" t="s">
        <v>586</v>
      </c>
      <c r="E1768" s="18" t="s">
        <v>9</v>
      </c>
      <c r="F1768" s="14" t="s">
        <v>517</v>
      </c>
      <c r="G1768" s="14" t="s">
        <v>546</v>
      </c>
      <c r="H1768" s="18" t="s">
        <v>5</v>
      </c>
      <c r="I1768" s="14" t="s">
        <v>117</v>
      </c>
      <c r="J1768" s="14">
        <v>1</v>
      </c>
      <c r="K1768" s="14" t="s">
        <v>2087</v>
      </c>
      <c r="L1768" s="14"/>
      <c r="M1768" s="14">
        <v>1</v>
      </c>
      <c r="N1768" s="15">
        <f t="shared" si="71"/>
        <v>90000</v>
      </c>
      <c r="O1768" s="15">
        <f t="shared" si="70"/>
        <v>90000</v>
      </c>
      <c r="P1768" s="15"/>
      <c r="Q1768" s="14" t="s">
        <v>520</v>
      </c>
      <c r="R1768" s="21">
        <v>45747</v>
      </c>
      <c r="S1768" s="22" t="str">
        <f>TEXT(Table1[[#This Row],[End Date]],"MMMM")</f>
        <v>March</v>
      </c>
      <c r="T1768" s="23" t="str">
        <f>TEXT(Table1[[#This Row],[End Date]],"YYYY")</f>
        <v>2025</v>
      </c>
      <c r="U1768" s="24">
        <f t="shared" ca="1" si="69"/>
        <v>-614</v>
      </c>
      <c r="V1768" s="14" t="str" cm="1">
        <f t="array" aca="1" ref="V1768" ca="1">_xlfn.IFS(Table1[[#This Row],[Agreement Days]]&gt;=0,"Expired",Table1[[#This Row],[Agreement Days]]&gt;=-30,"Expires &lt; 30 Days",Table1[[#This Row],[Agreement Days]]&gt;=-60,"Expires &lt; 60 Days",Table1[[#This Row],[Agreement Days]]&lt;-60,"Valid Contract")</f>
        <v>Valid Contract</v>
      </c>
      <c r="W1768" s="14" t="s">
        <v>17</v>
      </c>
      <c r="X1768" s="14" t="s">
        <v>3071</v>
      </c>
      <c r="Y1768" s="73" t="s">
        <v>3072</v>
      </c>
      <c r="Z1768" s="27">
        <v>788550338</v>
      </c>
      <c r="AA1768" s="17"/>
      <c r="AB1768" s="123"/>
      <c r="AC1768" s="123"/>
    </row>
    <row r="1769" spans="1:29" s="11" customFormat="1" hidden="1" x14ac:dyDescent="0.3">
      <c r="A1769" s="18" t="s">
        <v>3098</v>
      </c>
      <c r="B1769" s="18" t="s">
        <v>139</v>
      </c>
      <c r="C1769" s="18" t="s">
        <v>3112</v>
      </c>
      <c r="D1769" s="14" t="s">
        <v>532</v>
      </c>
      <c r="E1769" s="18" t="s">
        <v>9</v>
      </c>
      <c r="F1769" s="14" t="s">
        <v>517</v>
      </c>
      <c r="G1769" s="14" t="s">
        <v>546</v>
      </c>
      <c r="H1769" s="18" t="s">
        <v>5</v>
      </c>
      <c r="I1769" s="14" t="s">
        <v>117</v>
      </c>
      <c r="J1769" s="14">
        <v>1</v>
      </c>
      <c r="K1769" s="14" t="s">
        <v>2087</v>
      </c>
      <c r="L1769" s="14"/>
      <c r="M1769" s="14">
        <v>1</v>
      </c>
      <c r="N1769" s="15">
        <f t="shared" si="71"/>
        <v>90000</v>
      </c>
      <c r="O1769" s="15">
        <f t="shared" si="70"/>
        <v>90000</v>
      </c>
      <c r="P1769" s="15"/>
      <c r="Q1769" s="14" t="s">
        <v>520</v>
      </c>
      <c r="R1769" s="21">
        <v>45747</v>
      </c>
      <c r="S1769" s="22" t="str">
        <f>TEXT(Table1[[#This Row],[End Date]],"MMMM")</f>
        <v>March</v>
      </c>
      <c r="T1769" s="23" t="str">
        <f>TEXT(Table1[[#This Row],[End Date]],"YYYY")</f>
        <v>2025</v>
      </c>
      <c r="U1769" s="24">
        <f t="shared" ca="1" si="69"/>
        <v>-614</v>
      </c>
      <c r="V1769" s="14" t="str" cm="1">
        <f t="array" aca="1" ref="V1769" ca="1">_xlfn.IFS(Table1[[#This Row],[Agreement Days]]&gt;=0,"Expired",Table1[[#This Row],[Agreement Days]]&gt;=-30,"Expires &lt; 30 Days",Table1[[#This Row],[Agreement Days]]&gt;=-60,"Expires &lt; 60 Days",Table1[[#This Row],[Agreement Days]]&lt;-60,"Valid Contract")</f>
        <v>Valid Contract</v>
      </c>
      <c r="W1769" s="14" t="s">
        <v>17</v>
      </c>
      <c r="X1769" s="14" t="s">
        <v>3071</v>
      </c>
      <c r="Y1769" s="73" t="s">
        <v>3072</v>
      </c>
      <c r="Z1769" s="27">
        <v>788550338</v>
      </c>
      <c r="AA1769" s="17"/>
      <c r="AB1769" s="123"/>
      <c r="AC1769" s="123"/>
    </row>
    <row r="1770" spans="1:29" s="11" customFormat="1" hidden="1" x14ac:dyDescent="0.3">
      <c r="A1770" s="18" t="s">
        <v>3098</v>
      </c>
      <c r="B1770" s="18" t="s">
        <v>139</v>
      </c>
      <c r="C1770" s="18" t="s">
        <v>3113</v>
      </c>
      <c r="D1770" s="14" t="s">
        <v>532</v>
      </c>
      <c r="E1770" s="18" t="s">
        <v>9</v>
      </c>
      <c r="F1770" s="14" t="s">
        <v>517</v>
      </c>
      <c r="G1770" s="14" t="s">
        <v>546</v>
      </c>
      <c r="H1770" s="18" t="s">
        <v>5</v>
      </c>
      <c r="I1770" s="14" t="s">
        <v>117</v>
      </c>
      <c r="J1770" s="14">
        <v>1</v>
      </c>
      <c r="K1770" s="14" t="s">
        <v>2087</v>
      </c>
      <c r="L1770" s="14"/>
      <c r="M1770" s="14">
        <v>1</v>
      </c>
      <c r="N1770" s="15">
        <f t="shared" si="71"/>
        <v>90000</v>
      </c>
      <c r="O1770" s="15">
        <f t="shared" si="70"/>
        <v>90000</v>
      </c>
      <c r="P1770" s="15"/>
      <c r="Q1770" s="14" t="s">
        <v>520</v>
      </c>
      <c r="R1770" s="21">
        <v>45747</v>
      </c>
      <c r="S1770" s="22" t="str">
        <f>TEXT(Table1[[#This Row],[End Date]],"MMMM")</f>
        <v>March</v>
      </c>
      <c r="T1770" s="23" t="str">
        <f>TEXT(Table1[[#This Row],[End Date]],"YYYY")</f>
        <v>2025</v>
      </c>
      <c r="U1770" s="24">
        <f t="shared" ca="1" si="69"/>
        <v>-614</v>
      </c>
      <c r="V1770" s="14" t="str" cm="1">
        <f t="array" aca="1" ref="V1770" ca="1">_xlfn.IFS(Table1[[#This Row],[Agreement Days]]&gt;=0,"Expired",Table1[[#This Row],[Agreement Days]]&gt;=-30,"Expires &lt; 30 Days",Table1[[#This Row],[Agreement Days]]&gt;=-60,"Expires &lt; 60 Days",Table1[[#This Row],[Agreement Days]]&lt;-60,"Valid Contract")</f>
        <v>Valid Contract</v>
      </c>
      <c r="W1770" s="14" t="s">
        <v>17</v>
      </c>
      <c r="X1770" s="14" t="s">
        <v>3071</v>
      </c>
      <c r="Y1770" s="73" t="s">
        <v>3072</v>
      </c>
      <c r="Z1770" s="27">
        <v>788550338</v>
      </c>
      <c r="AA1770" s="17"/>
      <c r="AB1770" s="123"/>
      <c r="AC1770" s="123"/>
    </row>
    <row r="1771" spans="1:29" s="11" customFormat="1" hidden="1" x14ac:dyDescent="0.3">
      <c r="A1771" s="18" t="s">
        <v>3098</v>
      </c>
      <c r="B1771" s="18" t="s">
        <v>139</v>
      </c>
      <c r="C1771" s="18" t="s">
        <v>3114</v>
      </c>
      <c r="D1771" s="14" t="s">
        <v>929</v>
      </c>
      <c r="E1771" s="18" t="s">
        <v>9</v>
      </c>
      <c r="F1771" s="14" t="s">
        <v>517</v>
      </c>
      <c r="G1771" s="14" t="s">
        <v>546</v>
      </c>
      <c r="H1771" s="18" t="s">
        <v>5</v>
      </c>
      <c r="I1771" s="14" t="s">
        <v>117</v>
      </c>
      <c r="J1771" s="14">
        <v>1</v>
      </c>
      <c r="K1771" s="14" t="s">
        <v>2087</v>
      </c>
      <c r="L1771" s="14"/>
      <c r="M1771" s="14">
        <v>1</v>
      </c>
      <c r="N1771" s="15">
        <f t="shared" si="71"/>
        <v>90000</v>
      </c>
      <c r="O1771" s="15">
        <f t="shared" si="70"/>
        <v>90000</v>
      </c>
      <c r="P1771" s="15"/>
      <c r="Q1771" s="14" t="s">
        <v>520</v>
      </c>
      <c r="R1771" s="21">
        <v>45747</v>
      </c>
      <c r="S1771" s="22" t="str">
        <f>TEXT(Table1[[#This Row],[End Date]],"MMMM")</f>
        <v>March</v>
      </c>
      <c r="T1771" s="23" t="str">
        <f>TEXT(Table1[[#This Row],[End Date]],"YYYY")</f>
        <v>2025</v>
      </c>
      <c r="U1771" s="24">
        <f t="shared" ca="1" si="69"/>
        <v>-614</v>
      </c>
      <c r="V1771" s="14" t="str" cm="1">
        <f t="array" aca="1" ref="V1771" ca="1">_xlfn.IFS(Table1[[#This Row],[Agreement Days]]&gt;=0,"Expired",Table1[[#This Row],[Agreement Days]]&gt;=-30,"Expires &lt; 30 Days",Table1[[#This Row],[Agreement Days]]&gt;=-60,"Expires &lt; 60 Days",Table1[[#This Row],[Agreement Days]]&lt;-60,"Valid Contract")</f>
        <v>Valid Contract</v>
      </c>
      <c r="W1771" s="14" t="s">
        <v>17</v>
      </c>
      <c r="X1771" s="14" t="s">
        <v>3071</v>
      </c>
      <c r="Y1771" s="73" t="s">
        <v>3072</v>
      </c>
      <c r="Z1771" s="27">
        <v>788550338</v>
      </c>
      <c r="AA1771" s="17"/>
      <c r="AB1771" s="123"/>
      <c r="AC1771" s="123"/>
    </row>
    <row r="1772" spans="1:29" s="11" customFormat="1" hidden="1" x14ac:dyDescent="0.3">
      <c r="A1772" s="18" t="s">
        <v>3098</v>
      </c>
      <c r="B1772" s="18" t="s">
        <v>139</v>
      </c>
      <c r="C1772" s="18" t="s">
        <v>3115</v>
      </c>
      <c r="D1772" s="14" t="s">
        <v>808</v>
      </c>
      <c r="E1772" s="18" t="s">
        <v>9</v>
      </c>
      <c r="F1772" s="14" t="s">
        <v>517</v>
      </c>
      <c r="G1772" s="14" t="s">
        <v>546</v>
      </c>
      <c r="H1772" s="18" t="s">
        <v>5</v>
      </c>
      <c r="I1772" s="14" t="s">
        <v>117</v>
      </c>
      <c r="J1772" s="14">
        <v>1</v>
      </c>
      <c r="K1772" s="14" t="s">
        <v>2087</v>
      </c>
      <c r="L1772" s="14"/>
      <c r="M1772" s="14">
        <v>1</v>
      </c>
      <c r="N1772" s="15">
        <f t="shared" si="71"/>
        <v>90000</v>
      </c>
      <c r="O1772" s="15">
        <f t="shared" si="70"/>
        <v>90000</v>
      </c>
      <c r="P1772" s="15"/>
      <c r="Q1772" s="14" t="s">
        <v>520</v>
      </c>
      <c r="R1772" s="21">
        <v>45747</v>
      </c>
      <c r="S1772" s="22" t="str">
        <f>TEXT(Table1[[#This Row],[End Date]],"MMMM")</f>
        <v>March</v>
      </c>
      <c r="T1772" s="23" t="str">
        <f>TEXT(Table1[[#This Row],[End Date]],"YYYY")</f>
        <v>2025</v>
      </c>
      <c r="U1772" s="24">
        <f t="shared" ca="1" si="69"/>
        <v>-614</v>
      </c>
      <c r="V1772" s="14" t="str" cm="1">
        <f t="array" aca="1" ref="V1772" ca="1">_xlfn.IFS(Table1[[#This Row],[Agreement Days]]&gt;=0,"Expired",Table1[[#This Row],[Agreement Days]]&gt;=-30,"Expires &lt; 30 Days",Table1[[#This Row],[Agreement Days]]&gt;=-60,"Expires &lt; 60 Days",Table1[[#This Row],[Agreement Days]]&lt;-60,"Valid Contract")</f>
        <v>Valid Contract</v>
      </c>
      <c r="W1772" s="14" t="s">
        <v>17</v>
      </c>
      <c r="X1772" s="14" t="s">
        <v>3071</v>
      </c>
      <c r="Y1772" s="73" t="s">
        <v>3072</v>
      </c>
      <c r="Z1772" s="27">
        <v>788550338</v>
      </c>
      <c r="AA1772" s="17"/>
      <c r="AB1772" s="123"/>
      <c r="AC1772" s="123"/>
    </row>
    <row r="1773" spans="1:29" s="11" customFormat="1" hidden="1" x14ac:dyDescent="0.3">
      <c r="A1773" s="18" t="s">
        <v>3098</v>
      </c>
      <c r="B1773" s="18" t="s">
        <v>139</v>
      </c>
      <c r="C1773" s="18" t="s">
        <v>3116</v>
      </c>
      <c r="D1773" s="14" t="s">
        <v>1280</v>
      </c>
      <c r="E1773" s="18" t="s">
        <v>9</v>
      </c>
      <c r="F1773" s="14" t="s">
        <v>517</v>
      </c>
      <c r="G1773" s="14" t="s">
        <v>546</v>
      </c>
      <c r="H1773" s="18" t="s">
        <v>5</v>
      </c>
      <c r="I1773" s="14" t="s">
        <v>117</v>
      </c>
      <c r="J1773" s="14">
        <v>1</v>
      </c>
      <c r="K1773" s="14" t="s">
        <v>2087</v>
      </c>
      <c r="L1773" s="14"/>
      <c r="M1773" s="14">
        <v>1</v>
      </c>
      <c r="N1773" s="15">
        <f t="shared" si="71"/>
        <v>90000</v>
      </c>
      <c r="O1773" s="15">
        <f t="shared" si="70"/>
        <v>90000</v>
      </c>
      <c r="P1773" s="15"/>
      <c r="Q1773" s="14" t="s">
        <v>520</v>
      </c>
      <c r="R1773" s="21">
        <v>45747</v>
      </c>
      <c r="S1773" s="22" t="str">
        <f>TEXT(Table1[[#This Row],[End Date]],"MMMM")</f>
        <v>March</v>
      </c>
      <c r="T1773" s="23" t="str">
        <f>TEXT(Table1[[#This Row],[End Date]],"YYYY")</f>
        <v>2025</v>
      </c>
      <c r="U1773" s="24">
        <f t="shared" ca="1" si="69"/>
        <v>-614</v>
      </c>
      <c r="V1773" s="14" t="str" cm="1">
        <f t="array" aca="1" ref="V1773" ca="1">_xlfn.IFS(Table1[[#This Row],[Agreement Days]]&gt;=0,"Expired",Table1[[#This Row],[Agreement Days]]&gt;=-30,"Expires &lt; 30 Days",Table1[[#This Row],[Agreement Days]]&gt;=-60,"Expires &lt; 60 Days",Table1[[#This Row],[Agreement Days]]&lt;-60,"Valid Contract")</f>
        <v>Valid Contract</v>
      </c>
      <c r="W1773" s="14" t="s">
        <v>17</v>
      </c>
      <c r="X1773" s="14" t="s">
        <v>3071</v>
      </c>
      <c r="Y1773" s="73" t="s">
        <v>3072</v>
      </c>
      <c r="Z1773" s="27">
        <v>788550338</v>
      </c>
      <c r="AA1773" s="17"/>
      <c r="AB1773" s="123"/>
      <c r="AC1773" s="123"/>
    </row>
    <row r="1774" spans="1:29" s="11" customFormat="1" hidden="1" x14ac:dyDescent="0.3">
      <c r="A1774" s="18" t="s">
        <v>3098</v>
      </c>
      <c r="B1774" s="18" t="s">
        <v>139</v>
      </c>
      <c r="C1774" s="18" t="s">
        <v>3117</v>
      </c>
      <c r="D1774" s="14" t="s">
        <v>616</v>
      </c>
      <c r="E1774" s="18" t="s">
        <v>9</v>
      </c>
      <c r="F1774" s="14" t="s">
        <v>517</v>
      </c>
      <c r="G1774" s="14" t="s">
        <v>546</v>
      </c>
      <c r="H1774" s="18" t="s">
        <v>5</v>
      </c>
      <c r="I1774" s="14" t="s">
        <v>117</v>
      </c>
      <c r="J1774" s="14">
        <v>1</v>
      </c>
      <c r="K1774" s="14" t="s">
        <v>2087</v>
      </c>
      <c r="L1774" s="14"/>
      <c r="M1774" s="14">
        <v>1</v>
      </c>
      <c r="N1774" s="15">
        <f t="shared" si="71"/>
        <v>90000</v>
      </c>
      <c r="O1774" s="15">
        <f t="shared" si="70"/>
        <v>90000</v>
      </c>
      <c r="P1774" s="15"/>
      <c r="Q1774" s="14" t="s">
        <v>520</v>
      </c>
      <c r="R1774" s="21">
        <v>45747</v>
      </c>
      <c r="S1774" s="22" t="str">
        <f>TEXT(Table1[[#This Row],[End Date]],"MMMM")</f>
        <v>March</v>
      </c>
      <c r="T1774" s="23" t="str">
        <f>TEXT(Table1[[#This Row],[End Date]],"YYYY")</f>
        <v>2025</v>
      </c>
      <c r="U1774" s="24">
        <f t="shared" ca="1" si="69"/>
        <v>-614</v>
      </c>
      <c r="V1774" s="14" t="str" cm="1">
        <f t="array" aca="1" ref="V1774" ca="1">_xlfn.IFS(Table1[[#This Row],[Agreement Days]]&gt;=0,"Expired",Table1[[#This Row],[Agreement Days]]&gt;=-30,"Expires &lt; 30 Days",Table1[[#This Row],[Agreement Days]]&gt;=-60,"Expires &lt; 60 Days",Table1[[#This Row],[Agreement Days]]&lt;-60,"Valid Contract")</f>
        <v>Valid Contract</v>
      </c>
      <c r="W1774" s="14" t="s">
        <v>17</v>
      </c>
      <c r="X1774" s="14" t="s">
        <v>3071</v>
      </c>
      <c r="Y1774" s="73" t="s">
        <v>3072</v>
      </c>
      <c r="Z1774" s="27">
        <v>788550338</v>
      </c>
      <c r="AA1774" s="17"/>
      <c r="AB1774" s="123"/>
      <c r="AC1774" s="123"/>
    </row>
    <row r="1775" spans="1:29" s="11" customFormat="1" hidden="1" x14ac:dyDescent="0.3">
      <c r="A1775" s="18" t="s">
        <v>3098</v>
      </c>
      <c r="B1775" s="18" t="s">
        <v>139</v>
      </c>
      <c r="C1775" s="18" t="s">
        <v>3118</v>
      </c>
      <c r="D1775" s="14" t="s">
        <v>848</v>
      </c>
      <c r="E1775" s="18" t="s">
        <v>9</v>
      </c>
      <c r="F1775" s="14" t="s">
        <v>517</v>
      </c>
      <c r="G1775" s="14" t="s">
        <v>546</v>
      </c>
      <c r="H1775" s="18" t="s">
        <v>5</v>
      </c>
      <c r="I1775" s="14" t="s">
        <v>117</v>
      </c>
      <c r="J1775" s="14">
        <v>1</v>
      </c>
      <c r="K1775" s="14" t="s">
        <v>2087</v>
      </c>
      <c r="L1775" s="14"/>
      <c r="M1775" s="14">
        <v>1</v>
      </c>
      <c r="N1775" s="15">
        <f t="shared" si="71"/>
        <v>90000</v>
      </c>
      <c r="O1775" s="15">
        <f t="shared" si="70"/>
        <v>90000</v>
      </c>
      <c r="P1775" s="15"/>
      <c r="Q1775" s="14" t="s">
        <v>520</v>
      </c>
      <c r="R1775" s="21">
        <v>45747</v>
      </c>
      <c r="S1775" s="22" t="str">
        <f>TEXT(Table1[[#This Row],[End Date]],"MMMM")</f>
        <v>March</v>
      </c>
      <c r="T1775" s="23" t="str">
        <f>TEXT(Table1[[#This Row],[End Date]],"YYYY")</f>
        <v>2025</v>
      </c>
      <c r="U1775" s="24">
        <f t="shared" ca="1" si="69"/>
        <v>-614</v>
      </c>
      <c r="V1775" s="14" t="str" cm="1">
        <f t="array" aca="1" ref="V1775" ca="1">_xlfn.IFS(Table1[[#This Row],[Agreement Days]]&gt;=0,"Expired",Table1[[#This Row],[Agreement Days]]&gt;=-30,"Expires &lt; 30 Days",Table1[[#This Row],[Agreement Days]]&gt;=-60,"Expires &lt; 60 Days",Table1[[#This Row],[Agreement Days]]&lt;-60,"Valid Contract")</f>
        <v>Valid Contract</v>
      </c>
      <c r="W1775" s="14" t="s">
        <v>17</v>
      </c>
      <c r="X1775" s="14" t="s">
        <v>3071</v>
      </c>
      <c r="Y1775" s="73" t="s">
        <v>3072</v>
      </c>
      <c r="Z1775" s="27">
        <v>788550338</v>
      </c>
      <c r="AA1775" s="17"/>
      <c r="AB1775" s="123"/>
      <c r="AC1775" s="123"/>
    </row>
    <row r="1776" spans="1:29" s="11" customFormat="1" hidden="1" x14ac:dyDescent="0.3">
      <c r="A1776" s="18" t="s">
        <v>3098</v>
      </c>
      <c r="B1776" s="18" t="s">
        <v>139</v>
      </c>
      <c r="C1776" s="18" t="s">
        <v>3119</v>
      </c>
      <c r="D1776" s="14" t="s">
        <v>848</v>
      </c>
      <c r="E1776" s="18" t="s">
        <v>9</v>
      </c>
      <c r="F1776" s="14" t="s">
        <v>517</v>
      </c>
      <c r="G1776" s="14" t="s">
        <v>546</v>
      </c>
      <c r="H1776" s="18" t="s">
        <v>5</v>
      </c>
      <c r="I1776" s="14" t="s">
        <v>117</v>
      </c>
      <c r="J1776" s="14">
        <v>1</v>
      </c>
      <c r="K1776" s="14" t="s">
        <v>2087</v>
      </c>
      <c r="L1776" s="14"/>
      <c r="M1776" s="14">
        <v>1</v>
      </c>
      <c r="N1776" s="15">
        <f t="shared" si="71"/>
        <v>90000</v>
      </c>
      <c r="O1776" s="15">
        <f t="shared" si="70"/>
        <v>90000</v>
      </c>
      <c r="P1776" s="15"/>
      <c r="Q1776" s="14" t="s">
        <v>520</v>
      </c>
      <c r="R1776" s="21">
        <v>45747</v>
      </c>
      <c r="S1776" s="22" t="str">
        <f>TEXT(Table1[[#This Row],[End Date]],"MMMM")</f>
        <v>March</v>
      </c>
      <c r="T1776" s="23" t="str">
        <f>TEXT(Table1[[#This Row],[End Date]],"YYYY")</f>
        <v>2025</v>
      </c>
      <c r="U1776" s="24">
        <f t="shared" ca="1" si="69"/>
        <v>-614</v>
      </c>
      <c r="V1776" s="14" t="str" cm="1">
        <f t="array" aca="1" ref="V1776" ca="1">_xlfn.IFS(Table1[[#This Row],[Agreement Days]]&gt;=0,"Expired",Table1[[#This Row],[Agreement Days]]&gt;=-30,"Expires &lt; 30 Days",Table1[[#This Row],[Agreement Days]]&gt;=-60,"Expires &lt; 60 Days",Table1[[#This Row],[Agreement Days]]&lt;-60,"Valid Contract")</f>
        <v>Valid Contract</v>
      </c>
      <c r="W1776" s="14" t="s">
        <v>17</v>
      </c>
      <c r="X1776" s="14" t="s">
        <v>3071</v>
      </c>
      <c r="Y1776" s="73" t="s">
        <v>3072</v>
      </c>
      <c r="Z1776" s="27">
        <v>788550338</v>
      </c>
      <c r="AA1776" s="17"/>
      <c r="AB1776" s="123"/>
      <c r="AC1776" s="123"/>
    </row>
    <row r="1777" spans="1:29" s="11" customFormat="1" hidden="1" x14ac:dyDescent="0.3">
      <c r="A1777" s="18" t="s">
        <v>3098</v>
      </c>
      <c r="B1777" s="18" t="s">
        <v>139</v>
      </c>
      <c r="C1777" s="18" t="s">
        <v>3120</v>
      </c>
      <c r="D1777" s="14" t="s">
        <v>540</v>
      </c>
      <c r="E1777" s="18" t="s">
        <v>9</v>
      </c>
      <c r="F1777" s="14" t="s">
        <v>517</v>
      </c>
      <c r="G1777" s="14" t="s">
        <v>546</v>
      </c>
      <c r="H1777" s="18" t="s">
        <v>5</v>
      </c>
      <c r="I1777" s="14" t="s">
        <v>117</v>
      </c>
      <c r="J1777" s="14">
        <v>1</v>
      </c>
      <c r="K1777" s="14" t="s">
        <v>2087</v>
      </c>
      <c r="L1777" s="14"/>
      <c r="M1777" s="14">
        <v>1</v>
      </c>
      <c r="N1777" s="15">
        <f t="shared" si="71"/>
        <v>90000</v>
      </c>
      <c r="O1777" s="15">
        <f t="shared" si="70"/>
        <v>90000</v>
      </c>
      <c r="P1777" s="15"/>
      <c r="Q1777" s="14" t="s">
        <v>520</v>
      </c>
      <c r="R1777" s="21">
        <v>45747</v>
      </c>
      <c r="S1777" s="22" t="str">
        <f>TEXT(Table1[[#This Row],[End Date]],"MMMM")</f>
        <v>March</v>
      </c>
      <c r="T1777" s="23" t="str">
        <f>TEXT(Table1[[#This Row],[End Date]],"YYYY")</f>
        <v>2025</v>
      </c>
      <c r="U1777" s="24">
        <f t="shared" ca="1" si="69"/>
        <v>-614</v>
      </c>
      <c r="V1777" s="14" t="str" cm="1">
        <f t="array" aca="1" ref="V1777" ca="1">_xlfn.IFS(Table1[[#This Row],[Agreement Days]]&gt;=0,"Expired",Table1[[#This Row],[Agreement Days]]&gt;=-30,"Expires &lt; 30 Days",Table1[[#This Row],[Agreement Days]]&gt;=-60,"Expires &lt; 60 Days",Table1[[#This Row],[Agreement Days]]&lt;-60,"Valid Contract")</f>
        <v>Valid Contract</v>
      </c>
      <c r="W1777" s="14" t="s">
        <v>17</v>
      </c>
      <c r="X1777" s="14" t="s">
        <v>3071</v>
      </c>
      <c r="Y1777" s="73" t="s">
        <v>3072</v>
      </c>
      <c r="Z1777" s="27">
        <v>788550338</v>
      </c>
      <c r="AA1777" s="17"/>
      <c r="AB1777" s="123"/>
      <c r="AC1777" s="123"/>
    </row>
    <row r="1778" spans="1:29" s="11" customFormat="1" hidden="1" x14ac:dyDescent="0.3">
      <c r="A1778" s="18" t="s">
        <v>3098</v>
      </c>
      <c r="B1778" s="18" t="s">
        <v>139</v>
      </c>
      <c r="C1778" s="18" t="s">
        <v>3121</v>
      </c>
      <c r="D1778" s="14" t="s">
        <v>540</v>
      </c>
      <c r="E1778" s="18" t="s">
        <v>9</v>
      </c>
      <c r="F1778" s="14" t="s">
        <v>517</v>
      </c>
      <c r="G1778" s="14" t="s">
        <v>546</v>
      </c>
      <c r="H1778" s="18" t="s">
        <v>5</v>
      </c>
      <c r="I1778" s="14" t="s">
        <v>117</v>
      </c>
      <c r="J1778" s="14">
        <v>1</v>
      </c>
      <c r="K1778" s="14" t="s">
        <v>2087</v>
      </c>
      <c r="L1778" s="14"/>
      <c r="M1778" s="14">
        <v>1</v>
      </c>
      <c r="N1778" s="15">
        <f t="shared" si="71"/>
        <v>90000</v>
      </c>
      <c r="O1778" s="15">
        <f t="shared" si="70"/>
        <v>90000</v>
      </c>
      <c r="P1778" s="15"/>
      <c r="Q1778" s="14" t="s">
        <v>520</v>
      </c>
      <c r="R1778" s="21">
        <v>45747</v>
      </c>
      <c r="S1778" s="22" t="str">
        <f>TEXT(Table1[[#This Row],[End Date]],"MMMM")</f>
        <v>March</v>
      </c>
      <c r="T1778" s="23" t="str">
        <f>TEXT(Table1[[#This Row],[End Date]],"YYYY")</f>
        <v>2025</v>
      </c>
      <c r="U1778" s="24">
        <f t="shared" ca="1" si="69"/>
        <v>-614</v>
      </c>
      <c r="V1778" s="14" t="str" cm="1">
        <f t="array" aca="1" ref="V1778" ca="1">_xlfn.IFS(Table1[[#This Row],[Agreement Days]]&gt;=0,"Expired",Table1[[#This Row],[Agreement Days]]&gt;=-30,"Expires &lt; 30 Days",Table1[[#This Row],[Agreement Days]]&gt;=-60,"Expires &lt; 60 Days",Table1[[#This Row],[Agreement Days]]&lt;-60,"Valid Contract")</f>
        <v>Valid Contract</v>
      </c>
      <c r="W1778" s="14" t="s">
        <v>17</v>
      </c>
      <c r="X1778" s="14" t="s">
        <v>3071</v>
      </c>
      <c r="Y1778" s="73" t="s">
        <v>3072</v>
      </c>
      <c r="Z1778" s="27">
        <v>788550338</v>
      </c>
      <c r="AA1778" s="17"/>
      <c r="AB1778" s="123"/>
      <c r="AC1778" s="123"/>
    </row>
    <row r="1779" spans="1:29" s="11" customFormat="1" hidden="1" x14ac:dyDescent="0.3">
      <c r="A1779" s="18" t="s">
        <v>3098</v>
      </c>
      <c r="B1779" s="18" t="s">
        <v>139</v>
      </c>
      <c r="C1779" s="18" t="s">
        <v>3122</v>
      </c>
      <c r="D1779" s="14" t="s">
        <v>759</v>
      </c>
      <c r="E1779" s="18" t="s">
        <v>9</v>
      </c>
      <c r="F1779" s="14" t="s">
        <v>517</v>
      </c>
      <c r="G1779" s="14" t="s">
        <v>546</v>
      </c>
      <c r="H1779" s="18" t="s">
        <v>5</v>
      </c>
      <c r="I1779" s="14" t="s">
        <v>117</v>
      </c>
      <c r="J1779" s="14">
        <v>1</v>
      </c>
      <c r="K1779" s="14" t="s">
        <v>2087</v>
      </c>
      <c r="L1779" s="14"/>
      <c r="M1779" s="14">
        <v>1</v>
      </c>
      <c r="N1779" s="15">
        <f t="shared" si="71"/>
        <v>90000</v>
      </c>
      <c r="O1779" s="15">
        <f t="shared" si="70"/>
        <v>90000</v>
      </c>
      <c r="P1779" s="15"/>
      <c r="Q1779" s="14" t="s">
        <v>520</v>
      </c>
      <c r="R1779" s="21">
        <v>45747</v>
      </c>
      <c r="S1779" s="22" t="str">
        <f>TEXT(Table1[[#This Row],[End Date]],"MMMM")</f>
        <v>March</v>
      </c>
      <c r="T1779" s="23" t="str">
        <f>TEXT(Table1[[#This Row],[End Date]],"YYYY")</f>
        <v>2025</v>
      </c>
      <c r="U1779" s="24">
        <f t="shared" ca="1" si="69"/>
        <v>-614</v>
      </c>
      <c r="V1779" s="14" t="str" cm="1">
        <f t="array" aca="1" ref="V1779" ca="1">_xlfn.IFS(Table1[[#This Row],[Agreement Days]]&gt;=0,"Expired",Table1[[#This Row],[Agreement Days]]&gt;=-30,"Expires &lt; 30 Days",Table1[[#This Row],[Agreement Days]]&gt;=-60,"Expires &lt; 60 Days",Table1[[#This Row],[Agreement Days]]&lt;-60,"Valid Contract")</f>
        <v>Valid Contract</v>
      </c>
      <c r="W1779" s="14" t="s">
        <v>17</v>
      </c>
      <c r="X1779" s="14" t="s">
        <v>3071</v>
      </c>
      <c r="Y1779" s="73" t="s">
        <v>3072</v>
      </c>
      <c r="Z1779" s="27">
        <v>788550338</v>
      </c>
      <c r="AA1779" s="17"/>
      <c r="AB1779" s="123"/>
      <c r="AC1779" s="123"/>
    </row>
    <row r="1780" spans="1:29" s="11" customFormat="1" hidden="1" x14ac:dyDescent="0.3">
      <c r="A1780" s="18" t="s">
        <v>3098</v>
      </c>
      <c r="B1780" s="18" t="s">
        <v>139</v>
      </c>
      <c r="C1780" s="18" t="s">
        <v>3123</v>
      </c>
      <c r="D1780" s="14" t="s">
        <v>759</v>
      </c>
      <c r="E1780" s="18" t="s">
        <v>9</v>
      </c>
      <c r="F1780" s="14" t="s">
        <v>517</v>
      </c>
      <c r="G1780" s="14" t="s">
        <v>546</v>
      </c>
      <c r="H1780" s="18" t="s">
        <v>5</v>
      </c>
      <c r="I1780" s="14" t="s">
        <v>117</v>
      </c>
      <c r="J1780" s="14">
        <v>1</v>
      </c>
      <c r="K1780" s="14" t="s">
        <v>2087</v>
      </c>
      <c r="L1780" s="14"/>
      <c r="M1780" s="14">
        <v>1</v>
      </c>
      <c r="N1780" s="15">
        <f t="shared" si="71"/>
        <v>90000</v>
      </c>
      <c r="O1780" s="15">
        <f t="shared" si="70"/>
        <v>90000</v>
      </c>
      <c r="P1780" s="15"/>
      <c r="Q1780" s="14" t="s">
        <v>520</v>
      </c>
      <c r="R1780" s="21">
        <v>45747</v>
      </c>
      <c r="S1780" s="22" t="str">
        <f>TEXT(Table1[[#This Row],[End Date]],"MMMM")</f>
        <v>March</v>
      </c>
      <c r="T1780" s="23" t="str">
        <f>TEXT(Table1[[#This Row],[End Date]],"YYYY")</f>
        <v>2025</v>
      </c>
      <c r="U1780" s="24">
        <f t="shared" ca="1" si="69"/>
        <v>-614</v>
      </c>
      <c r="V1780" s="14" t="str" cm="1">
        <f t="array" aca="1" ref="V1780" ca="1">_xlfn.IFS(Table1[[#This Row],[Agreement Days]]&gt;=0,"Expired",Table1[[#This Row],[Agreement Days]]&gt;=-30,"Expires &lt; 30 Days",Table1[[#This Row],[Agreement Days]]&gt;=-60,"Expires &lt; 60 Days",Table1[[#This Row],[Agreement Days]]&lt;-60,"Valid Contract")</f>
        <v>Valid Contract</v>
      </c>
      <c r="W1780" s="14" t="s">
        <v>17</v>
      </c>
      <c r="X1780" s="14" t="s">
        <v>3071</v>
      </c>
      <c r="Y1780" s="73" t="s">
        <v>3072</v>
      </c>
      <c r="Z1780" s="27">
        <v>788550338</v>
      </c>
      <c r="AA1780" s="17"/>
      <c r="AB1780" s="123"/>
      <c r="AC1780" s="123"/>
    </row>
    <row r="1781" spans="1:29" s="11" customFormat="1" hidden="1" x14ac:dyDescent="0.3">
      <c r="A1781" s="18" t="s">
        <v>3098</v>
      </c>
      <c r="B1781" s="18" t="s">
        <v>139</v>
      </c>
      <c r="C1781" s="18" t="s">
        <v>3124</v>
      </c>
      <c r="D1781" s="14" t="s">
        <v>761</v>
      </c>
      <c r="E1781" s="18" t="s">
        <v>9</v>
      </c>
      <c r="F1781" s="14" t="s">
        <v>517</v>
      </c>
      <c r="G1781" s="14" t="s">
        <v>546</v>
      </c>
      <c r="H1781" s="18" t="s">
        <v>5</v>
      </c>
      <c r="I1781" s="14" t="s">
        <v>117</v>
      </c>
      <c r="J1781" s="14">
        <v>1</v>
      </c>
      <c r="K1781" s="14" t="s">
        <v>2087</v>
      </c>
      <c r="L1781" s="14"/>
      <c r="M1781" s="14">
        <v>1</v>
      </c>
      <c r="N1781" s="15">
        <f t="shared" si="71"/>
        <v>90000</v>
      </c>
      <c r="O1781" s="15">
        <f t="shared" si="70"/>
        <v>90000</v>
      </c>
      <c r="P1781" s="15"/>
      <c r="Q1781" s="14" t="s">
        <v>520</v>
      </c>
      <c r="R1781" s="21">
        <v>45747</v>
      </c>
      <c r="S1781" s="22" t="str">
        <f>TEXT(Table1[[#This Row],[End Date]],"MMMM")</f>
        <v>March</v>
      </c>
      <c r="T1781" s="23" t="str">
        <f>TEXT(Table1[[#This Row],[End Date]],"YYYY")</f>
        <v>2025</v>
      </c>
      <c r="U1781" s="24">
        <f t="shared" ca="1" si="69"/>
        <v>-614</v>
      </c>
      <c r="V1781" s="14" t="str" cm="1">
        <f t="array" aca="1" ref="V1781" ca="1">_xlfn.IFS(Table1[[#This Row],[Agreement Days]]&gt;=0,"Expired",Table1[[#This Row],[Agreement Days]]&gt;=-30,"Expires &lt; 30 Days",Table1[[#This Row],[Agreement Days]]&gt;=-60,"Expires &lt; 60 Days",Table1[[#This Row],[Agreement Days]]&lt;-60,"Valid Contract")</f>
        <v>Valid Contract</v>
      </c>
      <c r="W1781" s="14" t="s">
        <v>17</v>
      </c>
      <c r="X1781" s="14" t="s">
        <v>3071</v>
      </c>
      <c r="Y1781" s="73" t="s">
        <v>3072</v>
      </c>
      <c r="Z1781" s="27">
        <v>788550338</v>
      </c>
      <c r="AA1781" s="17"/>
      <c r="AB1781" s="123"/>
      <c r="AC1781" s="123"/>
    </row>
    <row r="1782" spans="1:29" s="11" customFormat="1" hidden="1" x14ac:dyDescent="0.3">
      <c r="A1782" s="18" t="s">
        <v>3098</v>
      </c>
      <c r="B1782" s="18" t="s">
        <v>139</v>
      </c>
      <c r="C1782" s="18" t="s">
        <v>3125</v>
      </c>
      <c r="D1782" s="14" t="s">
        <v>735</v>
      </c>
      <c r="E1782" s="18" t="s">
        <v>9</v>
      </c>
      <c r="F1782" s="14" t="s">
        <v>517</v>
      </c>
      <c r="G1782" s="14" t="s">
        <v>546</v>
      </c>
      <c r="H1782" s="18" t="s">
        <v>5</v>
      </c>
      <c r="I1782" s="14" t="s">
        <v>117</v>
      </c>
      <c r="J1782" s="14">
        <v>1</v>
      </c>
      <c r="K1782" s="14" t="s">
        <v>2087</v>
      </c>
      <c r="L1782" s="14"/>
      <c r="M1782" s="14">
        <v>1</v>
      </c>
      <c r="N1782" s="15">
        <f t="shared" si="71"/>
        <v>90000</v>
      </c>
      <c r="O1782" s="15">
        <f t="shared" si="70"/>
        <v>90000</v>
      </c>
      <c r="P1782" s="15"/>
      <c r="Q1782" s="14" t="s">
        <v>520</v>
      </c>
      <c r="R1782" s="21">
        <v>45747</v>
      </c>
      <c r="S1782" s="22" t="str">
        <f>TEXT(Table1[[#This Row],[End Date]],"MMMM")</f>
        <v>March</v>
      </c>
      <c r="T1782" s="23" t="str">
        <f>TEXT(Table1[[#This Row],[End Date]],"YYYY")</f>
        <v>2025</v>
      </c>
      <c r="U1782" s="24">
        <f t="shared" ca="1" si="69"/>
        <v>-614</v>
      </c>
      <c r="V1782" s="14" t="str" cm="1">
        <f t="array" aca="1" ref="V1782" ca="1">_xlfn.IFS(Table1[[#This Row],[Agreement Days]]&gt;=0,"Expired",Table1[[#This Row],[Agreement Days]]&gt;=-30,"Expires &lt; 30 Days",Table1[[#This Row],[Agreement Days]]&gt;=-60,"Expires &lt; 60 Days",Table1[[#This Row],[Agreement Days]]&lt;-60,"Valid Contract")</f>
        <v>Valid Contract</v>
      </c>
      <c r="W1782" s="14" t="s">
        <v>17</v>
      </c>
      <c r="X1782" s="14" t="s">
        <v>3071</v>
      </c>
      <c r="Y1782" s="73" t="s">
        <v>3072</v>
      </c>
      <c r="Z1782" s="27">
        <v>788550338</v>
      </c>
      <c r="AA1782" s="17"/>
      <c r="AB1782" s="123"/>
      <c r="AC1782" s="123"/>
    </row>
    <row r="1783" spans="1:29" s="11" customFormat="1" hidden="1" x14ac:dyDescent="0.3">
      <c r="A1783" s="18" t="s">
        <v>3098</v>
      </c>
      <c r="B1783" s="18" t="s">
        <v>139</v>
      </c>
      <c r="C1783" s="18" t="s">
        <v>3126</v>
      </c>
      <c r="D1783" s="14" t="s">
        <v>619</v>
      </c>
      <c r="E1783" s="18" t="s">
        <v>9</v>
      </c>
      <c r="F1783" s="14" t="s">
        <v>517</v>
      </c>
      <c r="G1783" s="14" t="s">
        <v>546</v>
      </c>
      <c r="H1783" s="18" t="s">
        <v>5</v>
      </c>
      <c r="I1783" s="14" t="s">
        <v>117</v>
      </c>
      <c r="J1783" s="14">
        <v>1</v>
      </c>
      <c r="K1783" s="14" t="s">
        <v>2087</v>
      </c>
      <c r="L1783" s="14"/>
      <c r="M1783" s="14">
        <v>1</v>
      </c>
      <c r="N1783" s="15">
        <f t="shared" si="71"/>
        <v>90000</v>
      </c>
      <c r="O1783" s="15">
        <f t="shared" si="70"/>
        <v>90000</v>
      </c>
      <c r="P1783" s="15"/>
      <c r="Q1783" s="14" t="s">
        <v>520</v>
      </c>
      <c r="R1783" s="21">
        <v>45747</v>
      </c>
      <c r="S1783" s="22" t="str">
        <f>TEXT(Table1[[#This Row],[End Date]],"MMMM")</f>
        <v>March</v>
      </c>
      <c r="T1783" s="23" t="str">
        <f>TEXT(Table1[[#This Row],[End Date]],"YYYY")</f>
        <v>2025</v>
      </c>
      <c r="U1783" s="24">
        <f t="shared" ca="1" si="69"/>
        <v>-614</v>
      </c>
      <c r="V1783" s="14" t="str" cm="1">
        <f t="array" aca="1" ref="V1783" ca="1">_xlfn.IFS(Table1[[#This Row],[Agreement Days]]&gt;=0,"Expired",Table1[[#This Row],[Agreement Days]]&gt;=-30,"Expires &lt; 30 Days",Table1[[#This Row],[Agreement Days]]&gt;=-60,"Expires &lt; 60 Days",Table1[[#This Row],[Agreement Days]]&lt;-60,"Valid Contract")</f>
        <v>Valid Contract</v>
      </c>
      <c r="W1783" s="14" t="s">
        <v>17</v>
      </c>
      <c r="X1783" s="14" t="s">
        <v>3071</v>
      </c>
      <c r="Y1783" s="73" t="s">
        <v>3072</v>
      </c>
      <c r="Z1783" s="27">
        <v>788550338</v>
      </c>
      <c r="AA1783" s="17"/>
      <c r="AB1783" s="123"/>
      <c r="AC1783" s="123"/>
    </row>
    <row r="1784" spans="1:29" s="11" customFormat="1" hidden="1" x14ac:dyDescent="0.3">
      <c r="A1784" s="18" t="s">
        <v>3098</v>
      </c>
      <c r="B1784" s="18" t="s">
        <v>139</v>
      </c>
      <c r="C1784" s="18" t="s">
        <v>3127</v>
      </c>
      <c r="D1784" s="14" t="s">
        <v>810</v>
      </c>
      <c r="E1784" s="18" t="s">
        <v>9</v>
      </c>
      <c r="F1784" s="14" t="s">
        <v>517</v>
      </c>
      <c r="G1784" s="14" t="s">
        <v>546</v>
      </c>
      <c r="H1784" s="18" t="s">
        <v>5</v>
      </c>
      <c r="I1784" s="14" t="s">
        <v>117</v>
      </c>
      <c r="J1784" s="14">
        <v>1</v>
      </c>
      <c r="K1784" s="14" t="s">
        <v>2087</v>
      </c>
      <c r="L1784" s="14"/>
      <c r="M1784" s="14">
        <v>1</v>
      </c>
      <c r="N1784" s="15">
        <f t="shared" si="71"/>
        <v>90000</v>
      </c>
      <c r="O1784" s="15">
        <f t="shared" si="70"/>
        <v>90000</v>
      </c>
      <c r="P1784" s="15"/>
      <c r="Q1784" s="14" t="s">
        <v>520</v>
      </c>
      <c r="R1784" s="21">
        <v>45747</v>
      </c>
      <c r="S1784" s="22" t="str">
        <f>TEXT(Table1[[#This Row],[End Date]],"MMMM")</f>
        <v>March</v>
      </c>
      <c r="T1784" s="23" t="str">
        <f>TEXT(Table1[[#This Row],[End Date]],"YYYY")</f>
        <v>2025</v>
      </c>
      <c r="U1784" s="24">
        <f t="shared" ca="1" si="69"/>
        <v>-614</v>
      </c>
      <c r="V1784" s="14" t="str" cm="1">
        <f t="array" aca="1" ref="V1784" ca="1">_xlfn.IFS(Table1[[#This Row],[Agreement Days]]&gt;=0,"Expired",Table1[[#This Row],[Agreement Days]]&gt;=-30,"Expires &lt; 30 Days",Table1[[#This Row],[Agreement Days]]&gt;=-60,"Expires &lt; 60 Days",Table1[[#This Row],[Agreement Days]]&lt;-60,"Valid Contract")</f>
        <v>Valid Contract</v>
      </c>
      <c r="W1784" s="14" t="s">
        <v>17</v>
      </c>
      <c r="X1784" s="14" t="s">
        <v>3071</v>
      </c>
      <c r="Y1784" s="73" t="s">
        <v>3072</v>
      </c>
      <c r="Z1784" s="27">
        <v>788550338</v>
      </c>
      <c r="AA1784" s="17"/>
      <c r="AB1784" s="123"/>
      <c r="AC1784" s="123"/>
    </row>
    <row r="1785" spans="1:29" s="11" customFormat="1" hidden="1" x14ac:dyDescent="0.3">
      <c r="A1785" s="18" t="s">
        <v>3098</v>
      </c>
      <c r="B1785" s="18" t="s">
        <v>139</v>
      </c>
      <c r="C1785" s="18" t="s">
        <v>3128</v>
      </c>
      <c r="D1785" s="14" t="s">
        <v>873</v>
      </c>
      <c r="E1785" s="18" t="s">
        <v>9</v>
      </c>
      <c r="F1785" s="14" t="s">
        <v>517</v>
      </c>
      <c r="G1785" s="14" t="s">
        <v>546</v>
      </c>
      <c r="H1785" s="18" t="s">
        <v>5</v>
      </c>
      <c r="I1785" s="14" t="s">
        <v>117</v>
      </c>
      <c r="J1785" s="14">
        <v>1</v>
      </c>
      <c r="K1785" s="14" t="s">
        <v>2087</v>
      </c>
      <c r="L1785" s="14"/>
      <c r="M1785" s="14">
        <v>1</v>
      </c>
      <c r="N1785" s="15">
        <f t="shared" si="71"/>
        <v>90000</v>
      </c>
      <c r="O1785" s="15">
        <f t="shared" si="70"/>
        <v>90000</v>
      </c>
      <c r="P1785" s="15"/>
      <c r="Q1785" s="14" t="s">
        <v>520</v>
      </c>
      <c r="R1785" s="21">
        <v>45747</v>
      </c>
      <c r="S1785" s="22" t="str">
        <f>TEXT(Table1[[#This Row],[End Date]],"MMMM")</f>
        <v>March</v>
      </c>
      <c r="T1785" s="23" t="str">
        <f>TEXT(Table1[[#This Row],[End Date]],"YYYY")</f>
        <v>2025</v>
      </c>
      <c r="U1785" s="24">
        <f t="shared" ca="1" si="69"/>
        <v>-614</v>
      </c>
      <c r="V1785" s="14" t="str" cm="1">
        <f t="array" aca="1" ref="V1785" ca="1">_xlfn.IFS(Table1[[#This Row],[Agreement Days]]&gt;=0,"Expired",Table1[[#This Row],[Agreement Days]]&gt;=-30,"Expires &lt; 30 Days",Table1[[#This Row],[Agreement Days]]&gt;=-60,"Expires &lt; 60 Days",Table1[[#This Row],[Agreement Days]]&lt;-60,"Valid Contract")</f>
        <v>Valid Contract</v>
      </c>
      <c r="W1785" s="14" t="s">
        <v>17</v>
      </c>
      <c r="X1785" s="14" t="s">
        <v>3071</v>
      </c>
      <c r="Y1785" s="73" t="s">
        <v>3072</v>
      </c>
      <c r="Z1785" s="27">
        <v>788550338</v>
      </c>
      <c r="AA1785" s="17"/>
      <c r="AB1785" s="123"/>
      <c r="AC1785" s="123"/>
    </row>
    <row r="1786" spans="1:29" s="11" customFormat="1" hidden="1" x14ac:dyDescent="0.3">
      <c r="A1786" s="18" t="s">
        <v>3098</v>
      </c>
      <c r="B1786" s="18" t="s">
        <v>139</v>
      </c>
      <c r="C1786" s="18" t="s">
        <v>3129</v>
      </c>
      <c r="D1786" s="14" t="s">
        <v>875</v>
      </c>
      <c r="E1786" s="18" t="s">
        <v>9</v>
      </c>
      <c r="F1786" s="14" t="s">
        <v>517</v>
      </c>
      <c r="G1786" s="14" t="s">
        <v>546</v>
      </c>
      <c r="H1786" s="18" t="s">
        <v>5</v>
      </c>
      <c r="I1786" s="14" t="s">
        <v>117</v>
      </c>
      <c r="J1786" s="14">
        <v>1</v>
      </c>
      <c r="K1786" s="14" t="s">
        <v>2087</v>
      </c>
      <c r="L1786" s="14"/>
      <c r="M1786" s="14">
        <v>1</v>
      </c>
      <c r="N1786" s="15">
        <f t="shared" si="71"/>
        <v>90000</v>
      </c>
      <c r="O1786" s="15">
        <f t="shared" si="70"/>
        <v>90000</v>
      </c>
      <c r="P1786" s="15"/>
      <c r="Q1786" s="14" t="s">
        <v>520</v>
      </c>
      <c r="R1786" s="21">
        <v>45747</v>
      </c>
      <c r="S1786" s="22" t="str">
        <f>TEXT(Table1[[#This Row],[End Date]],"MMMM")</f>
        <v>March</v>
      </c>
      <c r="T1786" s="23" t="str">
        <f>TEXT(Table1[[#This Row],[End Date]],"YYYY")</f>
        <v>2025</v>
      </c>
      <c r="U1786" s="24">
        <f t="shared" ca="1" si="69"/>
        <v>-614</v>
      </c>
      <c r="V1786" s="14" t="str" cm="1">
        <f t="array" aca="1" ref="V1786" ca="1">_xlfn.IFS(Table1[[#This Row],[Agreement Days]]&gt;=0,"Expired",Table1[[#This Row],[Agreement Days]]&gt;=-30,"Expires &lt; 30 Days",Table1[[#This Row],[Agreement Days]]&gt;=-60,"Expires &lt; 60 Days",Table1[[#This Row],[Agreement Days]]&lt;-60,"Valid Contract")</f>
        <v>Valid Contract</v>
      </c>
      <c r="W1786" s="14" t="s">
        <v>17</v>
      </c>
      <c r="X1786" s="14" t="s">
        <v>3071</v>
      </c>
      <c r="Y1786" s="73" t="s">
        <v>3072</v>
      </c>
      <c r="Z1786" s="27">
        <v>788550338</v>
      </c>
      <c r="AA1786" s="17"/>
      <c r="AB1786" s="123"/>
      <c r="AC1786" s="123"/>
    </row>
    <row r="1787" spans="1:29" s="11" customFormat="1" hidden="1" x14ac:dyDescent="0.3">
      <c r="A1787" s="18" t="s">
        <v>3098</v>
      </c>
      <c r="B1787" s="18" t="s">
        <v>139</v>
      </c>
      <c r="C1787" s="18" t="s">
        <v>3130</v>
      </c>
      <c r="D1787" s="14" t="s">
        <v>946</v>
      </c>
      <c r="E1787" s="18" t="s">
        <v>9</v>
      </c>
      <c r="F1787" s="14" t="s">
        <v>517</v>
      </c>
      <c r="G1787" s="14" t="s">
        <v>546</v>
      </c>
      <c r="H1787" s="18" t="s">
        <v>5</v>
      </c>
      <c r="I1787" s="14" t="s">
        <v>117</v>
      </c>
      <c r="J1787" s="14">
        <v>1</v>
      </c>
      <c r="K1787" s="14" t="s">
        <v>2087</v>
      </c>
      <c r="L1787" s="14"/>
      <c r="M1787" s="14">
        <v>1</v>
      </c>
      <c r="N1787" s="15">
        <f t="shared" si="71"/>
        <v>90000</v>
      </c>
      <c r="O1787" s="15">
        <f t="shared" si="70"/>
        <v>90000</v>
      </c>
      <c r="P1787" s="15"/>
      <c r="Q1787" s="14" t="s">
        <v>520</v>
      </c>
      <c r="R1787" s="21">
        <v>45747</v>
      </c>
      <c r="S1787" s="22" t="str">
        <f>TEXT(Table1[[#This Row],[End Date]],"MMMM")</f>
        <v>March</v>
      </c>
      <c r="T1787" s="23" t="str">
        <f>TEXT(Table1[[#This Row],[End Date]],"YYYY")</f>
        <v>2025</v>
      </c>
      <c r="U1787" s="24">
        <f t="shared" ca="1" si="69"/>
        <v>-614</v>
      </c>
      <c r="V1787" s="14" t="str" cm="1">
        <f t="array" aca="1" ref="V1787" ca="1">_xlfn.IFS(Table1[[#This Row],[Agreement Days]]&gt;=0,"Expired",Table1[[#This Row],[Agreement Days]]&gt;=-30,"Expires &lt; 30 Days",Table1[[#This Row],[Agreement Days]]&gt;=-60,"Expires &lt; 60 Days",Table1[[#This Row],[Agreement Days]]&lt;-60,"Valid Contract")</f>
        <v>Valid Contract</v>
      </c>
      <c r="W1787" s="14" t="s">
        <v>17</v>
      </c>
      <c r="X1787" s="14" t="s">
        <v>3071</v>
      </c>
      <c r="Y1787" s="73" t="s">
        <v>3072</v>
      </c>
      <c r="Z1787" s="27">
        <v>788550338</v>
      </c>
      <c r="AA1787" s="17"/>
      <c r="AB1787" s="123"/>
      <c r="AC1787" s="123"/>
    </row>
    <row r="1788" spans="1:29" s="11" customFormat="1" hidden="1" x14ac:dyDescent="0.3">
      <c r="A1788" s="18" t="s">
        <v>3098</v>
      </c>
      <c r="B1788" s="18" t="s">
        <v>139</v>
      </c>
      <c r="C1788" s="18" t="s">
        <v>3131</v>
      </c>
      <c r="D1788" s="14" t="s">
        <v>946</v>
      </c>
      <c r="E1788" s="18" t="s">
        <v>9</v>
      </c>
      <c r="F1788" s="14" t="s">
        <v>517</v>
      </c>
      <c r="G1788" s="14" t="s">
        <v>546</v>
      </c>
      <c r="H1788" s="18" t="s">
        <v>5</v>
      </c>
      <c r="I1788" s="14" t="s">
        <v>117</v>
      </c>
      <c r="J1788" s="14">
        <v>1</v>
      </c>
      <c r="K1788" s="14" t="s">
        <v>2087</v>
      </c>
      <c r="L1788" s="14"/>
      <c r="M1788" s="14">
        <v>1</v>
      </c>
      <c r="N1788" s="15">
        <f t="shared" si="71"/>
        <v>90000</v>
      </c>
      <c r="O1788" s="15">
        <f t="shared" si="70"/>
        <v>90000</v>
      </c>
      <c r="P1788" s="15"/>
      <c r="Q1788" s="14" t="s">
        <v>520</v>
      </c>
      <c r="R1788" s="21">
        <v>45747</v>
      </c>
      <c r="S1788" s="22" t="str">
        <f>TEXT(Table1[[#This Row],[End Date]],"MMMM")</f>
        <v>March</v>
      </c>
      <c r="T1788" s="23" t="str">
        <f>TEXT(Table1[[#This Row],[End Date]],"YYYY")</f>
        <v>2025</v>
      </c>
      <c r="U1788" s="24">
        <f t="shared" ca="1" si="69"/>
        <v>-614</v>
      </c>
      <c r="V1788" s="14" t="str" cm="1">
        <f t="array" aca="1" ref="V1788" ca="1">_xlfn.IFS(Table1[[#This Row],[Agreement Days]]&gt;=0,"Expired",Table1[[#This Row],[Agreement Days]]&gt;=-30,"Expires &lt; 30 Days",Table1[[#This Row],[Agreement Days]]&gt;=-60,"Expires &lt; 60 Days",Table1[[#This Row],[Agreement Days]]&lt;-60,"Valid Contract")</f>
        <v>Valid Contract</v>
      </c>
      <c r="W1788" s="14" t="s">
        <v>17</v>
      </c>
      <c r="X1788" s="14" t="s">
        <v>3071</v>
      </c>
      <c r="Y1788" s="73" t="s">
        <v>3072</v>
      </c>
      <c r="Z1788" s="27">
        <v>788550338</v>
      </c>
      <c r="AA1788" s="17"/>
      <c r="AB1788" s="123"/>
      <c r="AC1788" s="123"/>
    </row>
    <row r="1789" spans="1:29" s="11" customFormat="1" hidden="1" x14ac:dyDescent="0.3">
      <c r="A1789" s="18" t="s">
        <v>3098</v>
      </c>
      <c r="B1789" s="18" t="s">
        <v>139</v>
      </c>
      <c r="C1789" s="18" t="s">
        <v>3132</v>
      </c>
      <c r="D1789" s="14" t="s">
        <v>662</v>
      </c>
      <c r="E1789" s="18" t="s">
        <v>9</v>
      </c>
      <c r="F1789" s="14" t="s">
        <v>517</v>
      </c>
      <c r="G1789" s="14" t="s">
        <v>546</v>
      </c>
      <c r="H1789" s="18" t="s">
        <v>5</v>
      </c>
      <c r="I1789" s="14" t="s">
        <v>117</v>
      </c>
      <c r="J1789" s="14">
        <v>1</v>
      </c>
      <c r="K1789" s="14" t="s">
        <v>2087</v>
      </c>
      <c r="L1789" s="14"/>
      <c r="M1789" s="14">
        <v>1</v>
      </c>
      <c r="N1789" s="15">
        <f t="shared" si="71"/>
        <v>90000</v>
      </c>
      <c r="O1789" s="15">
        <f t="shared" si="70"/>
        <v>90000</v>
      </c>
      <c r="P1789" s="15"/>
      <c r="Q1789" s="14" t="s">
        <v>520</v>
      </c>
      <c r="R1789" s="21">
        <v>45747</v>
      </c>
      <c r="S1789" s="22" t="str">
        <f>TEXT(Table1[[#This Row],[End Date]],"MMMM")</f>
        <v>March</v>
      </c>
      <c r="T1789" s="23" t="str">
        <f>TEXT(Table1[[#This Row],[End Date]],"YYYY")</f>
        <v>2025</v>
      </c>
      <c r="U1789" s="24">
        <f t="shared" ca="1" si="69"/>
        <v>-614</v>
      </c>
      <c r="V1789" s="14" t="str" cm="1">
        <f t="array" aca="1" ref="V1789" ca="1">_xlfn.IFS(Table1[[#This Row],[Agreement Days]]&gt;=0,"Expired",Table1[[#This Row],[Agreement Days]]&gt;=-30,"Expires &lt; 30 Days",Table1[[#This Row],[Agreement Days]]&gt;=-60,"Expires &lt; 60 Days",Table1[[#This Row],[Agreement Days]]&lt;-60,"Valid Contract")</f>
        <v>Valid Contract</v>
      </c>
      <c r="W1789" s="14" t="s">
        <v>17</v>
      </c>
      <c r="X1789" s="14" t="s">
        <v>3071</v>
      </c>
      <c r="Y1789" s="73" t="s">
        <v>3072</v>
      </c>
      <c r="Z1789" s="27">
        <v>788550338</v>
      </c>
      <c r="AA1789" s="17"/>
      <c r="AB1789" s="123"/>
      <c r="AC1789" s="123"/>
    </row>
    <row r="1790" spans="1:29" s="11" customFormat="1" hidden="1" x14ac:dyDescent="0.3">
      <c r="A1790" s="18" t="s">
        <v>3098</v>
      </c>
      <c r="B1790" s="18" t="s">
        <v>139</v>
      </c>
      <c r="C1790" s="18" t="s">
        <v>3133</v>
      </c>
      <c r="D1790" s="14" t="s">
        <v>630</v>
      </c>
      <c r="E1790" s="18" t="s">
        <v>9</v>
      </c>
      <c r="F1790" s="14" t="s">
        <v>517</v>
      </c>
      <c r="G1790" s="14" t="s">
        <v>546</v>
      </c>
      <c r="H1790" s="18" t="s">
        <v>5</v>
      </c>
      <c r="I1790" s="14" t="s">
        <v>117</v>
      </c>
      <c r="J1790" s="14">
        <v>1</v>
      </c>
      <c r="K1790" s="14" t="s">
        <v>2087</v>
      </c>
      <c r="L1790" s="14"/>
      <c r="M1790" s="14">
        <v>1</v>
      </c>
      <c r="N1790" s="15">
        <f t="shared" si="71"/>
        <v>90000</v>
      </c>
      <c r="O1790" s="15">
        <f t="shared" si="70"/>
        <v>90000</v>
      </c>
      <c r="P1790" s="15"/>
      <c r="Q1790" s="14" t="s">
        <v>520</v>
      </c>
      <c r="R1790" s="21">
        <v>45747</v>
      </c>
      <c r="S1790" s="22" t="str">
        <f>TEXT(Table1[[#This Row],[End Date]],"MMMM")</f>
        <v>March</v>
      </c>
      <c r="T1790" s="23" t="str">
        <f>TEXT(Table1[[#This Row],[End Date]],"YYYY")</f>
        <v>2025</v>
      </c>
      <c r="U1790" s="24">
        <f t="shared" ca="1" si="69"/>
        <v>-614</v>
      </c>
      <c r="V1790" s="14" t="str" cm="1">
        <f t="array" aca="1" ref="V1790" ca="1">_xlfn.IFS(Table1[[#This Row],[Agreement Days]]&gt;=0,"Expired",Table1[[#This Row],[Agreement Days]]&gt;=-30,"Expires &lt; 30 Days",Table1[[#This Row],[Agreement Days]]&gt;=-60,"Expires &lt; 60 Days",Table1[[#This Row],[Agreement Days]]&lt;-60,"Valid Contract")</f>
        <v>Valid Contract</v>
      </c>
      <c r="W1790" s="14" t="s">
        <v>17</v>
      </c>
      <c r="X1790" s="14" t="s">
        <v>3071</v>
      </c>
      <c r="Y1790" s="73" t="s">
        <v>3072</v>
      </c>
      <c r="Z1790" s="27">
        <v>788550338</v>
      </c>
      <c r="AA1790" s="17"/>
      <c r="AB1790" s="123"/>
      <c r="AC1790" s="123"/>
    </row>
    <row r="1791" spans="1:29" s="11" customFormat="1" hidden="1" x14ac:dyDescent="0.3">
      <c r="A1791" s="18" t="s">
        <v>3098</v>
      </c>
      <c r="B1791" s="18" t="s">
        <v>139</v>
      </c>
      <c r="C1791" s="18" t="s">
        <v>3134</v>
      </c>
      <c r="D1791" s="14" t="s">
        <v>630</v>
      </c>
      <c r="E1791" s="18" t="s">
        <v>9</v>
      </c>
      <c r="F1791" s="14" t="s">
        <v>517</v>
      </c>
      <c r="G1791" s="14" t="s">
        <v>546</v>
      </c>
      <c r="H1791" s="18" t="s">
        <v>5</v>
      </c>
      <c r="I1791" s="14" t="s">
        <v>117</v>
      </c>
      <c r="J1791" s="14">
        <v>1</v>
      </c>
      <c r="K1791" s="14" t="s">
        <v>2087</v>
      </c>
      <c r="L1791" s="14"/>
      <c r="M1791" s="14">
        <v>1</v>
      </c>
      <c r="N1791" s="15">
        <f t="shared" si="71"/>
        <v>90000</v>
      </c>
      <c r="O1791" s="15">
        <f t="shared" si="70"/>
        <v>90000</v>
      </c>
      <c r="P1791" s="15"/>
      <c r="Q1791" s="14" t="s">
        <v>520</v>
      </c>
      <c r="R1791" s="21">
        <v>45747</v>
      </c>
      <c r="S1791" s="22" t="str">
        <f>TEXT(Table1[[#This Row],[End Date]],"MMMM")</f>
        <v>March</v>
      </c>
      <c r="T1791" s="23" t="str">
        <f>TEXT(Table1[[#This Row],[End Date]],"YYYY")</f>
        <v>2025</v>
      </c>
      <c r="U1791" s="24">
        <f t="shared" ca="1" si="69"/>
        <v>-614</v>
      </c>
      <c r="V1791" s="14" t="str" cm="1">
        <f t="array" aca="1" ref="V1791" ca="1">_xlfn.IFS(Table1[[#This Row],[Agreement Days]]&gt;=0,"Expired",Table1[[#This Row],[Agreement Days]]&gt;=-30,"Expires &lt; 30 Days",Table1[[#This Row],[Agreement Days]]&gt;=-60,"Expires &lt; 60 Days",Table1[[#This Row],[Agreement Days]]&lt;-60,"Valid Contract")</f>
        <v>Valid Contract</v>
      </c>
      <c r="W1791" s="14" t="s">
        <v>17</v>
      </c>
      <c r="X1791" s="14" t="s">
        <v>3071</v>
      </c>
      <c r="Y1791" s="73" t="s">
        <v>3072</v>
      </c>
      <c r="Z1791" s="27">
        <v>788550338</v>
      </c>
      <c r="AA1791" s="17"/>
      <c r="AB1791" s="123"/>
      <c r="AC1791" s="123"/>
    </row>
    <row r="1792" spans="1:29" s="11" customFormat="1" hidden="1" x14ac:dyDescent="0.3">
      <c r="A1792" s="18" t="s">
        <v>3098</v>
      </c>
      <c r="B1792" s="18" t="s">
        <v>139</v>
      </c>
      <c r="C1792" s="18" t="s">
        <v>3135</v>
      </c>
      <c r="D1792" s="14" t="s">
        <v>653</v>
      </c>
      <c r="E1792" s="18" t="s">
        <v>9</v>
      </c>
      <c r="F1792" s="14" t="s">
        <v>517</v>
      </c>
      <c r="G1792" s="14" t="s">
        <v>546</v>
      </c>
      <c r="H1792" s="18" t="s">
        <v>5</v>
      </c>
      <c r="I1792" s="14" t="s">
        <v>117</v>
      </c>
      <c r="J1792" s="14">
        <v>1</v>
      </c>
      <c r="K1792" s="14" t="s">
        <v>2087</v>
      </c>
      <c r="L1792" s="14"/>
      <c r="M1792" s="14">
        <v>1</v>
      </c>
      <c r="N1792" s="15">
        <f t="shared" si="71"/>
        <v>90000</v>
      </c>
      <c r="O1792" s="15">
        <f t="shared" si="70"/>
        <v>90000</v>
      </c>
      <c r="P1792" s="15"/>
      <c r="Q1792" s="14" t="s">
        <v>520</v>
      </c>
      <c r="R1792" s="21">
        <v>45747</v>
      </c>
      <c r="S1792" s="22" t="str">
        <f>TEXT(Table1[[#This Row],[End Date]],"MMMM")</f>
        <v>March</v>
      </c>
      <c r="T1792" s="23" t="str">
        <f>TEXT(Table1[[#This Row],[End Date]],"YYYY")</f>
        <v>2025</v>
      </c>
      <c r="U1792" s="24">
        <f t="shared" ca="1" si="69"/>
        <v>-614</v>
      </c>
      <c r="V1792" s="14" t="str" cm="1">
        <f t="array" aca="1" ref="V1792" ca="1">_xlfn.IFS(Table1[[#This Row],[Agreement Days]]&gt;=0,"Expired",Table1[[#This Row],[Agreement Days]]&gt;=-30,"Expires &lt; 30 Days",Table1[[#This Row],[Agreement Days]]&gt;=-60,"Expires &lt; 60 Days",Table1[[#This Row],[Agreement Days]]&lt;-60,"Valid Contract")</f>
        <v>Valid Contract</v>
      </c>
      <c r="W1792" s="14" t="s">
        <v>17</v>
      </c>
      <c r="X1792" s="14" t="s">
        <v>3071</v>
      </c>
      <c r="Y1792" s="73" t="s">
        <v>3072</v>
      </c>
      <c r="Z1792" s="27">
        <v>788550338</v>
      </c>
      <c r="AA1792" s="17"/>
      <c r="AB1792" s="123"/>
      <c r="AC1792" s="123"/>
    </row>
    <row r="1793" spans="1:29" s="11" customFormat="1" hidden="1" x14ac:dyDescent="0.3">
      <c r="A1793" s="18" t="s">
        <v>3098</v>
      </c>
      <c r="B1793" s="18" t="s">
        <v>139</v>
      </c>
      <c r="C1793" s="18" t="s">
        <v>3136</v>
      </c>
      <c r="D1793" s="14" t="s">
        <v>653</v>
      </c>
      <c r="E1793" s="18" t="s">
        <v>9</v>
      </c>
      <c r="F1793" s="14" t="s">
        <v>517</v>
      </c>
      <c r="G1793" s="14" t="s">
        <v>546</v>
      </c>
      <c r="H1793" s="18" t="s">
        <v>5</v>
      </c>
      <c r="I1793" s="14" t="s">
        <v>117</v>
      </c>
      <c r="J1793" s="14">
        <v>1</v>
      </c>
      <c r="K1793" s="14" t="s">
        <v>2087</v>
      </c>
      <c r="L1793" s="14"/>
      <c r="M1793" s="14">
        <v>1</v>
      </c>
      <c r="N1793" s="15">
        <f t="shared" si="71"/>
        <v>90000</v>
      </c>
      <c r="O1793" s="15">
        <f t="shared" si="70"/>
        <v>90000</v>
      </c>
      <c r="P1793" s="15"/>
      <c r="Q1793" s="14" t="s">
        <v>520</v>
      </c>
      <c r="R1793" s="21">
        <v>45747</v>
      </c>
      <c r="S1793" s="22" t="str">
        <f>TEXT(Table1[[#This Row],[End Date]],"MMMM")</f>
        <v>March</v>
      </c>
      <c r="T1793" s="23" t="str">
        <f>TEXT(Table1[[#This Row],[End Date]],"YYYY")</f>
        <v>2025</v>
      </c>
      <c r="U1793" s="24">
        <f t="shared" ca="1" si="69"/>
        <v>-614</v>
      </c>
      <c r="V1793" s="14" t="str" cm="1">
        <f t="array" aca="1" ref="V1793" ca="1">_xlfn.IFS(Table1[[#This Row],[Agreement Days]]&gt;=0,"Expired",Table1[[#This Row],[Agreement Days]]&gt;=-30,"Expires &lt; 30 Days",Table1[[#This Row],[Agreement Days]]&gt;=-60,"Expires &lt; 60 Days",Table1[[#This Row],[Agreement Days]]&lt;-60,"Valid Contract")</f>
        <v>Valid Contract</v>
      </c>
      <c r="W1793" s="14" t="s">
        <v>17</v>
      </c>
      <c r="X1793" s="14" t="s">
        <v>3071</v>
      </c>
      <c r="Y1793" s="73" t="s">
        <v>3072</v>
      </c>
      <c r="Z1793" s="27">
        <v>788550338</v>
      </c>
      <c r="AA1793" s="17"/>
      <c r="AB1793" s="123"/>
      <c r="AC1793" s="123"/>
    </row>
    <row r="1794" spans="1:29" s="11" customFormat="1" hidden="1" x14ac:dyDescent="0.3">
      <c r="A1794" s="18" t="s">
        <v>3098</v>
      </c>
      <c r="B1794" s="18" t="s">
        <v>139</v>
      </c>
      <c r="C1794" s="18" t="s">
        <v>3137</v>
      </c>
      <c r="D1794" s="14" t="s">
        <v>1719</v>
      </c>
      <c r="E1794" s="18" t="s">
        <v>9</v>
      </c>
      <c r="F1794" s="14" t="s">
        <v>517</v>
      </c>
      <c r="G1794" s="14" t="s">
        <v>546</v>
      </c>
      <c r="H1794" s="18" t="s">
        <v>5</v>
      </c>
      <c r="I1794" s="14" t="s">
        <v>117</v>
      </c>
      <c r="J1794" s="14">
        <v>1</v>
      </c>
      <c r="K1794" s="14" t="s">
        <v>2087</v>
      </c>
      <c r="L1794" s="14"/>
      <c r="M1794" s="14">
        <v>1</v>
      </c>
      <c r="N1794" s="15">
        <f t="shared" si="71"/>
        <v>90000</v>
      </c>
      <c r="O1794" s="15">
        <f t="shared" si="70"/>
        <v>90000</v>
      </c>
      <c r="P1794" s="15"/>
      <c r="Q1794" s="14" t="s">
        <v>520</v>
      </c>
      <c r="R1794" s="21">
        <v>45747</v>
      </c>
      <c r="S1794" s="22" t="str">
        <f>TEXT(Table1[[#This Row],[End Date]],"MMMM")</f>
        <v>March</v>
      </c>
      <c r="T1794" s="23" t="str">
        <f>TEXT(Table1[[#This Row],[End Date]],"YYYY")</f>
        <v>2025</v>
      </c>
      <c r="U1794" s="24">
        <f t="shared" ca="1" si="69"/>
        <v>-614</v>
      </c>
      <c r="V1794" s="14" t="str" cm="1">
        <f t="array" aca="1" ref="V1794" ca="1">_xlfn.IFS(Table1[[#This Row],[Agreement Days]]&gt;=0,"Expired",Table1[[#This Row],[Agreement Days]]&gt;=-30,"Expires &lt; 30 Days",Table1[[#This Row],[Agreement Days]]&gt;=-60,"Expires &lt; 60 Days",Table1[[#This Row],[Agreement Days]]&lt;-60,"Valid Contract")</f>
        <v>Valid Contract</v>
      </c>
      <c r="W1794" s="14" t="s">
        <v>17</v>
      </c>
      <c r="X1794" s="14" t="s">
        <v>3071</v>
      </c>
      <c r="Y1794" s="73" t="s">
        <v>3072</v>
      </c>
      <c r="Z1794" s="27">
        <v>788550338</v>
      </c>
      <c r="AA1794" s="17"/>
      <c r="AB1794" s="123"/>
      <c r="AC1794" s="123"/>
    </row>
    <row r="1795" spans="1:29" s="11" customFormat="1" hidden="1" x14ac:dyDescent="0.3">
      <c r="A1795" s="18" t="s">
        <v>3098</v>
      </c>
      <c r="B1795" s="18" t="s">
        <v>139</v>
      </c>
      <c r="C1795" s="18" t="s">
        <v>3138</v>
      </c>
      <c r="D1795" s="14" t="s">
        <v>769</v>
      </c>
      <c r="E1795" s="18" t="s">
        <v>9</v>
      </c>
      <c r="F1795" s="14" t="s">
        <v>517</v>
      </c>
      <c r="G1795" s="14" t="s">
        <v>546</v>
      </c>
      <c r="H1795" s="18" t="s">
        <v>5</v>
      </c>
      <c r="I1795" s="14" t="s">
        <v>117</v>
      </c>
      <c r="J1795" s="14">
        <v>1</v>
      </c>
      <c r="K1795" s="14" t="s">
        <v>2087</v>
      </c>
      <c r="L1795" s="14"/>
      <c r="M1795" s="14">
        <v>1</v>
      </c>
      <c r="N1795" s="15">
        <f t="shared" si="71"/>
        <v>90000</v>
      </c>
      <c r="O1795" s="15">
        <f t="shared" si="70"/>
        <v>90000</v>
      </c>
      <c r="P1795" s="15"/>
      <c r="Q1795" s="14" t="s">
        <v>520</v>
      </c>
      <c r="R1795" s="21">
        <v>45747</v>
      </c>
      <c r="S1795" s="22" t="str">
        <f>TEXT(Table1[[#This Row],[End Date]],"MMMM")</f>
        <v>March</v>
      </c>
      <c r="T1795" s="23" t="str">
        <f>TEXT(Table1[[#This Row],[End Date]],"YYYY")</f>
        <v>2025</v>
      </c>
      <c r="U1795" s="24">
        <f t="shared" ca="1" si="69"/>
        <v>-614</v>
      </c>
      <c r="V1795" s="14" t="str" cm="1">
        <f t="array" aca="1" ref="V1795" ca="1">_xlfn.IFS(Table1[[#This Row],[Agreement Days]]&gt;=0,"Expired",Table1[[#This Row],[Agreement Days]]&gt;=-30,"Expires &lt; 30 Days",Table1[[#This Row],[Agreement Days]]&gt;=-60,"Expires &lt; 60 Days",Table1[[#This Row],[Agreement Days]]&lt;-60,"Valid Contract")</f>
        <v>Valid Contract</v>
      </c>
      <c r="W1795" s="14" t="s">
        <v>17</v>
      </c>
      <c r="X1795" s="14" t="s">
        <v>3071</v>
      </c>
      <c r="Y1795" s="73" t="s">
        <v>3072</v>
      </c>
      <c r="Z1795" s="27">
        <v>788550338</v>
      </c>
      <c r="AA1795" s="17"/>
      <c r="AB1795" s="123"/>
      <c r="AC1795" s="123"/>
    </row>
    <row r="1796" spans="1:29" s="11" customFormat="1" hidden="1" x14ac:dyDescent="0.3">
      <c r="A1796" s="18" t="s">
        <v>3098</v>
      </c>
      <c r="B1796" s="18" t="s">
        <v>139</v>
      </c>
      <c r="C1796" s="18" t="s">
        <v>3139</v>
      </c>
      <c r="D1796" s="14" t="s">
        <v>769</v>
      </c>
      <c r="E1796" s="18" t="s">
        <v>9</v>
      </c>
      <c r="F1796" s="14" t="s">
        <v>517</v>
      </c>
      <c r="G1796" s="14" t="s">
        <v>546</v>
      </c>
      <c r="H1796" s="18" t="s">
        <v>5</v>
      </c>
      <c r="I1796" s="14" t="s">
        <v>117</v>
      </c>
      <c r="J1796" s="14">
        <v>1</v>
      </c>
      <c r="K1796" s="14" t="s">
        <v>2087</v>
      </c>
      <c r="L1796" s="14"/>
      <c r="M1796" s="14">
        <v>1</v>
      </c>
      <c r="N1796" s="15">
        <f t="shared" si="71"/>
        <v>90000</v>
      </c>
      <c r="O1796" s="15">
        <f t="shared" si="70"/>
        <v>90000</v>
      </c>
      <c r="P1796" s="15"/>
      <c r="Q1796" s="14" t="s">
        <v>520</v>
      </c>
      <c r="R1796" s="21">
        <v>45747</v>
      </c>
      <c r="S1796" s="22" t="str">
        <f>TEXT(Table1[[#This Row],[End Date]],"MMMM")</f>
        <v>March</v>
      </c>
      <c r="T1796" s="23" t="str">
        <f>TEXT(Table1[[#This Row],[End Date]],"YYYY")</f>
        <v>2025</v>
      </c>
      <c r="U1796" s="24">
        <f t="shared" ca="1" si="69"/>
        <v>-614</v>
      </c>
      <c r="V1796" s="14" t="str" cm="1">
        <f t="array" aca="1" ref="V1796" ca="1">_xlfn.IFS(Table1[[#This Row],[Agreement Days]]&gt;=0,"Expired",Table1[[#This Row],[Agreement Days]]&gt;=-30,"Expires &lt; 30 Days",Table1[[#This Row],[Agreement Days]]&gt;=-60,"Expires &lt; 60 Days",Table1[[#This Row],[Agreement Days]]&lt;-60,"Valid Contract")</f>
        <v>Valid Contract</v>
      </c>
      <c r="W1796" s="14" t="s">
        <v>17</v>
      </c>
      <c r="X1796" s="14" t="s">
        <v>3071</v>
      </c>
      <c r="Y1796" s="73" t="s">
        <v>3072</v>
      </c>
      <c r="Z1796" s="27">
        <v>788550338</v>
      </c>
      <c r="AA1796" s="17"/>
      <c r="AB1796" s="123"/>
      <c r="AC1796" s="123"/>
    </row>
    <row r="1797" spans="1:29" s="11" customFormat="1" hidden="1" x14ac:dyDescent="0.3">
      <c r="A1797" s="18" t="s">
        <v>3098</v>
      </c>
      <c r="B1797" s="18" t="s">
        <v>139</v>
      </c>
      <c r="C1797" s="18" t="s">
        <v>3140</v>
      </c>
      <c r="D1797" s="14" t="s">
        <v>771</v>
      </c>
      <c r="E1797" s="18" t="s">
        <v>9</v>
      </c>
      <c r="F1797" s="14" t="s">
        <v>517</v>
      </c>
      <c r="G1797" s="14" t="s">
        <v>546</v>
      </c>
      <c r="H1797" s="18" t="s">
        <v>5</v>
      </c>
      <c r="I1797" s="14" t="s">
        <v>117</v>
      </c>
      <c r="J1797" s="14">
        <v>1</v>
      </c>
      <c r="K1797" s="14" t="s">
        <v>2087</v>
      </c>
      <c r="L1797" s="14"/>
      <c r="M1797" s="14">
        <v>1</v>
      </c>
      <c r="N1797" s="15">
        <f t="shared" si="71"/>
        <v>90000</v>
      </c>
      <c r="O1797" s="15">
        <f t="shared" si="70"/>
        <v>90000</v>
      </c>
      <c r="P1797" s="15"/>
      <c r="Q1797" s="14" t="s">
        <v>520</v>
      </c>
      <c r="R1797" s="21">
        <v>45747</v>
      </c>
      <c r="S1797" s="22" t="str">
        <f>TEXT(Table1[[#This Row],[End Date]],"MMMM")</f>
        <v>March</v>
      </c>
      <c r="T1797" s="23" t="str">
        <f>TEXT(Table1[[#This Row],[End Date]],"YYYY")</f>
        <v>2025</v>
      </c>
      <c r="U1797" s="24">
        <f t="shared" ca="1" si="69"/>
        <v>-614</v>
      </c>
      <c r="V1797" s="14" t="str" cm="1">
        <f t="array" aca="1" ref="V1797" ca="1">_xlfn.IFS(Table1[[#This Row],[Agreement Days]]&gt;=0,"Expired",Table1[[#This Row],[Agreement Days]]&gt;=-30,"Expires &lt; 30 Days",Table1[[#This Row],[Agreement Days]]&gt;=-60,"Expires &lt; 60 Days",Table1[[#This Row],[Agreement Days]]&lt;-60,"Valid Contract")</f>
        <v>Valid Contract</v>
      </c>
      <c r="W1797" s="14" t="s">
        <v>17</v>
      </c>
      <c r="X1797" s="14" t="s">
        <v>3071</v>
      </c>
      <c r="Y1797" s="73" t="s">
        <v>3072</v>
      </c>
      <c r="Z1797" s="27">
        <v>788550338</v>
      </c>
      <c r="AA1797" s="17"/>
      <c r="AB1797" s="123"/>
      <c r="AC1797" s="123"/>
    </row>
    <row r="1798" spans="1:29" s="11" customFormat="1" hidden="1" x14ac:dyDescent="0.3">
      <c r="A1798" s="18" t="s">
        <v>3098</v>
      </c>
      <c r="B1798" s="18" t="s">
        <v>139</v>
      </c>
      <c r="C1798" s="18" t="s">
        <v>3141</v>
      </c>
      <c r="D1798" s="14" t="s">
        <v>542</v>
      </c>
      <c r="E1798" s="18" t="s">
        <v>9</v>
      </c>
      <c r="F1798" s="14" t="s">
        <v>517</v>
      </c>
      <c r="G1798" s="14" t="s">
        <v>546</v>
      </c>
      <c r="H1798" s="18" t="s">
        <v>5</v>
      </c>
      <c r="I1798" s="14" t="s">
        <v>117</v>
      </c>
      <c r="J1798" s="14">
        <v>1</v>
      </c>
      <c r="K1798" s="14" t="s">
        <v>2087</v>
      </c>
      <c r="L1798" s="14"/>
      <c r="M1798" s="14">
        <v>1</v>
      </c>
      <c r="N1798" s="15">
        <f t="shared" si="71"/>
        <v>90000</v>
      </c>
      <c r="O1798" s="15">
        <f t="shared" si="70"/>
        <v>90000</v>
      </c>
      <c r="P1798" s="15"/>
      <c r="Q1798" s="14" t="s">
        <v>520</v>
      </c>
      <c r="R1798" s="21">
        <v>45747</v>
      </c>
      <c r="S1798" s="22" t="str">
        <f>TEXT(Table1[[#This Row],[End Date]],"MMMM")</f>
        <v>March</v>
      </c>
      <c r="T1798" s="23" t="str">
        <f>TEXT(Table1[[#This Row],[End Date]],"YYYY")</f>
        <v>2025</v>
      </c>
      <c r="U1798" s="24">
        <f t="shared" ca="1" si="69"/>
        <v>-614</v>
      </c>
      <c r="V1798" s="14" t="str" cm="1">
        <f t="array" aca="1" ref="V1798" ca="1">_xlfn.IFS(Table1[[#This Row],[Agreement Days]]&gt;=0,"Expired",Table1[[#This Row],[Agreement Days]]&gt;=-30,"Expires &lt; 30 Days",Table1[[#This Row],[Agreement Days]]&gt;=-60,"Expires &lt; 60 Days",Table1[[#This Row],[Agreement Days]]&lt;-60,"Valid Contract")</f>
        <v>Valid Contract</v>
      </c>
      <c r="W1798" s="14" t="s">
        <v>17</v>
      </c>
      <c r="X1798" s="14" t="s">
        <v>3071</v>
      </c>
      <c r="Y1798" s="73" t="s">
        <v>3072</v>
      </c>
      <c r="Z1798" s="27">
        <v>788550338</v>
      </c>
      <c r="AA1798" s="17"/>
      <c r="AB1798" s="123"/>
      <c r="AC1798" s="123"/>
    </row>
    <row r="1799" spans="1:29" s="11" customFormat="1" hidden="1" x14ac:dyDescent="0.3">
      <c r="A1799" s="18" t="s">
        <v>3098</v>
      </c>
      <c r="B1799" s="18" t="s">
        <v>139</v>
      </c>
      <c r="C1799" s="18" t="s">
        <v>3142</v>
      </c>
      <c r="D1799" s="14" t="s">
        <v>579</v>
      </c>
      <c r="E1799" s="18" t="s">
        <v>9</v>
      </c>
      <c r="F1799" s="14" t="s">
        <v>517</v>
      </c>
      <c r="G1799" s="14" t="s">
        <v>546</v>
      </c>
      <c r="H1799" s="18" t="s">
        <v>5</v>
      </c>
      <c r="I1799" s="14" t="s">
        <v>117</v>
      </c>
      <c r="J1799" s="14">
        <v>1</v>
      </c>
      <c r="K1799" s="14" t="s">
        <v>2087</v>
      </c>
      <c r="L1799" s="14"/>
      <c r="M1799" s="14">
        <v>1</v>
      </c>
      <c r="N1799" s="15">
        <f t="shared" si="71"/>
        <v>90000</v>
      </c>
      <c r="O1799" s="15">
        <f t="shared" si="70"/>
        <v>90000</v>
      </c>
      <c r="P1799" s="15"/>
      <c r="Q1799" s="14" t="s">
        <v>520</v>
      </c>
      <c r="R1799" s="21">
        <v>45747</v>
      </c>
      <c r="S1799" s="22" t="str">
        <f>TEXT(Table1[[#This Row],[End Date]],"MMMM")</f>
        <v>March</v>
      </c>
      <c r="T1799" s="23" t="str">
        <f>TEXT(Table1[[#This Row],[End Date]],"YYYY")</f>
        <v>2025</v>
      </c>
      <c r="U1799" s="24">
        <f t="shared" ref="U1799:U1862" ca="1" si="72">TODAY()-R1799</f>
        <v>-614</v>
      </c>
      <c r="V1799" s="14" t="str" cm="1">
        <f t="array" aca="1" ref="V1799" ca="1">_xlfn.IFS(Table1[[#This Row],[Agreement Days]]&gt;=0,"Expired",Table1[[#This Row],[Agreement Days]]&gt;=-30,"Expires &lt; 30 Days",Table1[[#This Row],[Agreement Days]]&gt;=-60,"Expires &lt; 60 Days",Table1[[#This Row],[Agreement Days]]&lt;-60,"Valid Contract")</f>
        <v>Valid Contract</v>
      </c>
      <c r="W1799" s="14" t="s">
        <v>17</v>
      </c>
      <c r="X1799" s="14" t="s">
        <v>3071</v>
      </c>
      <c r="Y1799" s="73" t="s">
        <v>3072</v>
      </c>
      <c r="Z1799" s="27">
        <v>788550338</v>
      </c>
      <c r="AA1799" s="17"/>
      <c r="AB1799" s="123"/>
      <c r="AC1799" s="123"/>
    </row>
    <row r="1800" spans="1:29" s="11" customFormat="1" hidden="1" x14ac:dyDescent="0.3">
      <c r="A1800" s="18" t="s">
        <v>3098</v>
      </c>
      <c r="B1800" s="18" t="s">
        <v>139</v>
      </c>
      <c r="C1800" s="18" t="s">
        <v>3143</v>
      </c>
      <c r="D1800" s="14" t="s">
        <v>579</v>
      </c>
      <c r="E1800" s="18" t="s">
        <v>9</v>
      </c>
      <c r="F1800" s="14" t="s">
        <v>517</v>
      </c>
      <c r="G1800" s="14" t="s">
        <v>546</v>
      </c>
      <c r="H1800" s="18" t="s">
        <v>5</v>
      </c>
      <c r="I1800" s="14" t="s">
        <v>117</v>
      </c>
      <c r="J1800" s="14">
        <v>1</v>
      </c>
      <c r="K1800" s="14" t="s">
        <v>2087</v>
      </c>
      <c r="L1800" s="14"/>
      <c r="M1800" s="14">
        <v>1</v>
      </c>
      <c r="N1800" s="15">
        <f t="shared" si="71"/>
        <v>90000</v>
      </c>
      <c r="O1800" s="15">
        <f t="shared" si="70"/>
        <v>90000</v>
      </c>
      <c r="P1800" s="15"/>
      <c r="Q1800" s="14" t="s">
        <v>520</v>
      </c>
      <c r="R1800" s="21">
        <v>45747</v>
      </c>
      <c r="S1800" s="22" t="str">
        <f>TEXT(Table1[[#This Row],[End Date]],"MMMM")</f>
        <v>March</v>
      </c>
      <c r="T1800" s="23" t="str">
        <f>TEXT(Table1[[#This Row],[End Date]],"YYYY")</f>
        <v>2025</v>
      </c>
      <c r="U1800" s="24">
        <f t="shared" ca="1" si="72"/>
        <v>-614</v>
      </c>
      <c r="V1800" s="14" t="str" cm="1">
        <f t="array" aca="1" ref="V1800" ca="1">_xlfn.IFS(Table1[[#This Row],[Agreement Days]]&gt;=0,"Expired",Table1[[#This Row],[Agreement Days]]&gt;=-30,"Expires &lt; 30 Days",Table1[[#This Row],[Agreement Days]]&gt;=-60,"Expires &lt; 60 Days",Table1[[#This Row],[Agreement Days]]&lt;-60,"Valid Contract")</f>
        <v>Valid Contract</v>
      </c>
      <c r="W1800" s="14" t="s">
        <v>17</v>
      </c>
      <c r="X1800" s="14" t="s">
        <v>3071</v>
      </c>
      <c r="Y1800" s="73" t="s">
        <v>3072</v>
      </c>
      <c r="Z1800" s="27">
        <v>788550338</v>
      </c>
      <c r="AA1800" s="17"/>
      <c r="AB1800" s="123"/>
      <c r="AC1800" s="123"/>
    </row>
    <row r="1801" spans="1:29" s="11" customFormat="1" hidden="1" x14ac:dyDescent="0.3">
      <c r="A1801" s="18" t="s">
        <v>3098</v>
      </c>
      <c r="B1801" s="18" t="s">
        <v>139</v>
      </c>
      <c r="C1801" s="18" t="s">
        <v>3144</v>
      </c>
      <c r="D1801" s="14" t="s">
        <v>579</v>
      </c>
      <c r="E1801" s="18" t="s">
        <v>9</v>
      </c>
      <c r="F1801" s="14" t="s">
        <v>517</v>
      </c>
      <c r="G1801" s="14" t="s">
        <v>546</v>
      </c>
      <c r="H1801" s="18" t="s">
        <v>5</v>
      </c>
      <c r="I1801" s="14" t="s">
        <v>117</v>
      </c>
      <c r="J1801" s="14">
        <v>1</v>
      </c>
      <c r="K1801" s="14" t="s">
        <v>2087</v>
      </c>
      <c r="L1801" s="14"/>
      <c r="M1801" s="14">
        <v>1</v>
      </c>
      <c r="N1801" s="15">
        <f t="shared" si="71"/>
        <v>90000</v>
      </c>
      <c r="O1801" s="15">
        <f t="shared" si="70"/>
        <v>90000</v>
      </c>
      <c r="P1801" s="15"/>
      <c r="Q1801" s="14" t="s">
        <v>520</v>
      </c>
      <c r="R1801" s="21">
        <v>45747</v>
      </c>
      <c r="S1801" s="22" t="str">
        <f>TEXT(Table1[[#This Row],[End Date]],"MMMM")</f>
        <v>March</v>
      </c>
      <c r="T1801" s="23" t="str">
        <f>TEXT(Table1[[#This Row],[End Date]],"YYYY")</f>
        <v>2025</v>
      </c>
      <c r="U1801" s="24">
        <f t="shared" ca="1" si="72"/>
        <v>-614</v>
      </c>
      <c r="V1801" s="14" t="str" cm="1">
        <f t="array" aca="1" ref="V1801" ca="1">_xlfn.IFS(Table1[[#This Row],[Agreement Days]]&gt;=0,"Expired",Table1[[#This Row],[Agreement Days]]&gt;=-30,"Expires &lt; 30 Days",Table1[[#This Row],[Agreement Days]]&gt;=-60,"Expires &lt; 60 Days",Table1[[#This Row],[Agreement Days]]&lt;-60,"Valid Contract")</f>
        <v>Valid Contract</v>
      </c>
      <c r="W1801" s="14" t="s">
        <v>17</v>
      </c>
      <c r="X1801" s="14" t="s">
        <v>3071</v>
      </c>
      <c r="Y1801" s="73" t="s">
        <v>3072</v>
      </c>
      <c r="Z1801" s="27">
        <v>788550338</v>
      </c>
      <c r="AA1801" s="17"/>
      <c r="AB1801" s="123"/>
      <c r="AC1801" s="123"/>
    </row>
    <row r="1802" spans="1:29" s="11" customFormat="1" hidden="1" x14ac:dyDescent="0.3">
      <c r="A1802" s="18" t="s">
        <v>3098</v>
      </c>
      <c r="B1802" s="18" t="s">
        <v>139</v>
      </c>
      <c r="C1802" s="18" t="s">
        <v>3145</v>
      </c>
      <c r="D1802" s="14" t="s">
        <v>579</v>
      </c>
      <c r="E1802" s="18" t="s">
        <v>9</v>
      </c>
      <c r="F1802" s="14" t="s">
        <v>517</v>
      </c>
      <c r="G1802" s="14" t="s">
        <v>546</v>
      </c>
      <c r="H1802" s="18" t="s">
        <v>5</v>
      </c>
      <c r="I1802" s="14" t="s">
        <v>117</v>
      </c>
      <c r="J1802" s="14">
        <v>1</v>
      </c>
      <c r="K1802" s="14" t="s">
        <v>2087</v>
      </c>
      <c r="L1802" s="14"/>
      <c r="M1802" s="14">
        <v>1</v>
      </c>
      <c r="N1802" s="15">
        <f t="shared" si="71"/>
        <v>90000</v>
      </c>
      <c r="O1802" s="15">
        <f t="shared" si="70"/>
        <v>90000</v>
      </c>
      <c r="P1802" s="15"/>
      <c r="Q1802" s="14" t="s">
        <v>520</v>
      </c>
      <c r="R1802" s="21">
        <v>45747</v>
      </c>
      <c r="S1802" s="22" t="str">
        <f>TEXT(Table1[[#This Row],[End Date]],"MMMM")</f>
        <v>March</v>
      </c>
      <c r="T1802" s="23" t="str">
        <f>TEXT(Table1[[#This Row],[End Date]],"YYYY")</f>
        <v>2025</v>
      </c>
      <c r="U1802" s="24">
        <f t="shared" ca="1" si="72"/>
        <v>-614</v>
      </c>
      <c r="V1802" s="14" t="str" cm="1">
        <f t="array" aca="1" ref="V1802" ca="1">_xlfn.IFS(Table1[[#This Row],[Agreement Days]]&gt;=0,"Expired",Table1[[#This Row],[Agreement Days]]&gt;=-30,"Expires &lt; 30 Days",Table1[[#This Row],[Agreement Days]]&gt;=-60,"Expires &lt; 60 Days",Table1[[#This Row],[Agreement Days]]&lt;-60,"Valid Contract")</f>
        <v>Valid Contract</v>
      </c>
      <c r="W1802" s="14" t="s">
        <v>17</v>
      </c>
      <c r="X1802" s="14" t="s">
        <v>3071</v>
      </c>
      <c r="Y1802" s="73" t="s">
        <v>3072</v>
      </c>
      <c r="Z1802" s="27">
        <v>788550338</v>
      </c>
      <c r="AA1802" s="17"/>
      <c r="AB1802" s="123"/>
      <c r="AC1802" s="123"/>
    </row>
    <row r="1803" spans="1:29" s="11" customFormat="1" hidden="1" x14ac:dyDescent="0.3">
      <c r="A1803" s="18" t="s">
        <v>3098</v>
      </c>
      <c r="B1803" s="18" t="s">
        <v>139</v>
      </c>
      <c r="C1803" s="18" t="s">
        <v>3146</v>
      </c>
      <c r="D1803" s="14" t="s">
        <v>579</v>
      </c>
      <c r="E1803" s="18" t="s">
        <v>9</v>
      </c>
      <c r="F1803" s="14" t="s">
        <v>517</v>
      </c>
      <c r="G1803" s="14" t="s">
        <v>546</v>
      </c>
      <c r="H1803" s="18" t="s">
        <v>5</v>
      </c>
      <c r="I1803" s="14" t="s">
        <v>117</v>
      </c>
      <c r="J1803" s="14">
        <v>1</v>
      </c>
      <c r="K1803" s="14" t="s">
        <v>2087</v>
      </c>
      <c r="L1803" s="14"/>
      <c r="M1803" s="14">
        <v>1</v>
      </c>
      <c r="N1803" s="15">
        <f t="shared" si="71"/>
        <v>90000</v>
      </c>
      <c r="O1803" s="15">
        <f t="shared" si="70"/>
        <v>90000</v>
      </c>
      <c r="P1803" s="15"/>
      <c r="Q1803" s="14" t="s">
        <v>520</v>
      </c>
      <c r="R1803" s="21">
        <v>45747</v>
      </c>
      <c r="S1803" s="22" t="str">
        <f>TEXT(Table1[[#This Row],[End Date]],"MMMM")</f>
        <v>March</v>
      </c>
      <c r="T1803" s="23" t="str">
        <f>TEXT(Table1[[#This Row],[End Date]],"YYYY")</f>
        <v>2025</v>
      </c>
      <c r="U1803" s="24">
        <f t="shared" ca="1" si="72"/>
        <v>-614</v>
      </c>
      <c r="V1803" s="14" t="str" cm="1">
        <f t="array" aca="1" ref="V1803" ca="1">_xlfn.IFS(Table1[[#This Row],[Agreement Days]]&gt;=0,"Expired",Table1[[#This Row],[Agreement Days]]&gt;=-30,"Expires &lt; 30 Days",Table1[[#This Row],[Agreement Days]]&gt;=-60,"Expires &lt; 60 Days",Table1[[#This Row],[Agreement Days]]&lt;-60,"Valid Contract")</f>
        <v>Valid Contract</v>
      </c>
      <c r="W1803" s="14" t="s">
        <v>17</v>
      </c>
      <c r="X1803" s="14" t="s">
        <v>3071</v>
      </c>
      <c r="Y1803" s="73" t="s">
        <v>3072</v>
      </c>
      <c r="Z1803" s="27">
        <v>788550338</v>
      </c>
      <c r="AA1803" s="17"/>
      <c r="AB1803" s="123"/>
      <c r="AC1803" s="123"/>
    </row>
    <row r="1804" spans="1:29" s="11" customFormat="1" hidden="1" x14ac:dyDescent="0.3">
      <c r="A1804" s="18" t="s">
        <v>3098</v>
      </c>
      <c r="B1804" s="18" t="s">
        <v>139</v>
      </c>
      <c r="C1804" s="18" t="s">
        <v>3147</v>
      </c>
      <c r="D1804" s="14" t="s">
        <v>645</v>
      </c>
      <c r="E1804" s="18" t="s">
        <v>9</v>
      </c>
      <c r="F1804" s="14" t="s">
        <v>517</v>
      </c>
      <c r="G1804" s="14" t="s">
        <v>546</v>
      </c>
      <c r="H1804" s="18" t="s">
        <v>5</v>
      </c>
      <c r="I1804" s="14" t="s">
        <v>117</v>
      </c>
      <c r="J1804" s="14">
        <v>1</v>
      </c>
      <c r="K1804" s="14" t="s">
        <v>2087</v>
      </c>
      <c r="L1804" s="14"/>
      <c r="M1804" s="14">
        <v>1</v>
      </c>
      <c r="N1804" s="15">
        <f t="shared" si="71"/>
        <v>90000</v>
      </c>
      <c r="O1804" s="15">
        <f t="shared" si="70"/>
        <v>90000</v>
      </c>
      <c r="P1804" s="15"/>
      <c r="Q1804" s="14" t="s">
        <v>520</v>
      </c>
      <c r="R1804" s="21">
        <v>45747</v>
      </c>
      <c r="S1804" s="22" t="str">
        <f>TEXT(Table1[[#This Row],[End Date]],"MMMM")</f>
        <v>March</v>
      </c>
      <c r="T1804" s="23" t="str">
        <f>TEXT(Table1[[#This Row],[End Date]],"YYYY")</f>
        <v>2025</v>
      </c>
      <c r="U1804" s="24">
        <f t="shared" ca="1" si="72"/>
        <v>-614</v>
      </c>
      <c r="V1804" s="14" t="str" cm="1">
        <f t="array" aca="1" ref="V1804" ca="1">_xlfn.IFS(Table1[[#This Row],[Agreement Days]]&gt;=0,"Expired",Table1[[#This Row],[Agreement Days]]&gt;=-30,"Expires &lt; 30 Days",Table1[[#This Row],[Agreement Days]]&gt;=-60,"Expires &lt; 60 Days",Table1[[#This Row],[Agreement Days]]&lt;-60,"Valid Contract")</f>
        <v>Valid Contract</v>
      </c>
      <c r="W1804" s="14" t="s">
        <v>17</v>
      </c>
      <c r="X1804" s="14" t="s">
        <v>3071</v>
      </c>
      <c r="Y1804" s="73" t="s">
        <v>3072</v>
      </c>
      <c r="Z1804" s="27">
        <v>788550338</v>
      </c>
      <c r="AA1804" s="17"/>
      <c r="AB1804" s="123"/>
      <c r="AC1804" s="123"/>
    </row>
    <row r="1805" spans="1:29" s="11" customFormat="1" hidden="1" x14ac:dyDescent="0.3">
      <c r="A1805" s="18" t="s">
        <v>3098</v>
      </c>
      <c r="B1805" s="18" t="s">
        <v>139</v>
      </c>
      <c r="C1805" s="18" t="s">
        <v>3148</v>
      </c>
      <c r="D1805" s="14" t="s">
        <v>516</v>
      </c>
      <c r="E1805" s="18" t="s">
        <v>9</v>
      </c>
      <c r="F1805" s="14" t="s">
        <v>517</v>
      </c>
      <c r="G1805" s="14" t="s">
        <v>546</v>
      </c>
      <c r="H1805" s="18" t="s">
        <v>5</v>
      </c>
      <c r="I1805" s="14" t="s">
        <v>117</v>
      </c>
      <c r="J1805" s="14">
        <v>1</v>
      </c>
      <c r="K1805" s="14" t="s">
        <v>2087</v>
      </c>
      <c r="L1805" s="14"/>
      <c r="M1805" s="14">
        <v>1</v>
      </c>
      <c r="N1805" s="15">
        <f t="shared" si="71"/>
        <v>90000</v>
      </c>
      <c r="O1805" s="15">
        <f t="shared" si="70"/>
        <v>90000</v>
      </c>
      <c r="P1805" s="15"/>
      <c r="Q1805" s="14" t="s">
        <v>520</v>
      </c>
      <c r="R1805" s="21">
        <v>45747</v>
      </c>
      <c r="S1805" s="22" t="str">
        <f>TEXT(Table1[[#This Row],[End Date]],"MMMM")</f>
        <v>March</v>
      </c>
      <c r="T1805" s="23" t="str">
        <f>TEXT(Table1[[#This Row],[End Date]],"YYYY")</f>
        <v>2025</v>
      </c>
      <c r="U1805" s="24">
        <f t="shared" ca="1" si="72"/>
        <v>-614</v>
      </c>
      <c r="V1805" s="14" t="str" cm="1">
        <f t="array" aca="1" ref="V1805" ca="1">_xlfn.IFS(Table1[[#This Row],[Agreement Days]]&gt;=0,"Expired",Table1[[#This Row],[Agreement Days]]&gt;=-30,"Expires &lt; 30 Days",Table1[[#This Row],[Agreement Days]]&gt;=-60,"Expires &lt; 60 Days",Table1[[#This Row],[Agreement Days]]&lt;-60,"Valid Contract")</f>
        <v>Valid Contract</v>
      </c>
      <c r="W1805" s="14" t="s">
        <v>17</v>
      </c>
      <c r="X1805" s="14" t="s">
        <v>3071</v>
      </c>
      <c r="Y1805" s="73" t="s">
        <v>3072</v>
      </c>
      <c r="Z1805" s="27">
        <v>788550338</v>
      </c>
      <c r="AA1805" s="17"/>
      <c r="AB1805" s="123"/>
      <c r="AC1805" s="123"/>
    </row>
    <row r="1806" spans="1:29" s="11" customFormat="1" hidden="1" x14ac:dyDescent="0.3">
      <c r="A1806" s="18" t="s">
        <v>3098</v>
      </c>
      <c r="B1806" s="18" t="s">
        <v>139</v>
      </c>
      <c r="C1806" s="18" t="s">
        <v>3104</v>
      </c>
      <c r="D1806" s="14" t="s">
        <v>545</v>
      </c>
      <c r="E1806" s="18" t="s">
        <v>9</v>
      </c>
      <c r="F1806" s="14" t="s">
        <v>517</v>
      </c>
      <c r="G1806" s="14" t="s">
        <v>546</v>
      </c>
      <c r="H1806" s="18" t="s">
        <v>5</v>
      </c>
      <c r="I1806" s="14" t="s">
        <v>115</v>
      </c>
      <c r="J1806" s="14"/>
      <c r="K1806" s="18" t="s">
        <v>642</v>
      </c>
      <c r="L1806" s="14"/>
      <c r="M1806" s="17">
        <v>2</v>
      </c>
      <c r="N1806" s="15">
        <v>101694.92</v>
      </c>
      <c r="O1806" s="15">
        <f t="shared" ref="O1806:O1869" si="73">N1806*M1806</f>
        <v>203389.84</v>
      </c>
      <c r="P1806" s="15"/>
      <c r="Q1806" s="14" t="s">
        <v>520</v>
      </c>
      <c r="R1806" s="21">
        <v>45747</v>
      </c>
      <c r="S1806" s="22" t="str">
        <f>TEXT(Table1[[#This Row],[End Date]],"MMMM")</f>
        <v>March</v>
      </c>
      <c r="T1806" s="23" t="str">
        <f>TEXT(Table1[[#This Row],[End Date]],"YYYY")</f>
        <v>2025</v>
      </c>
      <c r="U1806" s="24">
        <f t="shared" ca="1" si="72"/>
        <v>-614</v>
      </c>
      <c r="V1806" s="14" t="str" cm="1">
        <f t="array" aca="1" ref="V1806" ca="1">_xlfn.IFS(Table1[[#This Row],[Agreement Days]]&gt;=0,"Expired",Table1[[#This Row],[Agreement Days]]&gt;=-30,"Expires &lt; 30 Days",Table1[[#This Row],[Agreement Days]]&gt;=-60,"Expires &lt; 60 Days",Table1[[#This Row],[Agreement Days]]&lt;-60,"Valid Contract")</f>
        <v>Valid Contract</v>
      </c>
      <c r="W1806" s="14" t="s">
        <v>17</v>
      </c>
      <c r="X1806" s="14" t="s">
        <v>3071</v>
      </c>
      <c r="Y1806" s="73" t="s">
        <v>3072</v>
      </c>
      <c r="Z1806" s="27">
        <v>788550338</v>
      </c>
      <c r="AA1806" s="17"/>
      <c r="AB1806" s="123"/>
      <c r="AC1806" s="123"/>
    </row>
    <row r="1807" spans="1:29" s="11" customFormat="1" hidden="1" x14ac:dyDescent="0.3">
      <c r="A1807" s="18" t="s">
        <v>3098</v>
      </c>
      <c r="B1807" s="18" t="s">
        <v>139</v>
      </c>
      <c r="C1807" s="18" t="s">
        <v>3104</v>
      </c>
      <c r="D1807" s="14" t="s">
        <v>545</v>
      </c>
      <c r="E1807" s="18" t="s">
        <v>9</v>
      </c>
      <c r="F1807" s="14" t="s">
        <v>517</v>
      </c>
      <c r="G1807" s="14" t="s">
        <v>546</v>
      </c>
      <c r="H1807" s="18" t="s">
        <v>5</v>
      </c>
      <c r="I1807" s="14" t="s">
        <v>115</v>
      </c>
      <c r="J1807" s="14"/>
      <c r="K1807" s="18" t="s">
        <v>3149</v>
      </c>
      <c r="L1807" s="14"/>
      <c r="M1807" s="19">
        <v>7</v>
      </c>
      <c r="N1807" s="15">
        <f>144000/1.18</f>
        <v>122033.89830508475</v>
      </c>
      <c r="O1807" s="15">
        <f t="shared" si="73"/>
        <v>854237.28813559317</v>
      </c>
      <c r="P1807" s="15"/>
      <c r="Q1807" s="14" t="s">
        <v>520</v>
      </c>
      <c r="R1807" s="21">
        <v>45747</v>
      </c>
      <c r="S1807" s="22" t="str">
        <f>TEXT(Table1[[#This Row],[End Date]],"MMMM")</f>
        <v>March</v>
      </c>
      <c r="T1807" s="23" t="str">
        <f>TEXT(Table1[[#This Row],[End Date]],"YYYY")</f>
        <v>2025</v>
      </c>
      <c r="U1807" s="24">
        <f t="shared" ca="1" si="72"/>
        <v>-614</v>
      </c>
      <c r="V1807" s="14" t="str" cm="1">
        <f t="array" aca="1" ref="V1807" ca="1">_xlfn.IFS(Table1[[#This Row],[Agreement Days]]&gt;=0,"Expired",Table1[[#This Row],[Agreement Days]]&gt;=-30,"Expires &lt; 30 Days",Table1[[#This Row],[Agreement Days]]&gt;=-60,"Expires &lt; 60 Days",Table1[[#This Row],[Agreement Days]]&lt;-60,"Valid Contract")</f>
        <v>Valid Contract</v>
      </c>
      <c r="W1807" s="14" t="s">
        <v>17</v>
      </c>
      <c r="X1807" s="14" t="s">
        <v>3071</v>
      </c>
      <c r="Y1807" s="73" t="s">
        <v>3072</v>
      </c>
      <c r="Z1807" s="27">
        <v>788550338</v>
      </c>
      <c r="AA1807" s="17"/>
      <c r="AB1807" s="123"/>
      <c r="AC1807" s="123"/>
    </row>
    <row r="1808" spans="1:29" s="11" customFormat="1" hidden="1" x14ac:dyDescent="0.3">
      <c r="A1808" s="18" t="s">
        <v>3098</v>
      </c>
      <c r="B1808" s="18" t="s">
        <v>139</v>
      </c>
      <c r="C1808" s="18" t="s">
        <v>3104</v>
      </c>
      <c r="D1808" s="14" t="s">
        <v>545</v>
      </c>
      <c r="E1808" s="18" t="s">
        <v>9</v>
      </c>
      <c r="F1808" s="14" t="s">
        <v>517</v>
      </c>
      <c r="G1808" s="14" t="s">
        <v>546</v>
      </c>
      <c r="H1808" s="18" t="s">
        <v>5</v>
      </c>
      <c r="I1808" s="14" t="s">
        <v>115</v>
      </c>
      <c r="J1808" s="14"/>
      <c r="K1808" s="18" t="s">
        <v>643</v>
      </c>
      <c r="L1808" s="14"/>
      <c r="M1808" s="17">
        <v>13</v>
      </c>
      <c r="N1808" s="15">
        <v>28305.08</v>
      </c>
      <c r="O1808" s="15">
        <f t="shared" si="73"/>
        <v>367966.04000000004</v>
      </c>
      <c r="P1808" s="15"/>
      <c r="Q1808" s="14" t="s">
        <v>520</v>
      </c>
      <c r="R1808" s="21">
        <v>45747</v>
      </c>
      <c r="S1808" s="22" t="str">
        <f>TEXT(Table1[[#This Row],[End Date]],"MMMM")</f>
        <v>March</v>
      </c>
      <c r="T1808" s="23" t="str">
        <f>TEXT(Table1[[#This Row],[End Date]],"YYYY")</f>
        <v>2025</v>
      </c>
      <c r="U1808" s="24">
        <f t="shared" ca="1" si="72"/>
        <v>-614</v>
      </c>
      <c r="V1808" s="14" t="str" cm="1">
        <f t="array" aca="1" ref="V1808" ca="1">_xlfn.IFS(Table1[[#This Row],[Agreement Days]]&gt;=0,"Expired",Table1[[#This Row],[Agreement Days]]&gt;=-30,"Expires &lt; 30 Days",Table1[[#This Row],[Agreement Days]]&gt;=-60,"Expires &lt; 60 Days",Table1[[#This Row],[Agreement Days]]&lt;-60,"Valid Contract")</f>
        <v>Valid Contract</v>
      </c>
      <c r="W1808" s="14" t="s">
        <v>17</v>
      </c>
      <c r="X1808" s="14" t="s">
        <v>3071</v>
      </c>
      <c r="Y1808" s="73" t="s">
        <v>3072</v>
      </c>
      <c r="Z1808" s="27">
        <v>788550338</v>
      </c>
      <c r="AA1808" s="17"/>
      <c r="AB1808" s="123"/>
      <c r="AC1808" s="123"/>
    </row>
    <row r="1809" spans="1:29" s="11" customFormat="1" hidden="1" x14ac:dyDescent="0.3">
      <c r="A1809" s="18" t="s">
        <v>3098</v>
      </c>
      <c r="B1809" s="18" t="s">
        <v>139</v>
      </c>
      <c r="C1809" s="18" t="s">
        <v>3104</v>
      </c>
      <c r="D1809" s="20" t="s">
        <v>545</v>
      </c>
      <c r="E1809" s="18" t="s">
        <v>9</v>
      </c>
      <c r="F1809" s="14" t="s">
        <v>517</v>
      </c>
      <c r="G1809" s="14" t="s">
        <v>546</v>
      </c>
      <c r="H1809" s="18" t="s">
        <v>5</v>
      </c>
      <c r="I1809" s="14" t="s">
        <v>115</v>
      </c>
      <c r="J1809" s="14"/>
      <c r="K1809" s="18" t="s">
        <v>573</v>
      </c>
      <c r="L1809" s="14"/>
      <c r="M1809" s="17">
        <v>26</v>
      </c>
      <c r="N1809" s="15">
        <v>19491.53</v>
      </c>
      <c r="O1809" s="15">
        <f t="shared" si="73"/>
        <v>506779.77999999997</v>
      </c>
      <c r="P1809" s="15"/>
      <c r="Q1809" s="14" t="s">
        <v>520</v>
      </c>
      <c r="R1809" s="21">
        <v>45747</v>
      </c>
      <c r="S1809" s="22" t="str">
        <f>TEXT(Table1[[#This Row],[End Date]],"MMMM")</f>
        <v>March</v>
      </c>
      <c r="T1809" s="23" t="str">
        <f>TEXT(Table1[[#This Row],[End Date]],"YYYY")</f>
        <v>2025</v>
      </c>
      <c r="U1809" s="24">
        <f t="shared" ca="1" si="72"/>
        <v>-614</v>
      </c>
      <c r="V1809" s="14" t="str" cm="1">
        <f t="array" aca="1" ref="V1809" ca="1">_xlfn.IFS(Table1[[#This Row],[Agreement Days]]&gt;=0,"Expired",Table1[[#This Row],[Agreement Days]]&gt;=-30,"Expires &lt; 30 Days",Table1[[#This Row],[Agreement Days]]&gt;=-60,"Expires &lt; 60 Days",Table1[[#This Row],[Agreement Days]]&lt;-60,"Valid Contract")</f>
        <v>Valid Contract</v>
      </c>
      <c r="W1809" s="14" t="s">
        <v>17</v>
      </c>
      <c r="X1809" s="14" t="s">
        <v>3071</v>
      </c>
      <c r="Y1809" s="73" t="s">
        <v>3072</v>
      </c>
      <c r="Z1809" s="27">
        <v>788550338</v>
      </c>
      <c r="AA1809" s="17"/>
      <c r="AB1809" s="123"/>
      <c r="AC1809" s="123"/>
    </row>
    <row r="1810" spans="1:29" s="11" customFormat="1" hidden="1" x14ac:dyDescent="0.3">
      <c r="A1810" s="18" t="s">
        <v>3098</v>
      </c>
      <c r="B1810" s="18" t="s">
        <v>139</v>
      </c>
      <c r="C1810" s="18" t="s">
        <v>3104</v>
      </c>
      <c r="D1810" s="14" t="s">
        <v>545</v>
      </c>
      <c r="E1810" s="18" t="s">
        <v>9</v>
      </c>
      <c r="F1810" s="14" t="s">
        <v>517</v>
      </c>
      <c r="G1810" s="14" t="s">
        <v>546</v>
      </c>
      <c r="H1810" s="18" t="s">
        <v>5</v>
      </c>
      <c r="I1810" s="14" t="s">
        <v>115</v>
      </c>
      <c r="J1810" s="14"/>
      <c r="K1810" s="18" t="s">
        <v>657</v>
      </c>
      <c r="L1810" s="14"/>
      <c r="M1810" s="17">
        <v>53</v>
      </c>
      <c r="N1810" s="15">
        <v>45338.98</v>
      </c>
      <c r="O1810" s="15">
        <f t="shared" si="73"/>
        <v>2402965.94</v>
      </c>
      <c r="P1810" s="15"/>
      <c r="Q1810" s="14" t="s">
        <v>520</v>
      </c>
      <c r="R1810" s="21">
        <v>45747</v>
      </c>
      <c r="S1810" s="22" t="str">
        <f>TEXT(Table1[[#This Row],[End Date]],"MMMM")</f>
        <v>March</v>
      </c>
      <c r="T1810" s="23" t="str">
        <f>TEXT(Table1[[#This Row],[End Date]],"YYYY")</f>
        <v>2025</v>
      </c>
      <c r="U1810" s="24">
        <f t="shared" ca="1" si="72"/>
        <v>-614</v>
      </c>
      <c r="V1810" s="14" t="str" cm="1">
        <f t="array" aca="1" ref="V1810" ca="1">_xlfn.IFS(Table1[[#This Row],[Agreement Days]]&gt;=0,"Expired",Table1[[#This Row],[Agreement Days]]&gt;=-30,"Expires &lt; 30 Days",Table1[[#This Row],[Agreement Days]]&gt;=-60,"Expires &lt; 60 Days",Table1[[#This Row],[Agreement Days]]&lt;-60,"Valid Contract")</f>
        <v>Valid Contract</v>
      </c>
      <c r="W1810" s="14" t="s">
        <v>17</v>
      </c>
      <c r="X1810" s="14" t="s">
        <v>3071</v>
      </c>
      <c r="Y1810" s="73" t="s">
        <v>3072</v>
      </c>
      <c r="Z1810" s="27">
        <v>788550338</v>
      </c>
      <c r="AA1810" s="17"/>
      <c r="AB1810" s="123"/>
      <c r="AC1810" s="123"/>
    </row>
    <row r="1811" spans="1:29" s="11" customFormat="1" hidden="1" x14ac:dyDescent="0.3">
      <c r="A1811" s="18" t="s">
        <v>1764</v>
      </c>
      <c r="B1811" s="18" t="s">
        <v>144</v>
      </c>
      <c r="C1811" s="18" t="s">
        <v>1765</v>
      </c>
      <c r="D1811" s="14" t="s">
        <v>739</v>
      </c>
      <c r="E1811" s="18" t="s">
        <v>9</v>
      </c>
      <c r="F1811" s="14" t="s">
        <v>601</v>
      </c>
      <c r="G1811" s="14" t="s">
        <v>518</v>
      </c>
      <c r="H1811" s="18" t="s">
        <v>5</v>
      </c>
      <c r="I1811" s="14" t="s">
        <v>117</v>
      </c>
      <c r="J1811" s="14">
        <v>5</v>
      </c>
      <c r="K1811" s="14" t="s">
        <v>519</v>
      </c>
      <c r="L1811" s="14"/>
      <c r="M1811" s="14">
        <v>1</v>
      </c>
      <c r="N1811" s="15">
        <v>248400</v>
      </c>
      <c r="O1811" s="15">
        <f t="shared" si="73"/>
        <v>248400</v>
      </c>
      <c r="P1811" s="15"/>
      <c r="Q1811" s="14" t="s">
        <v>520</v>
      </c>
      <c r="R1811" s="25">
        <v>45747</v>
      </c>
      <c r="S1811" s="22" t="str">
        <f>TEXT(Table1[[#This Row],[End Date]],"MMMM")</f>
        <v>March</v>
      </c>
      <c r="T1811" s="23" t="str">
        <f>TEXT(Table1[[#This Row],[End Date]],"YYYY")</f>
        <v>2025</v>
      </c>
      <c r="U1811" s="24">
        <f t="shared" ca="1" si="72"/>
        <v>-614</v>
      </c>
      <c r="V1811" s="14" t="str" cm="1">
        <f t="array" aca="1" ref="V1811" ca="1">_xlfn.IFS(Table1[[#This Row],[Agreement Days]]&gt;=0,"Expired",Table1[[#This Row],[Agreement Days]]&gt;=-30,"Expires &lt; 30 Days",Table1[[#This Row],[Agreement Days]]&gt;=-60,"Expires &lt; 60 Days",Table1[[#This Row],[Agreement Days]]&lt;-60,"Valid Contract")</f>
        <v>Valid Contract</v>
      </c>
      <c r="W1811" s="14" t="s">
        <v>19</v>
      </c>
      <c r="X1811" s="14" t="s">
        <v>1766</v>
      </c>
      <c r="Y1811" s="43" t="s">
        <v>1767</v>
      </c>
      <c r="Z1811" s="27">
        <v>788828151</v>
      </c>
      <c r="AA1811" s="17"/>
      <c r="AB1811" s="123"/>
      <c r="AC1811" s="123"/>
    </row>
    <row r="1812" spans="1:29" s="11" customFormat="1" hidden="1" x14ac:dyDescent="0.3">
      <c r="A1812" s="18" t="s">
        <v>1764</v>
      </c>
      <c r="B1812" s="18" t="s">
        <v>144</v>
      </c>
      <c r="C1812" s="18" t="s">
        <v>1768</v>
      </c>
      <c r="D1812" s="14" t="s">
        <v>739</v>
      </c>
      <c r="E1812" s="18" t="s">
        <v>9</v>
      </c>
      <c r="F1812" s="14" t="s">
        <v>601</v>
      </c>
      <c r="G1812" s="14" t="s">
        <v>518</v>
      </c>
      <c r="H1812" s="18" t="s">
        <v>5</v>
      </c>
      <c r="I1812" s="14" t="s">
        <v>117</v>
      </c>
      <c r="J1812" s="14">
        <v>5</v>
      </c>
      <c r="K1812" s="14" t="s">
        <v>519</v>
      </c>
      <c r="L1812" s="14"/>
      <c r="M1812" s="14">
        <v>1</v>
      </c>
      <c r="N1812" s="15">
        <v>248400</v>
      </c>
      <c r="O1812" s="15">
        <f t="shared" si="73"/>
        <v>248400</v>
      </c>
      <c r="P1812" s="15"/>
      <c r="Q1812" s="14" t="s">
        <v>520</v>
      </c>
      <c r="R1812" s="25">
        <v>45747</v>
      </c>
      <c r="S1812" s="22" t="str">
        <f>TEXT(Table1[[#This Row],[End Date]],"MMMM")</f>
        <v>March</v>
      </c>
      <c r="T1812" s="23" t="str">
        <f>TEXT(Table1[[#This Row],[End Date]],"YYYY")</f>
        <v>2025</v>
      </c>
      <c r="U1812" s="24">
        <f t="shared" ca="1" si="72"/>
        <v>-614</v>
      </c>
      <c r="V1812" s="14" t="str" cm="1">
        <f t="array" aca="1" ref="V1812" ca="1">_xlfn.IFS(Table1[[#This Row],[Agreement Days]]&gt;=0,"Expired",Table1[[#This Row],[Agreement Days]]&gt;=-30,"Expires &lt; 30 Days",Table1[[#This Row],[Agreement Days]]&gt;=-60,"Expires &lt; 60 Days",Table1[[#This Row],[Agreement Days]]&lt;-60,"Valid Contract")</f>
        <v>Valid Contract</v>
      </c>
      <c r="W1812" s="14" t="s">
        <v>19</v>
      </c>
      <c r="X1812" s="14" t="s">
        <v>1766</v>
      </c>
      <c r="Y1812" s="43" t="s">
        <v>1767</v>
      </c>
      <c r="Z1812" s="27">
        <v>788828151</v>
      </c>
      <c r="AA1812" s="17"/>
      <c r="AB1812" s="123"/>
      <c r="AC1812" s="123"/>
    </row>
    <row r="1813" spans="1:29" s="11" customFormat="1" hidden="1" x14ac:dyDescent="0.3">
      <c r="A1813" s="18" t="s">
        <v>1764</v>
      </c>
      <c r="B1813" s="18" t="s">
        <v>144</v>
      </c>
      <c r="C1813" s="18" t="s">
        <v>1769</v>
      </c>
      <c r="D1813" s="14" t="s">
        <v>532</v>
      </c>
      <c r="E1813" s="18" t="s">
        <v>9</v>
      </c>
      <c r="F1813" s="14" t="s">
        <v>601</v>
      </c>
      <c r="G1813" s="14" t="s">
        <v>518</v>
      </c>
      <c r="H1813" s="18" t="s">
        <v>5</v>
      </c>
      <c r="I1813" s="14" t="s">
        <v>117</v>
      </c>
      <c r="J1813" s="14">
        <v>5</v>
      </c>
      <c r="K1813" s="14" t="s">
        <v>519</v>
      </c>
      <c r="L1813" s="14"/>
      <c r="M1813" s="14">
        <v>1</v>
      </c>
      <c r="N1813" s="15">
        <v>248400</v>
      </c>
      <c r="O1813" s="15">
        <f t="shared" si="73"/>
        <v>248400</v>
      </c>
      <c r="P1813" s="15"/>
      <c r="Q1813" s="14" t="s">
        <v>520</v>
      </c>
      <c r="R1813" s="25">
        <v>45747</v>
      </c>
      <c r="S1813" s="22" t="str">
        <f>TEXT(Table1[[#This Row],[End Date]],"MMMM")</f>
        <v>March</v>
      </c>
      <c r="T1813" s="23" t="str">
        <f>TEXT(Table1[[#This Row],[End Date]],"YYYY")</f>
        <v>2025</v>
      </c>
      <c r="U1813" s="24">
        <f t="shared" ca="1" si="72"/>
        <v>-614</v>
      </c>
      <c r="V1813" s="14" t="str" cm="1">
        <f t="array" aca="1" ref="V1813" ca="1">_xlfn.IFS(Table1[[#This Row],[Agreement Days]]&gt;=0,"Expired",Table1[[#This Row],[Agreement Days]]&gt;=-30,"Expires &lt; 30 Days",Table1[[#This Row],[Agreement Days]]&gt;=-60,"Expires &lt; 60 Days",Table1[[#This Row],[Agreement Days]]&lt;-60,"Valid Contract")</f>
        <v>Valid Contract</v>
      </c>
      <c r="W1813" s="14" t="s">
        <v>19</v>
      </c>
      <c r="X1813" s="14" t="s">
        <v>1766</v>
      </c>
      <c r="Y1813" s="43" t="s">
        <v>1767</v>
      </c>
      <c r="Z1813" s="27">
        <v>788828151</v>
      </c>
      <c r="AA1813" s="17"/>
      <c r="AB1813" s="123"/>
      <c r="AC1813" s="123"/>
    </row>
    <row r="1814" spans="1:29" s="11" customFormat="1" hidden="1" x14ac:dyDescent="0.3">
      <c r="A1814" s="18" t="s">
        <v>1764</v>
      </c>
      <c r="B1814" s="18" t="s">
        <v>144</v>
      </c>
      <c r="C1814" s="18" t="s">
        <v>1774</v>
      </c>
      <c r="D1814" s="14" t="s">
        <v>619</v>
      </c>
      <c r="E1814" s="18" t="s">
        <v>9</v>
      </c>
      <c r="F1814" s="14" t="s">
        <v>601</v>
      </c>
      <c r="G1814" s="14" t="s">
        <v>518</v>
      </c>
      <c r="H1814" s="18" t="s">
        <v>5</v>
      </c>
      <c r="I1814" s="14" t="s">
        <v>117</v>
      </c>
      <c r="J1814" s="14">
        <v>5</v>
      </c>
      <c r="K1814" s="14" t="s">
        <v>519</v>
      </c>
      <c r="L1814" s="14"/>
      <c r="M1814" s="14">
        <v>1</v>
      </c>
      <c r="N1814" s="15">
        <v>248400</v>
      </c>
      <c r="O1814" s="15">
        <f t="shared" si="73"/>
        <v>248400</v>
      </c>
      <c r="P1814" s="15"/>
      <c r="Q1814" s="14" t="s">
        <v>520</v>
      </c>
      <c r="R1814" s="25">
        <v>45747</v>
      </c>
      <c r="S1814" s="22" t="str">
        <f>TEXT(Table1[[#This Row],[End Date]],"MMMM")</f>
        <v>March</v>
      </c>
      <c r="T1814" s="23" t="str">
        <f>TEXT(Table1[[#This Row],[End Date]],"YYYY")</f>
        <v>2025</v>
      </c>
      <c r="U1814" s="24">
        <f t="shared" ca="1" si="72"/>
        <v>-614</v>
      </c>
      <c r="V1814" s="14" t="str" cm="1">
        <f t="array" aca="1" ref="V1814" ca="1">_xlfn.IFS(Table1[[#This Row],[Agreement Days]]&gt;=0,"Expired",Table1[[#This Row],[Agreement Days]]&gt;=-30,"Expires &lt; 30 Days",Table1[[#This Row],[Agreement Days]]&gt;=-60,"Expires &lt; 60 Days",Table1[[#This Row],[Agreement Days]]&lt;-60,"Valid Contract")</f>
        <v>Valid Contract</v>
      </c>
      <c r="W1814" s="14" t="s">
        <v>19</v>
      </c>
      <c r="X1814" s="14" t="s">
        <v>1766</v>
      </c>
      <c r="Y1814" s="43" t="s">
        <v>1767</v>
      </c>
      <c r="Z1814" s="27">
        <v>788828151</v>
      </c>
      <c r="AA1814" s="17"/>
      <c r="AB1814" s="123"/>
      <c r="AC1814" s="123"/>
    </row>
    <row r="1815" spans="1:29" s="11" customFormat="1" hidden="1" x14ac:dyDescent="0.3">
      <c r="A1815" s="18" t="s">
        <v>1764</v>
      </c>
      <c r="B1815" s="18" t="s">
        <v>144</v>
      </c>
      <c r="C1815" s="18" t="s">
        <v>1775</v>
      </c>
      <c r="D1815" s="14" t="s">
        <v>875</v>
      </c>
      <c r="E1815" s="18" t="s">
        <v>9</v>
      </c>
      <c r="F1815" s="14" t="s">
        <v>601</v>
      </c>
      <c r="G1815" s="14" t="s">
        <v>518</v>
      </c>
      <c r="H1815" s="18" t="s">
        <v>5</v>
      </c>
      <c r="I1815" s="14" t="s">
        <v>117</v>
      </c>
      <c r="J1815" s="14">
        <v>5</v>
      </c>
      <c r="K1815" s="14" t="s">
        <v>519</v>
      </c>
      <c r="L1815" s="14"/>
      <c r="M1815" s="14">
        <v>1</v>
      </c>
      <c r="N1815" s="15">
        <v>248400</v>
      </c>
      <c r="O1815" s="15">
        <f t="shared" si="73"/>
        <v>248400</v>
      </c>
      <c r="P1815" s="15"/>
      <c r="Q1815" s="14" t="s">
        <v>520</v>
      </c>
      <c r="R1815" s="25">
        <v>45747</v>
      </c>
      <c r="S1815" s="22" t="str">
        <f>TEXT(Table1[[#This Row],[End Date]],"MMMM")</f>
        <v>March</v>
      </c>
      <c r="T1815" s="23" t="str">
        <f>TEXT(Table1[[#This Row],[End Date]],"YYYY")</f>
        <v>2025</v>
      </c>
      <c r="U1815" s="24">
        <f t="shared" ca="1" si="72"/>
        <v>-614</v>
      </c>
      <c r="V1815" s="14" t="str" cm="1">
        <f t="array" aca="1" ref="V1815" ca="1">_xlfn.IFS(Table1[[#This Row],[Agreement Days]]&gt;=0,"Expired",Table1[[#This Row],[Agreement Days]]&gt;=-30,"Expires &lt; 30 Days",Table1[[#This Row],[Agreement Days]]&gt;=-60,"Expires &lt; 60 Days",Table1[[#This Row],[Agreement Days]]&lt;-60,"Valid Contract")</f>
        <v>Valid Contract</v>
      </c>
      <c r="W1815" s="14" t="s">
        <v>19</v>
      </c>
      <c r="X1815" s="14" t="s">
        <v>1766</v>
      </c>
      <c r="Y1815" s="43" t="s">
        <v>1767</v>
      </c>
      <c r="Z1815" s="27">
        <v>788828151</v>
      </c>
      <c r="AA1815" s="17"/>
      <c r="AB1815" s="123"/>
      <c r="AC1815" s="123"/>
    </row>
    <row r="1816" spans="1:29" s="11" customFormat="1" hidden="1" x14ac:dyDescent="0.3">
      <c r="A1816" s="18" t="s">
        <v>1764</v>
      </c>
      <c r="B1816" s="18" t="s">
        <v>144</v>
      </c>
      <c r="C1816" s="18" t="s">
        <v>1772</v>
      </c>
      <c r="D1816" s="14" t="s">
        <v>761</v>
      </c>
      <c r="E1816" s="18" t="s">
        <v>9</v>
      </c>
      <c r="F1816" s="14" t="s">
        <v>601</v>
      </c>
      <c r="G1816" s="14" t="s">
        <v>518</v>
      </c>
      <c r="H1816" s="18" t="s">
        <v>5</v>
      </c>
      <c r="I1816" s="14" t="s">
        <v>117</v>
      </c>
      <c r="J1816" s="14">
        <v>8</v>
      </c>
      <c r="K1816" s="14" t="s">
        <v>3150</v>
      </c>
      <c r="L1816" s="14"/>
      <c r="M1816" s="14">
        <v>1</v>
      </c>
      <c r="N1816" s="15">
        <v>414000</v>
      </c>
      <c r="O1816" s="15">
        <f t="shared" si="73"/>
        <v>414000</v>
      </c>
      <c r="P1816" s="15"/>
      <c r="Q1816" s="14" t="s">
        <v>520</v>
      </c>
      <c r="R1816" s="25">
        <v>45747</v>
      </c>
      <c r="S1816" s="22" t="str">
        <f>TEXT(Table1[[#This Row],[End Date]],"MMMM")</f>
        <v>March</v>
      </c>
      <c r="T1816" s="23" t="str">
        <f>TEXT(Table1[[#This Row],[End Date]],"YYYY")</f>
        <v>2025</v>
      </c>
      <c r="U1816" s="24">
        <f t="shared" ca="1" si="72"/>
        <v>-614</v>
      </c>
      <c r="V1816" s="14" t="str" cm="1">
        <f t="array" aca="1" ref="V1816" ca="1">_xlfn.IFS(Table1[[#This Row],[Agreement Days]]&gt;=0,"Expired",Table1[[#This Row],[Agreement Days]]&gt;=-30,"Expires &lt; 30 Days",Table1[[#This Row],[Agreement Days]]&gt;=-60,"Expires &lt; 60 Days",Table1[[#This Row],[Agreement Days]]&lt;-60,"Valid Contract")</f>
        <v>Valid Contract</v>
      </c>
      <c r="W1816" s="14" t="s">
        <v>19</v>
      </c>
      <c r="X1816" s="14" t="s">
        <v>1766</v>
      </c>
      <c r="Y1816" s="43" t="s">
        <v>1767</v>
      </c>
      <c r="Z1816" s="27">
        <v>788828151</v>
      </c>
      <c r="AA1816" s="17"/>
      <c r="AB1816" s="123"/>
      <c r="AC1816" s="123"/>
    </row>
    <row r="1817" spans="1:29" s="11" customFormat="1" hidden="1" x14ac:dyDescent="0.3">
      <c r="A1817" s="18" t="s">
        <v>1764</v>
      </c>
      <c r="B1817" s="18" t="s">
        <v>144</v>
      </c>
      <c r="C1817" s="18" t="s">
        <v>1773</v>
      </c>
      <c r="D1817" s="14" t="s">
        <v>735</v>
      </c>
      <c r="E1817" s="18" t="s">
        <v>9</v>
      </c>
      <c r="F1817" s="14" t="s">
        <v>601</v>
      </c>
      <c r="G1817" s="14" t="s">
        <v>518</v>
      </c>
      <c r="H1817" s="18" t="s">
        <v>5</v>
      </c>
      <c r="I1817" s="14" t="s">
        <v>117</v>
      </c>
      <c r="J1817" s="14">
        <v>8</v>
      </c>
      <c r="K1817" s="14" t="s">
        <v>3150</v>
      </c>
      <c r="L1817" s="14"/>
      <c r="M1817" s="14">
        <v>1</v>
      </c>
      <c r="N1817" s="15">
        <v>414000</v>
      </c>
      <c r="O1817" s="15">
        <f t="shared" si="73"/>
        <v>414000</v>
      </c>
      <c r="P1817" s="15"/>
      <c r="Q1817" s="14" t="s">
        <v>520</v>
      </c>
      <c r="R1817" s="25">
        <v>45747</v>
      </c>
      <c r="S1817" s="22" t="str">
        <f>TEXT(Table1[[#This Row],[End Date]],"MMMM")</f>
        <v>March</v>
      </c>
      <c r="T1817" s="23" t="str">
        <f>TEXT(Table1[[#This Row],[End Date]],"YYYY")</f>
        <v>2025</v>
      </c>
      <c r="U1817" s="24">
        <f t="shared" ca="1" si="72"/>
        <v>-614</v>
      </c>
      <c r="V1817" s="14" t="str" cm="1">
        <f t="array" aca="1" ref="V1817" ca="1">_xlfn.IFS(Table1[[#This Row],[Agreement Days]]&gt;=0,"Expired",Table1[[#This Row],[Agreement Days]]&gt;=-30,"Expires &lt; 30 Days",Table1[[#This Row],[Agreement Days]]&gt;=-60,"Expires &lt; 60 Days",Table1[[#This Row],[Agreement Days]]&lt;-60,"Valid Contract")</f>
        <v>Valid Contract</v>
      </c>
      <c r="W1817" s="14" t="s">
        <v>19</v>
      </c>
      <c r="X1817" s="14" t="s">
        <v>1766</v>
      </c>
      <c r="Y1817" s="43" t="s">
        <v>1767</v>
      </c>
      <c r="Z1817" s="27">
        <v>788828151</v>
      </c>
      <c r="AA1817" s="17"/>
      <c r="AB1817" s="123"/>
      <c r="AC1817" s="123"/>
    </row>
    <row r="1818" spans="1:29" s="11" customFormat="1" hidden="1" x14ac:dyDescent="0.3">
      <c r="A1818" s="18" t="s">
        <v>1764</v>
      </c>
      <c r="B1818" s="18" t="s">
        <v>144</v>
      </c>
      <c r="C1818" s="18" t="s">
        <v>1776</v>
      </c>
      <c r="D1818" s="14" t="s">
        <v>946</v>
      </c>
      <c r="E1818" s="18" t="s">
        <v>9</v>
      </c>
      <c r="F1818" s="14" t="s">
        <v>601</v>
      </c>
      <c r="G1818" s="14" t="s">
        <v>518</v>
      </c>
      <c r="H1818" s="18" t="s">
        <v>5</v>
      </c>
      <c r="I1818" s="14" t="s">
        <v>117</v>
      </c>
      <c r="J1818" s="14">
        <v>8</v>
      </c>
      <c r="K1818" s="14" t="s">
        <v>3150</v>
      </c>
      <c r="L1818" s="14"/>
      <c r="M1818" s="14">
        <v>1</v>
      </c>
      <c r="N1818" s="15">
        <v>414000</v>
      </c>
      <c r="O1818" s="15">
        <f t="shared" si="73"/>
        <v>414000</v>
      </c>
      <c r="P1818" s="15"/>
      <c r="Q1818" s="14" t="s">
        <v>520</v>
      </c>
      <c r="R1818" s="25">
        <v>45747</v>
      </c>
      <c r="S1818" s="22" t="str">
        <f>TEXT(Table1[[#This Row],[End Date]],"MMMM")</f>
        <v>March</v>
      </c>
      <c r="T1818" s="23" t="str">
        <f>TEXT(Table1[[#This Row],[End Date]],"YYYY")</f>
        <v>2025</v>
      </c>
      <c r="U1818" s="24">
        <f t="shared" ca="1" si="72"/>
        <v>-614</v>
      </c>
      <c r="V1818" s="14" t="str" cm="1">
        <f t="array" aca="1" ref="V1818" ca="1">_xlfn.IFS(Table1[[#This Row],[Agreement Days]]&gt;=0,"Expired",Table1[[#This Row],[Agreement Days]]&gt;=-30,"Expires &lt; 30 Days",Table1[[#This Row],[Agreement Days]]&gt;=-60,"Expires &lt; 60 Days",Table1[[#This Row],[Agreement Days]]&lt;-60,"Valid Contract")</f>
        <v>Valid Contract</v>
      </c>
      <c r="W1818" s="14" t="s">
        <v>19</v>
      </c>
      <c r="X1818" s="14" t="s">
        <v>1766</v>
      </c>
      <c r="Y1818" s="43" t="s">
        <v>1767</v>
      </c>
      <c r="Z1818" s="27">
        <v>788828151</v>
      </c>
      <c r="AA1818" s="17"/>
      <c r="AB1818" s="123"/>
      <c r="AC1818" s="123"/>
    </row>
    <row r="1819" spans="1:29" s="11" customFormat="1" hidden="1" x14ac:dyDescent="0.3">
      <c r="A1819" s="18" t="s">
        <v>1764</v>
      </c>
      <c r="B1819" s="18" t="s">
        <v>144</v>
      </c>
      <c r="C1819" s="18" t="s">
        <v>1778</v>
      </c>
      <c r="D1819" s="14" t="s">
        <v>769</v>
      </c>
      <c r="E1819" s="18" t="s">
        <v>9</v>
      </c>
      <c r="F1819" s="14" t="s">
        <v>601</v>
      </c>
      <c r="G1819" s="14" t="s">
        <v>518</v>
      </c>
      <c r="H1819" s="18" t="s">
        <v>5</v>
      </c>
      <c r="I1819" s="14" t="s">
        <v>117</v>
      </c>
      <c r="J1819" s="14">
        <v>8</v>
      </c>
      <c r="K1819" s="14" t="s">
        <v>3150</v>
      </c>
      <c r="L1819" s="14"/>
      <c r="M1819" s="14">
        <v>1</v>
      </c>
      <c r="N1819" s="15">
        <v>414000</v>
      </c>
      <c r="O1819" s="15">
        <f t="shared" si="73"/>
        <v>414000</v>
      </c>
      <c r="P1819" s="15"/>
      <c r="Q1819" s="14" t="s">
        <v>520</v>
      </c>
      <c r="R1819" s="25">
        <v>45747</v>
      </c>
      <c r="S1819" s="22" t="str">
        <f>TEXT(Table1[[#This Row],[End Date]],"MMMM")</f>
        <v>March</v>
      </c>
      <c r="T1819" s="23" t="str">
        <f>TEXT(Table1[[#This Row],[End Date]],"YYYY")</f>
        <v>2025</v>
      </c>
      <c r="U1819" s="24">
        <f t="shared" ca="1" si="72"/>
        <v>-614</v>
      </c>
      <c r="V1819" s="14" t="str" cm="1">
        <f t="array" aca="1" ref="V1819" ca="1">_xlfn.IFS(Table1[[#This Row],[Agreement Days]]&gt;=0,"Expired",Table1[[#This Row],[Agreement Days]]&gt;=-30,"Expires &lt; 30 Days",Table1[[#This Row],[Agreement Days]]&gt;=-60,"Expires &lt; 60 Days",Table1[[#This Row],[Agreement Days]]&lt;-60,"Valid Contract")</f>
        <v>Valid Contract</v>
      </c>
      <c r="W1819" s="14" t="s">
        <v>19</v>
      </c>
      <c r="X1819" s="14" t="s">
        <v>1766</v>
      </c>
      <c r="Y1819" s="43" t="s">
        <v>1767</v>
      </c>
      <c r="Z1819" s="27">
        <v>788828151</v>
      </c>
      <c r="AA1819" s="17"/>
      <c r="AB1819" s="123"/>
      <c r="AC1819" s="123"/>
    </row>
    <row r="1820" spans="1:29" s="11" customFormat="1" hidden="1" x14ac:dyDescent="0.3">
      <c r="A1820" s="18" t="s">
        <v>1764</v>
      </c>
      <c r="B1820" s="18" t="s">
        <v>144</v>
      </c>
      <c r="C1820" s="18" t="s">
        <v>1779</v>
      </c>
      <c r="D1820" s="14" t="s">
        <v>579</v>
      </c>
      <c r="E1820" s="18" t="s">
        <v>9</v>
      </c>
      <c r="F1820" s="14" t="s">
        <v>601</v>
      </c>
      <c r="G1820" s="14" t="s">
        <v>518</v>
      </c>
      <c r="H1820" s="18" t="s">
        <v>5</v>
      </c>
      <c r="I1820" s="14" t="s">
        <v>117</v>
      </c>
      <c r="J1820" s="14">
        <v>8</v>
      </c>
      <c r="K1820" s="14" t="s">
        <v>3150</v>
      </c>
      <c r="L1820" s="14"/>
      <c r="M1820" s="14">
        <v>1</v>
      </c>
      <c r="N1820" s="15">
        <v>414000</v>
      </c>
      <c r="O1820" s="15">
        <f t="shared" si="73"/>
        <v>414000</v>
      </c>
      <c r="P1820" s="15"/>
      <c r="Q1820" s="14" t="s">
        <v>520</v>
      </c>
      <c r="R1820" s="25">
        <v>45747</v>
      </c>
      <c r="S1820" s="22" t="str">
        <f>TEXT(Table1[[#This Row],[End Date]],"MMMM")</f>
        <v>March</v>
      </c>
      <c r="T1820" s="23" t="str">
        <f>TEXT(Table1[[#This Row],[End Date]],"YYYY")</f>
        <v>2025</v>
      </c>
      <c r="U1820" s="24">
        <f t="shared" ca="1" si="72"/>
        <v>-614</v>
      </c>
      <c r="V1820" s="14" t="str" cm="1">
        <f t="array" aca="1" ref="V1820" ca="1">_xlfn.IFS(Table1[[#This Row],[Agreement Days]]&gt;=0,"Expired",Table1[[#This Row],[Agreement Days]]&gt;=-30,"Expires &lt; 30 Days",Table1[[#This Row],[Agreement Days]]&gt;=-60,"Expires &lt; 60 Days",Table1[[#This Row],[Agreement Days]]&lt;-60,"Valid Contract")</f>
        <v>Valid Contract</v>
      </c>
      <c r="W1820" s="14" t="s">
        <v>19</v>
      </c>
      <c r="X1820" s="14" t="s">
        <v>1766</v>
      </c>
      <c r="Y1820" s="43" t="s">
        <v>1767</v>
      </c>
      <c r="Z1820" s="27">
        <v>788828151</v>
      </c>
      <c r="AA1820" s="17"/>
      <c r="AB1820" s="123"/>
      <c r="AC1820" s="123"/>
    </row>
    <row r="1821" spans="1:29" s="11" customFormat="1" hidden="1" x14ac:dyDescent="0.3">
      <c r="A1821" s="18" t="s">
        <v>1764</v>
      </c>
      <c r="B1821" s="18" t="s">
        <v>144</v>
      </c>
      <c r="C1821" s="18" t="s">
        <v>1770</v>
      </c>
      <c r="D1821" s="14" t="s">
        <v>808</v>
      </c>
      <c r="E1821" s="18" t="s">
        <v>9</v>
      </c>
      <c r="F1821" s="14" t="s">
        <v>601</v>
      </c>
      <c r="G1821" s="14" t="s">
        <v>518</v>
      </c>
      <c r="H1821" s="18" t="s">
        <v>5</v>
      </c>
      <c r="I1821" s="14" t="s">
        <v>117</v>
      </c>
      <c r="J1821" s="14">
        <v>12</v>
      </c>
      <c r="K1821" s="14" t="s">
        <v>3151</v>
      </c>
      <c r="L1821" s="14"/>
      <c r="M1821" s="14">
        <v>1</v>
      </c>
      <c r="N1821" s="15">
        <v>607200</v>
      </c>
      <c r="O1821" s="15">
        <f t="shared" si="73"/>
        <v>607200</v>
      </c>
      <c r="P1821" s="15"/>
      <c r="Q1821" s="14" t="s">
        <v>520</v>
      </c>
      <c r="R1821" s="25">
        <v>45747</v>
      </c>
      <c r="S1821" s="22" t="str">
        <f>TEXT(Table1[[#This Row],[End Date]],"MMMM")</f>
        <v>March</v>
      </c>
      <c r="T1821" s="23" t="str">
        <f>TEXT(Table1[[#This Row],[End Date]],"YYYY")</f>
        <v>2025</v>
      </c>
      <c r="U1821" s="24">
        <f t="shared" ca="1" si="72"/>
        <v>-614</v>
      </c>
      <c r="V1821" s="14" t="str" cm="1">
        <f t="array" aca="1" ref="V1821" ca="1">_xlfn.IFS(Table1[[#This Row],[Agreement Days]]&gt;=0,"Expired",Table1[[#This Row],[Agreement Days]]&gt;=-30,"Expires &lt; 30 Days",Table1[[#This Row],[Agreement Days]]&gt;=-60,"Expires &lt; 60 Days",Table1[[#This Row],[Agreement Days]]&lt;-60,"Valid Contract")</f>
        <v>Valid Contract</v>
      </c>
      <c r="W1821" s="14" t="s">
        <v>19</v>
      </c>
      <c r="X1821" s="14" t="s">
        <v>1766</v>
      </c>
      <c r="Y1821" s="43" t="s">
        <v>1767</v>
      </c>
      <c r="Z1821" s="27">
        <v>788828151</v>
      </c>
      <c r="AA1821" s="17"/>
      <c r="AB1821" s="123"/>
      <c r="AC1821" s="123"/>
    </row>
    <row r="1822" spans="1:29" s="11" customFormat="1" hidden="1" x14ac:dyDescent="0.3">
      <c r="A1822" s="18" t="s">
        <v>1764</v>
      </c>
      <c r="B1822" s="18" t="s">
        <v>144</v>
      </c>
      <c r="C1822" s="18" t="s">
        <v>1781</v>
      </c>
      <c r="D1822" s="14" t="s">
        <v>516</v>
      </c>
      <c r="E1822" s="18" t="s">
        <v>9</v>
      </c>
      <c r="F1822" s="14" t="s">
        <v>601</v>
      </c>
      <c r="G1822" s="14" t="s">
        <v>518</v>
      </c>
      <c r="H1822" s="18" t="s">
        <v>5</v>
      </c>
      <c r="I1822" s="14" t="s">
        <v>117</v>
      </c>
      <c r="J1822" s="14">
        <v>15</v>
      </c>
      <c r="K1822" s="14" t="s">
        <v>899</v>
      </c>
      <c r="L1822" s="14"/>
      <c r="M1822" s="14">
        <v>1</v>
      </c>
      <c r="N1822" s="15">
        <v>662400</v>
      </c>
      <c r="O1822" s="15">
        <f t="shared" si="73"/>
        <v>662400</v>
      </c>
      <c r="P1822" s="15"/>
      <c r="Q1822" s="14" t="s">
        <v>520</v>
      </c>
      <c r="R1822" s="25">
        <v>45747</v>
      </c>
      <c r="S1822" s="22" t="str">
        <f>TEXT(Table1[[#This Row],[End Date]],"MMMM")</f>
        <v>March</v>
      </c>
      <c r="T1822" s="23" t="str">
        <f>TEXT(Table1[[#This Row],[End Date]],"YYYY")</f>
        <v>2025</v>
      </c>
      <c r="U1822" s="24">
        <f t="shared" ca="1" si="72"/>
        <v>-614</v>
      </c>
      <c r="V1822" s="14" t="str" cm="1">
        <f t="array" aca="1" ref="V1822" ca="1">_xlfn.IFS(Table1[[#This Row],[Agreement Days]]&gt;=0,"Expired",Table1[[#This Row],[Agreement Days]]&gt;=-30,"Expires &lt; 30 Days",Table1[[#This Row],[Agreement Days]]&gt;=-60,"Expires &lt; 60 Days",Table1[[#This Row],[Agreement Days]]&lt;-60,"Valid Contract")</f>
        <v>Valid Contract</v>
      </c>
      <c r="W1822" s="14" t="s">
        <v>19</v>
      </c>
      <c r="X1822" s="14" t="s">
        <v>1766</v>
      </c>
      <c r="Y1822" s="43" t="s">
        <v>1767</v>
      </c>
      <c r="Z1822" s="27">
        <v>788828151</v>
      </c>
      <c r="AA1822" s="17"/>
      <c r="AB1822" s="123"/>
      <c r="AC1822" s="123"/>
    </row>
    <row r="1823" spans="1:29" s="11" customFormat="1" hidden="1" x14ac:dyDescent="0.3">
      <c r="A1823" s="18" t="s">
        <v>1764</v>
      </c>
      <c r="B1823" s="18" t="s">
        <v>144</v>
      </c>
      <c r="C1823" s="18" t="s">
        <v>1780</v>
      </c>
      <c r="D1823" s="14" t="s">
        <v>516</v>
      </c>
      <c r="E1823" s="18" t="s">
        <v>9</v>
      </c>
      <c r="F1823" s="14" t="s">
        <v>601</v>
      </c>
      <c r="G1823" s="14" t="s">
        <v>518</v>
      </c>
      <c r="H1823" s="18" t="s">
        <v>5</v>
      </c>
      <c r="I1823" s="14" t="s">
        <v>117</v>
      </c>
      <c r="J1823" s="14">
        <v>20</v>
      </c>
      <c r="K1823" s="14" t="s">
        <v>689</v>
      </c>
      <c r="L1823" s="14"/>
      <c r="M1823" s="14">
        <v>1</v>
      </c>
      <c r="N1823" s="15">
        <v>828000</v>
      </c>
      <c r="O1823" s="15">
        <f t="shared" si="73"/>
        <v>828000</v>
      </c>
      <c r="P1823" s="15"/>
      <c r="Q1823" s="14" t="s">
        <v>520</v>
      </c>
      <c r="R1823" s="25">
        <v>45747</v>
      </c>
      <c r="S1823" s="22" t="str">
        <f>TEXT(Table1[[#This Row],[End Date]],"MMMM")</f>
        <v>March</v>
      </c>
      <c r="T1823" s="23" t="str">
        <f>TEXT(Table1[[#This Row],[End Date]],"YYYY")</f>
        <v>2025</v>
      </c>
      <c r="U1823" s="24">
        <f t="shared" ca="1" si="72"/>
        <v>-614</v>
      </c>
      <c r="V1823" s="14" t="str" cm="1">
        <f t="array" aca="1" ref="V1823" ca="1">_xlfn.IFS(Table1[[#This Row],[Agreement Days]]&gt;=0,"Expired",Table1[[#This Row],[Agreement Days]]&gt;=-30,"Expires &lt; 30 Days",Table1[[#This Row],[Agreement Days]]&gt;=-60,"Expires &lt; 60 Days",Table1[[#This Row],[Agreement Days]]&lt;-60,"Valid Contract")</f>
        <v>Valid Contract</v>
      </c>
      <c r="W1823" s="14" t="s">
        <v>19</v>
      </c>
      <c r="X1823" s="14" t="s">
        <v>1766</v>
      </c>
      <c r="Y1823" s="43" t="s">
        <v>1767</v>
      </c>
      <c r="Z1823" s="27">
        <v>788828151</v>
      </c>
      <c r="AA1823" s="17"/>
      <c r="AB1823" s="123"/>
      <c r="AC1823" s="123"/>
    </row>
    <row r="1824" spans="1:29" s="11" customFormat="1" hidden="1" x14ac:dyDescent="0.3">
      <c r="A1824" s="18" t="s">
        <v>1764</v>
      </c>
      <c r="B1824" s="18" t="s">
        <v>144</v>
      </c>
      <c r="C1824" s="18" t="s">
        <v>1771</v>
      </c>
      <c r="D1824" s="14" t="s">
        <v>540</v>
      </c>
      <c r="E1824" s="18" t="s">
        <v>9</v>
      </c>
      <c r="F1824" s="14" t="s">
        <v>601</v>
      </c>
      <c r="G1824" s="14" t="s">
        <v>518</v>
      </c>
      <c r="H1824" s="18" t="s">
        <v>5</v>
      </c>
      <c r="I1824" s="14" t="s">
        <v>117</v>
      </c>
      <c r="J1824" s="14">
        <v>30</v>
      </c>
      <c r="K1824" s="14" t="s">
        <v>694</v>
      </c>
      <c r="L1824" s="14"/>
      <c r="M1824" s="14">
        <v>1</v>
      </c>
      <c r="N1824" s="15">
        <v>1159200</v>
      </c>
      <c r="O1824" s="15">
        <f t="shared" si="73"/>
        <v>1159200</v>
      </c>
      <c r="P1824" s="15"/>
      <c r="Q1824" s="14" t="s">
        <v>520</v>
      </c>
      <c r="R1824" s="25">
        <v>45747</v>
      </c>
      <c r="S1824" s="22" t="str">
        <f>TEXT(Table1[[#This Row],[End Date]],"MMMM")</f>
        <v>March</v>
      </c>
      <c r="T1824" s="23" t="str">
        <f>TEXT(Table1[[#This Row],[End Date]],"YYYY")</f>
        <v>2025</v>
      </c>
      <c r="U1824" s="24">
        <f t="shared" ca="1" si="72"/>
        <v>-614</v>
      </c>
      <c r="V1824" s="14" t="str" cm="1">
        <f t="array" aca="1" ref="V1824" ca="1">_xlfn.IFS(Table1[[#This Row],[Agreement Days]]&gt;=0,"Expired",Table1[[#This Row],[Agreement Days]]&gt;=-30,"Expires &lt; 30 Days",Table1[[#This Row],[Agreement Days]]&gt;=-60,"Expires &lt; 60 Days",Table1[[#This Row],[Agreement Days]]&lt;-60,"Valid Contract")</f>
        <v>Valid Contract</v>
      </c>
      <c r="W1824" s="14" t="s">
        <v>19</v>
      </c>
      <c r="X1824" s="14" t="s">
        <v>1766</v>
      </c>
      <c r="Y1824" s="43" t="s">
        <v>1767</v>
      </c>
      <c r="Z1824" s="27">
        <v>788828151</v>
      </c>
      <c r="AA1824" s="17"/>
      <c r="AB1824" s="123"/>
      <c r="AC1824" s="123"/>
    </row>
    <row r="1825" spans="1:29" s="11" customFormat="1" hidden="1" x14ac:dyDescent="0.3">
      <c r="A1825" s="18" t="s">
        <v>1764</v>
      </c>
      <c r="B1825" s="18" t="s">
        <v>144</v>
      </c>
      <c r="C1825" s="18" t="s">
        <v>1777</v>
      </c>
      <c r="D1825" s="14" t="s">
        <v>653</v>
      </c>
      <c r="E1825" s="18" t="s">
        <v>9</v>
      </c>
      <c r="F1825" s="14" t="s">
        <v>601</v>
      </c>
      <c r="G1825" s="14" t="s">
        <v>518</v>
      </c>
      <c r="H1825" s="18" t="s">
        <v>5</v>
      </c>
      <c r="I1825" s="14" t="s">
        <v>117</v>
      </c>
      <c r="J1825" s="14">
        <v>30</v>
      </c>
      <c r="K1825" s="14" t="s">
        <v>694</v>
      </c>
      <c r="L1825" s="14"/>
      <c r="M1825" s="14">
        <v>1</v>
      </c>
      <c r="N1825" s="15">
        <v>1159200</v>
      </c>
      <c r="O1825" s="15">
        <f t="shared" si="73"/>
        <v>1159200</v>
      </c>
      <c r="P1825" s="15"/>
      <c r="Q1825" s="14" t="s">
        <v>520</v>
      </c>
      <c r="R1825" s="25">
        <v>45747</v>
      </c>
      <c r="S1825" s="22" t="str">
        <f>TEXT(Table1[[#This Row],[End Date]],"MMMM")</f>
        <v>March</v>
      </c>
      <c r="T1825" s="23" t="str">
        <f>TEXT(Table1[[#This Row],[End Date]],"YYYY")</f>
        <v>2025</v>
      </c>
      <c r="U1825" s="24">
        <f t="shared" ca="1" si="72"/>
        <v>-614</v>
      </c>
      <c r="V1825" s="14" t="str" cm="1">
        <f t="array" aca="1" ref="V1825" ca="1">_xlfn.IFS(Table1[[#This Row],[Agreement Days]]&gt;=0,"Expired",Table1[[#This Row],[Agreement Days]]&gt;=-30,"Expires &lt; 30 Days",Table1[[#This Row],[Agreement Days]]&gt;=-60,"Expires &lt; 60 Days",Table1[[#This Row],[Agreement Days]]&lt;-60,"Valid Contract")</f>
        <v>Valid Contract</v>
      </c>
      <c r="W1825" s="14" t="s">
        <v>19</v>
      </c>
      <c r="X1825" s="14" t="s">
        <v>1766</v>
      </c>
      <c r="Y1825" s="43" t="s">
        <v>1767</v>
      </c>
      <c r="Z1825" s="27">
        <v>788828151</v>
      </c>
      <c r="AA1825" s="17"/>
      <c r="AB1825" s="123"/>
      <c r="AC1825" s="123"/>
    </row>
    <row r="1826" spans="1:29" s="11" customFormat="1" hidden="1" x14ac:dyDescent="0.3">
      <c r="A1826" s="18" t="s">
        <v>3152</v>
      </c>
      <c r="B1826" s="18" t="s">
        <v>158</v>
      </c>
      <c r="C1826" s="18" t="s">
        <v>3153</v>
      </c>
      <c r="D1826" s="14" t="s">
        <v>739</v>
      </c>
      <c r="E1826" s="18" t="s">
        <v>9</v>
      </c>
      <c r="F1826" s="14" t="s">
        <v>517</v>
      </c>
      <c r="G1826" s="14" t="s">
        <v>518</v>
      </c>
      <c r="H1826" s="18" t="s">
        <v>5</v>
      </c>
      <c r="I1826" s="14" t="s">
        <v>117</v>
      </c>
      <c r="J1826" s="14">
        <v>3</v>
      </c>
      <c r="K1826" s="14" t="s">
        <v>646</v>
      </c>
      <c r="L1826" s="14"/>
      <c r="M1826" s="14">
        <v>1</v>
      </c>
      <c r="N1826" s="15">
        <v>180000</v>
      </c>
      <c r="O1826" s="15">
        <f t="shared" si="73"/>
        <v>180000</v>
      </c>
      <c r="P1826" s="15"/>
      <c r="Q1826" s="14" t="s">
        <v>520</v>
      </c>
      <c r="R1826" s="25">
        <v>45747</v>
      </c>
      <c r="S1826" s="22" t="str">
        <f>TEXT(Table1[[#This Row],[End Date]],"MMMM")</f>
        <v>March</v>
      </c>
      <c r="T1826" s="23" t="str">
        <f>TEXT(Table1[[#This Row],[End Date]],"YYYY")</f>
        <v>2025</v>
      </c>
      <c r="U1826" s="24">
        <f t="shared" ca="1" si="72"/>
        <v>-614</v>
      </c>
      <c r="V1826" s="14" t="str" cm="1">
        <f t="array" aca="1" ref="V1826" ca="1">_xlfn.IFS(Table1[[#This Row],[Agreement Days]]&gt;=0,"Expired",Table1[[#This Row],[Agreement Days]]&gt;=-30,"Expires &lt; 30 Days",Table1[[#This Row],[Agreement Days]]&gt;=-60,"Expires &lt; 60 Days",Table1[[#This Row],[Agreement Days]]&lt;-60,"Valid Contract")</f>
        <v>Valid Contract</v>
      </c>
      <c r="W1826" s="14" t="s">
        <v>19</v>
      </c>
      <c r="X1826" s="14" t="s">
        <v>3154</v>
      </c>
      <c r="Y1826" s="43" t="s">
        <v>3155</v>
      </c>
      <c r="Z1826" s="27">
        <v>788355242</v>
      </c>
      <c r="AA1826" s="17"/>
      <c r="AB1826" s="123"/>
      <c r="AC1826" s="123"/>
    </row>
    <row r="1827" spans="1:29" s="11" customFormat="1" hidden="1" x14ac:dyDescent="0.3">
      <c r="A1827" s="18" t="s">
        <v>3152</v>
      </c>
      <c r="B1827" s="18" t="s">
        <v>158</v>
      </c>
      <c r="C1827" s="18" t="s">
        <v>3156</v>
      </c>
      <c r="D1827" s="14" t="s">
        <v>545</v>
      </c>
      <c r="E1827" s="18" t="s">
        <v>9</v>
      </c>
      <c r="F1827" s="14" t="s">
        <v>517</v>
      </c>
      <c r="G1827" s="14" t="s">
        <v>518</v>
      </c>
      <c r="H1827" s="18" t="s">
        <v>5</v>
      </c>
      <c r="I1827" s="14" t="s">
        <v>117</v>
      </c>
      <c r="J1827" s="14">
        <v>3</v>
      </c>
      <c r="K1827" s="14" t="s">
        <v>646</v>
      </c>
      <c r="L1827" s="14"/>
      <c r="M1827" s="14">
        <v>1</v>
      </c>
      <c r="N1827" s="15">
        <v>180000</v>
      </c>
      <c r="O1827" s="15">
        <f t="shared" si="73"/>
        <v>180000</v>
      </c>
      <c r="P1827" s="15"/>
      <c r="Q1827" s="14" t="s">
        <v>520</v>
      </c>
      <c r="R1827" s="25">
        <v>45747</v>
      </c>
      <c r="S1827" s="22" t="str">
        <f>TEXT(Table1[[#This Row],[End Date]],"MMMM")</f>
        <v>March</v>
      </c>
      <c r="T1827" s="23" t="str">
        <f>TEXT(Table1[[#This Row],[End Date]],"YYYY")</f>
        <v>2025</v>
      </c>
      <c r="U1827" s="24">
        <f t="shared" ca="1" si="72"/>
        <v>-614</v>
      </c>
      <c r="V1827" s="14" t="str" cm="1">
        <f t="array" aca="1" ref="V1827" ca="1">_xlfn.IFS(Table1[[#This Row],[Agreement Days]]&gt;=0,"Expired",Table1[[#This Row],[Agreement Days]]&gt;=-30,"Expires &lt; 30 Days",Table1[[#This Row],[Agreement Days]]&gt;=-60,"Expires &lt; 60 Days",Table1[[#This Row],[Agreement Days]]&lt;-60,"Valid Contract")</f>
        <v>Valid Contract</v>
      </c>
      <c r="W1827" s="14" t="s">
        <v>19</v>
      </c>
      <c r="X1827" s="14" t="s">
        <v>3154</v>
      </c>
      <c r="Y1827" s="43" t="s">
        <v>3155</v>
      </c>
      <c r="Z1827" s="27">
        <v>788355242</v>
      </c>
      <c r="AA1827" s="17"/>
      <c r="AB1827" s="123"/>
      <c r="AC1827" s="123"/>
    </row>
    <row r="1828" spans="1:29" s="11" customFormat="1" hidden="1" x14ac:dyDescent="0.3">
      <c r="A1828" s="18" t="s">
        <v>3152</v>
      </c>
      <c r="B1828" s="18" t="s">
        <v>158</v>
      </c>
      <c r="C1828" s="18" t="s">
        <v>3157</v>
      </c>
      <c r="D1828" s="14" t="s">
        <v>808</v>
      </c>
      <c r="E1828" s="18" t="s">
        <v>9</v>
      </c>
      <c r="F1828" s="14" t="s">
        <v>517</v>
      </c>
      <c r="G1828" s="14" t="s">
        <v>518</v>
      </c>
      <c r="H1828" s="18" t="s">
        <v>5</v>
      </c>
      <c r="I1828" s="14" t="s">
        <v>117</v>
      </c>
      <c r="J1828" s="14">
        <v>3</v>
      </c>
      <c r="K1828" s="14" t="s">
        <v>646</v>
      </c>
      <c r="L1828" s="14"/>
      <c r="M1828" s="14">
        <v>1</v>
      </c>
      <c r="N1828" s="15">
        <v>180000</v>
      </c>
      <c r="O1828" s="15">
        <f t="shared" si="73"/>
        <v>180000</v>
      </c>
      <c r="P1828" s="15"/>
      <c r="Q1828" s="14" t="s">
        <v>520</v>
      </c>
      <c r="R1828" s="25">
        <v>45747</v>
      </c>
      <c r="S1828" s="22" t="str">
        <f>TEXT(Table1[[#This Row],[End Date]],"MMMM")</f>
        <v>March</v>
      </c>
      <c r="T1828" s="23" t="str">
        <f>TEXT(Table1[[#This Row],[End Date]],"YYYY")</f>
        <v>2025</v>
      </c>
      <c r="U1828" s="24">
        <f t="shared" ca="1" si="72"/>
        <v>-614</v>
      </c>
      <c r="V1828" s="14" t="str" cm="1">
        <f t="array" aca="1" ref="V1828" ca="1">_xlfn.IFS(Table1[[#This Row],[Agreement Days]]&gt;=0,"Expired",Table1[[#This Row],[Agreement Days]]&gt;=-30,"Expires &lt; 30 Days",Table1[[#This Row],[Agreement Days]]&gt;=-60,"Expires &lt; 60 Days",Table1[[#This Row],[Agreement Days]]&lt;-60,"Valid Contract")</f>
        <v>Valid Contract</v>
      </c>
      <c r="W1828" s="14" t="s">
        <v>19</v>
      </c>
      <c r="X1828" s="14" t="s">
        <v>3154</v>
      </c>
      <c r="Y1828" s="43" t="s">
        <v>3155</v>
      </c>
      <c r="Z1828" s="27">
        <v>788355242</v>
      </c>
      <c r="AA1828" s="17"/>
      <c r="AB1828" s="123"/>
      <c r="AC1828" s="123"/>
    </row>
    <row r="1829" spans="1:29" s="11" customFormat="1" hidden="1" x14ac:dyDescent="0.3">
      <c r="A1829" s="18" t="s">
        <v>3152</v>
      </c>
      <c r="B1829" s="18" t="s">
        <v>158</v>
      </c>
      <c r="C1829" s="18" t="s">
        <v>3158</v>
      </c>
      <c r="D1829" s="14" t="s">
        <v>616</v>
      </c>
      <c r="E1829" s="18" t="s">
        <v>9</v>
      </c>
      <c r="F1829" s="14" t="s">
        <v>517</v>
      </c>
      <c r="G1829" s="14" t="s">
        <v>518</v>
      </c>
      <c r="H1829" s="18" t="s">
        <v>5</v>
      </c>
      <c r="I1829" s="14" t="s">
        <v>117</v>
      </c>
      <c r="J1829" s="14">
        <v>3</v>
      </c>
      <c r="K1829" s="14" t="s">
        <v>646</v>
      </c>
      <c r="L1829" s="14"/>
      <c r="M1829" s="14">
        <v>1</v>
      </c>
      <c r="N1829" s="15">
        <v>180000</v>
      </c>
      <c r="O1829" s="15">
        <f t="shared" si="73"/>
        <v>180000</v>
      </c>
      <c r="P1829" s="15"/>
      <c r="Q1829" s="14" t="s">
        <v>520</v>
      </c>
      <c r="R1829" s="25">
        <v>45747</v>
      </c>
      <c r="S1829" s="22" t="str">
        <f>TEXT(Table1[[#This Row],[End Date]],"MMMM")</f>
        <v>March</v>
      </c>
      <c r="T1829" s="23" t="str">
        <f>TEXT(Table1[[#This Row],[End Date]],"YYYY")</f>
        <v>2025</v>
      </c>
      <c r="U1829" s="24">
        <f t="shared" ca="1" si="72"/>
        <v>-614</v>
      </c>
      <c r="V1829" s="14" t="str" cm="1">
        <f t="array" aca="1" ref="V1829" ca="1">_xlfn.IFS(Table1[[#This Row],[Agreement Days]]&gt;=0,"Expired",Table1[[#This Row],[Agreement Days]]&gt;=-30,"Expires &lt; 30 Days",Table1[[#This Row],[Agreement Days]]&gt;=-60,"Expires &lt; 60 Days",Table1[[#This Row],[Agreement Days]]&lt;-60,"Valid Contract")</f>
        <v>Valid Contract</v>
      </c>
      <c r="W1829" s="14" t="s">
        <v>19</v>
      </c>
      <c r="X1829" s="14" t="s">
        <v>3154</v>
      </c>
      <c r="Y1829" s="43" t="s">
        <v>3155</v>
      </c>
      <c r="Z1829" s="27">
        <v>788355242</v>
      </c>
      <c r="AA1829" s="17"/>
      <c r="AB1829" s="123"/>
      <c r="AC1829" s="123"/>
    </row>
    <row r="1830" spans="1:29" s="11" customFormat="1" hidden="1" x14ac:dyDescent="0.3">
      <c r="A1830" s="18" t="s">
        <v>3152</v>
      </c>
      <c r="B1830" s="18" t="s">
        <v>158</v>
      </c>
      <c r="C1830" s="18" t="s">
        <v>3159</v>
      </c>
      <c r="D1830" s="14" t="s">
        <v>616</v>
      </c>
      <c r="E1830" s="18" t="s">
        <v>9</v>
      </c>
      <c r="F1830" s="14" t="s">
        <v>517</v>
      </c>
      <c r="G1830" s="14" t="s">
        <v>518</v>
      </c>
      <c r="H1830" s="18" t="s">
        <v>5</v>
      </c>
      <c r="I1830" s="14" t="s">
        <v>117</v>
      </c>
      <c r="J1830" s="14">
        <v>3</v>
      </c>
      <c r="K1830" s="14" t="s">
        <v>646</v>
      </c>
      <c r="L1830" s="14"/>
      <c r="M1830" s="14">
        <v>1</v>
      </c>
      <c r="N1830" s="15">
        <v>180000</v>
      </c>
      <c r="O1830" s="15">
        <f t="shared" si="73"/>
        <v>180000</v>
      </c>
      <c r="P1830" s="15"/>
      <c r="Q1830" s="14" t="s">
        <v>520</v>
      </c>
      <c r="R1830" s="25">
        <v>45747</v>
      </c>
      <c r="S1830" s="22" t="str">
        <f>TEXT(Table1[[#This Row],[End Date]],"MMMM")</f>
        <v>March</v>
      </c>
      <c r="T1830" s="23" t="str">
        <f>TEXT(Table1[[#This Row],[End Date]],"YYYY")</f>
        <v>2025</v>
      </c>
      <c r="U1830" s="24">
        <f t="shared" ca="1" si="72"/>
        <v>-614</v>
      </c>
      <c r="V1830" s="14" t="str" cm="1">
        <f t="array" aca="1" ref="V1830" ca="1">_xlfn.IFS(Table1[[#This Row],[Agreement Days]]&gt;=0,"Expired",Table1[[#This Row],[Agreement Days]]&gt;=-30,"Expires &lt; 30 Days",Table1[[#This Row],[Agreement Days]]&gt;=-60,"Expires &lt; 60 Days",Table1[[#This Row],[Agreement Days]]&lt;-60,"Valid Contract")</f>
        <v>Valid Contract</v>
      </c>
      <c r="W1830" s="14" t="s">
        <v>19</v>
      </c>
      <c r="X1830" s="14" t="s">
        <v>3154</v>
      </c>
      <c r="Y1830" s="43" t="s">
        <v>3155</v>
      </c>
      <c r="Z1830" s="27">
        <v>788355242</v>
      </c>
      <c r="AA1830" s="17"/>
      <c r="AB1830" s="123"/>
      <c r="AC1830" s="123"/>
    </row>
    <row r="1831" spans="1:29" s="11" customFormat="1" hidden="1" x14ac:dyDescent="0.3">
      <c r="A1831" s="18" t="s">
        <v>3152</v>
      </c>
      <c r="B1831" s="18" t="s">
        <v>158</v>
      </c>
      <c r="C1831" s="18" t="s">
        <v>3160</v>
      </c>
      <c r="D1831" s="14" t="s">
        <v>848</v>
      </c>
      <c r="E1831" s="18" t="s">
        <v>9</v>
      </c>
      <c r="F1831" s="14" t="s">
        <v>517</v>
      </c>
      <c r="G1831" s="14" t="s">
        <v>518</v>
      </c>
      <c r="H1831" s="18" t="s">
        <v>5</v>
      </c>
      <c r="I1831" s="14" t="s">
        <v>117</v>
      </c>
      <c r="J1831" s="14">
        <v>3</v>
      </c>
      <c r="K1831" s="14" t="s">
        <v>646</v>
      </c>
      <c r="L1831" s="14"/>
      <c r="M1831" s="14">
        <v>1</v>
      </c>
      <c r="N1831" s="15">
        <v>180000</v>
      </c>
      <c r="O1831" s="15">
        <f t="shared" si="73"/>
        <v>180000</v>
      </c>
      <c r="P1831" s="15"/>
      <c r="Q1831" s="14" t="s">
        <v>520</v>
      </c>
      <c r="R1831" s="25">
        <v>45747</v>
      </c>
      <c r="S1831" s="22" t="str">
        <f>TEXT(Table1[[#This Row],[End Date]],"MMMM")</f>
        <v>March</v>
      </c>
      <c r="T1831" s="23" t="str">
        <f>TEXT(Table1[[#This Row],[End Date]],"YYYY")</f>
        <v>2025</v>
      </c>
      <c r="U1831" s="24">
        <f t="shared" ca="1" si="72"/>
        <v>-614</v>
      </c>
      <c r="V1831" s="14" t="str" cm="1">
        <f t="array" aca="1" ref="V1831" ca="1">_xlfn.IFS(Table1[[#This Row],[Agreement Days]]&gt;=0,"Expired",Table1[[#This Row],[Agreement Days]]&gt;=-30,"Expires &lt; 30 Days",Table1[[#This Row],[Agreement Days]]&gt;=-60,"Expires &lt; 60 Days",Table1[[#This Row],[Agreement Days]]&lt;-60,"Valid Contract")</f>
        <v>Valid Contract</v>
      </c>
      <c r="W1831" s="14" t="s">
        <v>19</v>
      </c>
      <c r="X1831" s="14" t="s">
        <v>3154</v>
      </c>
      <c r="Y1831" s="43" t="s">
        <v>3155</v>
      </c>
      <c r="Z1831" s="27">
        <v>788355242</v>
      </c>
      <c r="AA1831" s="17"/>
      <c r="AB1831" s="123"/>
      <c r="AC1831" s="123"/>
    </row>
    <row r="1832" spans="1:29" s="11" customFormat="1" hidden="1" x14ac:dyDescent="0.3">
      <c r="A1832" s="18" t="s">
        <v>3152</v>
      </c>
      <c r="B1832" s="18" t="s">
        <v>158</v>
      </c>
      <c r="C1832" s="18" t="s">
        <v>3161</v>
      </c>
      <c r="D1832" s="14" t="s">
        <v>848</v>
      </c>
      <c r="E1832" s="18" t="s">
        <v>9</v>
      </c>
      <c r="F1832" s="14" t="s">
        <v>517</v>
      </c>
      <c r="G1832" s="14" t="s">
        <v>518</v>
      </c>
      <c r="H1832" s="18" t="s">
        <v>5</v>
      </c>
      <c r="I1832" s="14" t="s">
        <v>117</v>
      </c>
      <c r="J1832" s="14">
        <v>3</v>
      </c>
      <c r="K1832" s="14" t="s">
        <v>646</v>
      </c>
      <c r="L1832" s="14"/>
      <c r="M1832" s="14">
        <v>1</v>
      </c>
      <c r="N1832" s="15">
        <v>180000</v>
      </c>
      <c r="O1832" s="15">
        <f t="shared" si="73"/>
        <v>180000</v>
      </c>
      <c r="P1832" s="15"/>
      <c r="Q1832" s="14" t="s">
        <v>520</v>
      </c>
      <c r="R1832" s="25">
        <v>45747</v>
      </c>
      <c r="S1832" s="22" t="str">
        <f>TEXT(Table1[[#This Row],[End Date]],"MMMM")</f>
        <v>March</v>
      </c>
      <c r="T1832" s="23" t="str">
        <f>TEXT(Table1[[#This Row],[End Date]],"YYYY")</f>
        <v>2025</v>
      </c>
      <c r="U1832" s="24">
        <f t="shared" ca="1" si="72"/>
        <v>-614</v>
      </c>
      <c r="V1832" s="14" t="str" cm="1">
        <f t="array" aca="1" ref="V1832" ca="1">_xlfn.IFS(Table1[[#This Row],[Agreement Days]]&gt;=0,"Expired",Table1[[#This Row],[Agreement Days]]&gt;=-30,"Expires &lt; 30 Days",Table1[[#This Row],[Agreement Days]]&gt;=-60,"Expires &lt; 60 Days",Table1[[#This Row],[Agreement Days]]&lt;-60,"Valid Contract")</f>
        <v>Valid Contract</v>
      </c>
      <c r="W1832" s="14" t="s">
        <v>19</v>
      </c>
      <c r="X1832" s="14" t="s">
        <v>3154</v>
      </c>
      <c r="Y1832" s="43" t="s">
        <v>3155</v>
      </c>
      <c r="Z1832" s="27">
        <v>788355242</v>
      </c>
      <c r="AA1832" s="17"/>
      <c r="AB1832" s="123"/>
      <c r="AC1832" s="123"/>
    </row>
    <row r="1833" spans="1:29" s="11" customFormat="1" hidden="1" x14ac:dyDescent="0.3">
      <c r="A1833" s="18" t="s">
        <v>3152</v>
      </c>
      <c r="B1833" s="18" t="s">
        <v>158</v>
      </c>
      <c r="C1833" s="18" t="s">
        <v>3161</v>
      </c>
      <c r="D1833" s="14" t="s">
        <v>848</v>
      </c>
      <c r="E1833" s="18" t="s">
        <v>9</v>
      </c>
      <c r="F1833" s="14" t="s">
        <v>517</v>
      </c>
      <c r="G1833" s="14" t="s">
        <v>518</v>
      </c>
      <c r="H1833" s="18" t="s">
        <v>5</v>
      </c>
      <c r="I1833" s="14" t="s">
        <v>117</v>
      </c>
      <c r="J1833" s="14">
        <v>3</v>
      </c>
      <c r="K1833" s="14" t="s">
        <v>646</v>
      </c>
      <c r="L1833" s="14"/>
      <c r="M1833" s="14">
        <v>1</v>
      </c>
      <c r="N1833" s="15">
        <v>180000</v>
      </c>
      <c r="O1833" s="15">
        <f t="shared" si="73"/>
        <v>180000</v>
      </c>
      <c r="P1833" s="15"/>
      <c r="Q1833" s="14" t="s">
        <v>520</v>
      </c>
      <c r="R1833" s="25">
        <v>45747</v>
      </c>
      <c r="S1833" s="22" t="str">
        <f>TEXT(Table1[[#This Row],[End Date]],"MMMM")</f>
        <v>March</v>
      </c>
      <c r="T1833" s="23" t="str">
        <f>TEXT(Table1[[#This Row],[End Date]],"YYYY")</f>
        <v>2025</v>
      </c>
      <c r="U1833" s="24">
        <f t="shared" ca="1" si="72"/>
        <v>-614</v>
      </c>
      <c r="V1833" s="14" t="str" cm="1">
        <f t="array" aca="1" ref="V1833" ca="1">_xlfn.IFS(Table1[[#This Row],[Agreement Days]]&gt;=0,"Expired",Table1[[#This Row],[Agreement Days]]&gt;=-30,"Expires &lt; 30 Days",Table1[[#This Row],[Agreement Days]]&gt;=-60,"Expires &lt; 60 Days",Table1[[#This Row],[Agreement Days]]&lt;-60,"Valid Contract")</f>
        <v>Valid Contract</v>
      </c>
      <c r="W1833" s="14" t="s">
        <v>19</v>
      </c>
      <c r="X1833" s="14" t="s">
        <v>3154</v>
      </c>
      <c r="Y1833" s="43" t="s">
        <v>3155</v>
      </c>
      <c r="Z1833" s="27">
        <v>788355242</v>
      </c>
      <c r="AA1833" s="17"/>
      <c r="AB1833" s="123"/>
      <c r="AC1833" s="123"/>
    </row>
    <row r="1834" spans="1:29" s="11" customFormat="1" hidden="1" x14ac:dyDescent="0.3">
      <c r="A1834" s="18" t="s">
        <v>3152</v>
      </c>
      <c r="B1834" s="18" t="s">
        <v>158</v>
      </c>
      <c r="C1834" s="18" t="s">
        <v>3162</v>
      </c>
      <c r="D1834" s="14" t="s">
        <v>759</v>
      </c>
      <c r="E1834" s="18" t="s">
        <v>9</v>
      </c>
      <c r="F1834" s="14" t="s">
        <v>517</v>
      </c>
      <c r="G1834" s="14" t="s">
        <v>518</v>
      </c>
      <c r="H1834" s="18" t="s">
        <v>5</v>
      </c>
      <c r="I1834" s="14" t="s">
        <v>117</v>
      </c>
      <c r="J1834" s="14">
        <v>3</v>
      </c>
      <c r="K1834" s="14" t="s">
        <v>646</v>
      </c>
      <c r="L1834" s="14"/>
      <c r="M1834" s="14">
        <v>1</v>
      </c>
      <c r="N1834" s="15">
        <v>180000</v>
      </c>
      <c r="O1834" s="15">
        <f t="shared" si="73"/>
        <v>180000</v>
      </c>
      <c r="P1834" s="15"/>
      <c r="Q1834" s="14" t="s">
        <v>520</v>
      </c>
      <c r="R1834" s="25">
        <v>45747</v>
      </c>
      <c r="S1834" s="22" t="str">
        <f>TEXT(Table1[[#This Row],[End Date]],"MMMM")</f>
        <v>March</v>
      </c>
      <c r="T1834" s="23" t="str">
        <f>TEXT(Table1[[#This Row],[End Date]],"YYYY")</f>
        <v>2025</v>
      </c>
      <c r="U1834" s="24">
        <f t="shared" ca="1" si="72"/>
        <v>-614</v>
      </c>
      <c r="V1834" s="14" t="str" cm="1">
        <f t="array" aca="1" ref="V1834" ca="1">_xlfn.IFS(Table1[[#This Row],[Agreement Days]]&gt;=0,"Expired",Table1[[#This Row],[Agreement Days]]&gt;=-30,"Expires &lt; 30 Days",Table1[[#This Row],[Agreement Days]]&gt;=-60,"Expires &lt; 60 Days",Table1[[#This Row],[Agreement Days]]&lt;-60,"Valid Contract")</f>
        <v>Valid Contract</v>
      </c>
      <c r="W1834" s="14" t="s">
        <v>19</v>
      </c>
      <c r="X1834" s="14" t="s">
        <v>3154</v>
      </c>
      <c r="Y1834" s="43" t="s">
        <v>3155</v>
      </c>
      <c r="Z1834" s="27">
        <v>788355242</v>
      </c>
      <c r="AA1834" s="17"/>
      <c r="AB1834" s="123"/>
      <c r="AC1834" s="123"/>
    </row>
    <row r="1835" spans="1:29" s="11" customFormat="1" hidden="1" x14ac:dyDescent="0.3">
      <c r="A1835" s="18" t="s">
        <v>3152</v>
      </c>
      <c r="B1835" s="18" t="s">
        <v>158</v>
      </c>
      <c r="C1835" s="18" t="s">
        <v>3163</v>
      </c>
      <c r="D1835" s="14" t="s">
        <v>735</v>
      </c>
      <c r="E1835" s="18" t="s">
        <v>9</v>
      </c>
      <c r="F1835" s="14" t="s">
        <v>517</v>
      </c>
      <c r="G1835" s="14" t="s">
        <v>518</v>
      </c>
      <c r="H1835" s="18" t="s">
        <v>5</v>
      </c>
      <c r="I1835" s="14" t="s">
        <v>117</v>
      </c>
      <c r="J1835" s="14">
        <v>3</v>
      </c>
      <c r="K1835" s="14" t="s">
        <v>646</v>
      </c>
      <c r="L1835" s="14"/>
      <c r="M1835" s="14">
        <v>1</v>
      </c>
      <c r="N1835" s="15">
        <v>180000</v>
      </c>
      <c r="O1835" s="15">
        <f t="shared" si="73"/>
        <v>180000</v>
      </c>
      <c r="P1835" s="15"/>
      <c r="Q1835" s="14" t="s">
        <v>520</v>
      </c>
      <c r="R1835" s="25">
        <v>45747</v>
      </c>
      <c r="S1835" s="22" t="str">
        <f>TEXT(Table1[[#This Row],[End Date]],"MMMM")</f>
        <v>March</v>
      </c>
      <c r="T1835" s="23" t="str">
        <f>TEXT(Table1[[#This Row],[End Date]],"YYYY")</f>
        <v>2025</v>
      </c>
      <c r="U1835" s="24">
        <f t="shared" ca="1" si="72"/>
        <v>-614</v>
      </c>
      <c r="V1835" s="14" t="str" cm="1">
        <f t="array" aca="1" ref="V1835" ca="1">_xlfn.IFS(Table1[[#This Row],[Agreement Days]]&gt;=0,"Expired",Table1[[#This Row],[Agreement Days]]&gt;=-30,"Expires &lt; 30 Days",Table1[[#This Row],[Agreement Days]]&gt;=-60,"Expires &lt; 60 Days",Table1[[#This Row],[Agreement Days]]&lt;-60,"Valid Contract")</f>
        <v>Valid Contract</v>
      </c>
      <c r="W1835" s="14" t="s">
        <v>19</v>
      </c>
      <c r="X1835" s="14" t="s">
        <v>3154</v>
      </c>
      <c r="Y1835" s="43" t="s">
        <v>3155</v>
      </c>
      <c r="Z1835" s="27">
        <v>788355242</v>
      </c>
      <c r="AA1835" s="17"/>
      <c r="AB1835" s="123"/>
      <c r="AC1835" s="123"/>
    </row>
    <row r="1836" spans="1:29" s="11" customFormat="1" hidden="1" x14ac:dyDescent="0.3">
      <c r="A1836" s="18" t="s">
        <v>3152</v>
      </c>
      <c r="B1836" s="18" t="s">
        <v>158</v>
      </c>
      <c r="C1836" s="18" t="s">
        <v>3164</v>
      </c>
      <c r="D1836" s="14" t="s">
        <v>735</v>
      </c>
      <c r="E1836" s="18" t="s">
        <v>9</v>
      </c>
      <c r="F1836" s="14" t="s">
        <v>517</v>
      </c>
      <c r="G1836" s="14" t="s">
        <v>518</v>
      </c>
      <c r="H1836" s="18" t="s">
        <v>5</v>
      </c>
      <c r="I1836" s="14" t="s">
        <v>117</v>
      </c>
      <c r="J1836" s="14">
        <v>3</v>
      </c>
      <c r="K1836" s="14" t="s">
        <v>646</v>
      </c>
      <c r="L1836" s="14"/>
      <c r="M1836" s="14">
        <v>1</v>
      </c>
      <c r="N1836" s="15">
        <v>180000</v>
      </c>
      <c r="O1836" s="15">
        <f t="shared" si="73"/>
        <v>180000</v>
      </c>
      <c r="P1836" s="15"/>
      <c r="Q1836" s="14" t="s">
        <v>520</v>
      </c>
      <c r="R1836" s="25">
        <v>45747</v>
      </c>
      <c r="S1836" s="22" t="str">
        <f>TEXT(Table1[[#This Row],[End Date]],"MMMM")</f>
        <v>March</v>
      </c>
      <c r="T1836" s="23" t="str">
        <f>TEXT(Table1[[#This Row],[End Date]],"YYYY")</f>
        <v>2025</v>
      </c>
      <c r="U1836" s="24">
        <f t="shared" ca="1" si="72"/>
        <v>-614</v>
      </c>
      <c r="V1836" s="14" t="str" cm="1">
        <f t="array" aca="1" ref="V1836" ca="1">_xlfn.IFS(Table1[[#This Row],[Agreement Days]]&gt;=0,"Expired",Table1[[#This Row],[Agreement Days]]&gt;=-30,"Expires &lt; 30 Days",Table1[[#This Row],[Agreement Days]]&gt;=-60,"Expires &lt; 60 Days",Table1[[#This Row],[Agreement Days]]&lt;-60,"Valid Contract")</f>
        <v>Valid Contract</v>
      </c>
      <c r="W1836" s="14" t="s">
        <v>19</v>
      </c>
      <c r="X1836" s="14" t="s">
        <v>3154</v>
      </c>
      <c r="Y1836" s="43" t="s">
        <v>3155</v>
      </c>
      <c r="Z1836" s="27">
        <v>788355242</v>
      </c>
      <c r="AA1836" s="17"/>
      <c r="AB1836" s="123"/>
      <c r="AC1836" s="123"/>
    </row>
    <row r="1837" spans="1:29" s="11" customFormat="1" hidden="1" x14ac:dyDescent="0.3">
      <c r="A1837" s="18" t="s">
        <v>3152</v>
      </c>
      <c r="B1837" s="18" t="s">
        <v>158</v>
      </c>
      <c r="C1837" s="18" t="s">
        <v>3164</v>
      </c>
      <c r="D1837" s="14" t="s">
        <v>735</v>
      </c>
      <c r="E1837" s="18" t="s">
        <v>9</v>
      </c>
      <c r="F1837" s="14" t="s">
        <v>517</v>
      </c>
      <c r="G1837" s="14" t="s">
        <v>518</v>
      </c>
      <c r="H1837" s="18" t="s">
        <v>5</v>
      </c>
      <c r="I1837" s="14" t="s">
        <v>117</v>
      </c>
      <c r="J1837" s="14">
        <v>3</v>
      </c>
      <c r="K1837" s="14" t="s">
        <v>646</v>
      </c>
      <c r="L1837" s="14"/>
      <c r="M1837" s="14">
        <v>1</v>
      </c>
      <c r="N1837" s="15">
        <v>180000</v>
      </c>
      <c r="O1837" s="15">
        <f t="shared" si="73"/>
        <v>180000</v>
      </c>
      <c r="P1837" s="15"/>
      <c r="Q1837" s="14" t="s">
        <v>520</v>
      </c>
      <c r="R1837" s="25">
        <v>45747</v>
      </c>
      <c r="S1837" s="22" t="str">
        <f>TEXT(Table1[[#This Row],[End Date]],"MMMM")</f>
        <v>March</v>
      </c>
      <c r="T1837" s="23" t="str">
        <f>TEXT(Table1[[#This Row],[End Date]],"YYYY")</f>
        <v>2025</v>
      </c>
      <c r="U1837" s="24">
        <f t="shared" ca="1" si="72"/>
        <v>-614</v>
      </c>
      <c r="V1837" s="14" t="str" cm="1">
        <f t="array" aca="1" ref="V1837" ca="1">_xlfn.IFS(Table1[[#This Row],[Agreement Days]]&gt;=0,"Expired",Table1[[#This Row],[Agreement Days]]&gt;=-30,"Expires &lt; 30 Days",Table1[[#This Row],[Agreement Days]]&gt;=-60,"Expires &lt; 60 Days",Table1[[#This Row],[Agreement Days]]&lt;-60,"Valid Contract")</f>
        <v>Valid Contract</v>
      </c>
      <c r="W1837" s="14" t="s">
        <v>19</v>
      </c>
      <c r="X1837" s="14" t="s">
        <v>3154</v>
      </c>
      <c r="Y1837" s="43" t="s">
        <v>3155</v>
      </c>
      <c r="Z1837" s="27">
        <v>788355242</v>
      </c>
      <c r="AA1837" s="17"/>
      <c r="AB1837" s="123"/>
      <c r="AC1837" s="123"/>
    </row>
    <row r="1838" spans="1:29" s="11" customFormat="1" hidden="1" x14ac:dyDescent="0.3">
      <c r="A1838" s="18" t="s">
        <v>3152</v>
      </c>
      <c r="B1838" s="18" t="s">
        <v>158</v>
      </c>
      <c r="C1838" s="18" t="s">
        <v>3165</v>
      </c>
      <c r="D1838" s="14" t="s">
        <v>875</v>
      </c>
      <c r="E1838" s="18" t="s">
        <v>9</v>
      </c>
      <c r="F1838" s="14" t="s">
        <v>517</v>
      </c>
      <c r="G1838" s="14" t="s">
        <v>518</v>
      </c>
      <c r="H1838" s="18" t="s">
        <v>5</v>
      </c>
      <c r="I1838" s="14" t="s">
        <v>117</v>
      </c>
      <c r="J1838" s="14">
        <v>3</v>
      </c>
      <c r="K1838" s="14" t="s">
        <v>646</v>
      </c>
      <c r="L1838" s="14"/>
      <c r="M1838" s="14">
        <v>1</v>
      </c>
      <c r="N1838" s="15">
        <v>180000</v>
      </c>
      <c r="O1838" s="15">
        <f t="shared" si="73"/>
        <v>180000</v>
      </c>
      <c r="P1838" s="15"/>
      <c r="Q1838" s="14" t="s">
        <v>520</v>
      </c>
      <c r="R1838" s="25">
        <v>45747</v>
      </c>
      <c r="S1838" s="22" t="str">
        <f>TEXT(Table1[[#This Row],[End Date]],"MMMM")</f>
        <v>March</v>
      </c>
      <c r="T1838" s="23" t="str">
        <f>TEXT(Table1[[#This Row],[End Date]],"YYYY")</f>
        <v>2025</v>
      </c>
      <c r="U1838" s="24">
        <f t="shared" ca="1" si="72"/>
        <v>-614</v>
      </c>
      <c r="V1838" s="14" t="str" cm="1">
        <f t="array" aca="1" ref="V1838" ca="1">_xlfn.IFS(Table1[[#This Row],[Agreement Days]]&gt;=0,"Expired",Table1[[#This Row],[Agreement Days]]&gt;=-30,"Expires &lt; 30 Days",Table1[[#This Row],[Agreement Days]]&gt;=-60,"Expires &lt; 60 Days",Table1[[#This Row],[Agreement Days]]&lt;-60,"Valid Contract")</f>
        <v>Valid Contract</v>
      </c>
      <c r="W1838" s="14" t="s">
        <v>19</v>
      </c>
      <c r="X1838" s="14" t="s">
        <v>3154</v>
      </c>
      <c r="Y1838" s="43" t="s">
        <v>3155</v>
      </c>
      <c r="Z1838" s="27">
        <v>788355242</v>
      </c>
      <c r="AA1838" s="17"/>
      <c r="AB1838" s="123"/>
      <c r="AC1838" s="123"/>
    </row>
    <row r="1839" spans="1:29" s="11" customFormat="1" hidden="1" x14ac:dyDescent="0.3">
      <c r="A1839" s="18" t="s">
        <v>3152</v>
      </c>
      <c r="B1839" s="18" t="s">
        <v>158</v>
      </c>
      <c r="C1839" s="18" t="s">
        <v>3166</v>
      </c>
      <c r="D1839" s="14" t="s">
        <v>630</v>
      </c>
      <c r="E1839" s="18" t="s">
        <v>9</v>
      </c>
      <c r="F1839" s="14" t="s">
        <v>517</v>
      </c>
      <c r="G1839" s="14" t="s">
        <v>518</v>
      </c>
      <c r="H1839" s="18" t="s">
        <v>5</v>
      </c>
      <c r="I1839" s="14" t="s">
        <v>117</v>
      </c>
      <c r="J1839" s="14">
        <v>3</v>
      </c>
      <c r="K1839" s="14" t="s">
        <v>646</v>
      </c>
      <c r="L1839" s="14"/>
      <c r="M1839" s="14">
        <v>1</v>
      </c>
      <c r="N1839" s="15">
        <v>180000</v>
      </c>
      <c r="O1839" s="15">
        <f t="shared" si="73"/>
        <v>180000</v>
      </c>
      <c r="P1839" s="15"/>
      <c r="Q1839" s="14" t="s">
        <v>520</v>
      </c>
      <c r="R1839" s="25">
        <v>45747</v>
      </c>
      <c r="S1839" s="22" t="str">
        <f>TEXT(Table1[[#This Row],[End Date]],"MMMM")</f>
        <v>March</v>
      </c>
      <c r="T1839" s="23" t="str">
        <f>TEXT(Table1[[#This Row],[End Date]],"YYYY")</f>
        <v>2025</v>
      </c>
      <c r="U1839" s="24">
        <f t="shared" ca="1" si="72"/>
        <v>-614</v>
      </c>
      <c r="V1839" s="14" t="str" cm="1">
        <f t="array" aca="1" ref="V1839" ca="1">_xlfn.IFS(Table1[[#This Row],[Agreement Days]]&gt;=0,"Expired",Table1[[#This Row],[Agreement Days]]&gt;=-30,"Expires &lt; 30 Days",Table1[[#This Row],[Agreement Days]]&gt;=-60,"Expires &lt; 60 Days",Table1[[#This Row],[Agreement Days]]&lt;-60,"Valid Contract")</f>
        <v>Valid Contract</v>
      </c>
      <c r="W1839" s="14" t="s">
        <v>19</v>
      </c>
      <c r="X1839" s="14" t="s">
        <v>3154</v>
      </c>
      <c r="Y1839" s="43" t="s">
        <v>3155</v>
      </c>
      <c r="Z1839" s="27">
        <v>788355242</v>
      </c>
      <c r="AA1839" s="17"/>
      <c r="AB1839" s="123"/>
      <c r="AC1839" s="123"/>
    </row>
    <row r="1840" spans="1:29" s="11" customFormat="1" hidden="1" x14ac:dyDescent="0.3">
      <c r="A1840" s="18" t="s">
        <v>3152</v>
      </c>
      <c r="B1840" s="18" t="s">
        <v>158</v>
      </c>
      <c r="C1840" s="18" t="s">
        <v>3167</v>
      </c>
      <c r="D1840" s="14" t="s">
        <v>630</v>
      </c>
      <c r="E1840" s="18" t="s">
        <v>9</v>
      </c>
      <c r="F1840" s="14" t="s">
        <v>517</v>
      </c>
      <c r="G1840" s="14" t="s">
        <v>518</v>
      </c>
      <c r="H1840" s="18" t="s">
        <v>5</v>
      </c>
      <c r="I1840" s="14" t="s">
        <v>117</v>
      </c>
      <c r="J1840" s="14">
        <v>3</v>
      </c>
      <c r="K1840" s="14" t="s">
        <v>646</v>
      </c>
      <c r="L1840" s="14"/>
      <c r="M1840" s="14">
        <v>1</v>
      </c>
      <c r="N1840" s="15">
        <v>180000</v>
      </c>
      <c r="O1840" s="15">
        <f t="shared" si="73"/>
        <v>180000</v>
      </c>
      <c r="P1840" s="15"/>
      <c r="Q1840" s="14" t="s">
        <v>520</v>
      </c>
      <c r="R1840" s="25">
        <v>45747</v>
      </c>
      <c r="S1840" s="22" t="str">
        <f>TEXT(Table1[[#This Row],[End Date]],"MMMM")</f>
        <v>March</v>
      </c>
      <c r="T1840" s="23" t="str">
        <f>TEXT(Table1[[#This Row],[End Date]],"YYYY")</f>
        <v>2025</v>
      </c>
      <c r="U1840" s="24">
        <f t="shared" ca="1" si="72"/>
        <v>-614</v>
      </c>
      <c r="V1840" s="14" t="str" cm="1">
        <f t="array" aca="1" ref="V1840" ca="1">_xlfn.IFS(Table1[[#This Row],[Agreement Days]]&gt;=0,"Expired",Table1[[#This Row],[Agreement Days]]&gt;=-30,"Expires &lt; 30 Days",Table1[[#This Row],[Agreement Days]]&gt;=-60,"Expires &lt; 60 Days",Table1[[#This Row],[Agreement Days]]&lt;-60,"Valid Contract")</f>
        <v>Valid Contract</v>
      </c>
      <c r="W1840" s="14" t="s">
        <v>19</v>
      </c>
      <c r="X1840" s="14" t="s">
        <v>3154</v>
      </c>
      <c r="Y1840" s="43" t="s">
        <v>3155</v>
      </c>
      <c r="Z1840" s="27">
        <v>788355242</v>
      </c>
      <c r="AA1840" s="17"/>
      <c r="AB1840" s="123"/>
      <c r="AC1840" s="123"/>
    </row>
    <row r="1841" spans="1:29" s="11" customFormat="1" hidden="1" x14ac:dyDescent="0.3">
      <c r="A1841" s="18" t="s">
        <v>3152</v>
      </c>
      <c r="B1841" s="18" t="s">
        <v>158</v>
      </c>
      <c r="C1841" s="18" t="s">
        <v>3166</v>
      </c>
      <c r="D1841" s="14" t="s">
        <v>630</v>
      </c>
      <c r="E1841" s="18" t="s">
        <v>9</v>
      </c>
      <c r="F1841" s="14" t="s">
        <v>517</v>
      </c>
      <c r="G1841" s="14" t="s">
        <v>518</v>
      </c>
      <c r="H1841" s="18" t="s">
        <v>5</v>
      </c>
      <c r="I1841" s="14" t="s">
        <v>117</v>
      </c>
      <c r="J1841" s="14">
        <v>3</v>
      </c>
      <c r="K1841" s="14" t="s">
        <v>646</v>
      </c>
      <c r="L1841" s="14"/>
      <c r="M1841" s="14">
        <v>1</v>
      </c>
      <c r="N1841" s="15">
        <v>180000</v>
      </c>
      <c r="O1841" s="15">
        <f t="shared" si="73"/>
        <v>180000</v>
      </c>
      <c r="P1841" s="15"/>
      <c r="Q1841" s="14" t="s">
        <v>520</v>
      </c>
      <c r="R1841" s="25">
        <v>45747</v>
      </c>
      <c r="S1841" s="22" t="str">
        <f>TEXT(Table1[[#This Row],[End Date]],"MMMM")</f>
        <v>March</v>
      </c>
      <c r="T1841" s="23" t="str">
        <f>TEXT(Table1[[#This Row],[End Date]],"YYYY")</f>
        <v>2025</v>
      </c>
      <c r="U1841" s="24">
        <f t="shared" ca="1" si="72"/>
        <v>-614</v>
      </c>
      <c r="V1841" s="14" t="str" cm="1">
        <f t="array" aca="1" ref="V1841" ca="1">_xlfn.IFS(Table1[[#This Row],[Agreement Days]]&gt;=0,"Expired",Table1[[#This Row],[Agreement Days]]&gt;=-30,"Expires &lt; 30 Days",Table1[[#This Row],[Agreement Days]]&gt;=-60,"Expires &lt; 60 Days",Table1[[#This Row],[Agreement Days]]&lt;-60,"Valid Contract")</f>
        <v>Valid Contract</v>
      </c>
      <c r="W1841" s="14" t="s">
        <v>19</v>
      </c>
      <c r="X1841" s="14" t="s">
        <v>3154</v>
      </c>
      <c r="Y1841" s="43" t="s">
        <v>3155</v>
      </c>
      <c r="Z1841" s="27">
        <v>788355242</v>
      </c>
      <c r="AA1841" s="17"/>
      <c r="AB1841" s="123"/>
      <c r="AC1841" s="123"/>
    </row>
    <row r="1842" spans="1:29" s="11" customFormat="1" hidden="1" x14ac:dyDescent="0.3">
      <c r="A1842" s="18" t="s">
        <v>3152</v>
      </c>
      <c r="B1842" s="18" t="s">
        <v>158</v>
      </c>
      <c r="C1842" s="18" t="s">
        <v>3168</v>
      </c>
      <c r="D1842" s="14" t="s">
        <v>653</v>
      </c>
      <c r="E1842" s="18" t="s">
        <v>9</v>
      </c>
      <c r="F1842" s="14" t="s">
        <v>517</v>
      </c>
      <c r="G1842" s="14" t="s">
        <v>518</v>
      </c>
      <c r="H1842" s="18" t="s">
        <v>5</v>
      </c>
      <c r="I1842" s="14" t="s">
        <v>117</v>
      </c>
      <c r="J1842" s="14">
        <v>3</v>
      </c>
      <c r="K1842" s="14" t="s">
        <v>646</v>
      </c>
      <c r="L1842" s="14"/>
      <c r="M1842" s="14">
        <v>1</v>
      </c>
      <c r="N1842" s="15">
        <v>180000</v>
      </c>
      <c r="O1842" s="15">
        <f t="shared" si="73"/>
        <v>180000</v>
      </c>
      <c r="P1842" s="15"/>
      <c r="Q1842" s="14" t="s">
        <v>520</v>
      </c>
      <c r="R1842" s="25">
        <v>45747</v>
      </c>
      <c r="S1842" s="22" t="str">
        <f>TEXT(Table1[[#This Row],[End Date]],"MMMM")</f>
        <v>March</v>
      </c>
      <c r="T1842" s="23" t="str">
        <f>TEXT(Table1[[#This Row],[End Date]],"YYYY")</f>
        <v>2025</v>
      </c>
      <c r="U1842" s="24">
        <f t="shared" ca="1" si="72"/>
        <v>-614</v>
      </c>
      <c r="V1842" s="14" t="str" cm="1">
        <f t="array" aca="1" ref="V1842" ca="1">_xlfn.IFS(Table1[[#This Row],[Agreement Days]]&gt;=0,"Expired",Table1[[#This Row],[Agreement Days]]&gt;=-30,"Expires &lt; 30 Days",Table1[[#This Row],[Agreement Days]]&gt;=-60,"Expires &lt; 60 Days",Table1[[#This Row],[Agreement Days]]&lt;-60,"Valid Contract")</f>
        <v>Valid Contract</v>
      </c>
      <c r="W1842" s="14" t="s">
        <v>19</v>
      </c>
      <c r="X1842" s="14" t="s">
        <v>3154</v>
      </c>
      <c r="Y1842" s="43" t="s">
        <v>3155</v>
      </c>
      <c r="Z1842" s="27">
        <v>788355242</v>
      </c>
      <c r="AA1842" s="17"/>
      <c r="AB1842" s="123"/>
      <c r="AC1842" s="123"/>
    </row>
    <row r="1843" spans="1:29" s="11" customFormat="1" hidden="1" x14ac:dyDescent="0.3">
      <c r="A1843" s="18" t="s">
        <v>3152</v>
      </c>
      <c r="B1843" s="18" t="s">
        <v>158</v>
      </c>
      <c r="C1843" s="18" t="s">
        <v>3169</v>
      </c>
      <c r="D1843" s="14" t="s">
        <v>653</v>
      </c>
      <c r="E1843" s="18" t="s">
        <v>9</v>
      </c>
      <c r="F1843" s="14" t="s">
        <v>517</v>
      </c>
      <c r="G1843" s="14" t="s">
        <v>518</v>
      </c>
      <c r="H1843" s="18" t="s">
        <v>5</v>
      </c>
      <c r="I1843" s="14" t="s">
        <v>117</v>
      </c>
      <c r="J1843" s="14">
        <v>3</v>
      </c>
      <c r="K1843" s="14" t="s">
        <v>646</v>
      </c>
      <c r="L1843" s="14"/>
      <c r="M1843" s="14">
        <v>1</v>
      </c>
      <c r="N1843" s="15">
        <v>180000</v>
      </c>
      <c r="O1843" s="15">
        <f t="shared" si="73"/>
        <v>180000</v>
      </c>
      <c r="P1843" s="15"/>
      <c r="Q1843" s="14" t="s">
        <v>520</v>
      </c>
      <c r="R1843" s="25">
        <v>45747</v>
      </c>
      <c r="S1843" s="22" t="str">
        <f>TEXT(Table1[[#This Row],[End Date]],"MMMM")</f>
        <v>March</v>
      </c>
      <c r="T1843" s="23" t="str">
        <f>TEXT(Table1[[#This Row],[End Date]],"YYYY")</f>
        <v>2025</v>
      </c>
      <c r="U1843" s="24">
        <f t="shared" ca="1" si="72"/>
        <v>-614</v>
      </c>
      <c r="V1843" s="14" t="str" cm="1">
        <f t="array" aca="1" ref="V1843" ca="1">_xlfn.IFS(Table1[[#This Row],[Agreement Days]]&gt;=0,"Expired",Table1[[#This Row],[Agreement Days]]&gt;=-30,"Expires &lt; 30 Days",Table1[[#This Row],[Agreement Days]]&gt;=-60,"Expires &lt; 60 Days",Table1[[#This Row],[Agreement Days]]&lt;-60,"Valid Contract")</f>
        <v>Valid Contract</v>
      </c>
      <c r="W1843" s="14" t="s">
        <v>19</v>
      </c>
      <c r="X1843" s="14" t="s">
        <v>3154</v>
      </c>
      <c r="Y1843" s="43" t="s">
        <v>3155</v>
      </c>
      <c r="Z1843" s="27">
        <v>788355242</v>
      </c>
      <c r="AA1843" s="17"/>
      <c r="AB1843" s="123"/>
      <c r="AC1843" s="123"/>
    </row>
    <row r="1844" spans="1:29" s="11" customFormat="1" hidden="1" x14ac:dyDescent="0.3">
      <c r="A1844" s="18" t="s">
        <v>3152</v>
      </c>
      <c r="B1844" s="18" t="s">
        <v>158</v>
      </c>
      <c r="C1844" s="18" t="s">
        <v>3170</v>
      </c>
      <c r="D1844" s="14" t="s">
        <v>769</v>
      </c>
      <c r="E1844" s="18" t="s">
        <v>9</v>
      </c>
      <c r="F1844" s="14" t="s">
        <v>517</v>
      </c>
      <c r="G1844" s="14" t="s">
        <v>518</v>
      </c>
      <c r="H1844" s="18" t="s">
        <v>5</v>
      </c>
      <c r="I1844" s="14" t="s">
        <v>117</v>
      </c>
      <c r="J1844" s="14">
        <v>3</v>
      </c>
      <c r="K1844" s="14" t="s">
        <v>646</v>
      </c>
      <c r="L1844" s="14"/>
      <c r="M1844" s="14">
        <v>1</v>
      </c>
      <c r="N1844" s="15">
        <v>180000</v>
      </c>
      <c r="O1844" s="15">
        <f t="shared" si="73"/>
        <v>180000</v>
      </c>
      <c r="P1844" s="15"/>
      <c r="Q1844" s="14" t="s">
        <v>520</v>
      </c>
      <c r="R1844" s="25">
        <v>45747</v>
      </c>
      <c r="S1844" s="22" t="str">
        <f>TEXT(Table1[[#This Row],[End Date]],"MMMM")</f>
        <v>March</v>
      </c>
      <c r="T1844" s="23" t="str">
        <f>TEXT(Table1[[#This Row],[End Date]],"YYYY")</f>
        <v>2025</v>
      </c>
      <c r="U1844" s="24">
        <f t="shared" ca="1" si="72"/>
        <v>-614</v>
      </c>
      <c r="V1844" s="14" t="str" cm="1">
        <f t="array" aca="1" ref="V1844" ca="1">_xlfn.IFS(Table1[[#This Row],[Agreement Days]]&gt;=0,"Expired",Table1[[#This Row],[Agreement Days]]&gt;=-30,"Expires &lt; 30 Days",Table1[[#This Row],[Agreement Days]]&gt;=-60,"Expires &lt; 60 Days",Table1[[#This Row],[Agreement Days]]&lt;-60,"Valid Contract")</f>
        <v>Valid Contract</v>
      </c>
      <c r="W1844" s="14" t="s">
        <v>19</v>
      </c>
      <c r="X1844" s="14" t="s">
        <v>3154</v>
      </c>
      <c r="Y1844" s="43" t="s">
        <v>3155</v>
      </c>
      <c r="Z1844" s="27">
        <v>788355242</v>
      </c>
      <c r="AA1844" s="17"/>
      <c r="AB1844" s="123"/>
      <c r="AC1844" s="123"/>
    </row>
    <row r="1845" spans="1:29" s="11" customFormat="1" hidden="1" x14ac:dyDescent="0.3">
      <c r="A1845" s="18" t="s">
        <v>3152</v>
      </c>
      <c r="B1845" s="18" t="s">
        <v>158</v>
      </c>
      <c r="C1845" s="18" t="s">
        <v>3171</v>
      </c>
      <c r="D1845" s="14" t="s">
        <v>579</v>
      </c>
      <c r="E1845" s="18" t="s">
        <v>9</v>
      </c>
      <c r="F1845" s="14" t="s">
        <v>517</v>
      </c>
      <c r="G1845" s="14" t="s">
        <v>518</v>
      </c>
      <c r="H1845" s="18" t="s">
        <v>5</v>
      </c>
      <c r="I1845" s="14" t="s">
        <v>117</v>
      </c>
      <c r="J1845" s="14">
        <v>3</v>
      </c>
      <c r="K1845" s="14" t="s">
        <v>646</v>
      </c>
      <c r="L1845" s="14"/>
      <c r="M1845" s="14">
        <v>1</v>
      </c>
      <c r="N1845" s="15">
        <v>180000</v>
      </c>
      <c r="O1845" s="15">
        <f t="shared" si="73"/>
        <v>180000</v>
      </c>
      <c r="P1845" s="15"/>
      <c r="Q1845" s="14" t="s">
        <v>520</v>
      </c>
      <c r="R1845" s="25">
        <v>45747</v>
      </c>
      <c r="S1845" s="22" t="str">
        <f>TEXT(Table1[[#This Row],[End Date]],"MMMM")</f>
        <v>March</v>
      </c>
      <c r="T1845" s="23" t="str">
        <f>TEXT(Table1[[#This Row],[End Date]],"YYYY")</f>
        <v>2025</v>
      </c>
      <c r="U1845" s="24">
        <f t="shared" ca="1" si="72"/>
        <v>-614</v>
      </c>
      <c r="V1845" s="14" t="str" cm="1">
        <f t="array" aca="1" ref="V1845" ca="1">_xlfn.IFS(Table1[[#This Row],[Agreement Days]]&gt;=0,"Expired",Table1[[#This Row],[Agreement Days]]&gt;=-30,"Expires &lt; 30 Days",Table1[[#This Row],[Agreement Days]]&gt;=-60,"Expires &lt; 60 Days",Table1[[#This Row],[Agreement Days]]&lt;-60,"Valid Contract")</f>
        <v>Valid Contract</v>
      </c>
      <c r="W1845" s="14" t="s">
        <v>19</v>
      </c>
      <c r="X1845" s="14" t="s">
        <v>3154</v>
      </c>
      <c r="Y1845" s="43" t="s">
        <v>3155</v>
      </c>
      <c r="Z1845" s="27">
        <v>788355242</v>
      </c>
      <c r="AA1845" s="17"/>
      <c r="AB1845" s="123"/>
      <c r="AC1845" s="123"/>
    </row>
    <row r="1846" spans="1:29" s="11" customFormat="1" hidden="1" x14ac:dyDescent="0.3">
      <c r="A1846" s="18" t="s">
        <v>3152</v>
      </c>
      <c r="B1846" s="18" t="s">
        <v>158</v>
      </c>
      <c r="C1846" s="18" t="s">
        <v>3172</v>
      </c>
      <c r="D1846" s="14" t="s">
        <v>653</v>
      </c>
      <c r="E1846" s="18" t="s">
        <v>9</v>
      </c>
      <c r="F1846" s="14" t="s">
        <v>517</v>
      </c>
      <c r="G1846" s="14" t="s">
        <v>518</v>
      </c>
      <c r="H1846" s="18" t="s">
        <v>5</v>
      </c>
      <c r="I1846" s="14" t="s">
        <v>117</v>
      </c>
      <c r="J1846" s="14">
        <v>30</v>
      </c>
      <c r="K1846" s="14" t="s">
        <v>694</v>
      </c>
      <c r="L1846" s="14"/>
      <c r="M1846" s="14">
        <v>1</v>
      </c>
      <c r="N1846" s="15">
        <v>1260000</v>
      </c>
      <c r="O1846" s="15">
        <f t="shared" si="73"/>
        <v>1260000</v>
      </c>
      <c r="P1846" s="15"/>
      <c r="Q1846" s="14" t="s">
        <v>520</v>
      </c>
      <c r="R1846" s="25">
        <v>45747</v>
      </c>
      <c r="S1846" s="22" t="str">
        <f>TEXT(Table1[[#This Row],[End Date]],"MMMM")</f>
        <v>March</v>
      </c>
      <c r="T1846" s="23" t="str">
        <f>TEXT(Table1[[#This Row],[End Date]],"YYYY")</f>
        <v>2025</v>
      </c>
      <c r="U1846" s="24">
        <f t="shared" ca="1" si="72"/>
        <v>-614</v>
      </c>
      <c r="V1846" s="14" t="str" cm="1">
        <f t="array" aca="1" ref="V1846" ca="1">_xlfn.IFS(Table1[[#This Row],[Agreement Days]]&gt;=0,"Expired",Table1[[#This Row],[Agreement Days]]&gt;=-30,"Expires &lt; 30 Days",Table1[[#This Row],[Agreement Days]]&gt;=-60,"Expires &lt; 60 Days",Table1[[#This Row],[Agreement Days]]&lt;-60,"Valid Contract")</f>
        <v>Valid Contract</v>
      </c>
      <c r="W1846" s="14" t="s">
        <v>19</v>
      </c>
      <c r="X1846" s="14" t="s">
        <v>3154</v>
      </c>
      <c r="Y1846" s="43" t="s">
        <v>3155</v>
      </c>
      <c r="Z1846" s="27">
        <v>788355242</v>
      </c>
      <c r="AA1846" s="17"/>
      <c r="AB1846" s="123"/>
      <c r="AC1846" s="123"/>
    </row>
    <row r="1847" spans="1:29" s="11" customFormat="1" hidden="1" x14ac:dyDescent="0.3">
      <c r="A1847" s="18" t="s">
        <v>3152</v>
      </c>
      <c r="B1847" s="18" t="s">
        <v>158</v>
      </c>
      <c r="C1847" s="18" t="s">
        <v>3172</v>
      </c>
      <c r="D1847" s="14" t="s">
        <v>653</v>
      </c>
      <c r="E1847" s="18" t="s">
        <v>9</v>
      </c>
      <c r="F1847" s="14" t="s">
        <v>517</v>
      </c>
      <c r="G1847" s="14" t="s">
        <v>518</v>
      </c>
      <c r="H1847" s="18" t="s">
        <v>4</v>
      </c>
      <c r="I1847" s="14" t="s">
        <v>118</v>
      </c>
      <c r="J1847" s="14"/>
      <c r="K1847" s="14" t="s">
        <v>1235</v>
      </c>
      <c r="L1847" s="14"/>
      <c r="M1847" s="14">
        <v>1</v>
      </c>
      <c r="N1847" s="15">
        <v>1478574</v>
      </c>
      <c r="O1847" s="15">
        <f t="shared" si="73"/>
        <v>1478574</v>
      </c>
      <c r="P1847" s="15"/>
      <c r="Q1847" s="14" t="s">
        <v>520</v>
      </c>
      <c r="R1847" s="25">
        <v>45747</v>
      </c>
      <c r="S1847" s="22" t="str">
        <f>TEXT(Table1[[#This Row],[End Date]],"MMMM")</f>
        <v>March</v>
      </c>
      <c r="T1847" s="23" t="str">
        <f>TEXT(Table1[[#This Row],[End Date]],"YYYY")</f>
        <v>2025</v>
      </c>
      <c r="U1847" s="24">
        <f t="shared" ca="1" si="72"/>
        <v>-614</v>
      </c>
      <c r="V1847" s="14" t="str" cm="1">
        <f t="array" aca="1" ref="V1847" ca="1">_xlfn.IFS(Table1[[#This Row],[Agreement Days]]&gt;=0,"Expired",Table1[[#This Row],[Agreement Days]]&gt;=-30,"Expires &lt; 30 Days",Table1[[#This Row],[Agreement Days]]&gt;=-60,"Expires &lt; 60 Days",Table1[[#This Row],[Agreement Days]]&lt;-60,"Valid Contract")</f>
        <v>Valid Contract</v>
      </c>
      <c r="W1847" s="14" t="s">
        <v>19</v>
      </c>
      <c r="X1847" s="14" t="s">
        <v>3154</v>
      </c>
      <c r="Y1847" s="43" t="s">
        <v>3155</v>
      </c>
      <c r="Z1847" s="27">
        <v>788355242</v>
      </c>
      <c r="AA1847" s="17"/>
      <c r="AB1847" s="123"/>
      <c r="AC1847" s="123"/>
    </row>
    <row r="1848" spans="1:29" s="11" customFormat="1" x14ac:dyDescent="0.3">
      <c r="A1848" s="18"/>
      <c r="B1848" s="18" t="s">
        <v>3173</v>
      </c>
      <c r="C1848" s="18" t="s">
        <v>3174</v>
      </c>
      <c r="D1848" s="142" t="s">
        <v>540</v>
      </c>
      <c r="E1848" s="18" t="s">
        <v>10</v>
      </c>
      <c r="F1848" s="143" t="s">
        <v>1536</v>
      </c>
      <c r="G1848" s="143" t="s">
        <v>518</v>
      </c>
      <c r="H1848" s="18" t="s">
        <v>2</v>
      </c>
      <c r="I1848" s="142" t="s">
        <v>134</v>
      </c>
      <c r="J1848" s="142">
        <v>25</v>
      </c>
      <c r="K1848" s="142" t="s">
        <v>3175</v>
      </c>
      <c r="L1848" s="142"/>
      <c r="M1848" s="142">
        <v>1</v>
      </c>
      <c r="N1848" s="142">
        <f>1287650/1.18</f>
        <v>1091228.8135593222</v>
      </c>
      <c r="O1848" s="144">
        <f t="shared" si="73"/>
        <v>1091228.8135593222</v>
      </c>
      <c r="P1848" s="144"/>
      <c r="Q1848" s="14" t="s">
        <v>520</v>
      </c>
      <c r="R1848" s="145">
        <v>45760</v>
      </c>
      <c r="S1848" s="159" t="str">
        <f>TEXT(Table1[[#This Row],[End Date]],"MMMM")</f>
        <v>April</v>
      </c>
      <c r="T1848" s="146" t="str">
        <f>TEXT(Table1[[#This Row],[End Date]],"YYYY")</f>
        <v>2025</v>
      </c>
      <c r="U1848" s="147">
        <f t="shared" ca="1" si="72"/>
        <v>-627</v>
      </c>
      <c r="V1848" s="142" t="str" cm="1">
        <f t="array" aca="1" ref="V1848" ca="1">_xlfn.IFS(Table1[[#This Row],[Agreement Days]]&gt;=0,"Expired",Table1[[#This Row],[Agreement Days]]&gt;=-30,"Expires &lt; 30 Days",Table1[[#This Row],[Agreement Days]]&gt;=-60,"Expires &lt; 60 Days",Table1[[#This Row],[Agreement Days]]&lt;-60,"Valid Contract")</f>
        <v>Valid Contract</v>
      </c>
      <c r="W1848" s="142" t="s">
        <v>12</v>
      </c>
      <c r="X1848" s="148" t="s">
        <v>3176</v>
      </c>
      <c r="Y1848" s="71" t="s">
        <v>3177</v>
      </c>
      <c r="Z1848" s="172" t="s">
        <v>3178</v>
      </c>
      <c r="AA1848" s="142"/>
      <c r="AB1848" s="149"/>
      <c r="AC1848" s="149"/>
    </row>
    <row r="1849" spans="1:29" s="11" customFormat="1" x14ac:dyDescent="0.3">
      <c r="A1849" s="18"/>
      <c r="B1849" s="18" t="s">
        <v>3173</v>
      </c>
      <c r="C1849" s="18" t="s">
        <v>3179</v>
      </c>
      <c r="D1849" s="152" t="s">
        <v>545</v>
      </c>
      <c r="E1849" s="18" t="s">
        <v>10</v>
      </c>
      <c r="F1849" s="152" t="s">
        <v>1536</v>
      </c>
      <c r="G1849" s="152" t="s">
        <v>518</v>
      </c>
      <c r="H1849" s="18" t="s">
        <v>2</v>
      </c>
      <c r="I1849" s="152" t="s">
        <v>134</v>
      </c>
      <c r="J1849" s="152">
        <v>22</v>
      </c>
      <c r="K1849" s="152" t="s">
        <v>3180</v>
      </c>
      <c r="L1849" s="152"/>
      <c r="M1849" s="152">
        <v>1</v>
      </c>
      <c r="N1849" s="157">
        <f>1133132/1.18</f>
        <v>960281.35593220347</v>
      </c>
      <c r="O1849" s="2">
        <f t="shared" si="73"/>
        <v>960281.35593220347</v>
      </c>
      <c r="P1849" s="2"/>
      <c r="Q1849" s="152" t="s">
        <v>520</v>
      </c>
      <c r="R1849" s="159">
        <v>45760</v>
      </c>
      <c r="S1849" s="159" t="str">
        <f>TEXT(Table1[[#This Row],[End Date]],"MMMM")</f>
        <v>April</v>
      </c>
      <c r="T1849" s="159" t="str">
        <f>TEXT(Table1[[#This Row],[End Date]],"YYYY")</f>
        <v>2025</v>
      </c>
      <c r="U1849" s="166">
        <f t="shared" ca="1" si="72"/>
        <v>-627</v>
      </c>
      <c r="V1849" s="142" t="str" cm="1">
        <f t="array" aca="1" ref="V1849" ca="1">_xlfn.IFS(Table1[[#This Row],[Agreement Days]]&gt;=0,"Expired",Table1[[#This Row],[Agreement Days]]&gt;=-30,"Expires &lt; 30 Days",Table1[[#This Row],[Agreement Days]]&gt;=-60,"Expires &lt; 60 Days",Table1[[#This Row],[Agreement Days]]&lt;-60,"Valid Contract")</f>
        <v>Valid Contract</v>
      </c>
      <c r="W1849" s="152" t="s">
        <v>12</v>
      </c>
      <c r="X1849" s="142" t="s">
        <v>3176</v>
      </c>
      <c r="Y1849" s="73" t="s">
        <v>3177</v>
      </c>
      <c r="Z1849" s="172" t="s">
        <v>3178</v>
      </c>
      <c r="AA1849" s="152"/>
      <c r="AB1849" s="175"/>
      <c r="AC1849" s="175"/>
    </row>
    <row r="1850" spans="1:29" s="11" customFormat="1" x14ac:dyDescent="0.3">
      <c r="A1850" s="18"/>
      <c r="B1850" s="18" t="s">
        <v>3173</v>
      </c>
      <c r="C1850" s="18" t="s">
        <v>3181</v>
      </c>
      <c r="D1850" s="152" t="s">
        <v>540</v>
      </c>
      <c r="E1850" s="18" t="s">
        <v>10</v>
      </c>
      <c r="F1850" s="152" t="s">
        <v>1536</v>
      </c>
      <c r="G1850" s="152" t="s">
        <v>518</v>
      </c>
      <c r="H1850" s="18" t="s">
        <v>2</v>
      </c>
      <c r="I1850" s="152" t="s">
        <v>134</v>
      </c>
      <c r="J1850" s="152">
        <v>15</v>
      </c>
      <c r="K1850" s="152" t="s">
        <v>1548</v>
      </c>
      <c r="L1850" s="152"/>
      <c r="M1850" s="152">
        <v>1</v>
      </c>
      <c r="N1850" s="157">
        <f>772590/1.18</f>
        <v>654737.28813559329</v>
      </c>
      <c r="O1850" s="2">
        <f t="shared" si="73"/>
        <v>654737.28813559329</v>
      </c>
      <c r="P1850" s="2"/>
      <c r="Q1850" s="152" t="s">
        <v>520</v>
      </c>
      <c r="R1850" s="159">
        <v>45760</v>
      </c>
      <c r="S1850" s="159" t="str">
        <f>TEXT(Table1[[#This Row],[End Date]],"MMMM")</f>
        <v>April</v>
      </c>
      <c r="T1850" s="159" t="str">
        <f>TEXT(Table1[[#This Row],[End Date]],"YYYY")</f>
        <v>2025</v>
      </c>
      <c r="U1850" s="166">
        <f t="shared" ca="1" si="72"/>
        <v>-627</v>
      </c>
      <c r="V1850" s="142" t="str" cm="1">
        <f t="array" aca="1" ref="V1850" ca="1">_xlfn.IFS(Table1[[#This Row],[Agreement Days]]&gt;=0,"Expired",Table1[[#This Row],[Agreement Days]]&gt;=-30,"Expires &lt; 30 Days",Table1[[#This Row],[Agreement Days]]&gt;=-60,"Expires &lt; 60 Days",Table1[[#This Row],[Agreement Days]]&lt;-60,"Valid Contract")</f>
        <v>Valid Contract</v>
      </c>
      <c r="W1850" s="152" t="s">
        <v>12</v>
      </c>
      <c r="X1850" s="142" t="s">
        <v>3176</v>
      </c>
      <c r="Y1850" s="73" t="s">
        <v>3177</v>
      </c>
      <c r="Z1850" s="172" t="s">
        <v>3178</v>
      </c>
      <c r="AA1850" s="152"/>
      <c r="AB1850" s="175"/>
      <c r="AC1850" s="175"/>
    </row>
    <row r="1851" spans="1:29" s="11" customFormat="1" x14ac:dyDescent="0.3">
      <c r="A1851" s="18"/>
      <c r="B1851" s="18" t="s">
        <v>3173</v>
      </c>
      <c r="C1851" s="18" t="s">
        <v>3182</v>
      </c>
      <c r="D1851" s="152" t="s">
        <v>545</v>
      </c>
      <c r="E1851" s="18" t="s">
        <v>10</v>
      </c>
      <c r="F1851" s="152" t="s">
        <v>1536</v>
      </c>
      <c r="G1851" s="152" t="s">
        <v>518</v>
      </c>
      <c r="H1851" s="18" t="s">
        <v>2</v>
      </c>
      <c r="I1851" s="152" t="s">
        <v>134</v>
      </c>
      <c r="J1851" s="152">
        <v>10</v>
      </c>
      <c r="K1851" s="152" t="s">
        <v>1160</v>
      </c>
      <c r="L1851" s="152"/>
      <c r="M1851" s="152">
        <v>1</v>
      </c>
      <c r="N1851" s="157">
        <f>515060/1.18</f>
        <v>436491.52542372886</v>
      </c>
      <c r="O1851" s="2">
        <f t="shared" si="73"/>
        <v>436491.52542372886</v>
      </c>
      <c r="P1851" s="2"/>
      <c r="Q1851" s="152" t="s">
        <v>520</v>
      </c>
      <c r="R1851" s="159">
        <v>45760</v>
      </c>
      <c r="S1851" s="159" t="str">
        <f>TEXT(Table1[[#This Row],[End Date]],"MMMM")</f>
        <v>April</v>
      </c>
      <c r="T1851" s="159" t="str">
        <f>TEXT(Table1[[#This Row],[End Date]],"YYYY")</f>
        <v>2025</v>
      </c>
      <c r="U1851" s="166">
        <f t="shared" ca="1" si="72"/>
        <v>-627</v>
      </c>
      <c r="V1851" s="142" t="str" cm="1">
        <f t="array" aca="1" ref="V1851" ca="1">_xlfn.IFS(Table1[[#This Row],[Agreement Days]]&gt;=0,"Expired",Table1[[#This Row],[Agreement Days]]&gt;=-30,"Expires &lt; 30 Days",Table1[[#This Row],[Agreement Days]]&gt;=-60,"Expires &lt; 60 Days",Table1[[#This Row],[Agreement Days]]&lt;-60,"Valid Contract")</f>
        <v>Valid Contract</v>
      </c>
      <c r="W1851" s="152" t="s">
        <v>12</v>
      </c>
      <c r="X1851" s="142" t="s">
        <v>3176</v>
      </c>
      <c r="Y1851" s="73" t="s">
        <v>3177</v>
      </c>
      <c r="Z1851" s="172" t="s">
        <v>3178</v>
      </c>
      <c r="AA1851" s="152"/>
      <c r="AB1851" s="175"/>
      <c r="AC1851" s="175"/>
    </row>
    <row r="1852" spans="1:29" s="11" customFormat="1" x14ac:dyDescent="0.3">
      <c r="A1852" s="18"/>
      <c r="B1852" s="18" t="s">
        <v>3173</v>
      </c>
      <c r="C1852" s="18" t="s">
        <v>3183</v>
      </c>
      <c r="D1852" s="152" t="s">
        <v>540</v>
      </c>
      <c r="E1852" s="18" t="s">
        <v>10</v>
      </c>
      <c r="F1852" s="152" t="s">
        <v>1536</v>
      </c>
      <c r="G1852" s="152" t="s">
        <v>518</v>
      </c>
      <c r="H1852" s="18" t="s">
        <v>2</v>
      </c>
      <c r="I1852" s="152" t="s">
        <v>134</v>
      </c>
      <c r="J1852" s="152">
        <v>5</v>
      </c>
      <c r="K1852" s="152" t="s">
        <v>730</v>
      </c>
      <c r="L1852" s="152"/>
      <c r="M1852" s="152">
        <v>1</v>
      </c>
      <c r="N1852" s="157">
        <f>257530/1.18</f>
        <v>218245.76271186443</v>
      </c>
      <c r="O1852" s="2">
        <f t="shared" si="73"/>
        <v>218245.76271186443</v>
      </c>
      <c r="P1852" s="2"/>
      <c r="Q1852" s="152" t="s">
        <v>520</v>
      </c>
      <c r="R1852" s="159">
        <v>45760</v>
      </c>
      <c r="S1852" s="159" t="str">
        <f>TEXT(Table1[[#This Row],[End Date]],"MMMM")</f>
        <v>April</v>
      </c>
      <c r="T1852" s="159" t="str">
        <f>TEXT(Table1[[#This Row],[End Date]],"YYYY")</f>
        <v>2025</v>
      </c>
      <c r="U1852" s="166">
        <f t="shared" ca="1" si="72"/>
        <v>-627</v>
      </c>
      <c r="V1852" s="142" t="str" cm="1">
        <f t="array" aca="1" ref="V1852" ca="1">_xlfn.IFS(Table1[[#This Row],[Agreement Days]]&gt;=0,"Expired",Table1[[#This Row],[Agreement Days]]&gt;=-30,"Expires &lt; 30 Days",Table1[[#This Row],[Agreement Days]]&gt;=-60,"Expires &lt; 60 Days",Table1[[#This Row],[Agreement Days]]&lt;-60,"Valid Contract")</f>
        <v>Valid Contract</v>
      </c>
      <c r="W1852" s="152" t="s">
        <v>12</v>
      </c>
      <c r="X1852" s="142" t="s">
        <v>3176</v>
      </c>
      <c r="Y1852" s="73" t="s">
        <v>3177</v>
      </c>
      <c r="Z1852" s="172" t="s">
        <v>3178</v>
      </c>
      <c r="AA1852" s="152"/>
      <c r="AB1852" s="175"/>
      <c r="AC1852" s="175"/>
    </row>
    <row r="1853" spans="1:29" s="11" customFormat="1" x14ac:dyDescent="0.3">
      <c r="A1853" s="18"/>
      <c r="B1853" s="18" t="s">
        <v>3173</v>
      </c>
      <c r="C1853" s="18" t="s">
        <v>3184</v>
      </c>
      <c r="D1853" s="152" t="s">
        <v>540</v>
      </c>
      <c r="E1853" s="18" t="s">
        <v>10</v>
      </c>
      <c r="F1853" s="152" t="s">
        <v>1536</v>
      </c>
      <c r="G1853" s="152" t="s">
        <v>518</v>
      </c>
      <c r="H1853" s="18" t="s">
        <v>2</v>
      </c>
      <c r="I1853" s="152" t="s">
        <v>134</v>
      </c>
      <c r="J1853" s="152">
        <v>5</v>
      </c>
      <c r="K1853" s="152" t="s">
        <v>730</v>
      </c>
      <c r="L1853" s="152"/>
      <c r="M1853" s="152">
        <v>1</v>
      </c>
      <c r="N1853" s="157">
        <f>257530/1.18</f>
        <v>218245.76271186443</v>
      </c>
      <c r="O1853" s="2">
        <f t="shared" si="73"/>
        <v>218245.76271186443</v>
      </c>
      <c r="P1853" s="2"/>
      <c r="Q1853" s="152" t="s">
        <v>520</v>
      </c>
      <c r="R1853" s="159">
        <v>45760</v>
      </c>
      <c r="S1853" s="159" t="str">
        <f>TEXT(Table1[[#This Row],[End Date]],"MMMM")</f>
        <v>April</v>
      </c>
      <c r="T1853" s="159" t="str">
        <f>TEXT(Table1[[#This Row],[End Date]],"YYYY")</f>
        <v>2025</v>
      </c>
      <c r="U1853" s="166">
        <f t="shared" ca="1" si="72"/>
        <v>-627</v>
      </c>
      <c r="V1853" s="142" t="str" cm="1">
        <f t="array" aca="1" ref="V1853" ca="1">_xlfn.IFS(Table1[[#This Row],[Agreement Days]]&gt;=0,"Expired",Table1[[#This Row],[Agreement Days]]&gt;=-30,"Expires &lt; 30 Days",Table1[[#This Row],[Agreement Days]]&gt;=-60,"Expires &lt; 60 Days",Table1[[#This Row],[Agreement Days]]&lt;-60,"Valid Contract")</f>
        <v>Valid Contract</v>
      </c>
      <c r="W1853" s="152" t="s">
        <v>12</v>
      </c>
      <c r="X1853" s="142" t="s">
        <v>3176</v>
      </c>
      <c r="Y1853" s="73" t="s">
        <v>3177</v>
      </c>
      <c r="Z1853" s="172" t="s">
        <v>3178</v>
      </c>
      <c r="AA1853" s="152"/>
      <c r="AB1853" s="175"/>
      <c r="AC1853" s="175"/>
    </row>
    <row r="1854" spans="1:29" s="11" customFormat="1" x14ac:dyDescent="0.3">
      <c r="A1854" s="18"/>
      <c r="B1854" s="18" t="s">
        <v>3173</v>
      </c>
      <c r="C1854" s="18" t="s">
        <v>3185</v>
      </c>
      <c r="D1854" s="152" t="s">
        <v>540</v>
      </c>
      <c r="E1854" s="18" t="s">
        <v>10</v>
      </c>
      <c r="F1854" s="152" t="s">
        <v>1536</v>
      </c>
      <c r="G1854" s="152" t="s">
        <v>518</v>
      </c>
      <c r="H1854" s="18" t="s">
        <v>2</v>
      </c>
      <c r="I1854" s="152" t="s">
        <v>134</v>
      </c>
      <c r="J1854" s="152">
        <v>10</v>
      </c>
      <c r="K1854" s="152" t="s">
        <v>1160</v>
      </c>
      <c r="L1854" s="152"/>
      <c r="M1854" s="152">
        <v>1</v>
      </c>
      <c r="N1854" s="157">
        <f>515060/1.18</f>
        <v>436491.52542372886</v>
      </c>
      <c r="O1854" s="2">
        <f t="shared" si="73"/>
        <v>436491.52542372886</v>
      </c>
      <c r="P1854" s="2"/>
      <c r="Q1854" s="152" t="s">
        <v>520</v>
      </c>
      <c r="R1854" s="159">
        <v>45760</v>
      </c>
      <c r="S1854" s="159" t="str">
        <f>TEXT(Table1[[#This Row],[End Date]],"MMMM")</f>
        <v>April</v>
      </c>
      <c r="T1854" s="159" t="str">
        <f>TEXT(Table1[[#This Row],[End Date]],"YYYY")</f>
        <v>2025</v>
      </c>
      <c r="U1854" s="166">
        <f t="shared" ca="1" si="72"/>
        <v>-627</v>
      </c>
      <c r="V1854" s="142" t="str" cm="1">
        <f t="array" aca="1" ref="V1854" ca="1">_xlfn.IFS(Table1[[#This Row],[Agreement Days]]&gt;=0,"Expired",Table1[[#This Row],[Agreement Days]]&gt;=-30,"Expires &lt; 30 Days",Table1[[#This Row],[Agreement Days]]&gt;=-60,"Expires &lt; 60 Days",Table1[[#This Row],[Agreement Days]]&lt;-60,"Valid Contract")</f>
        <v>Valid Contract</v>
      </c>
      <c r="W1854" s="152" t="s">
        <v>12</v>
      </c>
      <c r="X1854" s="142" t="s">
        <v>3176</v>
      </c>
      <c r="Y1854" s="73" t="s">
        <v>3177</v>
      </c>
      <c r="Z1854" s="172" t="s">
        <v>3178</v>
      </c>
      <c r="AA1854" s="152"/>
      <c r="AB1854" s="175"/>
      <c r="AC1854" s="175"/>
    </row>
    <row r="1855" spans="1:29" s="11" customFormat="1" hidden="1" x14ac:dyDescent="0.3">
      <c r="A1855" s="18" t="s">
        <v>3186</v>
      </c>
      <c r="B1855" s="18" t="s">
        <v>372</v>
      </c>
      <c r="C1855" s="18" t="s">
        <v>544</v>
      </c>
      <c r="D1855" s="14" t="s">
        <v>545</v>
      </c>
      <c r="E1855" s="18" t="s">
        <v>9</v>
      </c>
      <c r="F1855" s="14" t="s">
        <v>517</v>
      </c>
      <c r="G1855" s="14" t="s">
        <v>518</v>
      </c>
      <c r="H1855" s="18" t="s">
        <v>5</v>
      </c>
      <c r="I1855" s="14" t="s">
        <v>115</v>
      </c>
      <c r="J1855" s="18"/>
      <c r="K1855" s="18" t="s">
        <v>642</v>
      </c>
      <c r="L1855" s="18"/>
      <c r="M1855" s="14">
        <v>1</v>
      </c>
      <c r="N1855" s="15">
        <v>101694.92</v>
      </c>
      <c r="O1855" s="15">
        <f t="shared" si="73"/>
        <v>101694.92</v>
      </c>
      <c r="P1855" s="15"/>
      <c r="Q1855" s="14" t="s">
        <v>520</v>
      </c>
      <c r="R1855" s="25">
        <v>45766</v>
      </c>
      <c r="S1855" s="34" t="str">
        <f>TEXT(Table1[[#This Row],[End Date]],"MMMM")</f>
        <v>April</v>
      </c>
      <c r="T1855" s="34" t="str">
        <f>TEXT(Table1[[#This Row],[End Date]],"YYYY")</f>
        <v>2025</v>
      </c>
      <c r="U1855" s="24">
        <f t="shared" ca="1" si="72"/>
        <v>-633</v>
      </c>
      <c r="V1855" s="14" t="str" cm="1">
        <f t="array" aca="1" ref="V1855" ca="1">_xlfn.IFS(Table1[[#This Row],[Agreement Days]]&gt;=0,"Expired",Table1[[#This Row],[Agreement Days]]&gt;=-30,"Expires &lt; 30 Days",Table1[[#This Row],[Agreement Days]]&gt;=-60,"Expires &lt; 60 Days",Table1[[#This Row],[Agreement Days]]&lt;-60,"Valid Contract")</f>
        <v>Valid Contract</v>
      </c>
      <c r="W1855" s="18" t="s">
        <v>18</v>
      </c>
      <c r="X1855" s="18" t="s">
        <v>3187</v>
      </c>
      <c r="Y1855" s="35" t="s">
        <v>3188</v>
      </c>
      <c r="Z1855" s="27" t="s">
        <v>3189</v>
      </c>
      <c r="AA1855" s="36"/>
      <c r="AB1855" s="123"/>
      <c r="AC1855" s="123"/>
    </row>
    <row r="1856" spans="1:29" s="11" customFormat="1" hidden="1" x14ac:dyDescent="0.3">
      <c r="A1856" s="18" t="s">
        <v>3186</v>
      </c>
      <c r="B1856" s="18" t="s">
        <v>372</v>
      </c>
      <c r="C1856" s="18" t="s">
        <v>544</v>
      </c>
      <c r="D1856" s="14" t="s">
        <v>545</v>
      </c>
      <c r="E1856" s="18" t="s">
        <v>9</v>
      </c>
      <c r="F1856" s="14" t="s">
        <v>517</v>
      </c>
      <c r="G1856" s="14" t="s">
        <v>518</v>
      </c>
      <c r="H1856" s="18" t="s">
        <v>5</v>
      </c>
      <c r="I1856" s="14" t="s">
        <v>115</v>
      </c>
      <c r="J1856" s="18"/>
      <c r="K1856" s="18" t="s">
        <v>657</v>
      </c>
      <c r="L1856" s="18"/>
      <c r="M1856" s="14">
        <v>7</v>
      </c>
      <c r="N1856" s="15">
        <v>45338.98</v>
      </c>
      <c r="O1856" s="15">
        <f t="shared" si="73"/>
        <v>317372.86000000004</v>
      </c>
      <c r="P1856" s="15"/>
      <c r="Q1856" s="14" t="s">
        <v>520</v>
      </c>
      <c r="R1856" s="25">
        <v>45766</v>
      </c>
      <c r="S1856" s="34" t="str">
        <f>TEXT(Table1[[#This Row],[End Date]],"MMMM")</f>
        <v>April</v>
      </c>
      <c r="T1856" s="34" t="str">
        <f>TEXT(Table1[[#This Row],[End Date]],"YYYY")</f>
        <v>2025</v>
      </c>
      <c r="U1856" s="24">
        <f t="shared" ca="1" si="72"/>
        <v>-633</v>
      </c>
      <c r="V1856" s="14" t="str" cm="1">
        <f t="array" aca="1" ref="V1856" ca="1">_xlfn.IFS(Table1[[#This Row],[Agreement Days]]&gt;=0,"Expired",Table1[[#This Row],[Agreement Days]]&gt;=-30,"Expires &lt; 30 Days",Table1[[#This Row],[Agreement Days]]&gt;=-60,"Expires &lt; 60 Days",Table1[[#This Row],[Agreement Days]]&lt;-60,"Valid Contract")</f>
        <v>Valid Contract</v>
      </c>
      <c r="W1856" s="18" t="s">
        <v>18</v>
      </c>
      <c r="X1856" s="18" t="s">
        <v>3187</v>
      </c>
      <c r="Y1856" s="35" t="s">
        <v>3188</v>
      </c>
      <c r="Z1856" s="27" t="s">
        <v>3189</v>
      </c>
      <c r="AA1856" s="27"/>
      <c r="AB1856" s="123"/>
      <c r="AC1856" s="123"/>
    </row>
    <row r="1857" spans="1:29" s="11" customFormat="1" hidden="1" x14ac:dyDescent="0.3">
      <c r="A1857" s="18" t="s">
        <v>3190</v>
      </c>
      <c r="B1857" s="18" t="s">
        <v>28</v>
      </c>
      <c r="C1857" s="18" t="s">
        <v>3191</v>
      </c>
      <c r="D1857" s="14" t="s">
        <v>630</v>
      </c>
      <c r="E1857" s="18" t="s">
        <v>9</v>
      </c>
      <c r="F1857" s="14" t="s">
        <v>631</v>
      </c>
      <c r="G1857" s="14" t="s">
        <v>518</v>
      </c>
      <c r="H1857" s="18" t="s">
        <v>5</v>
      </c>
      <c r="I1857" s="14" t="s">
        <v>117</v>
      </c>
      <c r="J1857" s="14">
        <v>20</v>
      </c>
      <c r="K1857" s="14" t="s">
        <v>2480</v>
      </c>
      <c r="L1857" s="14"/>
      <c r="M1857" s="14">
        <v>1</v>
      </c>
      <c r="N1857" s="15">
        <f>668824/1.18</f>
        <v>566800</v>
      </c>
      <c r="O1857" s="15">
        <f t="shared" si="73"/>
        <v>566800</v>
      </c>
      <c r="P1857" s="15"/>
      <c r="Q1857" s="14" t="s">
        <v>520</v>
      </c>
      <c r="R1857" s="25">
        <v>45777</v>
      </c>
      <c r="S1857" s="22" t="str">
        <f>TEXT(Table1[[#This Row],[End Date]],"MMMM")</f>
        <v>April</v>
      </c>
      <c r="T1857" s="23" t="str">
        <f>TEXT(Table1[[#This Row],[End Date]],"YYYY")</f>
        <v>2025</v>
      </c>
      <c r="U1857" s="24">
        <f t="shared" ca="1" si="72"/>
        <v>-644</v>
      </c>
      <c r="V1857" s="14" t="str" cm="1">
        <f t="array" aca="1" ref="V1857" ca="1">_xlfn.IFS(Table1[[#This Row],[Agreement Days]]&gt;=0,"Expired",Table1[[#This Row],[Agreement Days]]&gt;=-30,"Expires &lt; 30 Days",Table1[[#This Row],[Agreement Days]]&gt;=-60,"Expires &lt; 60 Days",Table1[[#This Row],[Agreement Days]]&lt;-60,"Valid Contract")</f>
        <v>Valid Contract</v>
      </c>
      <c r="W1857" s="14" t="s">
        <v>13</v>
      </c>
      <c r="X1857" s="14" t="s">
        <v>3192</v>
      </c>
      <c r="Y1857" s="14" t="s">
        <v>3193</v>
      </c>
      <c r="Z1857" s="27" t="s">
        <v>3194</v>
      </c>
      <c r="AA1857" s="17"/>
      <c r="AB1857" s="123"/>
      <c r="AC1857" s="123"/>
    </row>
    <row r="1858" spans="1:29" s="11" customFormat="1" hidden="1" x14ac:dyDescent="0.3">
      <c r="A1858" s="18" t="s">
        <v>3190</v>
      </c>
      <c r="B1858" s="18" t="s">
        <v>28</v>
      </c>
      <c r="C1858" s="18" t="s">
        <v>3195</v>
      </c>
      <c r="D1858" s="14" t="s">
        <v>545</v>
      </c>
      <c r="E1858" s="18" t="s">
        <v>9</v>
      </c>
      <c r="F1858" s="14" t="s">
        <v>631</v>
      </c>
      <c r="G1858" s="14" t="s">
        <v>518</v>
      </c>
      <c r="H1858" s="18" t="s">
        <v>2</v>
      </c>
      <c r="I1858" s="14" t="s">
        <v>117</v>
      </c>
      <c r="J1858" s="14">
        <v>60</v>
      </c>
      <c r="K1858" s="14" t="s">
        <v>2277</v>
      </c>
      <c r="L1858" s="14"/>
      <c r="M1858" s="14">
        <v>1</v>
      </c>
      <c r="N1858" s="15">
        <f>1578684/1.18</f>
        <v>1337867.7966101696</v>
      </c>
      <c r="O1858" s="15">
        <f t="shared" si="73"/>
        <v>1337867.7966101696</v>
      </c>
      <c r="P1858" s="15"/>
      <c r="Q1858" s="14" t="s">
        <v>520</v>
      </c>
      <c r="R1858" s="25">
        <v>45777</v>
      </c>
      <c r="S1858" s="22" t="str">
        <f>TEXT(Table1[[#This Row],[End Date]],"MMMM")</f>
        <v>April</v>
      </c>
      <c r="T1858" s="23" t="str">
        <f>TEXT(Table1[[#This Row],[End Date]],"YYYY")</f>
        <v>2025</v>
      </c>
      <c r="U1858" s="24">
        <f t="shared" ca="1" si="72"/>
        <v>-644</v>
      </c>
      <c r="V1858" s="14" t="str" cm="1">
        <f t="array" aca="1" ref="V1858" ca="1">_xlfn.IFS(Table1[[#This Row],[Agreement Days]]&gt;=0,"Expired",Table1[[#This Row],[Agreement Days]]&gt;=-30,"Expires &lt; 30 Days",Table1[[#This Row],[Agreement Days]]&gt;=-60,"Expires &lt; 60 Days",Table1[[#This Row],[Agreement Days]]&lt;-60,"Valid Contract")</f>
        <v>Valid Contract</v>
      </c>
      <c r="W1858" s="14" t="s">
        <v>13</v>
      </c>
      <c r="X1858" s="14" t="s">
        <v>3192</v>
      </c>
      <c r="Y1858" s="14" t="s">
        <v>3193</v>
      </c>
      <c r="Z1858" s="27" t="s">
        <v>3196</v>
      </c>
      <c r="AA1858" s="17"/>
      <c r="AB1858" s="123"/>
      <c r="AC1858" s="123"/>
    </row>
    <row r="1859" spans="1:29" s="11" customFormat="1" hidden="1" x14ac:dyDescent="0.3">
      <c r="A1859" s="18" t="s">
        <v>3190</v>
      </c>
      <c r="B1859" s="18" t="s">
        <v>28</v>
      </c>
      <c r="C1859" s="18" t="s">
        <v>3197</v>
      </c>
      <c r="D1859" s="14" t="s">
        <v>771</v>
      </c>
      <c r="E1859" s="18" t="s">
        <v>10</v>
      </c>
      <c r="F1859" s="14" t="s">
        <v>631</v>
      </c>
      <c r="G1859" s="14" t="s">
        <v>518</v>
      </c>
      <c r="H1859" s="18" t="s">
        <v>5</v>
      </c>
      <c r="I1859" s="14" t="s">
        <v>134</v>
      </c>
      <c r="J1859" s="14">
        <v>5</v>
      </c>
      <c r="K1859" s="14" t="s">
        <v>763</v>
      </c>
      <c r="L1859" s="14"/>
      <c r="M1859" s="14">
        <v>1</v>
      </c>
      <c r="N1859" s="15">
        <f>259010/1.18</f>
        <v>219500</v>
      </c>
      <c r="O1859" s="15">
        <f t="shared" si="73"/>
        <v>219500</v>
      </c>
      <c r="P1859" s="15"/>
      <c r="Q1859" s="14" t="s">
        <v>520</v>
      </c>
      <c r="R1859" s="25">
        <v>45777</v>
      </c>
      <c r="S1859" s="22" t="str">
        <f>TEXT(Table1[[#This Row],[End Date]],"MMMM")</f>
        <v>April</v>
      </c>
      <c r="T1859" s="23" t="str">
        <f>TEXT(Table1[[#This Row],[End Date]],"YYYY")</f>
        <v>2025</v>
      </c>
      <c r="U1859" s="24">
        <f t="shared" ca="1" si="72"/>
        <v>-644</v>
      </c>
      <c r="V1859" s="14" t="str" cm="1">
        <f t="array" aca="1" ref="V1859" ca="1">_xlfn.IFS(Table1[[#This Row],[Agreement Days]]&gt;=0,"Expired",Table1[[#This Row],[Agreement Days]]&gt;=-30,"Expires &lt; 30 Days",Table1[[#This Row],[Agreement Days]]&gt;=-60,"Expires &lt; 60 Days",Table1[[#This Row],[Agreement Days]]&lt;-60,"Valid Contract")</f>
        <v>Valid Contract</v>
      </c>
      <c r="W1859" s="14" t="s">
        <v>13</v>
      </c>
      <c r="X1859" s="14" t="s">
        <v>3192</v>
      </c>
      <c r="Y1859" s="14" t="s">
        <v>3193</v>
      </c>
      <c r="Z1859" s="27" t="s">
        <v>3198</v>
      </c>
      <c r="AA1859" s="17"/>
      <c r="AB1859" s="123"/>
      <c r="AC1859" s="123"/>
    </row>
    <row r="1860" spans="1:29" s="11" customFormat="1" hidden="1" x14ac:dyDescent="0.3">
      <c r="A1860" s="18" t="s">
        <v>3190</v>
      </c>
      <c r="B1860" s="18" t="s">
        <v>28</v>
      </c>
      <c r="C1860" s="18" t="s">
        <v>3199</v>
      </c>
      <c r="D1860" s="14" t="s">
        <v>516</v>
      </c>
      <c r="E1860" s="18" t="s">
        <v>10</v>
      </c>
      <c r="F1860" s="14" t="s">
        <v>631</v>
      </c>
      <c r="G1860" s="14" t="s">
        <v>518</v>
      </c>
      <c r="H1860" s="18" t="s">
        <v>5</v>
      </c>
      <c r="I1860" s="14" t="s">
        <v>134</v>
      </c>
      <c r="J1860" s="14">
        <v>20</v>
      </c>
      <c r="K1860" s="14" t="s">
        <v>2480</v>
      </c>
      <c r="L1860" s="14"/>
      <c r="M1860" s="14">
        <v>1</v>
      </c>
      <c r="N1860" s="15">
        <f>668824/1.18</f>
        <v>566800</v>
      </c>
      <c r="O1860" s="15">
        <f t="shared" si="73"/>
        <v>566800</v>
      </c>
      <c r="P1860" s="15"/>
      <c r="Q1860" s="14" t="s">
        <v>520</v>
      </c>
      <c r="R1860" s="25">
        <v>45777</v>
      </c>
      <c r="S1860" s="22" t="str">
        <f>TEXT(Table1[[#This Row],[End Date]],"MMMM")</f>
        <v>April</v>
      </c>
      <c r="T1860" s="23" t="str">
        <f>TEXT(Table1[[#This Row],[End Date]],"YYYY")</f>
        <v>2025</v>
      </c>
      <c r="U1860" s="24">
        <f t="shared" ca="1" si="72"/>
        <v>-644</v>
      </c>
      <c r="V1860" s="14" t="str" cm="1">
        <f t="array" aca="1" ref="V1860" ca="1">_xlfn.IFS(Table1[[#This Row],[Agreement Days]]&gt;=0,"Expired",Table1[[#This Row],[Agreement Days]]&gt;=-30,"Expires &lt; 30 Days",Table1[[#This Row],[Agreement Days]]&gt;=-60,"Expires &lt; 60 Days",Table1[[#This Row],[Agreement Days]]&lt;-60,"Valid Contract")</f>
        <v>Valid Contract</v>
      </c>
      <c r="W1860" s="14" t="s">
        <v>13</v>
      </c>
      <c r="X1860" s="14" t="s">
        <v>3192</v>
      </c>
      <c r="Y1860" s="14" t="s">
        <v>3193</v>
      </c>
      <c r="Z1860" s="27" t="s">
        <v>3200</v>
      </c>
      <c r="AA1860" s="17"/>
      <c r="AB1860" s="123"/>
      <c r="AC1860" s="123"/>
    </row>
    <row r="1861" spans="1:29" s="11" customFormat="1" hidden="1" x14ac:dyDescent="0.3">
      <c r="A1861" s="18" t="s">
        <v>3201</v>
      </c>
      <c r="B1861" s="18" t="s">
        <v>220</v>
      </c>
      <c r="C1861" s="18" t="s">
        <v>3202</v>
      </c>
      <c r="D1861" s="14" t="s">
        <v>545</v>
      </c>
      <c r="E1861" s="18" t="s">
        <v>9</v>
      </c>
      <c r="F1861" s="20" t="s">
        <v>517</v>
      </c>
      <c r="G1861" s="20" t="s">
        <v>518</v>
      </c>
      <c r="H1861" s="18" t="s">
        <v>2</v>
      </c>
      <c r="I1861" s="14" t="s">
        <v>117</v>
      </c>
      <c r="J1861" s="14">
        <v>1</v>
      </c>
      <c r="K1861" s="20" t="s">
        <v>3203</v>
      </c>
      <c r="L1861" s="14"/>
      <c r="M1861" s="14">
        <v>1</v>
      </c>
      <c r="N1861" s="15">
        <v>90000</v>
      </c>
      <c r="O1861" s="15">
        <f t="shared" si="73"/>
        <v>90000</v>
      </c>
      <c r="P1861" s="15"/>
      <c r="Q1861" s="14" t="s">
        <v>520</v>
      </c>
      <c r="R1861" s="25">
        <v>45777</v>
      </c>
      <c r="S1861" s="22" t="str">
        <f>TEXT(Table1[[#This Row],[End Date]],"MMMM")</f>
        <v>April</v>
      </c>
      <c r="T1861" s="23" t="str">
        <f>TEXT(Table1[[#This Row],[End Date]],"YYYY")</f>
        <v>2025</v>
      </c>
      <c r="U1861" s="24">
        <f t="shared" ca="1" si="72"/>
        <v>-644</v>
      </c>
      <c r="V1861" s="14" t="str" cm="1">
        <f t="array" aca="1" ref="V1861" ca="1">_xlfn.IFS(Table1[[#This Row],[Agreement Days]]&gt;=0,"Expired",Table1[[#This Row],[Agreement Days]]&gt;=-30,"Expires &lt; 30 Days",Table1[[#This Row],[Agreement Days]]&gt;=-60,"Expires &lt; 60 Days",Table1[[#This Row],[Agreement Days]]&lt;-60,"Valid Contract")</f>
        <v>Valid Contract</v>
      </c>
      <c r="W1861" s="14" t="s">
        <v>20</v>
      </c>
      <c r="X1861" s="14" t="s">
        <v>3204</v>
      </c>
      <c r="Y1861" s="16" t="s">
        <v>3205</v>
      </c>
      <c r="Z1861" s="27" t="s">
        <v>3206</v>
      </c>
      <c r="AA1861" s="19"/>
      <c r="AB1861" s="123"/>
      <c r="AC1861" s="123"/>
    </row>
    <row r="1862" spans="1:29" s="11" customFormat="1" hidden="1" x14ac:dyDescent="0.3">
      <c r="A1862" s="18" t="s">
        <v>3201</v>
      </c>
      <c r="B1862" s="18" t="s">
        <v>220</v>
      </c>
      <c r="C1862" s="18" t="s">
        <v>3202</v>
      </c>
      <c r="D1862" s="14" t="s">
        <v>545</v>
      </c>
      <c r="E1862" s="18" t="s">
        <v>9</v>
      </c>
      <c r="F1862" s="14" t="s">
        <v>517</v>
      </c>
      <c r="G1862" s="14" t="s">
        <v>518</v>
      </c>
      <c r="H1862" s="18" t="s">
        <v>2</v>
      </c>
      <c r="I1862" s="14" t="s">
        <v>117</v>
      </c>
      <c r="J1862" s="14">
        <v>60</v>
      </c>
      <c r="K1862" s="14" t="s">
        <v>2404</v>
      </c>
      <c r="L1862" s="14"/>
      <c r="M1862" s="14">
        <v>1</v>
      </c>
      <c r="N1862" s="15">
        <v>2088000</v>
      </c>
      <c r="O1862" s="15">
        <f t="shared" si="73"/>
        <v>2088000</v>
      </c>
      <c r="P1862" s="15"/>
      <c r="Q1862" s="14" t="s">
        <v>520</v>
      </c>
      <c r="R1862" s="25">
        <v>45777</v>
      </c>
      <c r="S1862" s="22" t="str">
        <f>TEXT(Table1[[#This Row],[End Date]],"MMMM")</f>
        <v>April</v>
      </c>
      <c r="T1862" s="23" t="str">
        <f>TEXT(Table1[[#This Row],[End Date]],"YYYY")</f>
        <v>2025</v>
      </c>
      <c r="U1862" s="24">
        <f t="shared" ca="1" si="72"/>
        <v>-644</v>
      </c>
      <c r="V1862" s="14" t="str" cm="1">
        <f t="array" aca="1" ref="V1862" ca="1">_xlfn.IFS(Table1[[#This Row],[Agreement Days]]&gt;=0,"Expired",Table1[[#This Row],[Agreement Days]]&gt;=-30,"Expires &lt; 30 Days",Table1[[#This Row],[Agreement Days]]&gt;=-60,"Expires &lt; 60 Days",Table1[[#This Row],[Agreement Days]]&lt;-60,"Valid Contract")</f>
        <v>Valid Contract</v>
      </c>
      <c r="W1862" s="14" t="s">
        <v>20</v>
      </c>
      <c r="X1862" s="14" t="s">
        <v>3204</v>
      </c>
      <c r="Y1862" s="16" t="s">
        <v>3205</v>
      </c>
      <c r="Z1862" s="27" t="s">
        <v>3206</v>
      </c>
      <c r="AA1862" s="19"/>
      <c r="AB1862" s="123"/>
      <c r="AC1862" s="123"/>
    </row>
    <row r="1863" spans="1:29" s="11" customFormat="1" hidden="1" x14ac:dyDescent="0.3">
      <c r="A1863" s="18" t="s">
        <v>3201</v>
      </c>
      <c r="B1863" s="18" t="s">
        <v>220</v>
      </c>
      <c r="C1863" s="18" t="s">
        <v>3202</v>
      </c>
      <c r="D1863" s="14" t="s">
        <v>545</v>
      </c>
      <c r="E1863" s="18" t="s">
        <v>9</v>
      </c>
      <c r="F1863" s="14" t="s">
        <v>517</v>
      </c>
      <c r="G1863" s="14" t="s">
        <v>518</v>
      </c>
      <c r="H1863" s="18" t="s">
        <v>4</v>
      </c>
      <c r="I1863" s="14" t="s">
        <v>118</v>
      </c>
      <c r="J1863" s="14"/>
      <c r="K1863" s="14" t="s">
        <v>650</v>
      </c>
      <c r="L1863" s="14"/>
      <c r="M1863" s="14">
        <v>1</v>
      </c>
      <c r="N1863" s="15">
        <v>369325</v>
      </c>
      <c r="O1863" s="15">
        <f t="shared" si="73"/>
        <v>369325</v>
      </c>
      <c r="P1863" s="15"/>
      <c r="Q1863" s="14" t="s">
        <v>520</v>
      </c>
      <c r="R1863" s="25">
        <v>45777</v>
      </c>
      <c r="S1863" s="22" t="str">
        <f>TEXT(Table1[[#This Row],[End Date]],"MMMM")</f>
        <v>April</v>
      </c>
      <c r="T1863" s="23" t="str">
        <f>TEXT(Table1[[#This Row],[End Date]],"YYYY")</f>
        <v>2025</v>
      </c>
      <c r="U1863" s="24">
        <f t="shared" ref="U1863:U1926" ca="1" si="74">TODAY()-R1863</f>
        <v>-644</v>
      </c>
      <c r="V1863" s="14" t="str" cm="1">
        <f t="array" aca="1" ref="V1863" ca="1">_xlfn.IFS(Table1[[#This Row],[Agreement Days]]&gt;=0,"Expired",Table1[[#This Row],[Agreement Days]]&gt;=-30,"Expires &lt; 30 Days",Table1[[#This Row],[Agreement Days]]&gt;=-60,"Expires &lt; 60 Days",Table1[[#This Row],[Agreement Days]]&lt;-60,"Valid Contract")</f>
        <v>Valid Contract</v>
      </c>
      <c r="W1863" s="14" t="s">
        <v>20</v>
      </c>
      <c r="X1863" s="14" t="s">
        <v>3204</v>
      </c>
      <c r="Y1863" s="16" t="s">
        <v>3205</v>
      </c>
      <c r="Z1863" s="27" t="s">
        <v>3206</v>
      </c>
      <c r="AA1863" s="19"/>
      <c r="AB1863" s="123"/>
      <c r="AC1863" s="123"/>
    </row>
    <row r="1864" spans="1:29" s="11" customFormat="1" hidden="1" x14ac:dyDescent="0.3">
      <c r="A1864" s="18" t="s">
        <v>3207</v>
      </c>
      <c r="B1864" s="18" t="s">
        <v>315</v>
      </c>
      <c r="C1864" s="18" t="s">
        <v>3208</v>
      </c>
      <c r="D1864" s="14" t="s">
        <v>739</v>
      </c>
      <c r="E1864" s="18" t="s">
        <v>9</v>
      </c>
      <c r="F1864" s="14" t="s">
        <v>688</v>
      </c>
      <c r="G1864" s="14" t="s">
        <v>518</v>
      </c>
      <c r="H1864" s="18" t="s">
        <v>5</v>
      </c>
      <c r="I1864" s="14" t="s">
        <v>117</v>
      </c>
      <c r="J1864" s="14">
        <v>5</v>
      </c>
      <c r="K1864" s="18" t="s">
        <v>519</v>
      </c>
      <c r="L1864" s="18"/>
      <c r="M1864" s="14">
        <v>1</v>
      </c>
      <c r="N1864" s="15">
        <v>270000</v>
      </c>
      <c r="O1864" s="15">
        <f t="shared" si="73"/>
        <v>270000</v>
      </c>
      <c r="P1864" s="15"/>
      <c r="Q1864" s="14" t="s">
        <v>520</v>
      </c>
      <c r="R1864" s="25">
        <v>45777</v>
      </c>
      <c r="S1864" s="34" t="str">
        <f>TEXT(Table1[[#This Row],[End Date]],"MMMM")</f>
        <v>April</v>
      </c>
      <c r="T1864" s="34" t="str">
        <f>TEXT(Table1[[#This Row],[End Date]],"YYYY")</f>
        <v>2025</v>
      </c>
      <c r="U1864" s="24">
        <f t="shared" ca="1" si="74"/>
        <v>-644</v>
      </c>
      <c r="V1864" s="14" t="str" cm="1">
        <f t="array" aca="1" ref="V1864" ca="1">_xlfn.IFS(Table1[[#This Row],[Agreement Days]]&gt;=0,"Expired",Table1[[#This Row],[Agreement Days]]&gt;=-30,"Expires &lt; 30 Days",Table1[[#This Row],[Agreement Days]]&gt;=-60,"Expires &lt; 60 Days",Table1[[#This Row],[Agreement Days]]&lt;-60,"Valid Contract")</f>
        <v>Valid Contract</v>
      </c>
      <c r="W1864" s="18" t="s">
        <v>21</v>
      </c>
      <c r="X1864" s="18" t="s">
        <v>3209</v>
      </c>
      <c r="Y1864" s="42" t="s">
        <v>3210</v>
      </c>
      <c r="Z1864" s="27">
        <v>788611859</v>
      </c>
      <c r="AA1864" s="27"/>
      <c r="AB1864" s="123"/>
      <c r="AC1864" s="123"/>
    </row>
    <row r="1865" spans="1:29" s="11" customFormat="1" hidden="1" x14ac:dyDescent="0.3">
      <c r="A1865" s="18" t="s">
        <v>3207</v>
      </c>
      <c r="B1865" s="18" t="s">
        <v>315</v>
      </c>
      <c r="C1865" s="18" t="s">
        <v>3208</v>
      </c>
      <c r="D1865" s="14" t="s">
        <v>739</v>
      </c>
      <c r="E1865" s="18" t="s">
        <v>9</v>
      </c>
      <c r="F1865" s="14" t="s">
        <v>688</v>
      </c>
      <c r="G1865" s="14" t="s">
        <v>518</v>
      </c>
      <c r="H1865" s="18" t="s">
        <v>4</v>
      </c>
      <c r="I1865" s="14" t="s">
        <v>118</v>
      </c>
      <c r="J1865" s="18"/>
      <c r="K1865" s="18" t="s">
        <v>650</v>
      </c>
      <c r="L1865" s="18"/>
      <c r="M1865" s="14">
        <v>1</v>
      </c>
      <c r="N1865" s="15">
        <v>369325</v>
      </c>
      <c r="O1865" s="15">
        <f t="shared" si="73"/>
        <v>369325</v>
      </c>
      <c r="P1865" s="15"/>
      <c r="Q1865" s="14" t="s">
        <v>520</v>
      </c>
      <c r="R1865" s="25">
        <v>45777</v>
      </c>
      <c r="S1865" s="34" t="str">
        <f>TEXT(Table1[[#This Row],[End Date]],"MMMM")</f>
        <v>April</v>
      </c>
      <c r="T1865" s="34" t="str">
        <f>TEXT(Table1[[#This Row],[End Date]],"YYYY")</f>
        <v>2025</v>
      </c>
      <c r="U1865" s="24">
        <f t="shared" ca="1" si="74"/>
        <v>-644</v>
      </c>
      <c r="V1865" s="14" t="str" cm="1">
        <f t="array" aca="1" ref="V1865" ca="1">_xlfn.IFS(Table1[[#This Row],[Agreement Days]]&gt;=0,"Expired",Table1[[#This Row],[Agreement Days]]&gt;=-30,"Expires &lt; 30 Days",Table1[[#This Row],[Agreement Days]]&gt;=-60,"Expires &lt; 60 Days",Table1[[#This Row],[Agreement Days]]&lt;-60,"Valid Contract")</f>
        <v>Valid Contract</v>
      </c>
      <c r="W1865" s="18" t="s">
        <v>21</v>
      </c>
      <c r="X1865" s="18" t="s">
        <v>3209</v>
      </c>
      <c r="Y1865" s="42" t="s">
        <v>3210</v>
      </c>
      <c r="Z1865" s="27">
        <v>788611859</v>
      </c>
      <c r="AA1865" s="27"/>
      <c r="AB1865" s="123"/>
      <c r="AC1865" s="123"/>
    </row>
    <row r="1866" spans="1:29" s="11" customFormat="1" hidden="1" x14ac:dyDescent="0.3">
      <c r="A1866" s="18" t="s">
        <v>3211</v>
      </c>
      <c r="B1866" s="18" t="s">
        <v>251</v>
      </c>
      <c r="C1866" s="18" t="s">
        <v>544</v>
      </c>
      <c r="D1866" s="14" t="s">
        <v>653</v>
      </c>
      <c r="E1866" s="18" t="s">
        <v>9</v>
      </c>
      <c r="F1866" s="14" t="s">
        <v>517</v>
      </c>
      <c r="G1866" s="14" t="s">
        <v>518</v>
      </c>
      <c r="H1866" s="18" t="s">
        <v>5</v>
      </c>
      <c r="I1866" s="14" t="s">
        <v>117</v>
      </c>
      <c r="J1866" s="19">
        <v>10</v>
      </c>
      <c r="K1866" s="26" t="s">
        <v>547</v>
      </c>
      <c r="L1866" s="26"/>
      <c r="M1866" s="19">
        <v>1</v>
      </c>
      <c r="N1866" s="15">
        <v>510000</v>
      </c>
      <c r="O1866" s="15">
        <f t="shared" si="73"/>
        <v>510000</v>
      </c>
      <c r="P1866" s="15"/>
      <c r="Q1866" s="14" t="s">
        <v>520</v>
      </c>
      <c r="R1866" s="25">
        <v>45777</v>
      </c>
      <c r="S1866" s="34" t="str">
        <f>TEXT(Table1[[#This Row],[End Date]],"MMMM")</f>
        <v>April</v>
      </c>
      <c r="T1866" s="34" t="str">
        <f>TEXT(Table1[[#This Row],[End Date]],"YYYY")</f>
        <v>2025</v>
      </c>
      <c r="U1866" s="24">
        <f t="shared" ca="1" si="74"/>
        <v>-644</v>
      </c>
      <c r="V1866" s="14" t="str" cm="1">
        <f t="array" aca="1" ref="V1866" ca="1">_xlfn.IFS(Table1[[#This Row],[Agreement Days]]&gt;=0,"Expired",Table1[[#This Row],[Agreement Days]]&gt;=-30,"Expires &lt; 30 Days",Table1[[#This Row],[Agreement Days]]&gt;=-60,"Expires &lt; 60 Days",Table1[[#This Row],[Agreement Days]]&lt;-60,"Valid Contract")</f>
        <v>Valid Contract</v>
      </c>
      <c r="W1866" s="26" t="s">
        <v>17</v>
      </c>
      <c r="X1866" s="26" t="s">
        <v>3212</v>
      </c>
      <c r="Y1866" s="35" t="s">
        <v>3213</v>
      </c>
      <c r="Z1866" s="27">
        <v>784214284</v>
      </c>
      <c r="AA1866" s="55"/>
      <c r="AB1866" s="123"/>
      <c r="AC1866" s="123"/>
    </row>
    <row r="1867" spans="1:29" s="11" customFormat="1" hidden="1" x14ac:dyDescent="0.3">
      <c r="A1867" s="18" t="s">
        <v>1971</v>
      </c>
      <c r="B1867" s="18" t="s">
        <v>251</v>
      </c>
      <c r="C1867" s="18" t="s">
        <v>544</v>
      </c>
      <c r="D1867" s="14" t="s">
        <v>653</v>
      </c>
      <c r="E1867" s="18" t="s">
        <v>9</v>
      </c>
      <c r="F1867" s="14" t="s">
        <v>517</v>
      </c>
      <c r="G1867" s="14" t="s">
        <v>518</v>
      </c>
      <c r="H1867" s="18" t="s">
        <v>5</v>
      </c>
      <c r="I1867" s="14" t="s">
        <v>115</v>
      </c>
      <c r="J1867" s="14"/>
      <c r="K1867" s="26" t="s">
        <v>642</v>
      </c>
      <c r="L1867" s="18"/>
      <c r="M1867" s="14">
        <v>1</v>
      </c>
      <c r="N1867" s="15">
        <v>101694.91525400001</v>
      </c>
      <c r="O1867" s="15">
        <f t="shared" si="73"/>
        <v>101694.91525400001</v>
      </c>
      <c r="P1867" s="15"/>
      <c r="Q1867" s="14" t="s">
        <v>520</v>
      </c>
      <c r="R1867" s="25">
        <v>45777</v>
      </c>
      <c r="S1867" s="34" t="str">
        <f>TEXT(Table1[[#This Row],[End Date]],"MMMM")</f>
        <v>April</v>
      </c>
      <c r="T1867" s="34" t="str">
        <f>TEXT(Table1[[#This Row],[End Date]],"YYYY")</f>
        <v>2025</v>
      </c>
      <c r="U1867" s="24">
        <f t="shared" ca="1" si="74"/>
        <v>-644</v>
      </c>
      <c r="V1867" s="14" t="str" cm="1">
        <f t="array" aca="1" ref="V1867" ca="1">_xlfn.IFS(Table1[[#This Row],[Agreement Days]]&gt;=0,"Expired",Table1[[#This Row],[Agreement Days]]&gt;=-30,"Expires &lt; 30 Days",Table1[[#This Row],[Agreement Days]]&gt;=-60,"Expires &lt; 60 Days",Table1[[#This Row],[Agreement Days]]&lt;-60,"Valid Contract")</f>
        <v>Valid Contract</v>
      </c>
      <c r="W1867" s="26" t="s">
        <v>17</v>
      </c>
      <c r="X1867" s="26" t="s">
        <v>3212</v>
      </c>
      <c r="Y1867" s="35" t="s">
        <v>3213</v>
      </c>
      <c r="Z1867" s="27">
        <v>784214284</v>
      </c>
      <c r="AA1867" s="26"/>
      <c r="AB1867" s="123"/>
      <c r="AC1867" s="123"/>
    </row>
    <row r="1868" spans="1:29" s="11" customFormat="1" hidden="1" x14ac:dyDescent="0.3">
      <c r="A1868" s="18" t="s">
        <v>3211</v>
      </c>
      <c r="B1868" s="18" t="s">
        <v>251</v>
      </c>
      <c r="C1868" s="18" t="s">
        <v>544</v>
      </c>
      <c r="D1868" s="14" t="s">
        <v>653</v>
      </c>
      <c r="E1868" s="18" t="s">
        <v>9</v>
      </c>
      <c r="F1868" s="14" t="s">
        <v>517</v>
      </c>
      <c r="G1868" s="14" t="s">
        <v>518</v>
      </c>
      <c r="H1868" s="18" t="s">
        <v>5</v>
      </c>
      <c r="I1868" s="14" t="s">
        <v>115</v>
      </c>
      <c r="J1868" s="26"/>
      <c r="K1868" s="18" t="s">
        <v>657</v>
      </c>
      <c r="L1868" s="26"/>
      <c r="M1868" s="19">
        <v>25</v>
      </c>
      <c r="N1868" s="15">
        <v>45338.98</v>
      </c>
      <c r="O1868" s="15">
        <f t="shared" si="73"/>
        <v>1133474.5</v>
      </c>
      <c r="P1868" s="15"/>
      <c r="Q1868" s="14" t="s">
        <v>520</v>
      </c>
      <c r="R1868" s="25">
        <v>45777</v>
      </c>
      <c r="S1868" s="34" t="str">
        <f>TEXT(Table1[[#This Row],[End Date]],"MMMM")</f>
        <v>April</v>
      </c>
      <c r="T1868" s="34" t="str">
        <f>TEXT(Table1[[#This Row],[End Date]],"YYYY")</f>
        <v>2025</v>
      </c>
      <c r="U1868" s="24">
        <f t="shared" ca="1" si="74"/>
        <v>-644</v>
      </c>
      <c r="V1868" s="14" t="str" cm="1">
        <f t="array" aca="1" ref="V1868" ca="1">_xlfn.IFS(Table1[[#This Row],[Agreement Days]]&gt;=0,"Expired",Table1[[#This Row],[Agreement Days]]&gt;=-30,"Expires &lt; 30 Days",Table1[[#This Row],[Agreement Days]]&gt;=-60,"Expires &lt; 60 Days",Table1[[#This Row],[Agreement Days]]&lt;-60,"Valid Contract")</f>
        <v>Valid Contract</v>
      </c>
      <c r="W1868" s="26" t="s">
        <v>17</v>
      </c>
      <c r="X1868" s="26" t="s">
        <v>3212</v>
      </c>
      <c r="Y1868" s="35" t="s">
        <v>3213</v>
      </c>
      <c r="Z1868" s="27">
        <v>784214284</v>
      </c>
      <c r="AA1868" s="55"/>
      <c r="AB1868" s="123"/>
      <c r="AC1868" s="123"/>
    </row>
    <row r="1869" spans="1:29" s="11" customFormat="1" hidden="1" x14ac:dyDescent="0.3">
      <c r="A1869" s="18" t="s">
        <v>3214</v>
      </c>
      <c r="B1869" s="18" t="s">
        <v>465</v>
      </c>
      <c r="C1869" s="18" t="s">
        <v>544</v>
      </c>
      <c r="D1869" s="18" t="s">
        <v>540</v>
      </c>
      <c r="E1869" s="18" t="s">
        <v>10</v>
      </c>
      <c r="F1869" s="20" t="s">
        <v>729</v>
      </c>
      <c r="G1869" s="20" t="s">
        <v>518</v>
      </c>
      <c r="H1869" s="18" t="s">
        <v>2</v>
      </c>
      <c r="I1869" s="20" t="s">
        <v>438</v>
      </c>
      <c r="J1869" s="20"/>
      <c r="K1869" s="18" t="s">
        <v>3215</v>
      </c>
      <c r="L1869" s="18"/>
      <c r="M1869" s="20">
        <v>1</v>
      </c>
      <c r="N1869" s="15">
        <v>63559</v>
      </c>
      <c r="O1869" s="15">
        <f t="shared" si="73"/>
        <v>63559</v>
      </c>
      <c r="P1869" s="15"/>
      <c r="Q1869" s="14" t="s">
        <v>520</v>
      </c>
      <c r="R1869" s="25">
        <v>45777</v>
      </c>
      <c r="S1869" s="22" t="str">
        <f>TEXT(Table1[[#This Row],[End Date]],"MMMM")</f>
        <v>April</v>
      </c>
      <c r="T1869" s="22" t="str">
        <f>TEXT(Table1[[#This Row],[End Date]],"YYYY")</f>
        <v>2025</v>
      </c>
      <c r="U1869" s="24">
        <f t="shared" ca="1" si="74"/>
        <v>-644</v>
      </c>
      <c r="V1869" s="14" t="str" cm="1">
        <f t="array" aca="1" ref="V1869" ca="1">_xlfn.IFS(Table1[[#This Row],[Agreement Days]]&gt;=0,"Expired",Table1[[#This Row],[Agreement Days]]&gt;=-30,"Expires &lt; 30 Days",Table1[[#This Row],[Agreement Days]]&gt;=-60,"Expires &lt; 60 Days",Table1[[#This Row],[Agreement Days]]&lt;-60,"Valid Contract")</f>
        <v>Valid Contract</v>
      </c>
      <c r="W1869" s="18" t="s">
        <v>15</v>
      </c>
      <c r="X1869" s="18" t="s">
        <v>3216</v>
      </c>
      <c r="Y1869" s="42" t="s">
        <v>3217</v>
      </c>
      <c r="Z1869" s="27" t="s">
        <v>3218</v>
      </c>
      <c r="AA1869" s="20"/>
      <c r="AB1869" s="123"/>
      <c r="AC1869" s="123"/>
    </row>
    <row r="1870" spans="1:29" s="11" customFormat="1" hidden="1" x14ac:dyDescent="0.3">
      <c r="A1870" s="18" t="s">
        <v>1444</v>
      </c>
      <c r="B1870" s="18" t="s">
        <v>271</v>
      </c>
      <c r="C1870" s="18" t="s">
        <v>1445</v>
      </c>
      <c r="D1870" s="14" t="s">
        <v>545</v>
      </c>
      <c r="E1870" s="18" t="s">
        <v>9</v>
      </c>
      <c r="F1870" s="14" t="s">
        <v>517</v>
      </c>
      <c r="G1870" s="14" t="s">
        <v>518</v>
      </c>
      <c r="H1870" s="18" t="s">
        <v>5</v>
      </c>
      <c r="I1870" s="14" t="s">
        <v>117</v>
      </c>
      <c r="J1870" s="14">
        <v>10</v>
      </c>
      <c r="K1870" s="14" t="s">
        <v>547</v>
      </c>
      <c r="L1870" s="14"/>
      <c r="M1870" s="14">
        <v>1</v>
      </c>
      <c r="N1870" s="15">
        <v>510000</v>
      </c>
      <c r="O1870" s="15">
        <f t="shared" ref="O1870:O1933" si="75">N1870*M1870</f>
        <v>510000</v>
      </c>
      <c r="P1870" s="15"/>
      <c r="Q1870" s="14" t="s">
        <v>520</v>
      </c>
      <c r="R1870" s="25">
        <v>45777</v>
      </c>
      <c r="S1870" s="22" t="str">
        <f>TEXT(Table1[[#This Row],[End Date]],"MMMM")</f>
        <v>April</v>
      </c>
      <c r="T1870" s="23" t="str">
        <f>TEXT(Table1[[#This Row],[End Date]],"YYYY")</f>
        <v>2025</v>
      </c>
      <c r="U1870" s="24">
        <f t="shared" ca="1" si="74"/>
        <v>-644</v>
      </c>
      <c r="V1870" s="14" t="str" cm="1">
        <f t="array" aca="1" ref="V1870" ca="1">_xlfn.IFS(Table1[[#This Row],[Agreement Days]]&gt;=0,"Expired",Table1[[#This Row],[Agreement Days]]&gt;=-30,"Expires &lt; 30 Days",Table1[[#This Row],[Agreement Days]]&gt;=-60,"Expires &lt; 60 Days",Table1[[#This Row],[Agreement Days]]&lt;-60,"Valid Contract")</f>
        <v>Valid Contract</v>
      </c>
      <c r="W1870" s="14" t="s">
        <v>20</v>
      </c>
      <c r="X1870" s="26" t="s">
        <v>3219</v>
      </c>
      <c r="Y1870" s="45" t="s">
        <v>1447</v>
      </c>
      <c r="Z1870" s="27" t="s">
        <v>1448</v>
      </c>
      <c r="AA1870" s="19"/>
      <c r="AB1870" s="123"/>
      <c r="AC1870" s="123"/>
    </row>
    <row r="1871" spans="1:29" s="11" customFormat="1" hidden="1" x14ac:dyDescent="0.3">
      <c r="A1871" s="18" t="s">
        <v>1444</v>
      </c>
      <c r="B1871" s="18" t="s">
        <v>271</v>
      </c>
      <c r="C1871" s="18" t="s">
        <v>1445</v>
      </c>
      <c r="D1871" s="14" t="s">
        <v>545</v>
      </c>
      <c r="E1871" s="18" t="s">
        <v>9</v>
      </c>
      <c r="F1871" s="14" t="s">
        <v>517</v>
      </c>
      <c r="G1871" s="14" t="s">
        <v>518</v>
      </c>
      <c r="H1871" s="18" t="s">
        <v>4</v>
      </c>
      <c r="I1871" s="14" t="s">
        <v>118</v>
      </c>
      <c r="J1871" s="14"/>
      <c r="K1871" s="14" t="s">
        <v>650</v>
      </c>
      <c r="L1871" s="14"/>
      <c r="M1871" s="14">
        <v>1</v>
      </c>
      <c r="N1871" s="15">
        <v>369325</v>
      </c>
      <c r="O1871" s="15">
        <f t="shared" si="75"/>
        <v>369325</v>
      </c>
      <c r="P1871" s="15"/>
      <c r="Q1871" s="14" t="s">
        <v>520</v>
      </c>
      <c r="R1871" s="25">
        <v>45777</v>
      </c>
      <c r="S1871" s="22" t="str">
        <f>TEXT(Table1[[#This Row],[End Date]],"MMMM")</f>
        <v>April</v>
      </c>
      <c r="T1871" s="23" t="str">
        <f>TEXT(Table1[[#This Row],[End Date]],"YYYY")</f>
        <v>2025</v>
      </c>
      <c r="U1871" s="24">
        <f t="shared" ca="1" si="74"/>
        <v>-644</v>
      </c>
      <c r="V1871" s="14" t="str" cm="1">
        <f t="array" aca="1" ref="V1871" ca="1">_xlfn.IFS(Table1[[#This Row],[Agreement Days]]&gt;=0,"Expired",Table1[[#This Row],[Agreement Days]]&gt;=-30,"Expires &lt; 30 Days",Table1[[#This Row],[Agreement Days]]&gt;=-60,"Expires &lt; 60 Days",Table1[[#This Row],[Agreement Days]]&lt;-60,"Valid Contract")</f>
        <v>Valid Contract</v>
      </c>
      <c r="W1871" s="14" t="s">
        <v>20</v>
      </c>
      <c r="X1871" s="26" t="s">
        <v>3219</v>
      </c>
      <c r="Y1871" s="16" t="s">
        <v>1447</v>
      </c>
      <c r="Z1871" s="27" t="s">
        <v>1448</v>
      </c>
      <c r="AA1871" s="19"/>
      <c r="AB1871" s="123"/>
      <c r="AC1871" s="123"/>
    </row>
    <row r="1872" spans="1:29" s="11" customFormat="1" hidden="1" x14ac:dyDescent="0.3">
      <c r="A1872" s="18" t="s">
        <v>855</v>
      </c>
      <c r="B1872" s="18" t="s">
        <v>39</v>
      </c>
      <c r="C1872" s="18" t="s">
        <v>3220</v>
      </c>
      <c r="D1872" s="14" t="s">
        <v>540</v>
      </c>
      <c r="E1872" s="18" t="s">
        <v>9</v>
      </c>
      <c r="F1872" s="14" t="s">
        <v>631</v>
      </c>
      <c r="G1872" s="14" t="s">
        <v>518</v>
      </c>
      <c r="H1872" s="18" t="s">
        <v>2</v>
      </c>
      <c r="I1872" s="14" t="s">
        <v>117</v>
      </c>
      <c r="J1872" s="14">
        <v>100</v>
      </c>
      <c r="K1872" s="14" t="s">
        <v>3221</v>
      </c>
      <c r="L1872" s="14"/>
      <c r="M1872" s="14">
        <v>1</v>
      </c>
      <c r="N1872" s="15">
        <v>3240000</v>
      </c>
      <c r="O1872" s="15">
        <f t="shared" si="75"/>
        <v>3240000</v>
      </c>
      <c r="P1872" s="15"/>
      <c r="Q1872" s="14" t="s">
        <v>520</v>
      </c>
      <c r="R1872" s="25">
        <v>45777</v>
      </c>
      <c r="S1872" s="22" t="str">
        <f>TEXT(Table1[[#This Row],[End Date]],"MMMM")</f>
        <v>April</v>
      </c>
      <c r="T1872" s="23" t="str">
        <f>TEXT(Table1[[#This Row],[End Date]],"YYYY")</f>
        <v>2025</v>
      </c>
      <c r="U1872" s="24">
        <f t="shared" ca="1" si="74"/>
        <v>-644</v>
      </c>
      <c r="V1872" s="14" t="str" cm="1">
        <f t="array" aca="1" ref="V1872" ca="1">_xlfn.IFS(Table1[[#This Row],[Agreement Days]]&gt;=0,"Expired",Table1[[#This Row],[Agreement Days]]&gt;=-30,"Expires &lt; 30 Days",Table1[[#This Row],[Agreement Days]]&gt;=-60,"Expires &lt; 60 Days",Table1[[#This Row],[Agreement Days]]&lt;-60,"Valid Contract")</f>
        <v>Valid Contract</v>
      </c>
      <c r="W1872" s="14" t="s">
        <v>13</v>
      </c>
      <c r="X1872" s="20" t="s">
        <v>3222</v>
      </c>
      <c r="Y1872" s="43" t="s">
        <v>3223</v>
      </c>
      <c r="Z1872" s="27">
        <v>788752880</v>
      </c>
      <c r="AA1872" s="17"/>
      <c r="AB1872" s="123"/>
      <c r="AC1872" s="123"/>
    </row>
    <row r="1873" spans="1:29" s="11" customFormat="1" hidden="1" x14ac:dyDescent="0.3">
      <c r="A1873" s="18" t="s">
        <v>855</v>
      </c>
      <c r="B1873" s="18" t="s">
        <v>39</v>
      </c>
      <c r="C1873" s="18" t="s">
        <v>3220</v>
      </c>
      <c r="D1873" s="14" t="s">
        <v>540</v>
      </c>
      <c r="E1873" s="18" t="s">
        <v>9</v>
      </c>
      <c r="F1873" s="14" t="s">
        <v>631</v>
      </c>
      <c r="G1873" s="14" t="s">
        <v>518</v>
      </c>
      <c r="H1873" s="18" t="s">
        <v>5</v>
      </c>
      <c r="I1873" s="14" t="s">
        <v>115</v>
      </c>
      <c r="J1873" s="14"/>
      <c r="K1873" s="18" t="s">
        <v>573</v>
      </c>
      <c r="L1873" s="14"/>
      <c r="M1873" s="14">
        <v>1</v>
      </c>
      <c r="N1873" s="15">
        <v>19491.53</v>
      </c>
      <c r="O1873" s="15">
        <f t="shared" si="75"/>
        <v>19491.53</v>
      </c>
      <c r="P1873" s="15"/>
      <c r="Q1873" s="14" t="s">
        <v>520</v>
      </c>
      <c r="R1873" s="25">
        <v>45777</v>
      </c>
      <c r="S1873" s="22" t="str">
        <f>TEXT(Table1[[#This Row],[End Date]],"MMMM")</f>
        <v>April</v>
      </c>
      <c r="T1873" s="23" t="str">
        <f>TEXT(Table1[[#This Row],[End Date]],"YYYY")</f>
        <v>2025</v>
      </c>
      <c r="U1873" s="24">
        <f t="shared" ca="1" si="74"/>
        <v>-644</v>
      </c>
      <c r="V1873" s="14" t="str" cm="1">
        <f t="array" aca="1" ref="V1873" ca="1">_xlfn.IFS(Table1[[#This Row],[Agreement Days]]&gt;=0,"Expired",Table1[[#This Row],[Agreement Days]]&gt;=-30,"Expires &lt; 30 Days",Table1[[#This Row],[Agreement Days]]&gt;=-60,"Expires &lt; 60 Days",Table1[[#This Row],[Agreement Days]]&lt;-60,"Valid Contract")</f>
        <v>Valid Contract</v>
      </c>
      <c r="W1873" s="14" t="s">
        <v>13</v>
      </c>
      <c r="X1873" s="20" t="s">
        <v>3222</v>
      </c>
      <c r="Y1873" s="43" t="s">
        <v>3223</v>
      </c>
      <c r="Z1873" s="27">
        <v>788752880</v>
      </c>
      <c r="AA1873" s="17"/>
      <c r="AB1873" s="123"/>
      <c r="AC1873" s="123"/>
    </row>
    <row r="1874" spans="1:29" s="11" customFormat="1" hidden="1" x14ac:dyDescent="0.3">
      <c r="A1874" s="18" t="s">
        <v>855</v>
      </c>
      <c r="B1874" s="18" t="s">
        <v>39</v>
      </c>
      <c r="C1874" s="18" t="s">
        <v>3220</v>
      </c>
      <c r="D1874" s="14" t="s">
        <v>540</v>
      </c>
      <c r="E1874" s="18" t="s">
        <v>9</v>
      </c>
      <c r="F1874" s="14" t="s">
        <v>631</v>
      </c>
      <c r="G1874" s="14" t="s">
        <v>518</v>
      </c>
      <c r="H1874" s="18" t="s">
        <v>4</v>
      </c>
      <c r="I1874" s="14" t="s">
        <v>118</v>
      </c>
      <c r="J1874" s="14"/>
      <c r="K1874" s="14" t="s">
        <v>1021</v>
      </c>
      <c r="L1874" s="14"/>
      <c r="M1874" s="14">
        <v>1</v>
      </c>
      <c r="N1874" s="15">
        <v>369325</v>
      </c>
      <c r="O1874" s="15">
        <f t="shared" si="75"/>
        <v>369325</v>
      </c>
      <c r="P1874" s="15"/>
      <c r="Q1874" s="14" t="s">
        <v>520</v>
      </c>
      <c r="R1874" s="25">
        <v>45777</v>
      </c>
      <c r="S1874" s="22" t="str">
        <f>TEXT(Table1[[#This Row],[End Date]],"MMMM")</f>
        <v>April</v>
      </c>
      <c r="T1874" s="23" t="str">
        <f>TEXT(Table1[[#This Row],[End Date]],"YYYY")</f>
        <v>2025</v>
      </c>
      <c r="U1874" s="24">
        <f t="shared" ca="1" si="74"/>
        <v>-644</v>
      </c>
      <c r="V1874" s="14" t="str" cm="1">
        <f t="array" aca="1" ref="V1874" ca="1">_xlfn.IFS(Table1[[#This Row],[Agreement Days]]&gt;=0,"Expired",Table1[[#This Row],[Agreement Days]]&gt;=-30,"Expires &lt; 30 Days",Table1[[#This Row],[Agreement Days]]&gt;=-60,"Expires &lt; 60 Days",Table1[[#This Row],[Agreement Days]]&lt;-60,"Valid Contract")</f>
        <v>Valid Contract</v>
      </c>
      <c r="W1874" s="14" t="s">
        <v>13</v>
      </c>
      <c r="X1874" s="20" t="s">
        <v>3222</v>
      </c>
      <c r="Y1874" s="43" t="s">
        <v>3223</v>
      </c>
      <c r="Z1874" s="27">
        <v>788752880</v>
      </c>
      <c r="AA1874" s="17"/>
      <c r="AB1874" s="123"/>
      <c r="AC1874" s="123"/>
    </row>
    <row r="1875" spans="1:29" s="11" customFormat="1" hidden="1" x14ac:dyDescent="0.3">
      <c r="A1875" s="18" t="s">
        <v>3224</v>
      </c>
      <c r="B1875" s="18" t="s">
        <v>181</v>
      </c>
      <c r="C1875" s="18" t="s">
        <v>544</v>
      </c>
      <c r="D1875" s="14" t="s">
        <v>545</v>
      </c>
      <c r="E1875" s="18" t="s">
        <v>10</v>
      </c>
      <c r="F1875" s="14" t="s">
        <v>688</v>
      </c>
      <c r="G1875" s="14" t="s">
        <v>518</v>
      </c>
      <c r="H1875" s="18" t="s">
        <v>2</v>
      </c>
      <c r="I1875" s="14" t="s">
        <v>134</v>
      </c>
      <c r="J1875" s="19">
        <v>50</v>
      </c>
      <c r="K1875" s="26" t="s">
        <v>3225</v>
      </c>
      <c r="L1875" s="26"/>
      <c r="M1875" s="19">
        <v>1</v>
      </c>
      <c r="N1875" s="15">
        <v>3463636.4406779599</v>
      </c>
      <c r="O1875" s="15">
        <f t="shared" si="75"/>
        <v>3463636.4406779599</v>
      </c>
      <c r="P1875" s="15"/>
      <c r="Q1875" s="14" t="s">
        <v>520</v>
      </c>
      <c r="R1875" s="25">
        <v>45777</v>
      </c>
      <c r="S1875" s="34" t="str">
        <f>TEXT(Table1[[#This Row],[End Date]],"MMMM")</f>
        <v>April</v>
      </c>
      <c r="T1875" s="34" t="str">
        <f>TEXT(Table1[[#This Row],[End Date]],"YYYY")</f>
        <v>2025</v>
      </c>
      <c r="U1875" s="24">
        <f t="shared" ca="1" si="74"/>
        <v>-644</v>
      </c>
      <c r="V1875" s="14" t="str" cm="1">
        <f t="array" aca="1" ref="V1875" ca="1">_xlfn.IFS(Table1[[#This Row],[Agreement Days]]&gt;=0,"Expired",Table1[[#This Row],[Agreement Days]]&gt;=-30,"Expires &lt; 30 Days",Table1[[#This Row],[Agreement Days]]&gt;=-60,"Expires &lt; 60 Days",Table1[[#This Row],[Agreement Days]]&lt;-60,"Valid Contract")</f>
        <v>Valid Contract</v>
      </c>
      <c r="W1875" s="26" t="s">
        <v>17</v>
      </c>
      <c r="X1875" s="26" t="s">
        <v>3226</v>
      </c>
      <c r="Y1875" s="35" t="s">
        <v>3227</v>
      </c>
      <c r="Z1875" s="27">
        <v>788742922</v>
      </c>
      <c r="AA1875" s="27"/>
      <c r="AB1875" s="123"/>
      <c r="AC1875" s="123"/>
    </row>
    <row r="1876" spans="1:29" s="11" customFormat="1" hidden="1" x14ac:dyDescent="0.3">
      <c r="A1876" s="18" t="s">
        <v>3224</v>
      </c>
      <c r="B1876" s="18" t="s">
        <v>181</v>
      </c>
      <c r="C1876" s="18" t="s">
        <v>544</v>
      </c>
      <c r="D1876" s="14" t="s">
        <v>545</v>
      </c>
      <c r="E1876" s="18" t="s">
        <v>10</v>
      </c>
      <c r="F1876" s="14" t="s">
        <v>688</v>
      </c>
      <c r="G1876" s="14" t="s">
        <v>518</v>
      </c>
      <c r="H1876" s="18" t="s">
        <v>2</v>
      </c>
      <c r="I1876" s="14" t="s">
        <v>118</v>
      </c>
      <c r="J1876" s="26"/>
      <c r="K1876" s="26" t="s">
        <v>1021</v>
      </c>
      <c r="L1876" s="26"/>
      <c r="M1876" s="19">
        <v>1</v>
      </c>
      <c r="N1876" s="15">
        <v>369325.42372881301</v>
      </c>
      <c r="O1876" s="15">
        <f t="shared" si="75"/>
        <v>369325.42372881301</v>
      </c>
      <c r="P1876" s="15"/>
      <c r="Q1876" s="14" t="s">
        <v>520</v>
      </c>
      <c r="R1876" s="25">
        <v>45777</v>
      </c>
      <c r="S1876" s="34" t="str">
        <f>TEXT(Table1[[#This Row],[End Date]],"MMMM")</f>
        <v>April</v>
      </c>
      <c r="T1876" s="34" t="str">
        <f>TEXT(Table1[[#This Row],[End Date]],"YYYY")</f>
        <v>2025</v>
      </c>
      <c r="U1876" s="24">
        <f t="shared" ca="1" si="74"/>
        <v>-644</v>
      </c>
      <c r="V1876" s="14" t="str" cm="1">
        <f t="array" aca="1" ref="V1876" ca="1">_xlfn.IFS(Table1[[#This Row],[Agreement Days]]&gt;=0,"Expired",Table1[[#This Row],[Agreement Days]]&gt;=-30,"Expires &lt; 30 Days",Table1[[#This Row],[Agreement Days]]&gt;=-60,"Expires &lt; 60 Days",Table1[[#This Row],[Agreement Days]]&lt;-60,"Valid Contract")</f>
        <v>Valid Contract</v>
      </c>
      <c r="W1876" s="26" t="s">
        <v>17</v>
      </c>
      <c r="X1876" s="26" t="s">
        <v>3226</v>
      </c>
      <c r="Y1876" s="35" t="s">
        <v>3227</v>
      </c>
      <c r="Z1876" s="27">
        <v>788742922</v>
      </c>
      <c r="AA1876" s="27"/>
      <c r="AB1876" s="123"/>
      <c r="AC1876" s="123"/>
    </row>
    <row r="1877" spans="1:29" s="11" customFormat="1" hidden="1" x14ac:dyDescent="0.3">
      <c r="A1877" s="18" t="s">
        <v>3224</v>
      </c>
      <c r="B1877" s="18" t="s">
        <v>181</v>
      </c>
      <c r="C1877" s="18" t="s">
        <v>544</v>
      </c>
      <c r="D1877" s="14" t="s">
        <v>545</v>
      </c>
      <c r="E1877" s="18" t="s">
        <v>10</v>
      </c>
      <c r="F1877" s="14" t="s">
        <v>688</v>
      </c>
      <c r="G1877" s="14" t="s">
        <v>518</v>
      </c>
      <c r="H1877" s="18" t="s">
        <v>5</v>
      </c>
      <c r="I1877" s="14" t="s">
        <v>115</v>
      </c>
      <c r="J1877" s="26"/>
      <c r="K1877" s="18" t="s">
        <v>643</v>
      </c>
      <c r="L1877" s="26"/>
      <c r="M1877" s="19">
        <v>20</v>
      </c>
      <c r="N1877" s="15">
        <v>28305.084745762713</v>
      </c>
      <c r="O1877" s="15">
        <f t="shared" si="75"/>
        <v>566101.69491525425</v>
      </c>
      <c r="P1877" s="15"/>
      <c r="Q1877" s="14" t="s">
        <v>520</v>
      </c>
      <c r="R1877" s="25">
        <v>45777</v>
      </c>
      <c r="S1877" s="34" t="str">
        <f>TEXT(Table1[[#This Row],[End Date]],"MMMM")</f>
        <v>April</v>
      </c>
      <c r="T1877" s="34" t="str">
        <f>TEXT(Table1[[#This Row],[End Date]],"YYYY")</f>
        <v>2025</v>
      </c>
      <c r="U1877" s="24">
        <f t="shared" ca="1" si="74"/>
        <v>-644</v>
      </c>
      <c r="V1877" s="14" t="str" cm="1">
        <f t="array" aca="1" ref="V1877" ca="1">_xlfn.IFS(Table1[[#This Row],[Agreement Days]]&gt;=0,"Expired",Table1[[#This Row],[Agreement Days]]&gt;=-30,"Expires &lt; 30 Days",Table1[[#This Row],[Agreement Days]]&gt;=-60,"Expires &lt; 60 Days",Table1[[#This Row],[Agreement Days]]&lt;-60,"Valid Contract")</f>
        <v>Valid Contract</v>
      </c>
      <c r="W1877" s="26" t="s">
        <v>17</v>
      </c>
      <c r="X1877" s="26" t="s">
        <v>3226</v>
      </c>
      <c r="Y1877" s="35" t="s">
        <v>3227</v>
      </c>
      <c r="Z1877" s="27">
        <v>788742922</v>
      </c>
      <c r="AA1877" s="27"/>
      <c r="AB1877" s="123"/>
      <c r="AC1877" s="123"/>
    </row>
    <row r="1878" spans="1:29" s="11" customFormat="1" hidden="1" x14ac:dyDescent="0.3">
      <c r="A1878" s="18" t="s">
        <v>3228</v>
      </c>
      <c r="B1878" s="18" t="s">
        <v>464</v>
      </c>
      <c r="C1878" s="18" t="s">
        <v>544</v>
      </c>
      <c r="D1878" s="18" t="s">
        <v>540</v>
      </c>
      <c r="E1878" s="18" t="s">
        <v>10</v>
      </c>
      <c r="F1878" s="20" t="s">
        <v>1536</v>
      </c>
      <c r="G1878" s="20" t="s">
        <v>518</v>
      </c>
      <c r="H1878" s="18" t="s">
        <v>2</v>
      </c>
      <c r="I1878" s="20" t="s">
        <v>438</v>
      </c>
      <c r="J1878" s="20"/>
      <c r="K1878" s="18" t="s">
        <v>3215</v>
      </c>
      <c r="L1878" s="18"/>
      <c r="M1878" s="20">
        <v>1</v>
      </c>
      <c r="N1878" s="15">
        <v>63559</v>
      </c>
      <c r="O1878" s="15">
        <f t="shared" si="75"/>
        <v>63559</v>
      </c>
      <c r="P1878" s="15"/>
      <c r="Q1878" s="14" t="s">
        <v>520</v>
      </c>
      <c r="R1878" s="25">
        <v>45777</v>
      </c>
      <c r="S1878" s="22" t="str">
        <f>TEXT(Table1[[#This Row],[End Date]],"MMMM")</f>
        <v>April</v>
      </c>
      <c r="T1878" s="22" t="str">
        <f>TEXT(Table1[[#This Row],[End Date]],"YYYY")</f>
        <v>2025</v>
      </c>
      <c r="U1878" s="24">
        <f t="shared" ca="1" si="74"/>
        <v>-644</v>
      </c>
      <c r="V1878" s="14" t="str" cm="1">
        <f t="array" aca="1" ref="V1878" ca="1">_xlfn.IFS(Table1[[#This Row],[Agreement Days]]&gt;=0,"Expired",Table1[[#This Row],[Agreement Days]]&gt;=-30,"Expires &lt; 30 Days",Table1[[#This Row],[Agreement Days]]&gt;=-60,"Expires &lt; 60 Days",Table1[[#This Row],[Agreement Days]]&lt;-60,"Valid Contract")</f>
        <v>Valid Contract</v>
      </c>
      <c r="W1878" s="18" t="s">
        <v>15</v>
      </c>
      <c r="X1878" s="18" t="s">
        <v>3229</v>
      </c>
      <c r="Y1878" s="42" t="s">
        <v>3230</v>
      </c>
      <c r="Z1878" s="27" t="s">
        <v>3231</v>
      </c>
      <c r="AA1878" s="20"/>
      <c r="AB1878" s="123"/>
      <c r="AC1878" s="123"/>
    </row>
    <row r="1879" spans="1:29" s="11" customFormat="1" hidden="1" x14ac:dyDescent="0.3">
      <c r="A1879" s="18" t="s">
        <v>1053</v>
      </c>
      <c r="B1879" s="18" t="s">
        <v>277</v>
      </c>
      <c r="C1879" s="18" t="s">
        <v>1054</v>
      </c>
      <c r="D1879" s="14" t="s">
        <v>545</v>
      </c>
      <c r="E1879" s="18" t="s">
        <v>9</v>
      </c>
      <c r="F1879" s="14" t="s">
        <v>688</v>
      </c>
      <c r="G1879" s="14" t="s">
        <v>518</v>
      </c>
      <c r="H1879" s="18" t="s">
        <v>4</v>
      </c>
      <c r="I1879" s="14" t="s">
        <v>118</v>
      </c>
      <c r="J1879" s="18"/>
      <c r="K1879" s="18" t="s">
        <v>650</v>
      </c>
      <c r="L1879" s="18"/>
      <c r="M1879" s="14">
        <v>1</v>
      </c>
      <c r="N1879" s="15">
        <v>369325</v>
      </c>
      <c r="O1879" s="15">
        <f t="shared" si="75"/>
        <v>369325</v>
      </c>
      <c r="P1879" s="15"/>
      <c r="Q1879" s="14" t="s">
        <v>520</v>
      </c>
      <c r="R1879" s="25">
        <v>45779</v>
      </c>
      <c r="S1879" s="34" t="str">
        <f>TEXT(Table1[[#This Row],[End Date]],"MMMM")</f>
        <v>May</v>
      </c>
      <c r="T1879" s="34" t="str">
        <f>TEXT(Table1[[#This Row],[End Date]],"YYYY")</f>
        <v>2025</v>
      </c>
      <c r="U1879" s="24">
        <f t="shared" ca="1" si="74"/>
        <v>-646</v>
      </c>
      <c r="V1879" s="14" t="str" cm="1">
        <f t="array" aca="1" ref="V1879" ca="1">_xlfn.IFS(Table1[[#This Row],[Agreement Days]]&gt;=0,"Expired",Table1[[#This Row],[Agreement Days]]&gt;=-30,"Expires &lt; 30 Days",Table1[[#This Row],[Agreement Days]]&gt;=-60,"Expires &lt; 60 Days",Table1[[#This Row],[Agreement Days]]&lt;-60,"Valid Contract")</f>
        <v>Valid Contract</v>
      </c>
      <c r="W1879" s="18" t="s">
        <v>21</v>
      </c>
      <c r="X1879" s="18" t="s">
        <v>1055</v>
      </c>
      <c r="Y1879" s="42" t="s">
        <v>1056</v>
      </c>
      <c r="Z1879" s="27">
        <v>788989730</v>
      </c>
      <c r="AA1879" s="27"/>
      <c r="AB1879" s="123"/>
      <c r="AC1879" s="123"/>
    </row>
    <row r="1880" spans="1:29" s="11" customFormat="1" hidden="1" x14ac:dyDescent="0.3">
      <c r="A1880" s="18" t="s">
        <v>3232</v>
      </c>
      <c r="B1880" s="18" t="s">
        <v>258</v>
      </c>
      <c r="C1880" s="18" t="s">
        <v>544</v>
      </c>
      <c r="D1880" s="14" t="s">
        <v>653</v>
      </c>
      <c r="E1880" s="18" t="s">
        <v>10</v>
      </c>
      <c r="F1880" s="14" t="s">
        <v>822</v>
      </c>
      <c r="G1880" s="14" t="s">
        <v>518</v>
      </c>
      <c r="H1880" s="18" t="s">
        <v>5</v>
      </c>
      <c r="I1880" s="14" t="s">
        <v>134</v>
      </c>
      <c r="J1880" s="14">
        <v>1</v>
      </c>
      <c r="K1880" s="18" t="s">
        <v>823</v>
      </c>
      <c r="L1880" s="18"/>
      <c r="M1880" s="14">
        <v>1</v>
      </c>
      <c r="N1880" s="15">
        <v>156700</v>
      </c>
      <c r="O1880" s="15">
        <f t="shared" si="75"/>
        <v>156700</v>
      </c>
      <c r="P1880" s="15"/>
      <c r="Q1880" s="14" t="s">
        <v>520</v>
      </c>
      <c r="R1880" s="25">
        <v>45782</v>
      </c>
      <c r="S1880" s="34" t="str">
        <f>TEXT(Table1[[#This Row],[End Date]],"MMMM")</f>
        <v>May</v>
      </c>
      <c r="T1880" s="34" t="str">
        <f>TEXT(Table1[[#This Row],[End Date]],"YYYY")</f>
        <v>2025</v>
      </c>
      <c r="U1880" s="24">
        <f t="shared" ca="1" si="74"/>
        <v>-649</v>
      </c>
      <c r="V1880" s="14" t="str" cm="1">
        <f t="array" aca="1" ref="V1880" ca="1">_xlfn.IFS(Table1[[#This Row],[Agreement Days]]&gt;=0,"Expired",Table1[[#This Row],[Agreement Days]]&gt;=-30,"Expires &lt; 30 Days",Table1[[#This Row],[Agreement Days]]&gt;=-60,"Expires &lt; 60 Days",Table1[[#This Row],[Agreement Days]]&lt;-60,"Valid Contract")</f>
        <v>Valid Contract</v>
      </c>
      <c r="W1880" s="18" t="s">
        <v>18</v>
      </c>
      <c r="X1880" s="18" t="s">
        <v>3233</v>
      </c>
      <c r="Y1880" s="35" t="s">
        <v>3234</v>
      </c>
      <c r="Z1880" s="27" t="s">
        <v>3235</v>
      </c>
      <c r="AA1880" s="27"/>
      <c r="AB1880" s="123"/>
      <c r="AC1880" s="123"/>
    </row>
    <row r="1881" spans="1:29" s="11" customFormat="1" hidden="1" x14ac:dyDescent="0.3">
      <c r="A1881" s="18" t="s">
        <v>3232</v>
      </c>
      <c r="B1881" s="18" t="s">
        <v>258</v>
      </c>
      <c r="C1881" s="18" t="s">
        <v>544</v>
      </c>
      <c r="D1881" s="14" t="s">
        <v>653</v>
      </c>
      <c r="E1881" s="18" t="s">
        <v>10</v>
      </c>
      <c r="F1881" s="14" t="s">
        <v>822</v>
      </c>
      <c r="G1881" s="14" t="s">
        <v>518</v>
      </c>
      <c r="H1881" s="18" t="s">
        <v>5</v>
      </c>
      <c r="I1881" s="14" t="s">
        <v>134</v>
      </c>
      <c r="J1881" s="14">
        <v>20</v>
      </c>
      <c r="K1881" s="18" t="s">
        <v>712</v>
      </c>
      <c r="L1881" s="18"/>
      <c r="M1881" s="14">
        <v>1</v>
      </c>
      <c r="N1881" s="15">
        <v>1457000</v>
      </c>
      <c r="O1881" s="15">
        <f t="shared" si="75"/>
        <v>1457000</v>
      </c>
      <c r="P1881" s="15"/>
      <c r="Q1881" s="14" t="s">
        <v>520</v>
      </c>
      <c r="R1881" s="25">
        <v>45782</v>
      </c>
      <c r="S1881" s="34" t="str">
        <f>TEXT(Table1[[#This Row],[End Date]],"MMMM")</f>
        <v>May</v>
      </c>
      <c r="T1881" s="34" t="str">
        <f>TEXT(Table1[[#This Row],[End Date]],"YYYY")</f>
        <v>2025</v>
      </c>
      <c r="U1881" s="24">
        <f t="shared" ca="1" si="74"/>
        <v>-649</v>
      </c>
      <c r="V1881" s="14" t="str" cm="1">
        <f t="array" aca="1" ref="V1881" ca="1">_xlfn.IFS(Table1[[#This Row],[Agreement Days]]&gt;=0,"Expired",Table1[[#This Row],[Agreement Days]]&gt;=-30,"Expires &lt; 30 Days",Table1[[#This Row],[Agreement Days]]&gt;=-60,"Expires &lt; 60 Days",Table1[[#This Row],[Agreement Days]]&lt;-60,"Valid Contract")</f>
        <v>Valid Contract</v>
      </c>
      <c r="W1881" s="18" t="s">
        <v>18</v>
      </c>
      <c r="X1881" s="18" t="s">
        <v>3233</v>
      </c>
      <c r="Y1881" s="35" t="s">
        <v>3234</v>
      </c>
      <c r="Z1881" s="27" t="s">
        <v>3235</v>
      </c>
      <c r="AA1881" s="36"/>
      <c r="AB1881" s="123"/>
      <c r="AC1881" s="123"/>
    </row>
    <row r="1882" spans="1:29" s="11" customFormat="1" hidden="1" x14ac:dyDescent="0.3">
      <c r="A1882" s="18" t="s">
        <v>3236</v>
      </c>
      <c r="B1882" s="18" t="s">
        <v>432</v>
      </c>
      <c r="C1882" s="18" t="s">
        <v>432</v>
      </c>
      <c r="D1882" s="14" t="s">
        <v>545</v>
      </c>
      <c r="E1882" s="18" t="s">
        <v>10</v>
      </c>
      <c r="F1882" s="14" t="s">
        <v>560</v>
      </c>
      <c r="G1882" s="14" t="s">
        <v>518</v>
      </c>
      <c r="H1882" s="18" t="s">
        <v>2</v>
      </c>
      <c r="I1882" s="14" t="s">
        <v>123</v>
      </c>
      <c r="J1882" s="14"/>
      <c r="K1882" s="14" t="s">
        <v>3237</v>
      </c>
      <c r="L1882" s="14"/>
      <c r="M1882" s="14">
        <v>1</v>
      </c>
      <c r="N1882" s="15">
        <v>140294</v>
      </c>
      <c r="O1882" s="15">
        <f t="shared" si="75"/>
        <v>140294</v>
      </c>
      <c r="P1882" s="15"/>
      <c r="Q1882" s="14" t="s">
        <v>520</v>
      </c>
      <c r="R1882" s="21">
        <v>45787</v>
      </c>
      <c r="S1882" s="22" t="str">
        <f>TEXT(Table1[[#This Row],[End Date]],"MMMM")</f>
        <v>May</v>
      </c>
      <c r="T1882" s="23" t="str">
        <f>TEXT(Table1[[#This Row],[End Date]],"YYYY")</f>
        <v>2025</v>
      </c>
      <c r="U1882" s="24">
        <f t="shared" ca="1" si="74"/>
        <v>-654</v>
      </c>
      <c r="V1882" s="14" t="str" cm="1">
        <f t="array" aca="1" ref="V1882" ca="1">_xlfn.IFS(Table1[[#This Row],[Agreement Days]]&gt;=0,"Expired",Table1[[#This Row],[Agreement Days]]&gt;=-30,"Expires &lt; 30 Days",Table1[[#This Row],[Agreement Days]]&gt;=-60,"Expires &lt; 60 Days",Table1[[#This Row],[Agreement Days]]&lt;-60,"Valid Contract")</f>
        <v>Valid Contract</v>
      </c>
      <c r="W1882" s="14" t="s">
        <v>20</v>
      </c>
      <c r="X1882" s="26" t="s">
        <v>3238</v>
      </c>
      <c r="Y1882" s="45" t="s">
        <v>3239</v>
      </c>
      <c r="Z1882" s="17" t="s">
        <v>3240</v>
      </c>
      <c r="AA1882" s="19"/>
      <c r="AB1882" s="98"/>
      <c r="AC1882" s="98"/>
    </row>
    <row r="1883" spans="1:29" s="11" customFormat="1" hidden="1" x14ac:dyDescent="0.3">
      <c r="A1883" s="18" t="s">
        <v>2550</v>
      </c>
      <c r="B1883" s="18" t="s">
        <v>50</v>
      </c>
      <c r="C1883" s="18" t="s">
        <v>3241</v>
      </c>
      <c r="D1883" s="14" t="s">
        <v>545</v>
      </c>
      <c r="E1883" s="18" t="s">
        <v>9</v>
      </c>
      <c r="F1883" s="14" t="s">
        <v>631</v>
      </c>
      <c r="G1883" s="14" t="s">
        <v>518</v>
      </c>
      <c r="H1883" s="18" t="s">
        <v>5</v>
      </c>
      <c r="I1883" s="14" t="s">
        <v>115</v>
      </c>
      <c r="J1883" s="14"/>
      <c r="K1883" s="18" t="s">
        <v>3242</v>
      </c>
      <c r="L1883" s="14"/>
      <c r="M1883" s="14">
        <v>13</v>
      </c>
      <c r="N1883" s="15">
        <v>45338.98</v>
      </c>
      <c r="O1883" s="15">
        <f t="shared" si="75"/>
        <v>589406.74</v>
      </c>
      <c r="P1883" s="15"/>
      <c r="Q1883" s="14" t="s">
        <v>520</v>
      </c>
      <c r="R1883" s="21">
        <v>45790</v>
      </c>
      <c r="S1883" s="22" t="str">
        <f>TEXT(Table1[[#This Row],[End Date]],"MMMM")</f>
        <v>May</v>
      </c>
      <c r="T1883" s="23" t="str">
        <f>TEXT(Table1[[#This Row],[End Date]],"YYYY")</f>
        <v>2025</v>
      </c>
      <c r="U1883" s="24">
        <f t="shared" ca="1" si="74"/>
        <v>-657</v>
      </c>
      <c r="V1883" s="14" t="str" cm="1">
        <f t="array" aca="1" ref="V1883" ca="1">_xlfn.IFS(Table1[[#This Row],[Agreement Days]]&gt;=0,"Expired",Table1[[#This Row],[Agreement Days]]&gt;=-30,"Expires &lt; 30 Days",Table1[[#This Row],[Agreement Days]]&gt;=-60,"Expires &lt; 60 Days",Table1[[#This Row],[Agreement Days]]&lt;-60,"Valid Contract")</f>
        <v>Valid Contract</v>
      </c>
      <c r="W1883" s="14" t="s">
        <v>20</v>
      </c>
      <c r="X1883" s="26" t="s">
        <v>2552</v>
      </c>
      <c r="Y1883" s="16" t="s">
        <v>2553</v>
      </c>
      <c r="Z1883" s="17" t="s">
        <v>2554</v>
      </c>
      <c r="AA1883" s="19"/>
      <c r="AB1883" s="98"/>
      <c r="AC1883" s="98"/>
    </row>
    <row r="1884" spans="1:29" s="11" customFormat="1" hidden="1" x14ac:dyDescent="0.3">
      <c r="A1884" s="18" t="s">
        <v>728</v>
      </c>
      <c r="B1884" s="18" t="s">
        <v>348</v>
      </c>
      <c r="C1884" s="18" t="s">
        <v>544</v>
      </c>
      <c r="D1884" s="14" t="s">
        <v>540</v>
      </c>
      <c r="E1884" s="18" t="s">
        <v>10</v>
      </c>
      <c r="F1884" s="14" t="s">
        <v>729</v>
      </c>
      <c r="G1884" s="14" t="s">
        <v>518</v>
      </c>
      <c r="H1884" s="18" t="s">
        <v>5</v>
      </c>
      <c r="I1884" s="14" t="s">
        <v>115</v>
      </c>
      <c r="J1884" s="26"/>
      <c r="K1884" s="18" t="s">
        <v>657</v>
      </c>
      <c r="L1884" s="26"/>
      <c r="M1884" s="19">
        <v>1</v>
      </c>
      <c r="N1884" s="15">
        <v>45338.98</v>
      </c>
      <c r="O1884" s="15">
        <f t="shared" si="75"/>
        <v>45338.98</v>
      </c>
      <c r="P1884" s="15"/>
      <c r="Q1884" s="14" t="s">
        <v>520</v>
      </c>
      <c r="R1884" s="25">
        <v>45807</v>
      </c>
      <c r="S1884" s="34" t="str">
        <f>TEXT(Table1[[#This Row],[End Date]],"MMMM")</f>
        <v>May</v>
      </c>
      <c r="T1884" s="23" t="str">
        <f>TEXT(Table1[[#This Row],[End Date]],"YYYY")</f>
        <v>2025</v>
      </c>
      <c r="U1884" s="24">
        <f t="shared" ca="1" si="74"/>
        <v>-674</v>
      </c>
      <c r="V1884" s="14" t="str" cm="1">
        <f t="array" aca="1" ref="V1884" ca="1">_xlfn.IFS(Table1[[#This Row],[Agreement Days]]&gt;=0,"Expired",Table1[[#This Row],[Agreement Days]]&gt;=-30,"Expires &lt; 30 Days",Table1[[#This Row],[Agreement Days]]&gt;=-60,"Expires &lt; 60 Days",Table1[[#This Row],[Agreement Days]]&lt;-60,"Valid Contract")</f>
        <v>Valid Contract</v>
      </c>
      <c r="W1884" s="26" t="s">
        <v>17</v>
      </c>
      <c r="X1884" s="26" t="s">
        <v>731</v>
      </c>
      <c r="Y1884" s="18" t="s">
        <v>732</v>
      </c>
      <c r="Z1884" s="27">
        <v>788639444</v>
      </c>
      <c r="AA1884" s="27"/>
      <c r="AB1884" s="123"/>
      <c r="AC1884" s="123"/>
    </row>
    <row r="1885" spans="1:29" s="11" customFormat="1" x14ac:dyDescent="0.3">
      <c r="A1885" s="18" t="s">
        <v>1751</v>
      </c>
      <c r="B1885" s="18" t="s">
        <v>192</v>
      </c>
      <c r="C1885" s="18" t="s">
        <v>3243</v>
      </c>
      <c r="D1885" s="14" t="s">
        <v>540</v>
      </c>
      <c r="E1885" s="18" t="s">
        <v>9</v>
      </c>
      <c r="F1885" s="14" t="s">
        <v>517</v>
      </c>
      <c r="G1885" s="14" t="s">
        <v>546</v>
      </c>
      <c r="H1885" s="18" t="s">
        <v>6</v>
      </c>
      <c r="I1885" s="14" t="s">
        <v>117</v>
      </c>
      <c r="J1885" s="14">
        <v>30</v>
      </c>
      <c r="K1885" s="14" t="s">
        <v>796</v>
      </c>
      <c r="L1885" s="14"/>
      <c r="M1885" s="14">
        <v>1</v>
      </c>
      <c r="N1885" s="15">
        <v>1261654</v>
      </c>
      <c r="O1885" s="15">
        <f t="shared" si="75"/>
        <v>1261654</v>
      </c>
      <c r="P1885" s="15"/>
      <c r="Q1885" s="14" t="s">
        <v>520</v>
      </c>
      <c r="R1885" s="21">
        <v>45808</v>
      </c>
      <c r="S1885" s="22" t="str">
        <f>TEXT(Table1[[#This Row],[End Date]],"MMMM")</f>
        <v>May</v>
      </c>
      <c r="T1885" s="23" t="str">
        <f>TEXT(Table1[[#This Row],[End Date]],"YYYY")</f>
        <v>2025</v>
      </c>
      <c r="U1885" s="24">
        <f t="shared" ca="1" si="74"/>
        <v>-675</v>
      </c>
      <c r="V1885" s="14" t="str" cm="1">
        <f t="array" aca="1" ref="V1885" ca="1">_xlfn.IFS(Table1[[#This Row],[Agreement Days]]&gt;=0,"Expired",Table1[[#This Row],[Agreement Days]]&gt;=-30,"Expires &lt; 30 Days",Table1[[#This Row],[Agreement Days]]&gt;=-60,"Expires &lt; 60 Days",Table1[[#This Row],[Agreement Days]]&lt;-60,"Valid Contract")</f>
        <v>Valid Contract</v>
      </c>
      <c r="W1885" s="14" t="s">
        <v>12</v>
      </c>
      <c r="X1885" s="14" t="s">
        <v>1754</v>
      </c>
      <c r="Y1885" s="16" t="s">
        <v>1755</v>
      </c>
      <c r="Z1885" s="17" t="s">
        <v>1756</v>
      </c>
      <c r="AA1885" s="17"/>
      <c r="AB1885" s="116"/>
      <c r="AC1885" s="116"/>
    </row>
    <row r="1886" spans="1:29" s="11" customFormat="1" hidden="1" x14ac:dyDescent="0.3">
      <c r="A1886" s="18" t="s">
        <v>3244</v>
      </c>
      <c r="B1886" s="18" t="s">
        <v>448</v>
      </c>
      <c r="C1886" s="18" t="s">
        <v>544</v>
      </c>
      <c r="D1886" s="14" t="s">
        <v>540</v>
      </c>
      <c r="E1886" s="18" t="s">
        <v>9</v>
      </c>
      <c r="F1886" s="14" t="s">
        <v>517</v>
      </c>
      <c r="G1886" s="14" t="s">
        <v>518</v>
      </c>
      <c r="H1886" s="18" t="s">
        <v>5</v>
      </c>
      <c r="I1886" s="14" t="s">
        <v>115</v>
      </c>
      <c r="J1886" s="18"/>
      <c r="K1886" s="18" t="s">
        <v>936</v>
      </c>
      <c r="L1886" s="18"/>
      <c r="M1886" s="14">
        <v>1</v>
      </c>
      <c r="N1886" s="15">
        <v>77711.86</v>
      </c>
      <c r="O1886" s="15">
        <f t="shared" si="75"/>
        <v>77711.86</v>
      </c>
      <c r="P1886" s="15"/>
      <c r="Q1886" s="14" t="s">
        <v>520</v>
      </c>
      <c r="R1886" s="25">
        <v>45808</v>
      </c>
      <c r="S1886" s="34" t="str">
        <f>TEXT(Table1[[#This Row],[End Date]],"MMMM")</f>
        <v>May</v>
      </c>
      <c r="T1886" s="34" t="str">
        <f>TEXT(Table1[[#This Row],[End Date]],"YYYY")</f>
        <v>2025</v>
      </c>
      <c r="U1886" s="24">
        <f t="shared" ca="1" si="74"/>
        <v>-675</v>
      </c>
      <c r="V1886" s="14" t="str" cm="1">
        <f t="array" aca="1" ref="V1886" ca="1">_xlfn.IFS(Table1[[#This Row],[Agreement Days]]&gt;=0,"Expired",Table1[[#This Row],[Agreement Days]]&gt;=-30,"Expires &lt; 30 Days",Table1[[#This Row],[Agreement Days]]&gt;=-60,"Expires &lt; 60 Days",Table1[[#This Row],[Agreement Days]]&lt;-60,"Valid Contract")</f>
        <v>Valid Contract</v>
      </c>
      <c r="W1886" s="18" t="s">
        <v>18</v>
      </c>
      <c r="X1886" s="18" t="s">
        <v>3245</v>
      </c>
      <c r="Y1886" s="18" t="s">
        <v>3246</v>
      </c>
      <c r="Z1886" s="27" t="s">
        <v>3247</v>
      </c>
      <c r="AA1886" s="27"/>
      <c r="AB1886" s="123"/>
      <c r="AC1886" s="123"/>
    </row>
    <row r="1887" spans="1:29" s="11" customFormat="1" hidden="1" x14ac:dyDescent="0.3">
      <c r="A1887" s="18" t="s">
        <v>3244</v>
      </c>
      <c r="B1887" s="18" t="s">
        <v>448</v>
      </c>
      <c r="C1887" s="18" t="s">
        <v>544</v>
      </c>
      <c r="D1887" s="14" t="s">
        <v>516</v>
      </c>
      <c r="E1887" s="18" t="s">
        <v>9</v>
      </c>
      <c r="F1887" s="14" t="s">
        <v>517</v>
      </c>
      <c r="G1887" s="14" t="s">
        <v>518</v>
      </c>
      <c r="H1887" s="18" t="s">
        <v>5</v>
      </c>
      <c r="I1887" s="14" t="s">
        <v>115</v>
      </c>
      <c r="J1887" s="18"/>
      <c r="K1887" s="18" t="s">
        <v>573</v>
      </c>
      <c r="L1887" s="18"/>
      <c r="M1887" s="14">
        <v>1</v>
      </c>
      <c r="N1887" s="15">
        <v>19491.53</v>
      </c>
      <c r="O1887" s="15">
        <f t="shared" si="75"/>
        <v>19491.53</v>
      </c>
      <c r="P1887" s="15"/>
      <c r="Q1887" s="14" t="s">
        <v>520</v>
      </c>
      <c r="R1887" s="25">
        <v>45808</v>
      </c>
      <c r="S1887" s="34" t="str">
        <f>TEXT(Table1[[#This Row],[End Date]],"MMMM")</f>
        <v>May</v>
      </c>
      <c r="T1887" s="34" t="str">
        <f>TEXT(Table1[[#This Row],[End Date]],"YYYY")</f>
        <v>2025</v>
      </c>
      <c r="U1887" s="24">
        <f t="shared" ca="1" si="74"/>
        <v>-675</v>
      </c>
      <c r="V1887" s="14" t="str" cm="1">
        <f t="array" aca="1" ref="V1887" ca="1">_xlfn.IFS(Table1[[#This Row],[Agreement Days]]&gt;=0,"Expired",Table1[[#This Row],[Agreement Days]]&gt;=-30,"Expires &lt; 30 Days",Table1[[#This Row],[Agreement Days]]&gt;=-60,"Expires &lt; 60 Days",Table1[[#This Row],[Agreement Days]]&lt;-60,"Valid Contract")</f>
        <v>Valid Contract</v>
      </c>
      <c r="W1887" s="18" t="s">
        <v>18</v>
      </c>
      <c r="X1887" s="18" t="s">
        <v>3245</v>
      </c>
      <c r="Y1887" s="18" t="s">
        <v>3246</v>
      </c>
      <c r="Z1887" s="27">
        <v>783542526</v>
      </c>
      <c r="AA1887" s="27"/>
      <c r="AB1887" s="123"/>
      <c r="AC1887" s="123"/>
    </row>
    <row r="1888" spans="1:29" s="11" customFormat="1" hidden="1" x14ac:dyDescent="0.3">
      <c r="A1888" s="18" t="s">
        <v>3248</v>
      </c>
      <c r="B1888" s="18" t="s">
        <v>341</v>
      </c>
      <c r="C1888" s="18" t="s">
        <v>341</v>
      </c>
      <c r="D1888" s="14" t="s">
        <v>545</v>
      </c>
      <c r="E1888" s="18" t="s">
        <v>10</v>
      </c>
      <c r="F1888" s="14" t="s">
        <v>888</v>
      </c>
      <c r="G1888" s="14" t="s">
        <v>518</v>
      </c>
      <c r="H1888" s="18" t="s">
        <v>2</v>
      </c>
      <c r="I1888" s="14" t="s">
        <v>134</v>
      </c>
      <c r="J1888" s="14">
        <v>15</v>
      </c>
      <c r="K1888" s="20" t="s">
        <v>1548</v>
      </c>
      <c r="L1888" s="14"/>
      <c r="M1888" s="14">
        <v>1</v>
      </c>
      <c r="N1888" s="15">
        <v>600000</v>
      </c>
      <c r="O1888" s="15">
        <f t="shared" si="75"/>
        <v>600000</v>
      </c>
      <c r="P1888" s="15"/>
      <c r="Q1888" s="14" t="s">
        <v>520</v>
      </c>
      <c r="R1888" s="25">
        <v>45808</v>
      </c>
      <c r="S1888" s="22" t="str">
        <f>TEXT(Table1[[#This Row],[End Date]],"MMMM")</f>
        <v>May</v>
      </c>
      <c r="T1888" s="23" t="str">
        <f>TEXT(Table1[[#This Row],[End Date]],"YYYY")</f>
        <v>2025</v>
      </c>
      <c r="U1888" s="24">
        <f t="shared" ca="1" si="74"/>
        <v>-675</v>
      </c>
      <c r="V1888" s="14" t="str" cm="1">
        <f t="array" aca="1" ref="V1888" ca="1">_xlfn.IFS(Table1[[#This Row],[Agreement Days]]&gt;=0,"Expired",Table1[[#This Row],[Agreement Days]]&gt;=-30,"Expires &lt; 30 Days",Table1[[#This Row],[Agreement Days]]&gt;=-60,"Expires &lt; 60 Days",Table1[[#This Row],[Agreement Days]]&lt;-60,"Valid Contract")</f>
        <v>Valid Contract</v>
      </c>
      <c r="W1888" s="14" t="s">
        <v>20</v>
      </c>
      <c r="X1888" s="26" t="s">
        <v>3249</v>
      </c>
      <c r="Y1888" s="45" t="s">
        <v>3250</v>
      </c>
      <c r="Z1888" s="27" t="s">
        <v>3251</v>
      </c>
      <c r="AA1888" s="19"/>
      <c r="AB1888" s="123"/>
      <c r="AC1888" s="123"/>
    </row>
    <row r="1889" spans="1:29" s="11" customFormat="1" hidden="1" x14ac:dyDescent="0.3">
      <c r="A1889" s="18" t="s">
        <v>3252</v>
      </c>
      <c r="B1889" s="18" t="s">
        <v>285</v>
      </c>
      <c r="C1889" s="18" t="s">
        <v>285</v>
      </c>
      <c r="D1889" s="14" t="s">
        <v>545</v>
      </c>
      <c r="E1889" s="18" t="s">
        <v>9</v>
      </c>
      <c r="F1889" s="70" t="s">
        <v>693</v>
      </c>
      <c r="G1889" s="70" t="s">
        <v>518</v>
      </c>
      <c r="H1889" s="18" t="s">
        <v>5</v>
      </c>
      <c r="I1889" s="14" t="s">
        <v>117</v>
      </c>
      <c r="J1889" s="14">
        <v>15</v>
      </c>
      <c r="K1889" s="14" t="s">
        <v>2392</v>
      </c>
      <c r="L1889" s="14"/>
      <c r="M1889" s="14">
        <v>1</v>
      </c>
      <c r="N1889" s="15">
        <v>720000</v>
      </c>
      <c r="O1889" s="15">
        <f t="shared" si="75"/>
        <v>720000</v>
      </c>
      <c r="P1889" s="15"/>
      <c r="Q1889" s="14" t="s">
        <v>520</v>
      </c>
      <c r="R1889" s="21">
        <v>45813</v>
      </c>
      <c r="S1889" s="22" t="str">
        <f>TEXT(Table1[[#This Row],[End Date]],"MMMM")</f>
        <v>June</v>
      </c>
      <c r="T1889" s="22" t="str">
        <f>TEXT(Table1[[#This Row],[End Date]],"YYYY")</f>
        <v>2025</v>
      </c>
      <c r="U1889" s="28">
        <f t="shared" ca="1" si="74"/>
        <v>-680</v>
      </c>
      <c r="V1889" s="14" t="str" cm="1">
        <f t="array" aca="1" ref="V1889" ca="1">_xlfn.IFS(Table1[[#This Row],[Agreement Days]]&gt;=0,"Expired",Table1[[#This Row],[Agreement Days]]&gt;=-30,"Expires &lt; 30 Days",Table1[[#This Row],[Agreement Days]]&gt;=-60,"Expires &lt; 60 Days",Table1[[#This Row],[Agreement Days]]&lt;-60,"Valid Contract")</f>
        <v>Valid Contract</v>
      </c>
      <c r="W1889" s="14" t="s">
        <v>20</v>
      </c>
      <c r="X1889" s="20" t="s">
        <v>3253</v>
      </c>
      <c r="Y1889" s="71" t="s">
        <v>3254</v>
      </c>
      <c r="Z1889" s="62" t="s">
        <v>3255</v>
      </c>
      <c r="AA1889" s="14"/>
      <c r="AB1889" s="123"/>
      <c r="AC1889" s="123"/>
    </row>
    <row r="1890" spans="1:29" s="11" customFormat="1" hidden="1" x14ac:dyDescent="0.3">
      <c r="A1890" s="18" t="s">
        <v>3252</v>
      </c>
      <c r="B1890" s="18" t="s">
        <v>285</v>
      </c>
      <c r="C1890" s="18" t="s">
        <v>285</v>
      </c>
      <c r="D1890" s="14" t="s">
        <v>545</v>
      </c>
      <c r="E1890" s="18" t="s">
        <v>9</v>
      </c>
      <c r="F1890" s="70" t="s">
        <v>693</v>
      </c>
      <c r="G1890" s="70" t="s">
        <v>518</v>
      </c>
      <c r="H1890" s="18" t="s">
        <v>4</v>
      </c>
      <c r="I1890" s="14" t="s">
        <v>118</v>
      </c>
      <c r="J1890" s="14"/>
      <c r="K1890" s="14" t="s">
        <v>650</v>
      </c>
      <c r="L1890" s="14"/>
      <c r="M1890" s="14">
        <v>1</v>
      </c>
      <c r="N1890" s="15">
        <v>369325</v>
      </c>
      <c r="O1890" s="15">
        <f t="shared" si="75"/>
        <v>369325</v>
      </c>
      <c r="P1890" s="15"/>
      <c r="Q1890" s="14" t="s">
        <v>520</v>
      </c>
      <c r="R1890" s="21">
        <v>45813</v>
      </c>
      <c r="S1890" s="22" t="str">
        <f>TEXT(Table1[[#This Row],[End Date]],"MMMM")</f>
        <v>June</v>
      </c>
      <c r="T1890" s="22" t="str">
        <f>TEXT(Table1[[#This Row],[End Date]],"YYYY")</f>
        <v>2025</v>
      </c>
      <c r="U1890" s="28">
        <f t="shared" ca="1" si="74"/>
        <v>-680</v>
      </c>
      <c r="V1890" s="14" t="str" cm="1">
        <f t="array" aca="1" ref="V1890" ca="1">_xlfn.IFS(Table1[[#This Row],[Agreement Days]]&gt;=0,"Expired",Table1[[#This Row],[Agreement Days]]&gt;=-30,"Expires &lt; 30 Days",Table1[[#This Row],[Agreement Days]]&gt;=-60,"Expires &lt; 60 Days",Table1[[#This Row],[Agreement Days]]&lt;-60,"Valid Contract")</f>
        <v>Valid Contract</v>
      </c>
      <c r="W1890" s="14" t="s">
        <v>20</v>
      </c>
      <c r="X1890" s="14" t="s">
        <v>3253</v>
      </c>
      <c r="Y1890" s="45" t="s">
        <v>3254</v>
      </c>
      <c r="Z1890" s="62" t="s">
        <v>3255</v>
      </c>
      <c r="AA1890" s="14"/>
      <c r="AB1890" s="123"/>
      <c r="AC1890" s="123"/>
    </row>
    <row r="1891" spans="1:29" s="11" customFormat="1" hidden="1" x14ac:dyDescent="0.3">
      <c r="A1891" s="18" t="s">
        <v>3252</v>
      </c>
      <c r="B1891" s="18" t="s">
        <v>285</v>
      </c>
      <c r="C1891" s="18" t="s">
        <v>285</v>
      </c>
      <c r="D1891" s="14" t="s">
        <v>545</v>
      </c>
      <c r="E1891" s="18" t="s">
        <v>9</v>
      </c>
      <c r="F1891" s="70" t="s">
        <v>693</v>
      </c>
      <c r="G1891" s="70" t="s">
        <v>518</v>
      </c>
      <c r="H1891" s="18" t="s">
        <v>2</v>
      </c>
      <c r="I1891" s="14" t="s">
        <v>3256</v>
      </c>
      <c r="J1891" s="14"/>
      <c r="K1891" s="14" t="s">
        <v>3257</v>
      </c>
      <c r="L1891" s="14"/>
      <c r="M1891" s="14">
        <v>1</v>
      </c>
      <c r="N1891" s="15">
        <v>60000</v>
      </c>
      <c r="O1891" s="15">
        <f t="shared" si="75"/>
        <v>60000</v>
      </c>
      <c r="P1891" s="15"/>
      <c r="Q1891" s="14" t="s">
        <v>520</v>
      </c>
      <c r="R1891" s="21">
        <v>45813</v>
      </c>
      <c r="S1891" s="22" t="str">
        <f>TEXT(Table1[[#This Row],[End Date]],"MMMM")</f>
        <v>June</v>
      </c>
      <c r="T1891" s="22" t="str">
        <f>TEXT(Table1[[#This Row],[End Date]],"YYYY")</f>
        <v>2025</v>
      </c>
      <c r="U1891" s="28">
        <f t="shared" ca="1" si="74"/>
        <v>-680</v>
      </c>
      <c r="V1891" s="14" t="str" cm="1">
        <f t="array" aca="1" ref="V1891" ca="1">_xlfn.IFS(Table1[[#This Row],[Agreement Days]]&gt;=0,"Expired",Table1[[#This Row],[Agreement Days]]&gt;=-30,"Expires &lt; 30 Days",Table1[[#This Row],[Agreement Days]]&gt;=-60,"Expires &lt; 60 Days",Table1[[#This Row],[Agreement Days]]&lt;-60,"Valid Contract")</f>
        <v>Valid Contract</v>
      </c>
      <c r="W1891" s="14" t="s">
        <v>20</v>
      </c>
      <c r="X1891" s="14" t="s">
        <v>3253</v>
      </c>
      <c r="Y1891" s="45" t="s">
        <v>3254</v>
      </c>
      <c r="Z1891" s="62" t="s">
        <v>3255</v>
      </c>
      <c r="AA1891" s="14"/>
      <c r="AB1891" s="123"/>
      <c r="AC1891" s="123"/>
    </row>
    <row r="1892" spans="1:29" s="11" customFormat="1" hidden="1" x14ac:dyDescent="0.3">
      <c r="A1892" s="18" t="s">
        <v>637</v>
      </c>
      <c r="B1892" s="18" t="s">
        <v>208</v>
      </c>
      <c r="C1892" s="18" t="s">
        <v>544</v>
      </c>
      <c r="D1892" s="14" t="s">
        <v>545</v>
      </c>
      <c r="E1892" s="18" t="s">
        <v>9</v>
      </c>
      <c r="F1892" s="14" t="s">
        <v>517</v>
      </c>
      <c r="G1892" s="14" t="s">
        <v>518</v>
      </c>
      <c r="H1892" s="18" t="s">
        <v>5</v>
      </c>
      <c r="I1892" s="14" t="s">
        <v>117</v>
      </c>
      <c r="J1892" s="14">
        <v>3</v>
      </c>
      <c r="K1892" s="18" t="s">
        <v>646</v>
      </c>
      <c r="L1892" s="18"/>
      <c r="M1892" s="14">
        <v>1</v>
      </c>
      <c r="N1892" s="15">
        <v>180000</v>
      </c>
      <c r="O1892" s="15">
        <f t="shared" si="75"/>
        <v>180000</v>
      </c>
      <c r="P1892" s="15"/>
      <c r="Q1892" s="14" t="s">
        <v>520</v>
      </c>
      <c r="R1892" s="25">
        <v>45838</v>
      </c>
      <c r="S1892" s="34" t="str">
        <f>TEXT(Table1[[#This Row],[End Date]],"MMMM")</f>
        <v>June</v>
      </c>
      <c r="T1892" s="34" t="str">
        <f>TEXT(Table1[[#This Row],[End Date]],"YYYY")</f>
        <v>2025</v>
      </c>
      <c r="U1892" s="24">
        <f t="shared" ca="1" si="74"/>
        <v>-705</v>
      </c>
      <c r="V1892" s="14" t="str" cm="1">
        <f t="array" aca="1" ref="V1892" ca="1">_xlfn.IFS(Table1[[#This Row],[Agreement Days]]&gt;=0,"Expired",Table1[[#This Row],[Agreement Days]]&gt;=-30,"Expires &lt; 30 Days",Table1[[#This Row],[Agreement Days]]&gt;=-60,"Expires &lt; 60 Days",Table1[[#This Row],[Agreement Days]]&lt;-60,"Valid Contract")</f>
        <v>Valid Contract</v>
      </c>
      <c r="W1892" s="18" t="s">
        <v>18</v>
      </c>
      <c r="X1892" s="18" t="s">
        <v>639</v>
      </c>
      <c r="Y1892" s="35" t="s">
        <v>640</v>
      </c>
      <c r="Z1892" s="27" t="s">
        <v>641</v>
      </c>
      <c r="AA1892" s="27"/>
      <c r="AB1892" s="123"/>
      <c r="AC1892" s="123"/>
    </row>
    <row r="1893" spans="1:29" s="11" customFormat="1" hidden="1" x14ac:dyDescent="0.3">
      <c r="A1893" s="18" t="s">
        <v>637</v>
      </c>
      <c r="B1893" s="18" t="s">
        <v>208</v>
      </c>
      <c r="C1893" s="18" t="s">
        <v>544</v>
      </c>
      <c r="D1893" s="14" t="s">
        <v>545</v>
      </c>
      <c r="E1893" s="18" t="s">
        <v>9</v>
      </c>
      <c r="F1893" s="14" t="s">
        <v>517</v>
      </c>
      <c r="G1893" s="14" t="s">
        <v>518</v>
      </c>
      <c r="H1893" s="18" t="s">
        <v>5</v>
      </c>
      <c r="I1893" s="14" t="s">
        <v>117</v>
      </c>
      <c r="J1893" s="14">
        <v>15</v>
      </c>
      <c r="K1893" s="18" t="s">
        <v>899</v>
      </c>
      <c r="L1893" s="18"/>
      <c r="M1893" s="14">
        <v>1</v>
      </c>
      <c r="N1893" s="15">
        <v>720000</v>
      </c>
      <c r="O1893" s="15">
        <f t="shared" si="75"/>
        <v>720000</v>
      </c>
      <c r="P1893" s="15"/>
      <c r="Q1893" s="14" t="s">
        <v>520</v>
      </c>
      <c r="R1893" s="25">
        <v>45838</v>
      </c>
      <c r="S1893" s="34" t="str">
        <f>TEXT(Table1[[#This Row],[End Date]],"MMMM")</f>
        <v>June</v>
      </c>
      <c r="T1893" s="34" t="str">
        <f>TEXT(Table1[[#This Row],[End Date]],"YYYY")</f>
        <v>2025</v>
      </c>
      <c r="U1893" s="24">
        <f t="shared" ca="1" si="74"/>
        <v>-705</v>
      </c>
      <c r="V1893" s="14" t="str" cm="1">
        <f t="array" aca="1" ref="V1893" ca="1">_xlfn.IFS(Table1[[#This Row],[Agreement Days]]&gt;=0,"Expired",Table1[[#This Row],[Agreement Days]]&gt;=-30,"Expires &lt; 30 Days",Table1[[#This Row],[Agreement Days]]&gt;=-60,"Expires &lt; 60 Days",Table1[[#This Row],[Agreement Days]]&lt;-60,"Valid Contract")</f>
        <v>Valid Contract</v>
      </c>
      <c r="W1893" s="18" t="s">
        <v>18</v>
      </c>
      <c r="X1893" s="18" t="s">
        <v>639</v>
      </c>
      <c r="Y1893" s="35" t="s">
        <v>640</v>
      </c>
      <c r="Z1893" s="27" t="s">
        <v>641</v>
      </c>
      <c r="AA1893" s="36"/>
      <c r="AB1893" s="123"/>
      <c r="AC1893" s="123"/>
    </row>
    <row r="1894" spans="1:29" s="11" customFormat="1" hidden="1" x14ac:dyDescent="0.3">
      <c r="A1894" s="18" t="s">
        <v>637</v>
      </c>
      <c r="B1894" s="18" t="s">
        <v>208</v>
      </c>
      <c r="C1894" s="18" t="s">
        <v>544</v>
      </c>
      <c r="D1894" s="14" t="s">
        <v>545</v>
      </c>
      <c r="E1894" s="18" t="s">
        <v>9</v>
      </c>
      <c r="F1894" s="14" t="s">
        <v>517</v>
      </c>
      <c r="G1894" s="14" t="s">
        <v>518</v>
      </c>
      <c r="H1894" s="18" t="s">
        <v>2</v>
      </c>
      <c r="I1894" s="14" t="s">
        <v>120</v>
      </c>
      <c r="J1894" s="18"/>
      <c r="K1894" s="18" t="s">
        <v>649</v>
      </c>
      <c r="L1894" s="18"/>
      <c r="M1894" s="14">
        <v>1</v>
      </c>
      <c r="N1894" s="15">
        <v>258044.92</v>
      </c>
      <c r="O1894" s="15">
        <f t="shared" si="75"/>
        <v>258044.92</v>
      </c>
      <c r="P1894" s="15"/>
      <c r="Q1894" s="14" t="s">
        <v>520</v>
      </c>
      <c r="R1894" s="25">
        <v>45838</v>
      </c>
      <c r="S1894" s="34" t="str">
        <f>TEXT(Table1[[#This Row],[End Date]],"MMMM")</f>
        <v>June</v>
      </c>
      <c r="T1894" s="34" t="str">
        <f>TEXT(Table1[[#This Row],[End Date]],"YYYY")</f>
        <v>2025</v>
      </c>
      <c r="U1894" s="24">
        <f t="shared" ca="1" si="74"/>
        <v>-705</v>
      </c>
      <c r="V1894" s="14" t="str" cm="1">
        <f t="array" aca="1" ref="V1894" ca="1">_xlfn.IFS(Table1[[#This Row],[Agreement Days]]&gt;=0,"Expired",Table1[[#This Row],[Agreement Days]]&gt;=-30,"Expires &lt; 30 Days",Table1[[#This Row],[Agreement Days]]&gt;=-60,"Expires &lt; 60 Days",Table1[[#This Row],[Agreement Days]]&lt;-60,"Valid Contract")</f>
        <v>Valid Contract</v>
      </c>
      <c r="W1894" s="18" t="s">
        <v>18</v>
      </c>
      <c r="X1894" s="18" t="s">
        <v>639</v>
      </c>
      <c r="Y1894" s="35" t="s">
        <v>640</v>
      </c>
      <c r="Z1894" s="27" t="s">
        <v>641</v>
      </c>
      <c r="AA1894" s="27"/>
      <c r="AB1894" s="123"/>
      <c r="AC1894" s="123"/>
    </row>
    <row r="1895" spans="1:29" s="11" customFormat="1" hidden="1" x14ac:dyDescent="0.3">
      <c r="A1895" s="18" t="s">
        <v>637</v>
      </c>
      <c r="B1895" s="18" t="s">
        <v>208</v>
      </c>
      <c r="C1895" s="18" t="s">
        <v>544</v>
      </c>
      <c r="D1895" s="14" t="s">
        <v>545</v>
      </c>
      <c r="E1895" s="18" t="s">
        <v>9</v>
      </c>
      <c r="F1895" s="14" t="s">
        <v>517</v>
      </c>
      <c r="G1895" s="14" t="s">
        <v>518</v>
      </c>
      <c r="H1895" s="18" t="s">
        <v>4</v>
      </c>
      <c r="I1895" s="14" t="s">
        <v>118</v>
      </c>
      <c r="J1895" s="18"/>
      <c r="K1895" s="18" t="s">
        <v>650</v>
      </c>
      <c r="L1895" s="18"/>
      <c r="M1895" s="14">
        <v>1</v>
      </c>
      <c r="N1895" s="15">
        <v>369325.42</v>
      </c>
      <c r="O1895" s="15">
        <f t="shared" si="75"/>
        <v>369325.42</v>
      </c>
      <c r="P1895" s="15"/>
      <c r="Q1895" s="14" t="s">
        <v>520</v>
      </c>
      <c r="R1895" s="25">
        <v>45838</v>
      </c>
      <c r="S1895" s="34" t="str">
        <f>TEXT(Table1[[#This Row],[End Date]],"MMMM")</f>
        <v>June</v>
      </c>
      <c r="T1895" s="34" t="str">
        <f>TEXT(Table1[[#This Row],[End Date]],"YYYY")</f>
        <v>2025</v>
      </c>
      <c r="U1895" s="24">
        <f t="shared" ca="1" si="74"/>
        <v>-705</v>
      </c>
      <c r="V1895" s="14" t="str" cm="1">
        <f t="array" aca="1" ref="V1895" ca="1">_xlfn.IFS(Table1[[#This Row],[Agreement Days]]&gt;=0,"Expired",Table1[[#This Row],[Agreement Days]]&gt;=-30,"Expires &lt; 30 Days",Table1[[#This Row],[Agreement Days]]&gt;=-60,"Expires &lt; 60 Days",Table1[[#This Row],[Agreement Days]]&lt;-60,"Valid Contract")</f>
        <v>Valid Contract</v>
      </c>
      <c r="W1895" s="18" t="s">
        <v>18</v>
      </c>
      <c r="X1895" s="18" t="s">
        <v>639</v>
      </c>
      <c r="Y1895" s="35" t="s">
        <v>640</v>
      </c>
      <c r="Z1895" s="27" t="s">
        <v>641</v>
      </c>
      <c r="AA1895" s="27"/>
      <c r="AB1895" s="123"/>
      <c r="AC1895" s="123"/>
    </row>
    <row r="1896" spans="1:29" s="11" customFormat="1" hidden="1" x14ac:dyDescent="0.3">
      <c r="A1896" s="18" t="s">
        <v>637</v>
      </c>
      <c r="B1896" s="18" t="s">
        <v>208</v>
      </c>
      <c r="C1896" s="18" t="s">
        <v>544</v>
      </c>
      <c r="D1896" s="14" t="s">
        <v>545</v>
      </c>
      <c r="E1896" s="18" t="s">
        <v>9</v>
      </c>
      <c r="F1896" s="14" t="s">
        <v>517</v>
      </c>
      <c r="G1896" s="14" t="s">
        <v>518</v>
      </c>
      <c r="H1896" s="18" t="s">
        <v>5</v>
      </c>
      <c r="I1896" s="14" t="s">
        <v>115</v>
      </c>
      <c r="J1896" s="18"/>
      <c r="K1896" s="18" t="s">
        <v>638</v>
      </c>
      <c r="L1896" s="18"/>
      <c r="M1896" s="14">
        <v>1</v>
      </c>
      <c r="N1896" s="15">
        <v>110593.22</v>
      </c>
      <c r="O1896" s="15">
        <f t="shared" si="75"/>
        <v>110593.22</v>
      </c>
      <c r="P1896" s="15"/>
      <c r="Q1896" s="14" t="s">
        <v>520</v>
      </c>
      <c r="R1896" s="25">
        <v>45838</v>
      </c>
      <c r="S1896" s="34" t="str">
        <f>TEXT(Table1[[#This Row],[End Date]],"MMMM")</f>
        <v>June</v>
      </c>
      <c r="T1896" s="34" t="str">
        <f>TEXT(Table1[[#This Row],[End Date]],"YYYY")</f>
        <v>2025</v>
      </c>
      <c r="U1896" s="24">
        <f t="shared" ca="1" si="74"/>
        <v>-705</v>
      </c>
      <c r="V1896" s="14" t="str" cm="1">
        <f t="array" aca="1" ref="V1896" ca="1">_xlfn.IFS(Table1[[#This Row],[Agreement Days]]&gt;=0,"Expired",Table1[[#This Row],[Agreement Days]]&gt;=-30,"Expires &lt; 30 Days",Table1[[#This Row],[Agreement Days]]&gt;=-60,"Expires &lt; 60 Days",Table1[[#This Row],[Agreement Days]]&lt;-60,"Valid Contract")</f>
        <v>Valid Contract</v>
      </c>
      <c r="W1896" s="18" t="s">
        <v>18</v>
      </c>
      <c r="X1896" s="18" t="s">
        <v>639</v>
      </c>
      <c r="Y1896" s="35" t="s">
        <v>640</v>
      </c>
      <c r="Z1896" s="27" t="s">
        <v>641</v>
      </c>
      <c r="AA1896" s="27"/>
      <c r="AB1896" s="123"/>
      <c r="AC1896" s="123"/>
    </row>
    <row r="1897" spans="1:29" s="11" customFormat="1" hidden="1" x14ac:dyDescent="0.3">
      <c r="A1897" s="18" t="s">
        <v>637</v>
      </c>
      <c r="B1897" s="18" t="s">
        <v>208</v>
      </c>
      <c r="C1897" s="18" t="s">
        <v>544</v>
      </c>
      <c r="D1897" s="14" t="s">
        <v>545</v>
      </c>
      <c r="E1897" s="18" t="s">
        <v>9</v>
      </c>
      <c r="F1897" s="14" t="s">
        <v>517</v>
      </c>
      <c r="G1897" s="14" t="s">
        <v>518</v>
      </c>
      <c r="H1897" s="18" t="s">
        <v>5</v>
      </c>
      <c r="I1897" s="14" t="s">
        <v>115</v>
      </c>
      <c r="J1897" s="18"/>
      <c r="K1897" s="18" t="s">
        <v>642</v>
      </c>
      <c r="L1897" s="18"/>
      <c r="M1897" s="14">
        <v>2</v>
      </c>
      <c r="N1897" s="15">
        <v>101694.92</v>
      </c>
      <c r="O1897" s="15">
        <f t="shared" si="75"/>
        <v>203389.84</v>
      </c>
      <c r="P1897" s="15"/>
      <c r="Q1897" s="14" t="s">
        <v>520</v>
      </c>
      <c r="R1897" s="25">
        <v>45838</v>
      </c>
      <c r="S1897" s="34" t="str">
        <f>TEXT(Table1[[#This Row],[End Date]],"MMMM")</f>
        <v>June</v>
      </c>
      <c r="T1897" s="34" t="str">
        <f>TEXT(Table1[[#This Row],[End Date]],"YYYY")</f>
        <v>2025</v>
      </c>
      <c r="U1897" s="24">
        <f t="shared" ca="1" si="74"/>
        <v>-705</v>
      </c>
      <c r="V1897" s="14" t="str" cm="1">
        <f t="array" aca="1" ref="V1897" ca="1">_xlfn.IFS(Table1[[#This Row],[Agreement Days]]&gt;=0,"Expired",Table1[[#This Row],[Agreement Days]]&gt;=-30,"Expires &lt; 30 Days",Table1[[#This Row],[Agreement Days]]&gt;=-60,"Expires &lt; 60 Days",Table1[[#This Row],[Agreement Days]]&lt;-60,"Valid Contract")</f>
        <v>Valid Contract</v>
      </c>
      <c r="W1897" s="18" t="s">
        <v>18</v>
      </c>
      <c r="X1897" s="18" t="s">
        <v>639</v>
      </c>
      <c r="Y1897" s="35" t="s">
        <v>640</v>
      </c>
      <c r="Z1897" s="27" t="s">
        <v>641</v>
      </c>
      <c r="AA1897" s="27"/>
      <c r="AB1897" s="123"/>
      <c r="AC1897" s="123"/>
    </row>
    <row r="1898" spans="1:29" s="11" customFormat="1" hidden="1" x14ac:dyDescent="0.3">
      <c r="A1898" s="18" t="s">
        <v>637</v>
      </c>
      <c r="B1898" s="18" t="s">
        <v>208</v>
      </c>
      <c r="C1898" s="18" t="s">
        <v>544</v>
      </c>
      <c r="D1898" s="14" t="s">
        <v>545</v>
      </c>
      <c r="E1898" s="18" t="s">
        <v>9</v>
      </c>
      <c r="F1898" s="14" t="s">
        <v>517</v>
      </c>
      <c r="G1898" s="14" t="s">
        <v>518</v>
      </c>
      <c r="H1898" s="18" t="s">
        <v>5</v>
      </c>
      <c r="I1898" s="14" t="s">
        <v>115</v>
      </c>
      <c r="J1898" s="18"/>
      <c r="K1898" s="18" t="s">
        <v>573</v>
      </c>
      <c r="L1898" s="18"/>
      <c r="M1898" s="14">
        <v>5</v>
      </c>
      <c r="N1898" s="15">
        <v>19491.53</v>
      </c>
      <c r="O1898" s="15">
        <f t="shared" si="75"/>
        <v>97457.65</v>
      </c>
      <c r="P1898" s="15"/>
      <c r="Q1898" s="14" t="s">
        <v>520</v>
      </c>
      <c r="R1898" s="25">
        <v>45838</v>
      </c>
      <c r="S1898" s="34" t="str">
        <f>TEXT(Table1[[#This Row],[End Date]],"MMMM")</f>
        <v>June</v>
      </c>
      <c r="T1898" s="34" t="str">
        <f>TEXT(Table1[[#This Row],[End Date]],"YYYY")</f>
        <v>2025</v>
      </c>
      <c r="U1898" s="24">
        <f t="shared" ca="1" si="74"/>
        <v>-705</v>
      </c>
      <c r="V1898" s="14" t="str" cm="1">
        <f t="array" aca="1" ref="V1898" ca="1">_xlfn.IFS(Table1[[#This Row],[Agreement Days]]&gt;=0,"Expired",Table1[[#This Row],[Agreement Days]]&gt;=-30,"Expires &lt; 30 Days",Table1[[#This Row],[Agreement Days]]&gt;=-60,"Expires &lt; 60 Days",Table1[[#This Row],[Agreement Days]]&lt;-60,"Valid Contract")</f>
        <v>Valid Contract</v>
      </c>
      <c r="W1898" s="18" t="s">
        <v>18</v>
      </c>
      <c r="X1898" s="18" t="s">
        <v>639</v>
      </c>
      <c r="Y1898" s="35" t="s">
        <v>640</v>
      </c>
      <c r="Z1898" s="27" t="s">
        <v>641</v>
      </c>
      <c r="AA1898" s="27"/>
      <c r="AB1898" s="123"/>
      <c r="AC1898" s="123"/>
    </row>
    <row r="1899" spans="1:29" s="11" customFormat="1" hidden="1" x14ac:dyDescent="0.3">
      <c r="A1899" s="18" t="s">
        <v>637</v>
      </c>
      <c r="B1899" s="18" t="s">
        <v>208</v>
      </c>
      <c r="C1899" s="18" t="s">
        <v>544</v>
      </c>
      <c r="D1899" s="14" t="s">
        <v>545</v>
      </c>
      <c r="E1899" s="18" t="s">
        <v>9</v>
      </c>
      <c r="F1899" s="14" t="s">
        <v>517</v>
      </c>
      <c r="G1899" s="14" t="s">
        <v>518</v>
      </c>
      <c r="H1899" s="18" t="s">
        <v>5</v>
      </c>
      <c r="I1899" s="14" t="s">
        <v>115</v>
      </c>
      <c r="J1899" s="18"/>
      <c r="K1899" s="18" t="s">
        <v>643</v>
      </c>
      <c r="L1899" s="18"/>
      <c r="M1899" s="14">
        <v>10</v>
      </c>
      <c r="N1899" s="15">
        <v>28305.08</v>
      </c>
      <c r="O1899" s="15">
        <f t="shared" si="75"/>
        <v>283050.80000000005</v>
      </c>
      <c r="P1899" s="15"/>
      <c r="Q1899" s="14" t="s">
        <v>520</v>
      </c>
      <c r="R1899" s="25">
        <v>45838</v>
      </c>
      <c r="S1899" s="34" t="str">
        <f>TEXT(Table1[[#This Row],[End Date]],"MMMM")</f>
        <v>June</v>
      </c>
      <c r="T1899" s="34" t="str">
        <f>TEXT(Table1[[#This Row],[End Date]],"YYYY")</f>
        <v>2025</v>
      </c>
      <c r="U1899" s="24">
        <f t="shared" ca="1" si="74"/>
        <v>-705</v>
      </c>
      <c r="V1899" s="14" t="str" cm="1">
        <f t="array" aca="1" ref="V1899" ca="1">_xlfn.IFS(Table1[[#This Row],[Agreement Days]]&gt;=0,"Expired",Table1[[#This Row],[Agreement Days]]&gt;=-30,"Expires &lt; 30 Days",Table1[[#This Row],[Agreement Days]]&gt;=-60,"Expires &lt; 60 Days",Table1[[#This Row],[Agreement Days]]&lt;-60,"Valid Contract")</f>
        <v>Valid Contract</v>
      </c>
      <c r="W1899" s="18" t="s">
        <v>18</v>
      </c>
      <c r="X1899" s="18" t="s">
        <v>639</v>
      </c>
      <c r="Y1899" s="35" t="s">
        <v>640</v>
      </c>
      <c r="Z1899" s="27" t="s">
        <v>641</v>
      </c>
      <c r="AA1899" s="27"/>
      <c r="AB1899" s="123"/>
      <c r="AC1899" s="123"/>
    </row>
    <row r="1900" spans="1:29" s="11" customFormat="1" hidden="1" x14ac:dyDescent="0.3">
      <c r="A1900" s="18" t="s">
        <v>3252</v>
      </c>
      <c r="B1900" s="18" t="s">
        <v>285</v>
      </c>
      <c r="C1900" s="185" t="s">
        <v>285</v>
      </c>
      <c r="D1900" s="142" t="s">
        <v>545</v>
      </c>
      <c r="E1900" s="185" t="s">
        <v>9</v>
      </c>
      <c r="F1900" s="143" t="s">
        <v>693</v>
      </c>
      <c r="G1900" s="143" t="s">
        <v>518</v>
      </c>
      <c r="H1900" s="185" t="s">
        <v>5</v>
      </c>
      <c r="I1900" s="186" t="s">
        <v>117</v>
      </c>
      <c r="J1900" s="142">
        <v>1</v>
      </c>
      <c r="K1900" s="185" t="s">
        <v>1696</v>
      </c>
      <c r="L1900" s="185"/>
      <c r="M1900" s="142">
        <v>1</v>
      </c>
      <c r="N1900" s="142">
        <v>90000</v>
      </c>
      <c r="O1900" s="144">
        <f t="shared" si="75"/>
        <v>90000</v>
      </c>
      <c r="P1900" s="144"/>
      <c r="Q1900" s="14" t="s">
        <v>520</v>
      </c>
      <c r="R1900" s="145">
        <v>45813</v>
      </c>
      <c r="S1900" s="187" t="str">
        <f>TEXT(Table1[[#This Row],[End Date]],"MMMM")</f>
        <v>June</v>
      </c>
      <c r="T1900" s="146" t="str">
        <f>TEXT(Table1[[#This Row],[End Date]],"YYYY")</f>
        <v>2025</v>
      </c>
      <c r="U1900" s="147">
        <f t="shared" ca="1" si="74"/>
        <v>-680</v>
      </c>
      <c r="V1900" s="142" t="str" cm="1">
        <f t="array" aca="1" ref="V1900" ca="1">_xlfn.IFS(Table1[[#This Row],[Agreement Days]]&gt;=0,"Expired",Table1[[#This Row],[Agreement Days]]&gt;=-30,"Expires &lt; 30 Days",Table1[[#This Row],[Agreement Days]]&gt;=-60,"Expires &lt; 60 Days",Table1[[#This Row],[Agreement Days]]&lt;-60,"Valid Contract")</f>
        <v>Valid Contract</v>
      </c>
      <c r="W1900" s="185" t="s">
        <v>20</v>
      </c>
      <c r="X1900" s="142" t="s">
        <v>3253</v>
      </c>
      <c r="Y1900" s="188" t="s">
        <v>3254</v>
      </c>
      <c r="Z1900" s="172" t="s">
        <v>3255</v>
      </c>
      <c r="AA1900" s="185" t="s">
        <v>3258</v>
      </c>
      <c r="AB1900" s="182"/>
      <c r="AC1900" s="182"/>
    </row>
    <row r="1901" spans="1:29" s="11" customFormat="1" hidden="1" x14ac:dyDescent="0.3">
      <c r="A1901" s="18" t="s">
        <v>3259</v>
      </c>
      <c r="B1901" s="18" t="s">
        <v>402</v>
      </c>
      <c r="C1901" s="18" t="s">
        <v>402</v>
      </c>
      <c r="D1901" s="14" t="s">
        <v>808</v>
      </c>
      <c r="E1901" s="18" t="s">
        <v>9</v>
      </c>
      <c r="F1901" s="14" t="s">
        <v>517</v>
      </c>
      <c r="G1901" s="14" t="s">
        <v>518</v>
      </c>
      <c r="H1901" s="18" t="s">
        <v>5</v>
      </c>
      <c r="I1901" s="14" t="s">
        <v>117</v>
      </c>
      <c r="J1901" s="14">
        <v>5</v>
      </c>
      <c r="K1901" s="14" t="s">
        <v>519</v>
      </c>
      <c r="L1901" s="14"/>
      <c r="M1901" s="14">
        <v>1</v>
      </c>
      <c r="N1901" s="15">
        <v>270000</v>
      </c>
      <c r="O1901" s="15">
        <f t="shared" si="75"/>
        <v>270000</v>
      </c>
      <c r="P1901" s="15"/>
      <c r="Q1901" s="14" t="s">
        <v>520</v>
      </c>
      <c r="R1901" s="25">
        <v>45838</v>
      </c>
      <c r="S1901" s="22" t="str">
        <f>TEXT(Table1[[#This Row],[End Date]],"MMMM")</f>
        <v>June</v>
      </c>
      <c r="T1901" s="23" t="str">
        <f>TEXT(Table1[[#This Row],[End Date]],"YYYY")</f>
        <v>2025</v>
      </c>
      <c r="U1901" s="24">
        <f t="shared" ca="1" si="74"/>
        <v>-705</v>
      </c>
      <c r="V1901" s="14" t="str" cm="1">
        <f t="array" aca="1" ref="V1901" ca="1">_xlfn.IFS(Table1[[#This Row],[Agreement Days]]&gt;=0,"Expired",Table1[[#This Row],[Agreement Days]]&gt;=-30,"Expires &lt; 30 Days",Table1[[#This Row],[Agreement Days]]&gt;=-60,"Expires &lt; 60 Days",Table1[[#This Row],[Agreement Days]]&lt;-60,"Valid Contract")</f>
        <v>Valid Contract</v>
      </c>
      <c r="W1901" s="14" t="s">
        <v>20</v>
      </c>
      <c r="X1901" s="20" t="s">
        <v>3260</v>
      </c>
      <c r="Y1901" s="16" t="s">
        <v>3261</v>
      </c>
      <c r="Z1901" s="27" t="s">
        <v>3262</v>
      </c>
      <c r="AA1901" s="19"/>
      <c r="AB1901" s="123"/>
      <c r="AC1901" s="123"/>
    </row>
    <row r="1902" spans="1:29" s="11" customFormat="1" hidden="1" x14ac:dyDescent="0.3">
      <c r="A1902" s="18" t="s">
        <v>3263</v>
      </c>
      <c r="B1902" s="18" t="s">
        <v>33</v>
      </c>
      <c r="C1902" s="18" t="s">
        <v>33</v>
      </c>
      <c r="D1902" s="14" t="s">
        <v>540</v>
      </c>
      <c r="E1902" s="18" t="s">
        <v>9</v>
      </c>
      <c r="F1902" s="14" t="s">
        <v>631</v>
      </c>
      <c r="G1902" s="14" t="s">
        <v>518</v>
      </c>
      <c r="H1902" s="18" t="s">
        <v>5</v>
      </c>
      <c r="I1902" s="14" t="s">
        <v>117</v>
      </c>
      <c r="J1902" s="14">
        <v>50</v>
      </c>
      <c r="K1902" s="14" t="s">
        <v>673</v>
      </c>
      <c r="L1902" s="14"/>
      <c r="M1902" s="14">
        <v>1</v>
      </c>
      <c r="N1902" s="15">
        <v>1800000</v>
      </c>
      <c r="O1902" s="15">
        <f t="shared" si="75"/>
        <v>1800000</v>
      </c>
      <c r="P1902" s="15"/>
      <c r="Q1902" s="14" t="s">
        <v>520</v>
      </c>
      <c r="R1902" s="25">
        <v>45838</v>
      </c>
      <c r="S1902" s="22" t="str">
        <f>TEXT(Table1[[#This Row],[End Date]],"MMMM")</f>
        <v>June</v>
      </c>
      <c r="T1902" s="23" t="str">
        <f>TEXT(Table1[[#This Row],[End Date]],"YYYY")</f>
        <v>2025</v>
      </c>
      <c r="U1902" s="24">
        <f t="shared" ca="1" si="74"/>
        <v>-705</v>
      </c>
      <c r="V1902" s="14" t="str" cm="1">
        <f t="array" aca="1" ref="V1902" ca="1">_xlfn.IFS(Table1[[#This Row],[Agreement Days]]&gt;=0,"Expired",Table1[[#This Row],[Agreement Days]]&gt;=-30,"Expires &lt; 30 Days",Table1[[#This Row],[Agreement Days]]&gt;=-60,"Expires &lt; 60 Days",Table1[[#This Row],[Agreement Days]]&lt;-60,"Valid Contract")</f>
        <v>Valid Contract</v>
      </c>
      <c r="W1902" s="14" t="s">
        <v>13</v>
      </c>
      <c r="X1902" s="14" t="s">
        <v>3264</v>
      </c>
      <c r="Y1902" s="16" t="s">
        <v>3265</v>
      </c>
      <c r="Z1902" s="27">
        <v>785673362</v>
      </c>
      <c r="AA1902" s="17"/>
      <c r="AB1902" s="123"/>
      <c r="AC1902" s="123"/>
    </row>
    <row r="1903" spans="1:29" s="11" customFormat="1" hidden="1" x14ac:dyDescent="0.3">
      <c r="A1903" s="18" t="s">
        <v>3263</v>
      </c>
      <c r="B1903" s="18" t="s">
        <v>33</v>
      </c>
      <c r="C1903" s="18" t="s">
        <v>3266</v>
      </c>
      <c r="D1903" s="14" t="s">
        <v>540</v>
      </c>
      <c r="E1903" s="18" t="s">
        <v>9</v>
      </c>
      <c r="F1903" s="14" t="s">
        <v>631</v>
      </c>
      <c r="G1903" s="14" t="s">
        <v>518</v>
      </c>
      <c r="H1903" s="18" t="s">
        <v>5</v>
      </c>
      <c r="I1903" s="14" t="s">
        <v>115</v>
      </c>
      <c r="J1903" s="14"/>
      <c r="K1903" s="18" t="s">
        <v>657</v>
      </c>
      <c r="L1903" s="14"/>
      <c r="M1903" s="14">
        <v>2</v>
      </c>
      <c r="N1903" s="15">
        <v>45338.98</v>
      </c>
      <c r="O1903" s="15">
        <f t="shared" si="75"/>
        <v>90677.96</v>
      </c>
      <c r="P1903" s="15"/>
      <c r="Q1903" s="14" t="s">
        <v>520</v>
      </c>
      <c r="R1903" s="25">
        <v>45838</v>
      </c>
      <c r="S1903" s="22" t="str">
        <f>TEXT(Table1[[#This Row],[End Date]],"MMMM")</f>
        <v>June</v>
      </c>
      <c r="T1903" s="23" t="str">
        <f>TEXT(Table1[[#This Row],[End Date]],"YYYY")</f>
        <v>2025</v>
      </c>
      <c r="U1903" s="24">
        <f t="shared" ca="1" si="74"/>
        <v>-705</v>
      </c>
      <c r="V1903" s="14" t="str" cm="1">
        <f t="array" aca="1" ref="V1903" ca="1">_xlfn.IFS(Table1[[#This Row],[Agreement Days]]&gt;=0,"Expired",Table1[[#This Row],[Agreement Days]]&gt;=-30,"Expires &lt; 30 Days",Table1[[#This Row],[Agreement Days]]&gt;=-60,"Expires &lt; 60 Days",Table1[[#This Row],[Agreement Days]]&lt;-60,"Valid Contract")</f>
        <v>Valid Contract</v>
      </c>
      <c r="W1903" s="14" t="s">
        <v>13</v>
      </c>
      <c r="X1903" s="14" t="s">
        <v>3264</v>
      </c>
      <c r="Y1903" s="16" t="s">
        <v>3265</v>
      </c>
      <c r="Z1903" s="27">
        <v>785673364</v>
      </c>
      <c r="AA1903" s="17"/>
      <c r="AB1903" s="123"/>
      <c r="AC1903" s="123"/>
    </row>
    <row r="1904" spans="1:29" s="11" customFormat="1" hidden="1" x14ac:dyDescent="0.3">
      <c r="A1904" s="18" t="s">
        <v>3263</v>
      </c>
      <c r="B1904" s="18" t="s">
        <v>33</v>
      </c>
      <c r="C1904" s="18" t="s">
        <v>3266</v>
      </c>
      <c r="D1904" s="14" t="s">
        <v>540</v>
      </c>
      <c r="E1904" s="18" t="s">
        <v>9</v>
      </c>
      <c r="F1904" s="14" t="s">
        <v>631</v>
      </c>
      <c r="G1904" s="14" t="s">
        <v>518</v>
      </c>
      <c r="H1904" s="18" t="s">
        <v>5</v>
      </c>
      <c r="I1904" s="14" t="s">
        <v>115</v>
      </c>
      <c r="J1904" s="14"/>
      <c r="K1904" s="18" t="s">
        <v>642</v>
      </c>
      <c r="L1904" s="14"/>
      <c r="M1904" s="14">
        <v>2</v>
      </c>
      <c r="N1904" s="15">
        <v>101694.92</v>
      </c>
      <c r="O1904" s="15">
        <f t="shared" si="75"/>
        <v>203389.84</v>
      </c>
      <c r="P1904" s="15"/>
      <c r="Q1904" s="14" t="s">
        <v>520</v>
      </c>
      <c r="R1904" s="25">
        <v>45838</v>
      </c>
      <c r="S1904" s="22" t="str">
        <f>TEXT(Table1[[#This Row],[End Date]],"MMMM")</f>
        <v>June</v>
      </c>
      <c r="T1904" s="23" t="str">
        <f>TEXT(Table1[[#This Row],[End Date]],"YYYY")</f>
        <v>2025</v>
      </c>
      <c r="U1904" s="24">
        <f t="shared" ca="1" si="74"/>
        <v>-705</v>
      </c>
      <c r="V1904" s="14" t="str" cm="1">
        <f t="array" aca="1" ref="V1904" ca="1">_xlfn.IFS(Table1[[#This Row],[Agreement Days]]&gt;=0,"Expired",Table1[[#This Row],[Agreement Days]]&gt;=-30,"Expires &lt; 30 Days",Table1[[#This Row],[Agreement Days]]&gt;=-60,"Expires &lt; 60 Days",Table1[[#This Row],[Agreement Days]]&lt;-60,"Valid Contract")</f>
        <v>Valid Contract</v>
      </c>
      <c r="W1904" s="14" t="s">
        <v>13</v>
      </c>
      <c r="X1904" s="14" t="s">
        <v>3264</v>
      </c>
      <c r="Y1904" s="16" t="s">
        <v>3265</v>
      </c>
      <c r="Z1904" s="27">
        <v>785673363</v>
      </c>
      <c r="AA1904" s="17"/>
      <c r="AB1904" s="123"/>
      <c r="AC1904" s="123"/>
    </row>
    <row r="1905" spans="1:29" s="11" customFormat="1" hidden="1" x14ac:dyDescent="0.3">
      <c r="A1905" s="18" t="s">
        <v>3267</v>
      </c>
      <c r="B1905" s="18" t="s">
        <v>437</v>
      </c>
      <c r="C1905" s="18" t="s">
        <v>544</v>
      </c>
      <c r="D1905" s="18" t="s">
        <v>540</v>
      </c>
      <c r="E1905" s="18" t="s">
        <v>10</v>
      </c>
      <c r="F1905" s="20" t="s">
        <v>888</v>
      </c>
      <c r="G1905" s="20" t="s">
        <v>518</v>
      </c>
      <c r="H1905" s="18" t="s">
        <v>2</v>
      </c>
      <c r="I1905" s="20" t="s">
        <v>438</v>
      </c>
      <c r="J1905" s="20"/>
      <c r="K1905" s="18" t="s">
        <v>3268</v>
      </c>
      <c r="L1905" s="18"/>
      <c r="M1905" s="20">
        <v>1</v>
      </c>
      <c r="N1905" s="15">
        <v>101695</v>
      </c>
      <c r="O1905" s="15">
        <f t="shared" si="75"/>
        <v>101695</v>
      </c>
      <c r="P1905" s="15"/>
      <c r="Q1905" s="14" t="s">
        <v>520</v>
      </c>
      <c r="R1905" s="25">
        <v>45838</v>
      </c>
      <c r="S1905" s="22" t="str">
        <f>TEXT(Table1[[#This Row],[End Date]],"MMMM")</f>
        <v>June</v>
      </c>
      <c r="T1905" s="22" t="str">
        <f>TEXT(Table1[[#This Row],[End Date]],"YYYY")</f>
        <v>2025</v>
      </c>
      <c r="U1905" s="24">
        <f t="shared" ca="1" si="74"/>
        <v>-705</v>
      </c>
      <c r="V1905" s="14" t="str" cm="1">
        <f t="array" aca="1" ref="V1905" ca="1">_xlfn.IFS(Table1[[#This Row],[Agreement Days]]&gt;=0,"Expired",Table1[[#This Row],[Agreement Days]]&gt;=-30,"Expires &lt; 30 Days",Table1[[#This Row],[Agreement Days]]&gt;=-60,"Expires &lt; 60 Days",Table1[[#This Row],[Agreement Days]]&lt;-60,"Valid Contract")</f>
        <v>Valid Contract</v>
      </c>
      <c r="W1905" s="18" t="s">
        <v>15</v>
      </c>
      <c r="X1905" s="18" t="s">
        <v>3269</v>
      </c>
      <c r="Y1905" s="42" t="s">
        <v>3270</v>
      </c>
      <c r="Z1905" s="27" t="s">
        <v>3271</v>
      </c>
      <c r="AA1905" s="20"/>
      <c r="AB1905" s="123"/>
      <c r="AC1905" s="123"/>
    </row>
    <row r="1906" spans="1:29" s="11" customFormat="1" hidden="1" x14ac:dyDescent="0.3">
      <c r="A1906" s="18" t="s">
        <v>3272</v>
      </c>
      <c r="B1906" s="18" t="s">
        <v>194</v>
      </c>
      <c r="C1906" s="18" t="s">
        <v>515</v>
      </c>
      <c r="D1906" s="14" t="s">
        <v>619</v>
      </c>
      <c r="E1906" s="18" t="s">
        <v>9</v>
      </c>
      <c r="F1906" s="14" t="s">
        <v>517</v>
      </c>
      <c r="G1906" s="14" t="s">
        <v>518</v>
      </c>
      <c r="H1906" s="18" t="s">
        <v>5</v>
      </c>
      <c r="I1906" s="14" t="s">
        <v>117</v>
      </c>
      <c r="J1906" s="14">
        <v>3</v>
      </c>
      <c r="K1906" s="18" t="s">
        <v>646</v>
      </c>
      <c r="L1906" s="18"/>
      <c r="M1906" s="14">
        <v>1</v>
      </c>
      <c r="N1906" s="15">
        <v>180000</v>
      </c>
      <c r="O1906" s="15">
        <f t="shared" si="75"/>
        <v>180000</v>
      </c>
      <c r="P1906" s="15"/>
      <c r="Q1906" s="14" t="s">
        <v>520</v>
      </c>
      <c r="R1906" s="25">
        <v>45838</v>
      </c>
      <c r="S1906" s="34" t="s">
        <v>3273</v>
      </c>
      <c r="T1906" s="34" t="str">
        <f>TEXT(Table1[[#This Row],[End Date]],"YYYY")</f>
        <v>2025</v>
      </c>
      <c r="U1906" s="24">
        <f t="shared" ca="1" si="74"/>
        <v>-705</v>
      </c>
      <c r="V1906" s="14" t="str" cm="1">
        <f t="array" aca="1" ref="V1906" ca="1">_xlfn.IFS(Table1[[#This Row],[Agreement Days]]&gt;=0,"Expired",Table1[[#This Row],[Agreement Days]]&gt;=-30,"Expires &lt; 30 Days",Table1[[#This Row],[Agreement Days]]&gt;=-60,"Expires &lt; 60 Days",Table1[[#This Row],[Agreement Days]]&lt;-60,"Valid Contract")</f>
        <v>Valid Contract</v>
      </c>
      <c r="W1906" s="18" t="s">
        <v>18</v>
      </c>
      <c r="X1906" s="18" t="s">
        <v>3274</v>
      </c>
      <c r="Y1906" s="35" t="s">
        <v>3275</v>
      </c>
      <c r="Z1906" s="36" t="s">
        <v>3276</v>
      </c>
      <c r="AA1906" s="27"/>
      <c r="AB1906" s="123"/>
      <c r="AC1906" s="123"/>
    </row>
    <row r="1907" spans="1:29" s="11" customFormat="1" hidden="1" x14ac:dyDescent="0.3">
      <c r="A1907" s="18" t="s">
        <v>3272</v>
      </c>
      <c r="B1907" s="18" t="s">
        <v>194</v>
      </c>
      <c r="C1907" s="18" t="s">
        <v>544</v>
      </c>
      <c r="D1907" s="14" t="s">
        <v>619</v>
      </c>
      <c r="E1907" s="18" t="s">
        <v>9</v>
      </c>
      <c r="F1907" s="14" t="s">
        <v>517</v>
      </c>
      <c r="G1907" s="14" t="s">
        <v>518</v>
      </c>
      <c r="H1907" s="18" t="s">
        <v>5</v>
      </c>
      <c r="I1907" s="14" t="s">
        <v>117</v>
      </c>
      <c r="J1907" s="14">
        <v>10</v>
      </c>
      <c r="K1907" s="14" t="s">
        <v>547</v>
      </c>
      <c r="L1907" s="18"/>
      <c r="M1907" s="14">
        <v>1</v>
      </c>
      <c r="N1907" s="15">
        <v>510000</v>
      </c>
      <c r="O1907" s="15">
        <f t="shared" si="75"/>
        <v>510000</v>
      </c>
      <c r="P1907" s="15"/>
      <c r="Q1907" s="14" t="s">
        <v>520</v>
      </c>
      <c r="R1907" s="25">
        <v>45838</v>
      </c>
      <c r="S1907" s="34" t="s">
        <v>3273</v>
      </c>
      <c r="T1907" s="34" t="str">
        <f>TEXT(Table1[[#This Row],[End Date]],"YYYY")</f>
        <v>2025</v>
      </c>
      <c r="U1907" s="24">
        <f t="shared" ca="1" si="74"/>
        <v>-705</v>
      </c>
      <c r="V1907" s="14" t="str" cm="1">
        <f t="array" aca="1" ref="V1907" ca="1">_xlfn.IFS(Table1[[#This Row],[Agreement Days]]&gt;=0,"Expired",Table1[[#This Row],[Agreement Days]]&gt;=-30,"Expires &lt; 30 Days",Table1[[#This Row],[Agreement Days]]&gt;=-60,"Expires &lt; 60 Days",Table1[[#This Row],[Agreement Days]]&lt;-60,"Valid Contract")</f>
        <v>Valid Contract</v>
      </c>
      <c r="W1907" s="18" t="s">
        <v>18</v>
      </c>
      <c r="X1907" s="18" t="s">
        <v>3274</v>
      </c>
      <c r="Y1907" s="35" t="s">
        <v>3275</v>
      </c>
      <c r="Z1907" s="36" t="s">
        <v>3276</v>
      </c>
      <c r="AA1907" s="36"/>
      <c r="AB1907" s="123"/>
      <c r="AC1907" s="123"/>
    </row>
    <row r="1908" spans="1:29" s="11" customFormat="1" hidden="1" x14ac:dyDescent="0.3">
      <c r="A1908" s="18" t="s">
        <v>3272</v>
      </c>
      <c r="B1908" s="18" t="s">
        <v>194</v>
      </c>
      <c r="C1908" s="18" t="s">
        <v>544</v>
      </c>
      <c r="D1908" s="14" t="s">
        <v>619</v>
      </c>
      <c r="E1908" s="18" t="s">
        <v>9</v>
      </c>
      <c r="F1908" s="14" t="s">
        <v>517</v>
      </c>
      <c r="G1908" s="14" t="s">
        <v>518</v>
      </c>
      <c r="H1908" s="18" t="s">
        <v>2</v>
      </c>
      <c r="I1908" s="14" t="s">
        <v>120</v>
      </c>
      <c r="J1908" s="18"/>
      <c r="K1908" s="18" t="s">
        <v>649</v>
      </c>
      <c r="L1908" s="18"/>
      <c r="M1908" s="14">
        <v>1</v>
      </c>
      <c r="N1908" s="15">
        <v>258044.92</v>
      </c>
      <c r="O1908" s="15">
        <f t="shared" si="75"/>
        <v>258044.92</v>
      </c>
      <c r="P1908" s="15"/>
      <c r="Q1908" s="14" t="s">
        <v>520</v>
      </c>
      <c r="R1908" s="25">
        <v>45838</v>
      </c>
      <c r="S1908" s="34" t="s">
        <v>3273</v>
      </c>
      <c r="T1908" s="34" t="str">
        <f>TEXT(Table1[[#This Row],[End Date]],"YYYY")</f>
        <v>2025</v>
      </c>
      <c r="U1908" s="24">
        <f t="shared" ca="1" si="74"/>
        <v>-705</v>
      </c>
      <c r="V1908" s="14" t="str" cm="1">
        <f t="array" aca="1" ref="V1908" ca="1">_xlfn.IFS(Table1[[#This Row],[Agreement Days]]&gt;=0,"Expired",Table1[[#This Row],[Agreement Days]]&gt;=-30,"Expires &lt; 30 Days",Table1[[#This Row],[Agreement Days]]&gt;=-60,"Expires &lt; 60 Days",Table1[[#This Row],[Agreement Days]]&lt;-60,"Valid Contract")</f>
        <v>Valid Contract</v>
      </c>
      <c r="W1908" s="18" t="s">
        <v>18</v>
      </c>
      <c r="X1908" s="18" t="s">
        <v>3274</v>
      </c>
      <c r="Y1908" s="35" t="s">
        <v>3275</v>
      </c>
      <c r="Z1908" s="36" t="s">
        <v>3276</v>
      </c>
      <c r="AA1908" s="27"/>
      <c r="AB1908" s="123"/>
      <c r="AC1908" s="123"/>
    </row>
    <row r="1909" spans="1:29" s="11" customFormat="1" hidden="1" x14ac:dyDescent="0.3">
      <c r="A1909" s="18" t="s">
        <v>3272</v>
      </c>
      <c r="B1909" s="18" t="s">
        <v>194</v>
      </c>
      <c r="C1909" s="18" t="s">
        <v>544</v>
      </c>
      <c r="D1909" s="14" t="s">
        <v>619</v>
      </c>
      <c r="E1909" s="18" t="s">
        <v>9</v>
      </c>
      <c r="F1909" s="14" t="s">
        <v>517</v>
      </c>
      <c r="G1909" s="14" t="s">
        <v>518</v>
      </c>
      <c r="H1909" s="18" t="s">
        <v>4</v>
      </c>
      <c r="I1909" s="14" t="s">
        <v>118</v>
      </c>
      <c r="J1909" s="18"/>
      <c r="K1909" s="18" t="s">
        <v>650</v>
      </c>
      <c r="L1909" s="18"/>
      <c r="M1909" s="14">
        <v>1</v>
      </c>
      <c r="N1909" s="15">
        <v>369325.42</v>
      </c>
      <c r="O1909" s="15">
        <f t="shared" si="75"/>
        <v>369325.42</v>
      </c>
      <c r="P1909" s="15"/>
      <c r="Q1909" s="14" t="s">
        <v>520</v>
      </c>
      <c r="R1909" s="25">
        <v>45838</v>
      </c>
      <c r="S1909" s="34" t="s">
        <v>3273</v>
      </c>
      <c r="T1909" s="34" t="str">
        <f>TEXT(Table1[[#This Row],[End Date]],"YYYY")</f>
        <v>2025</v>
      </c>
      <c r="U1909" s="24">
        <f t="shared" ca="1" si="74"/>
        <v>-705</v>
      </c>
      <c r="V1909" s="14" t="str" cm="1">
        <f t="array" aca="1" ref="V1909" ca="1">_xlfn.IFS(Table1[[#This Row],[Agreement Days]]&gt;=0,"Expired",Table1[[#This Row],[Agreement Days]]&gt;=-30,"Expires &lt; 30 Days",Table1[[#This Row],[Agreement Days]]&gt;=-60,"Expires &lt; 60 Days",Table1[[#This Row],[Agreement Days]]&lt;-60,"Valid Contract")</f>
        <v>Valid Contract</v>
      </c>
      <c r="W1909" s="18" t="s">
        <v>18</v>
      </c>
      <c r="X1909" s="18" t="s">
        <v>3274</v>
      </c>
      <c r="Y1909" s="35" t="s">
        <v>3275</v>
      </c>
      <c r="Z1909" s="36" t="s">
        <v>3276</v>
      </c>
      <c r="AA1909" s="27"/>
      <c r="AB1909" s="123"/>
      <c r="AC1909" s="123"/>
    </row>
    <row r="1910" spans="1:29" s="11" customFormat="1" hidden="1" x14ac:dyDescent="0.3">
      <c r="A1910" s="18" t="s">
        <v>3272</v>
      </c>
      <c r="B1910" s="18" t="s">
        <v>194</v>
      </c>
      <c r="C1910" s="18" t="s">
        <v>544</v>
      </c>
      <c r="D1910" s="14" t="s">
        <v>619</v>
      </c>
      <c r="E1910" s="18" t="s">
        <v>9</v>
      </c>
      <c r="F1910" s="14" t="s">
        <v>517</v>
      </c>
      <c r="G1910" s="14" t="s">
        <v>518</v>
      </c>
      <c r="H1910" s="18" t="s">
        <v>5</v>
      </c>
      <c r="I1910" s="14" t="s">
        <v>115</v>
      </c>
      <c r="J1910" s="18"/>
      <c r="K1910" s="18" t="s">
        <v>651</v>
      </c>
      <c r="L1910" s="18"/>
      <c r="M1910" s="14">
        <v>15</v>
      </c>
      <c r="N1910" s="15">
        <f>96000/1.18</f>
        <v>81355.932203389835</v>
      </c>
      <c r="O1910" s="15">
        <f t="shared" si="75"/>
        <v>1220338.9830508474</v>
      </c>
      <c r="P1910" s="15"/>
      <c r="Q1910" s="14" t="s">
        <v>520</v>
      </c>
      <c r="R1910" s="25">
        <v>45838</v>
      </c>
      <c r="S1910" s="34" t="s">
        <v>3273</v>
      </c>
      <c r="T1910" s="34" t="str">
        <f>TEXT(Table1[[#This Row],[End Date]],"YYYY")</f>
        <v>2025</v>
      </c>
      <c r="U1910" s="24">
        <f t="shared" ca="1" si="74"/>
        <v>-705</v>
      </c>
      <c r="V1910" s="14" t="str" cm="1">
        <f t="array" aca="1" ref="V1910" ca="1">_xlfn.IFS(Table1[[#This Row],[Agreement Days]]&gt;=0,"Expired",Table1[[#This Row],[Agreement Days]]&gt;=-30,"Expires &lt; 30 Days",Table1[[#This Row],[Agreement Days]]&gt;=-60,"Expires &lt; 60 Days",Table1[[#This Row],[Agreement Days]]&lt;-60,"Valid Contract")</f>
        <v>Valid Contract</v>
      </c>
      <c r="W1910" s="18" t="s">
        <v>18</v>
      </c>
      <c r="X1910" s="18" t="s">
        <v>3274</v>
      </c>
      <c r="Y1910" s="35" t="s">
        <v>3275</v>
      </c>
      <c r="Z1910" s="36" t="s">
        <v>3276</v>
      </c>
      <c r="AA1910" s="27"/>
      <c r="AB1910" s="123"/>
      <c r="AC1910" s="123"/>
    </row>
    <row r="1911" spans="1:29" s="11" customFormat="1" hidden="1" x14ac:dyDescent="0.3">
      <c r="A1911" s="18" t="s">
        <v>3272</v>
      </c>
      <c r="B1911" s="18" t="s">
        <v>194</v>
      </c>
      <c r="C1911" s="18" t="s">
        <v>544</v>
      </c>
      <c r="D1911" s="14" t="s">
        <v>619</v>
      </c>
      <c r="E1911" s="18" t="s">
        <v>9</v>
      </c>
      <c r="F1911" s="14" t="s">
        <v>517</v>
      </c>
      <c r="G1911" s="14" t="s">
        <v>518</v>
      </c>
      <c r="H1911" s="18" t="s">
        <v>5</v>
      </c>
      <c r="I1911" s="14" t="s">
        <v>115</v>
      </c>
      <c r="J1911" s="18"/>
      <c r="K1911" s="18" t="s">
        <v>573</v>
      </c>
      <c r="L1911" s="18"/>
      <c r="M1911" s="14">
        <v>73</v>
      </c>
      <c r="N1911" s="15">
        <v>19491.53</v>
      </c>
      <c r="O1911" s="15">
        <f t="shared" si="75"/>
        <v>1422881.69</v>
      </c>
      <c r="P1911" s="15"/>
      <c r="Q1911" s="14" t="s">
        <v>520</v>
      </c>
      <c r="R1911" s="25">
        <v>45838</v>
      </c>
      <c r="S1911" s="34" t="s">
        <v>3273</v>
      </c>
      <c r="T1911" s="34" t="str">
        <f>TEXT(Table1[[#This Row],[End Date]],"YYYY")</f>
        <v>2025</v>
      </c>
      <c r="U1911" s="24">
        <f t="shared" ca="1" si="74"/>
        <v>-705</v>
      </c>
      <c r="V1911" s="14" t="str" cm="1">
        <f t="array" aca="1" ref="V1911" ca="1">_xlfn.IFS(Table1[[#This Row],[Agreement Days]]&gt;=0,"Expired",Table1[[#This Row],[Agreement Days]]&gt;=-30,"Expires &lt; 30 Days",Table1[[#This Row],[Agreement Days]]&gt;=-60,"Expires &lt; 60 Days",Table1[[#This Row],[Agreement Days]]&lt;-60,"Valid Contract")</f>
        <v>Valid Contract</v>
      </c>
      <c r="W1911" s="18" t="s">
        <v>18</v>
      </c>
      <c r="X1911" s="18" t="s">
        <v>3274</v>
      </c>
      <c r="Y1911" s="35" t="s">
        <v>3275</v>
      </c>
      <c r="Z1911" s="36" t="s">
        <v>3276</v>
      </c>
      <c r="AA1911" s="27"/>
      <c r="AB1911" s="123"/>
      <c r="AC1911" s="123"/>
    </row>
    <row r="1912" spans="1:29" s="11" customFormat="1" hidden="1" x14ac:dyDescent="0.3">
      <c r="A1912" s="18" t="s">
        <v>2525</v>
      </c>
      <c r="B1912" s="18" t="s">
        <v>371</v>
      </c>
      <c r="C1912" s="18" t="s">
        <v>2526</v>
      </c>
      <c r="D1912" s="14" t="s">
        <v>735</v>
      </c>
      <c r="E1912" s="18" t="s">
        <v>9</v>
      </c>
      <c r="F1912" s="14" t="s">
        <v>517</v>
      </c>
      <c r="G1912" s="14" t="s">
        <v>518</v>
      </c>
      <c r="H1912" s="18" t="s">
        <v>5</v>
      </c>
      <c r="I1912" s="14" t="s">
        <v>117</v>
      </c>
      <c r="J1912" s="14">
        <v>3</v>
      </c>
      <c r="K1912" s="14" t="s">
        <v>1277</v>
      </c>
      <c r="L1912" s="14"/>
      <c r="M1912" s="14">
        <v>1</v>
      </c>
      <c r="N1912" s="15">
        <v>180000</v>
      </c>
      <c r="O1912" s="15">
        <f t="shared" si="75"/>
        <v>180000</v>
      </c>
      <c r="P1912" s="15"/>
      <c r="Q1912" s="14" t="s">
        <v>520</v>
      </c>
      <c r="R1912" s="25">
        <v>45838</v>
      </c>
      <c r="S1912" s="22" t="str">
        <f>TEXT(Table1[[#This Row],[End Date]],"MMMM")</f>
        <v>June</v>
      </c>
      <c r="T1912" s="23" t="str">
        <f>TEXT(Table1[[#This Row],[End Date]],"YYYY")</f>
        <v>2025</v>
      </c>
      <c r="U1912" s="24">
        <f t="shared" ca="1" si="74"/>
        <v>-705</v>
      </c>
      <c r="V1912" s="14" t="str" cm="1">
        <f t="array" aca="1" ref="V1912" ca="1">_xlfn.IFS(Table1[[#This Row],[Agreement Days]]&gt;=0,"Expired",Table1[[#This Row],[Agreement Days]]&gt;=-30,"Expires &lt; 30 Days",Table1[[#This Row],[Agreement Days]]&gt;=-60,"Expires &lt; 60 Days",Table1[[#This Row],[Agreement Days]]&lt;-60,"Valid Contract")</f>
        <v>Valid Contract</v>
      </c>
      <c r="W1912" s="14" t="s">
        <v>19</v>
      </c>
      <c r="X1912" s="14" t="s">
        <v>2527</v>
      </c>
      <c r="Y1912" s="43" t="s">
        <v>2528</v>
      </c>
      <c r="Z1912" s="27">
        <v>788510870</v>
      </c>
      <c r="AA1912" s="17"/>
      <c r="AB1912" s="123"/>
      <c r="AC1912" s="123"/>
    </row>
    <row r="1913" spans="1:29" s="11" customFormat="1" hidden="1" x14ac:dyDescent="0.3">
      <c r="A1913" s="18" t="s">
        <v>704</v>
      </c>
      <c r="B1913" s="18" t="s">
        <v>177</v>
      </c>
      <c r="C1913" s="18" t="s">
        <v>544</v>
      </c>
      <c r="D1913" s="14" t="s">
        <v>545</v>
      </c>
      <c r="E1913" s="18" t="s">
        <v>9</v>
      </c>
      <c r="F1913" s="14" t="s">
        <v>693</v>
      </c>
      <c r="G1913" s="14" t="s">
        <v>546</v>
      </c>
      <c r="H1913" s="18" t="s">
        <v>2</v>
      </c>
      <c r="I1913" s="14" t="s">
        <v>117</v>
      </c>
      <c r="J1913" s="14">
        <v>50</v>
      </c>
      <c r="K1913" s="18" t="s">
        <v>1579</v>
      </c>
      <c r="L1913" s="18"/>
      <c r="M1913" s="14">
        <v>1</v>
      </c>
      <c r="N1913" s="15">
        <v>1800000</v>
      </c>
      <c r="O1913" s="15">
        <f t="shared" si="75"/>
        <v>1800000</v>
      </c>
      <c r="P1913" s="15"/>
      <c r="Q1913" s="14" t="s">
        <v>520</v>
      </c>
      <c r="R1913" s="25">
        <v>45838</v>
      </c>
      <c r="S1913" s="34" t="str">
        <f>TEXT(Table1[[#This Row],[End Date]],"MMMM")</f>
        <v>June</v>
      </c>
      <c r="T1913" s="34" t="str">
        <f>TEXT(Table1[[#This Row],[End Date]],"YYYY")</f>
        <v>2025</v>
      </c>
      <c r="U1913" s="24">
        <f t="shared" ca="1" si="74"/>
        <v>-705</v>
      </c>
      <c r="V1913" s="14" t="str" cm="1">
        <f t="array" aca="1" ref="V1913" ca="1">_xlfn.IFS(Table1[[#This Row],[Agreement Days]]&gt;=0,"Expired",Table1[[#This Row],[Agreement Days]]&gt;=-30,"Expires &lt; 30 Days",Table1[[#This Row],[Agreement Days]]&gt;=-60,"Expires &lt; 60 Days",Table1[[#This Row],[Agreement Days]]&lt;-60,"Valid Contract")</f>
        <v>Valid Contract</v>
      </c>
      <c r="W1913" s="18" t="s">
        <v>18</v>
      </c>
      <c r="X1913" s="18" t="s">
        <v>706</v>
      </c>
      <c r="Y1913" s="35" t="s">
        <v>707</v>
      </c>
      <c r="Z1913" s="27" t="s">
        <v>708</v>
      </c>
      <c r="AA1913" s="36"/>
      <c r="AB1913" s="123"/>
      <c r="AC1913" s="123"/>
    </row>
    <row r="1914" spans="1:29" s="11" customFormat="1" hidden="1" x14ac:dyDescent="0.3">
      <c r="A1914" s="18" t="s">
        <v>704</v>
      </c>
      <c r="B1914" s="18" t="s">
        <v>177</v>
      </c>
      <c r="C1914" s="18" t="s">
        <v>544</v>
      </c>
      <c r="D1914" s="14" t="s">
        <v>545</v>
      </c>
      <c r="E1914" s="18" t="s">
        <v>9</v>
      </c>
      <c r="F1914" s="14" t="s">
        <v>693</v>
      </c>
      <c r="G1914" s="14" t="s">
        <v>546</v>
      </c>
      <c r="H1914" s="18" t="s">
        <v>5</v>
      </c>
      <c r="I1914" s="14" t="s">
        <v>115</v>
      </c>
      <c r="J1914" s="14"/>
      <c r="K1914" s="18" t="s">
        <v>642</v>
      </c>
      <c r="L1914" s="18"/>
      <c r="M1914" s="14">
        <v>5</v>
      </c>
      <c r="N1914" s="15">
        <f>120000/1.18</f>
        <v>101694.91525423729</v>
      </c>
      <c r="O1914" s="15">
        <f t="shared" si="75"/>
        <v>508474.57627118647</v>
      </c>
      <c r="P1914" s="15"/>
      <c r="Q1914" s="14" t="s">
        <v>520</v>
      </c>
      <c r="R1914" s="25">
        <v>45838</v>
      </c>
      <c r="S1914" s="34" t="str">
        <f>TEXT(Table1[[#This Row],[End Date]],"MMMM")</f>
        <v>June</v>
      </c>
      <c r="T1914" s="34" t="str">
        <f>TEXT(Table1[[#This Row],[End Date]],"YYYY")</f>
        <v>2025</v>
      </c>
      <c r="U1914" s="24">
        <f t="shared" ca="1" si="74"/>
        <v>-705</v>
      </c>
      <c r="V1914" s="14" t="str" cm="1">
        <f t="array" aca="1" ref="V1914" ca="1">_xlfn.IFS(Table1[[#This Row],[Agreement Days]]&gt;=0,"Expired",Table1[[#This Row],[Agreement Days]]&gt;=-30,"Expires &lt; 30 Days",Table1[[#This Row],[Agreement Days]]&gt;=-60,"Expires &lt; 60 Days",Table1[[#This Row],[Agreement Days]]&lt;-60,"Valid Contract")</f>
        <v>Valid Contract</v>
      </c>
      <c r="W1914" s="18" t="s">
        <v>18</v>
      </c>
      <c r="X1914" s="18" t="s">
        <v>706</v>
      </c>
      <c r="Y1914" s="35" t="s">
        <v>707</v>
      </c>
      <c r="Z1914" s="27" t="s">
        <v>708</v>
      </c>
      <c r="AA1914" s="36"/>
      <c r="AB1914" s="123"/>
      <c r="AC1914" s="123"/>
    </row>
    <row r="1915" spans="1:29" s="11" customFormat="1" hidden="1" x14ac:dyDescent="0.3">
      <c r="A1915" s="18" t="s">
        <v>1106</v>
      </c>
      <c r="B1915" s="18" t="s">
        <v>314</v>
      </c>
      <c r="C1915" s="18" t="s">
        <v>1107</v>
      </c>
      <c r="D1915" s="14" t="s">
        <v>516</v>
      </c>
      <c r="E1915" s="18" t="s">
        <v>9</v>
      </c>
      <c r="F1915" s="14" t="s">
        <v>688</v>
      </c>
      <c r="G1915" s="14" t="s">
        <v>518</v>
      </c>
      <c r="H1915" s="18" t="s">
        <v>5</v>
      </c>
      <c r="I1915" s="14" t="s">
        <v>117</v>
      </c>
      <c r="J1915" s="14">
        <v>5</v>
      </c>
      <c r="K1915" s="18" t="s">
        <v>519</v>
      </c>
      <c r="L1915" s="18"/>
      <c r="M1915" s="14">
        <v>1</v>
      </c>
      <c r="N1915" s="15">
        <v>270000</v>
      </c>
      <c r="O1915" s="15">
        <f t="shared" si="75"/>
        <v>270000</v>
      </c>
      <c r="P1915" s="15"/>
      <c r="Q1915" s="14" t="s">
        <v>520</v>
      </c>
      <c r="R1915" s="25">
        <v>45866</v>
      </c>
      <c r="S1915" s="34" t="str">
        <f>TEXT(Table1[[#This Row],[End Date]],"MMMM")</f>
        <v>July</v>
      </c>
      <c r="T1915" s="34" t="str">
        <f>TEXT(Table1[[#This Row],[End Date]],"YYYY")</f>
        <v>2025</v>
      </c>
      <c r="U1915" s="24">
        <f t="shared" ca="1" si="74"/>
        <v>-733</v>
      </c>
      <c r="V1915" s="14" t="str" cm="1">
        <f t="array" aca="1" ref="V1915" ca="1">_xlfn.IFS(Table1[[#This Row],[Agreement Days]]&gt;=0,"Expired",Table1[[#This Row],[Agreement Days]]&gt;=-30,"Expires &lt; 30 Days",Table1[[#This Row],[Agreement Days]]&gt;=-60,"Expires &lt; 60 Days",Table1[[#This Row],[Agreement Days]]&lt;-60,"Valid Contract")</f>
        <v>Valid Contract</v>
      </c>
      <c r="W1915" s="18" t="s">
        <v>21</v>
      </c>
      <c r="X1915" s="18" t="s">
        <v>1108</v>
      </c>
      <c r="Y1915" s="42" t="s">
        <v>1109</v>
      </c>
      <c r="Z1915" s="27">
        <v>788949680</v>
      </c>
      <c r="AA1915" s="27"/>
      <c r="AB1915" s="123"/>
      <c r="AC1915" s="123"/>
    </row>
    <row r="1916" spans="1:29" s="11" customFormat="1" hidden="1" x14ac:dyDescent="0.3">
      <c r="A1916" s="18" t="s">
        <v>3277</v>
      </c>
      <c r="B1916" s="18" t="s">
        <v>455</v>
      </c>
      <c r="C1916" s="18" t="s">
        <v>544</v>
      </c>
      <c r="D1916" s="14" t="s">
        <v>1280</v>
      </c>
      <c r="E1916" s="18" t="s">
        <v>9</v>
      </c>
      <c r="F1916" s="14" t="s">
        <v>517</v>
      </c>
      <c r="G1916" s="14" t="s">
        <v>518</v>
      </c>
      <c r="H1916" s="18" t="s">
        <v>5</v>
      </c>
      <c r="I1916" s="14" t="s">
        <v>115</v>
      </c>
      <c r="J1916" s="18"/>
      <c r="K1916" s="18" t="s">
        <v>651</v>
      </c>
      <c r="L1916" s="18"/>
      <c r="M1916" s="14">
        <v>1</v>
      </c>
      <c r="N1916" s="15">
        <f>96000/1.18</f>
        <v>81355.932203389835</v>
      </c>
      <c r="O1916" s="15">
        <f t="shared" si="75"/>
        <v>81355.932203389835</v>
      </c>
      <c r="P1916" s="15"/>
      <c r="Q1916" s="14" t="s">
        <v>520</v>
      </c>
      <c r="R1916" s="25">
        <v>45869</v>
      </c>
      <c r="S1916" s="34" t="str">
        <f>TEXT(Table1[[#This Row],[End Date]],"MMMM")</f>
        <v>July</v>
      </c>
      <c r="T1916" s="34" t="str">
        <f>TEXT(Table1[[#This Row],[End Date]],"YYYY")</f>
        <v>2025</v>
      </c>
      <c r="U1916" s="24">
        <f t="shared" ca="1" si="74"/>
        <v>-736</v>
      </c>
      <c r="V1916" s="14" t="str" cm="1">
        <f t="array" aca="1" ref="V1916" ca="1">_xlfn.IFS(Table1[[#This Row],[Agreement Days]]&gt;=0,"Expired",Table1[[#This Row],[Agreement Days]]&gt;=-30,"Expires &lt; 30 Days",Table1[[#This Row],[Agreement Days]]&gt;=-60,"Expires &lt; 60 Days",Table1[[#This Row],[Agreement Days]]&lt;-60,"Valid Contract")</f>
        <v>Valid Contract</v>
      </c>
      <c r="W1916" s="18" t="s">
        <v>18</v>
      </c>
      <c r="X1916" s="18" t="s">
        <v>3278</v>
      </c>
      <c r="Y1916" s="35" t="s">
        <v>3279</v>
      </c>
      <c r="Z1916" s="27" t="s">
        <v>3280</v>
      </c>
      <c r="AA1916" s="27"/>
      <c r="AB1916" s="123"/>
      <c r="AC1916" s="123"/>
    </row>
    <row r="1917" spans="1:29" s="11" customFormat="1" hidden="1" x14ac:dyDescent="0.3">
      <c r="A1917" s="18" t="s">
        <v>3281</v>
      </c>
      <c r="B1917" s="18" t="s">
        <v>288</v>
      </c>
      <c r="C1917" s="18" t="s">
        <v>544</v>
      </c>
      <c r="D1917" s="14" t="s">
        <v>653</v>
      </c>
      <c r="E1917" s="18" t="s">
        <v>9</v>
      </c>
      <c r="F1917" s="14" t="s">
        <v>517</v>
      </c>
      <c r="G1917" s="14" t="s">
        <v>518</v>
      </c>
      <c r="H1917" s="18" t="s">
        <v>5</v>
      </c>
      <c r="I1917" s="14" t="s">
        <v>115</v>
      </c>
      <c r="J1917" s="26"/>
      <c r="K1917" s="18" t="s">
        <v>657</v>
      </c>
      <c r="L1917" s="26"/>
      <c r="M1917" s="19">
        <v>3</v>
      </c>
      <c r="N1917" s="15">
        <v>45338.98</v>
      </c>
      <c r="O1917" s="15">
        <f t="shared" si="75"/>
        <v>136016.94</v>
      </c>
      <c r="P1917" s="15"/>
      <c r="Q1917" s="14" t="s">
        <v>520</v>
      </c>
      <c r="R1917" s="25">
        <v>45869</v>
      </c>
      <c r="S1917" s="34" t="str">
        <f>TEXT(Table1[[#This Row],[End Date]],"MMMM")</f>
        <v>July</v>
      </c>
      <c r="T1917" s="34" t="str">
        <f>TEXT(Table1[[#This Row],[End Date]],"YYYY")</f>
        <v>2025</v>
      </c>
      <c r="U1917" s="24">
        <f t="shared" ca="1" si="74"/>
        <v>-736</v>
      </c>
      <c r="V1917" s="14" t="str" cm="1">
        <f t="array" aca="1" ref="V1917" ca="1">_xlfn.IFS(Table1[[#This Row],[Agreement Days]]&gt;=0,"Expired",Table1[[#This Row],[Agreement Days]]&gt;=-30,"Expires &lt; 30 Days",Table1[[#This Row],[Agreement Days]]&gt;=-60,"Expires &lt; 60 Days",Table1[[#This Row],[Agreement Days]]&lt;-60,"Valid Contract")</f>
        <v>Valid Contract</v>
      </c>
      <c r="W1917" s="26" t="s">
        <v>17</v>
      </c>
      <c r="X1917" s="26" t="s">
        <v>3282</v>
      </c>
      <c r="Y1917" s="35" t="s">
        <v>3283</v>
      </c>
      <c r="Z1917" s="27">
        <v>788319697</v>
      </c>
      <c r="AA1917" s="27"/>
      <c r="AB1917" s="123"/>
      <c r="AC1917" s="123"/>
    </row>
    <row r="1918" spans="1:29" s="11" customFormat="1" hidden="1" x14ac:dyDescent="0.3">
      <c r="A1918" s="18" t="s">
        <v>2550</v>
      </c>
      <c r="B1918" s="18" t="s">
        <v>50</v>
      </c>
      <c r="C1918" s="18" t="s">
        <v>3241</v>
      </c>
      <c r="D1918" s="14" t="s">
        <v>545</v>
      </c>
      <c r="E1918" s="18" t="s">
        <v>9</v>
      </c>
      <c r="F1918" s="14" t="s">
        <v>631</v>
      </c>
      <c r="G1918" s="14" t="s">
        <v>518</v>
      </c>
      <c r="H1918" s="18" t="s">
        <v>5</v>
      </c>
      <c r="I1918" s="14" t="s">
        <v>117</v>
      </c>
      <c r="J1918" s="14">
        <v>20</v>
      </c>
      <c r="K1918" s="14" t="s">
        <v>689</v>
      </c>
      <c r="L1918" s="14"/>
      <c r="M1918" s="14">
        <v>1</v>
      </c>
      <c r="N1918" s="15">
        <v>900000</v>
      </c>
      <c r="O1918" s="15">
        <f t="shared" si="75"/>
        <v>900000</v>
      </c>
      <c r="P1918" s="15"/>
      <c r="Q1918" s="14" t="s">
        <v>520</v>
      </c>
      <c r="R1918" s="21">
        <v>45869</v>
      </c>
      <c r="S1918" s="22" t="str">
        <f>TEXT(Table1[[#This Row],[End Date]],"MMMM")</f>
        <v>July</v>
      </c>
      <c r="T1918" s="23" t="str">
        <f>TEXT(Table1[[#This Row],[End Date]],"YYYY")</f>
        <v>2025</v>
      </c>
      <c r="U1918" s="24">
        <f t="shared" ca="1" si="74"/>
        <v>-736</v>
      </c>
      <c r="V1918" s="14" t="str" cm="1">
        <f t="array" aca="1" ref="V1918" ca="1">_xlfn.IFS(Table1[[#This Row],[Agreement Days]]&gt;=0,"Expired",Table1[[#This Row],[Agreement Days]]&gt;=-30,"Expires &lt; 30 Days",Table1[[#This Row],[Agreement Days]]&gt;=-60,"Expires &lt; 60 Days",Table1[[#This Row],[Agreement Days]]&lt;-60,"Valid Contract")</f>
        <v>Valid Contract</v>
      </c>
      <c r="W1918" s="14" t="s">
        <v>20</v>
      </c>
      <c r="X1918" s="26" t="s">
        <v>3284</v>
      </c>
      <c r="Y1918" s="45" t="s">
        <v>2553</v>
      </c>
      <c r="Z1918" s="27" t="s">
        <v>2554</v>
      </c>
      <c r="AA1918" s="19"/>
      <c r="AB1918" s="123"/>
      <c r="AC1918" s="123"/>
    </row>
    <row r="1919" spans="1:29" s="11" customFormat="1" hidden="1" x14ac:dyDescent="0.3">
      <c r="A1919" s="18" t="s">
        <v>2550</v>
      </c>
      <c r="B1919" s="18" t="s">
        <v>50</v>
      </c>
      <c r="C1919" s="18" t="s">
        <v>3241</v>
      </c>
      <c r="D1919" s="14" t="s">
        <v>545</v>
      </c>
      <c r="E1919" s="18" t="s">
        <v>9</v>
      </c>
      <c r="F1919" s="14" t="s">
        <v>631</v>
      </c>
      <c r="G1919" s="14" t="s">
        <v>518</v>
      </c>
      <c r="H1919" s="18" t="s">
        <v>4</v>
      </c>
      <c r="I1919" s="14" t="s">
        <v>118</v>
      </c>
      <c r="J1919" s="14"/>
      <c r="K1919" s="14" t="s">
        <v>650</v>
      </c>
      <c r="L1919" s="14"/>
      <c r="M1919" s="14">
        <v>1</v>
      </c>
      <c r="N1919" s="15">
        <v>369325</v>
      </c>
      <c r="O1919" s="15">
        <f t="shared" si="75"/>
        <v>369325</v>
      </c>
      <c r="P1919" s="15"/>
      <c r="Q1919" s="14" t="s">
        <v>520</v>
      </c>
      <c r="R1919" s="21">
        <v>45869</v>
      </c>
      <c r="S1919" s="22" t="str">
        <f>TEXT(Table1[[#This Row],[End Date]],"MMMM")</f>
        <v>July</v>
      </c>
      <c r="T1919" s="23" t="str">
        <f>TEXT(Table1[[#This Row],[End Date]],"YYYY")</f>
        <v>2025</v>
      </c>
      <c r="U1919" s="24">
        <f t="shared" ca="1" si="74"/>
        <v>-736</v>
      </c>
      <c r="V1919" s="14" t="str" cm="1">
        <f t="array" aca="1" ref="V1919" ca="1">_xlfn.IFS(Table1[[#This Row],[Agreement Days]]&gt;=0,"Expired",Table1[[#This Row],[Agreement Days]]&gt;=-30,"Expires &lt; 30 Days",Table1[[#This Row],[Agreement Days]]&gt;=-60,"Expires &lt; 60 Days",Table1[[#This Row],[Agreement Days]]&lt;-60,"Valid Contract")</f>
        <v>Valid Contract</v>
      </c>
      <c r="W1919" s="14" t="s">
        <v>20</v>
      </c>
      <c r="X1919" s="26" t="s">
        <v>3284</v>
      </c>
      <c r="Y1919" s="16" t="s">
        <v>2553</v>
      </c>
      <c r="Z1919" s="27" t="s">
        <v>2554</v>
      </c>
      <c r="AA1919" s="19"/>
      <c r="AB1919" s="123"/>
      <c r="AC1919" s="123"/>
    </row>
    <row r="1920" spans="1:29" s="11" customFormat="1" hidden="1" x14ac:dyDescent="0.3">
      <c r="A1920" s="18" t="s">
        <v>3285</v>
      </c>
      <c r="B1920" s="18" t="s">
        <v>452</v>
      </c>
      <c r="C1920" s="18" t="s">
        <v>544</v>
      </c>
      <c r="D1920" s="14" t="s">
        <v>1280</v>
      </c>
      <c r="E1920" s="18" t="s">
        <v>9</v>
      </c>
      <c r="F1920" s="14" t="s">
        <v>517</v>
      </c>
      <c r="G1920" s="14" t="s">
        <v>518</v>
      </c>
      <c r="H1920" s="18" t="s">
        <v>5</v>
      </c>
      <c r="I1920" s="14" t="s">
        <v>115</v>
      </c>
      <c r="J1920" s="18"/>
      <c r="K1920" s="18" t="s">
        <v>651</v>
      </c>
      <c r="L1920" s="18"/>
      <c r="M1920" s="14">
        <v>1</v>
      </c>
      <c r="N1920" s="15">
        <f>96000/1.18</f>
        <v>81355.932203389835</v>
      </c>
      <c r="O1920" s="15">
        <f t="shared" si="75"/>
        <v>81355.932203389835</v>
      </c>
      <c r="P1920" s="15"/>
      <c r="Q1920" s="14" t="s">
        <v>520</v>
      </c>
      <c r="R1920" s="25">
        <v>45869</v>
      </c>
      <c r="S1920" s="34" t="str">
        <f>TEXT(Table1[[#This Row],[End Date]],"MMMM")</f>
        <v>July</v>
      </c>
      <c r="T1920" s="34" t="str">
        <f>TEXT(Table1[[#This Row],[End Date]],"YYYY")</f>
        <v>2025</v>
      </c>
      <c r="U1920" s="24">
        <f t="shared" ca="1" si="74"/>
        <v>-736</v>
      </c>
      <c r="V1920" s="14" t="str" cm="1">
        <f t="array" aca="1" ref="V1920" ca="1">_xlfn.IFS(Table1[[#This Row],[Agreement Days]]&gt;=0,"Expired",Table1[[#This Row],[Agreement Days]]&gt;=-30,"Expires &lt; 30 Days",Table1[[#This Row],[Agreement Days]]&gt;=-60,"Expires &lt; 60 Days",Table1[[#This Row],[Agreement Days]]&lt;-60,"Valid Contract")</f>
        <v>Valid Contract</v>
      </c>
      <c r="W1920" s="18" t="s">
        <v>18</v>
      </c>
      <c r="X1920" s="18" t="s">
        <v>3278</v>
      </c>
      <c r="Y1920" s="35" t="s">
        <v>3279</v>
      </c>
      <c r="Z1920" s="27" t="s">
        <v>3280</v>
      </c>
      <c r="AA1920" s="27"/>
      <c r="AB1920" s="123"/>
      <c r="AC1920" s="123"/>
    </row>
    <row r="1921" spans="1:29" s="11" customFormat="1" hidden="1" x14ac:dyDescent="0.3">
      <c r="A1921" s="18" t="s">
        <v>3286</v>
      </c>
      <c r="B1921" s="18" t="s">
        <v>320</v>
      </c>
      <c r="C1921" s="18" t="s">
        <v>3287</v>
      </c>
      <c r="D1921" s="14" t="s">
        <v>653</v>
      </c>
      <c r="E1921" s="18" t="s">
        <v>10</v>
      </c>
      <c r="F1921" s="14" t="s">
        <v>560</v>
      </c>
      <c r="G1921" s="14" t="s">
        <v>518</v>
      </c>
      <c r="H1921" s="18" t="s">
        <v>5</v>
      </c>
      <c r="I1921" s="14" t="s">
        <v>134</v>
      </c>
      <c r="J1921" s="14">
        <v>10</v>
      </c>
      <c r="K1921" s="20" t="s">
        <v>2574</v>
      </c>
      <c r="L1921" s="14"/>
      <c r="M1921" s="14">
        <v>1</v>
      </c>
      <c r="N1921" s="15">
        <v>510000</v>
      </c>
      <c r="O1921" s="15">
        <f t="shared" si="75"/>
        <v>510000</v>
      </c>
      <c r="P1921" s="15"/>
      <c r="Q1921" s="14" t="s">
        <v>520</v>
      </c>
      <c r="R1921" s="32">
        <v>45869</v>
      </c>
      <c r="S1921" s="22" t="str">
        <f>TEXT(Table1[[#This Row],[End Date]],"MMMM")</f>
        <v>July</v>
      </c>
      <c r="T1921" s="22" t="str">
        <f>TEXT(Table1[[#This Row],[End Date]],"YYYY")</f>
        <v>2025</v>
      </c>
      <c r="U1921" s="24">
        <f t="shared" ca="1" si="74"/>
        <v>-736</v>
      </c>
      <c r="V1921" s="14" t="str" cm="1">
        <f t="array" aca="1" ref="V1921" ca="1">_xlfn.IFS(Table1[[#This Row],[Agreement Days]]&gt;=0,"Expired",Table1[[#This Row],[Agreement Days]]&gt;=-30,"Expires &lt; 30 Days",Table1[[#This Row],[Agreement Days]]&gt;=-60,"Expires &lt; 60 Days",Table1[[#This Row],[Agreement Days]]&lt;-60,"Valid Contract")</f>
        <v>Valid Contract</v>
      </c>
      <c r="W1921" s="14" t="s">
        <v>20</v>
      </c>
      <c r="X1921" s="14" t="s">
        <v>3288</v>
      </c>
      <c r="Y1921" s="16" t="s">
        <v>3289</v>
      </c>
      <c r="Z1921" s="27" t="s">
        <v>3290</v>
      </c>
      <c r="AA1921" s="19"/>
      <c r="AB1921" s="123"/>
      <c r="AC1921" s="123"/>
    </row>
    <row r="1922" spans="1:29" s="11" customFormat="1" hidden="1" x14ac:dyDescent="0.3">
      <c r="A1922" s="18" t="s">
        <v>3291</v>
      </c>
      <c r="B1922" s="18" t="s">
        <v>346</v>
      </c>
      <c r="C1922" s="18" t="s">
        <v>544</v>
      </c>
      <c r="D1922" s="14" t="s">
        <v>545</v>
      </c>
      <c r="E1922" s="18" t="s">
        <v>10</v>
      </c>
      <c r="F1922" s="14" t="s">
        <v>527</v>
      </c>
      <c r="G1922" s="14" t="s">
        <v>518</v>
      </c>
      <c r="H1922" s="18" t="s">
        <v>2</v>
      </c>
      <c r="I1922" s="14" t="s">
        <v>134</v>
      </c>
      <c r="J1922" s="14">
        <v>15</v>
      </c>
      <c r="K1922" s="18" t="s">
        <v>627</v>
      </c>
      <c r="L1922" s="18"/>
      <c r="M1922" s="14">
        <v>1</v>
      </c>
      <c r="N1922" s="15">
        <v>570000</v>
      </c>
      <c r="O1922" s="15">
        <f t="shared" si="75"/>
        <v>570000</v>
      </c>
      <c r="P1922" s="15"/>
      <c r="Q1922" s="14" t="s">
        <v>520</v>
      </c>
      <c r="R1922" s="25">
        <v>45869</v>
      </c>
      <c r="S1922" s="34" t="str">
        <f>TEXT(Table1[[#This Row],[End Date]],"MMMM")</f>
        <v>July</v>
      </c>
      <c r="T1922" s="34" t="str">
        <f>TEXT(Table1[[#This Row],[End Date]],"YYYY")</f>
        <v>2025</v>
      </c>
      <c r="U1922" s="24">
        <f t="shared" ca="1" si="74"/>
        <v>-736</v>
      </c>
      <c r="V1922" s="14" t="str" cm="1">
        <f t="array" aca="1" ref="V1922" ca="1">_xlfn.IFS(Table1[[#This Row],[Agreement Days]]&gt;=0,"Expired",Table1[[#This Row],[Agreement Days]]&gt;=-30,"Expires &lt; 30 Days",Table1[[#This Row],[Agreement Days]]&gt;=-60,"Expires &lt; 60 Days",Table1[[#This Row],[Agreement Days]]&lt;-60,"Valid Contract")</f>
        <v>Valid Contract</v>
      </c>
      <c r="W1922" s="18" t="s">
        <v>18</v>
      </c>
      <c r="X1922" s="18" t="s">
        <v>3292</v>
      </c>
      <c r="Y1922" s="35" t="s">
        <v>3293</v>
      </c>
      <c r="Z1922" s="27" t="s">
        <v>3294</v>
      </c>
      <c r="AA1922" s="36"/>
      <c r="AB1922" s="123"/>
      <c r="AC1922" s="123"/>
    </row>
    <row r="1923" spans="1:29" s="11" customFormat="1" hidden="1" x14ac:dyDescent="0.3">
      <c r="A1923" s="18" t="s">
        <v>3295</v>
      </c>
      <c r="B1923" s="18" t="s">
        <v>279</v>
      </c>
      <c r="C1923" s="18" t="s">
        <v>3296</v>
      </c>
      <c r="D1923" s="20" t="s">
        <v>545</v>
      </c>
      <c r="E1923" s="18" t="s">
        <v>10</v>
      </c>
      <c r="F1923" s="20" t="s">
        <v>688</v>
      </c>
      <c r="G1923" s="20" t="s">
        <v>518</v>
      </c>
      <c r="H1923" s="18" t="s">
        <v>2</v>
      </c>
      <c r="I1923" s="20" t="s">
        <v>134</v>
      </c>
      <c r="J1923" s="14">
        <v>5</v>
      </c>
      <c r="K1923" s="18" t="s">
        <v>3297</v>
      </c>
      <c r="L1923" s="18"/>
      <c r="M1923" s="20">
        <v>1</v>
      </c>
      <c r="N1923" s="15">
        <v>270000</v>
      </c>
      <c r="O1923" s="15">
        <f t="shared" si="75"/>
        <v>270000</v>
      </c>
      <c r="P1923" s="15"/>
      <c r="Q1923" s="14" t="s">
        <v>520</v>
      </c>
      <c r="R1923" s="25">
        <v>45869</v>
      </c>
      <c r="S1923" s="34" t="str">
        <f>TEXT(Table1[[#This Row],[End Date]],"MMMM")</f>
        <v>July</v>
      </c>
      <c r="T1923" s="34" t="str">
        <f>TEXT(Table1[[#This Row],[End Date]],"YYYY")</f>
        <v>2025</v>
      </c>
      <c r="U1923" s="28">
        <f t="shared" ca="1" si="74"/>
        <v>-736</v>
      </c>
      <c r="V1923" s="14" t="str" cm="1">
        <f t="array" aca="1" ref="V1923" ca="1">_xlfn.IFS(Table1[[#This Row],[Agreement Days]]&gt;=0,"Expired",Table1[[#This Row],[Agreement Days]]&gt;=-30,"Expires &lt; 30 Days",Table1[[#This Row],[Agreement Days]]&gt;=-60,"Expires &lt; 60 Days",Table1[[#This Row],[Agreement Days]]&lt;-60,"Valid Contract")</f>
        <v>Valid Contract</v>
      </c>
      <c r="W1923" s="18" t="s">
        <v>18</v>
      </c>
      <c r="X1923" s="18" t="s">
        <v>3298</v>
      </c>
      <c r="Y1923" s="42" t="s">
        <v>3299</v>
      </c>
      <c r="Z1923" s="27" t="s">
        <v>3300</v>
      </c>
      <c r="AA1923" s="27"/>
      <c r="AB1923" s="123"/>
      <c r="AC1923" s="123"/>
    </row>
    <row r="1924" spans="1:29" s="11" customFormat="1" hidden="1" x14ac:dyDescent="0.3">
      <c r="A1924" s="18" t="s">
        <v>3295</v>
      </c>
      <c r="B1924" s="18" t="s">
        <v>279</v>
      </c>
      <c r="C1924" s="18" t="s">
        <v>544</v>
      </c>
      <c r="D1924" s="20" t="s">
        <v>540</v>
      </c>
      <c r="E1924" s="18" t="s">
        <v>10</v>
      </c>
      <c r="F1924" s="20" t="s">
        <v>688</v>
      </c>
      <c r="G1924" s="20" t="s">
        <v>518</v>
      </c>
      <c r="H1924" s="18" t="s">
        <v>2</v>
      </c>
      <c r="I1924" s="20" t="s">
        <v>134</v>
      </c>
      <c r="J1924" s="20">
        <v>5</v>
      </c>
      <c r="K1924" s="18" t="s">
        <v>622</v>
      </c>
      <c r="L1924" s="18"/>
      <c r="M1924" s="20">
        <v>1</v>
      </c>
      <c r="N1924" s="15">
        <v>270000</v>
      </c>
      <c r="O1924" s="15">
        <f t="shared" si="75"/>
        <v>270000</v>
      </c>
      <c r="P1924" s="15"/>
      <c r="Q1924" s="14" t="s">
        <v>520</v>
      </c>
      <c r="R1924" s="25">
        <v>45869</v>
      </c>
      <c r="S1924" s="34" t="str">
        <f>TEXT(Table1[[#This Row],[End Date]],"MMMM")</f>
        <v>July</v>
      </c>
      <c r="T1924" s="34" t="str">
        <f>TEXT(Table1[[#This Row],[End Date]],"YYYY")</f>
        <v>2025</v>
      </c>
      <c r="U1924" s="28">
        <f t="shared" ca="1" si="74"/>
        <v>-736</v>
      </c>
      <c r="V1924" s="14" t="str" cm="1">
        <f t="array" aca="1" ref="V1924" ca="1">_xlfn.IFS(Table1[[#This Row],[Agreement Days]]&gt;=0,"Expired",Table1[[#This Row],[Agreement Days]]&gt;=-30,"Expires &lt; 30 Days",Table1[[#This Row],[Agreement Days]]&gt;=-60,"Expires &lt; 60 Days",Table1[[#This Row],[Agreement Days]]&lt;-60,"Valid Contract")</f>
        <v>Valid Contract</v>
      </c>
      <c r="W1924" s="18" t="s">
        <v>18</v>
      </c>
      <c r="X1924" s="18" t="s">
        <v>3298</v>
      </c>
      <c r="Y1924" s="42" t="s">
        <v>3299</v>
      </c>
      <c r="Z1924" s="27" t="s">
        <v>3300</v>
      </c>
      <c r="AA1924" s="36"/>
      <c r="AB1924" s="123"/>
      <c r="AC1924" s="123"/>
    </row>
    <row r="1925" spans="1:29" s="11" customFormat="1" hidden="1" x14ac:dyDescent="0.3">
      <c r="A1925" s="18" t="s">
        <v>3295</v>
      </c>
      <c r="B1925" s="18" t="s">
        <v>279</v>
      </c>
      <c r="C1925" s="18" t="s">
        <v>3301</v>
      </c>
      <c r="D1925" s="20" t="s">
        <v>545</v>
      </c>
      <c r="E1925" s="18" t="s">
        <v>10</v>
      </c>
      <c r="F1925" s="20" t="s">
        <v>688</v>
      </c>
      <c r="G1925" s="20" t="s">
        <v>518</v>
      </c>
      <c r="H1925" s="18" t="s">
        <v>5</v>
      </c>
      <c r="I1925" s="20" t="s">
        <v>115</v>
      </c>
      <c r="J1925" s="18"/>
      <c r="K1925" s="18" t="s">
        <v>3302</v>
      </c>
      <c r="L1925" s="18"/>
      <c r="M1925" s="20">
        <v>1</v>
      </c>
      <c r="N1925" s="15">
        <v>54237.29</v>
      </c>
      <c r="O1925" s="15">
        <f t="shared" si="75"/>
        <v>54237.29</v>
      </c>
      <c r="P1925" s="15"/>
      <c r="Q1925" s="14" t="s">
        <v>520</v>
      </c>
      <c r="R1925" s="25">
        <v>45869</v>
      </c>
      <c r="S1925" s="34" t="str">
        <f>TEXT(Table1[[#This Row],[End Date]],"MMMM")</f>
        <v>July</v>
      </c>
      <c r="T1925" s="34" t="str">
        <f>TEXT(Table1[[#This Row],[End Date]],"YYYY")</f>
        <v>2025</v>
      </c>
      <c r="U1925" s="28">
        <f t="shared" ca="1" si="74"/>
        <v>-736</v>
      </c>
      <c r="V1925" s="14" t="str" cm="1">
        <f t="array" aca="1" ref="V1925" ca="1">_xlfn.IFS(Table1[[#This Row],[Agreement Days]]&gt;=0,"Expired",Table1[[#This Row],[Agreement Days]]&gt;=-30,"Expires &lt; 30 Days",Table1[[#This Row],[Agreement Days]]&gt;=-60,"Expires &lt; 60 Days",Table1[[#This Row],[Agreement Days]]&lt;-60,"Valid Contract")</f>
        <v>Valid Contract</v>
      </c>
      <c r="W1925" s="18" t="s">
        <v>18</v>
      </c>
      <c r="X1925" s="18" t="s">
        <v>3298</v>
      </c>
      <c r="Y1925" s="42" t="s">
        <v>3299</v>
      </c>
      <c r="Z1925" s="27" t="s">
        <v>3300</v>
      </c>
      <c r="AA1925" s="27"/>
      <c r="AB1925" s="123"/>
      <c r="AC1925" s="123"/>
    </row>
    <row r="1926" spans="1:29" s="11" customFormat="1" hidden="1" x14ac:dyDescent="0.3">
      <c r="A1926" s="18" t="s">
        <v>3295</v>
      </c>
      <c r="B1926" s="18" t="s">
        <v>279</v>
      </c>
      <c r="C1926" s="18" t="s">
        <v>3303</v>
      </c>
      <c r="D1926" s="20" t="s">
        <v>545</v>
      </c>
      <c r="E1926" s="18" t="s">
        <v>10</v>
      </c>
      <c r="F1926" s="20" t="s">
        <v>688</v>
      </c>
      <c r="G1926" s="20" t="s">
        <v>518</v>
      </c>
      <c r="H1926" s="18" t="s">
        <v>5</v>
      </c>
      <c r="I1926" s="20" t="s">
        <v>115</v>
      </c>
      <c r="J1926" s="18"/>
      <c r="K1926" s="18" t="s">
        <v>642</v>
      </c>
      <c r="L1926" s="18"/>
      <c r="M1926" s="20">
        <v>1</v>
      </c>
      <c r="N1926" s="15">
        <v>101694.92</v>
      </c>
      <c r="O1926" s="15">
        <f t="shared" si="75"/>
        <v>101694.92</v>
      </c>
      <c r="P1926" s="15"/>
      <c r="Q1926" s="14" t="s">
        <v>520</v>
      </c>
      <c r="R1926" s="25">
        <v>45869</v>
      </c>
      <c r="S1926" s="34" t="str">
        <f>TEXT(Table1[[#This Row],[End Date]],"MMMM")</f>
        <v>July</v>
      </c>
      <c r="T1926" s="34" t="str">
        <f>TEXT(Table1[[#This Row],[End Date]],"YYYY")</f>
        <v>2025</v>
      </c>
      <c r="U1926" s="28">
        <f t="shared" ca="1" si="74"/>
        <v>-736</v>
      </c>
      <c r="V1926" s="14" t="str" cm="1">
        <f t="array" aca="1" ref="V1926" ca="1">_xlfn.IFS(Table1[[#This Row],[Agreement Days]]&gt;=0,"Expired",Table1[[#This Row],[Agreement Days]]&gt;=-30,"Expires &lt; 30 Days",Table1[[#This Row],[Agreement Days]]&gt;=-60,"Expires &lt; 60 Days",Table1[[#This Row],[Agreement Days]]&lt;-60,"Valid Contract")</f>
        <v>Valid Contract</v>
      </c>
      <c r="W1926" s="18" t="s">
        <v>18</v>
      </c>
      <c r="X1926" s="18" t="s">
        <v>3298</v>
      </c>
      <c r="Y1926" s="42" t="s">
        <v>3299</v>
      </c>
      <c r="Z1926" s="27" t="s">
        <v>3300</v>
      </c>
      <c r="AA1926" s="27"/>
      <c r="AB1926" s="123"/>
      <c r="AC1926" s="123"/>
    </row>
    <row r="1927" spans="1:29" s="11" customFormat="1" hidden="1" x14ac:dyDescent="0.3">
      <c r="A1927" s="18" t="s">
        <v>3295</v>
      </c>
      <c r="B1927" s="18" t="s">
        <v>279</v>
      </c>
      <c r="C1927" s="18" t="s">
        <v>3304</v>
      </c>
      <c r="D1927" s="20" t="s">
        <v>545</v>
      </c>
      <c r="E1927" s="18" t="s">
        <v>10</v>
      </c>
      <c r="F1927" s="20" t="s">
        <v>688</v>
      </c>
      <c r="G1927" s="20" t="s">
        <v>518</v>
      </c>
      <c r="H1927" s="18" t="s">
        <v>5</v>
      </c>
      <c r="I1927" s="20" t="s">
        <v>115</v>
      </c>
      <c r="J1927" s="18"/>
      <c r="K1927" s="18" t="s">
        <v>642</v>
      </c>
      <c r="L1927" s="18"/>
      <c r="M1927" s="20">
        <v>1</v>
      </c>
      <c r="N1927" s="15">
        <v>101694.92</v>
      </c>
      <c r="O1927" s="15">
        <f t="shared" si="75"/>
        <v>101694.92</v>
      </c>
      <c r="P1927" s="15"/>
      <c r="Q1927" s="14" t="s">
        <v>520</v>
      </c>
      <c r="R1927" s="25">
        <v>45869</v>
      </c>
      <c r="S1927" s="34" t="str">
        <f>TEXT(Table1[[#This Row],[End Date]],"MMMM")</f>
        <v>July</v>
      </c>
      <c r="T1927" s="34" t="str">
        <f>TEXT(Table1[[#This Row],[End Date]],"YYYY")</f>
        <v>2025</v>
      </c>
      <c r="U1927" s="28">
        <f t="shared" ref="U1927:U1990" ca="1" si="76">TODAY()-R1927</f>
        <v>-736</v>
      </c>
      <c r="V1927" s="14" t="str" cm="1">
        <f t="array" aca="1" ref="V1927" ca="1">_xlfn.IFS(Table1[[#This Row],[Agreement Days]]&gt;=0,"Expired",Table1[[#This Row],[Agreement Days]]&gt;=-30,"Expires &lt; 30 Days",Table1[[#This Row],[Agreement Days]]&gt;=-60,"Expires &lt; 60 Days",Table1[[#This Row],[Agreement Days]]&lt;-60,"Valid Contract")</f>
        <v>Valid Contract</v>
      </c>
      <c r="W1927" s="18" t="s">
        <v>18</v>
      </c>
      <c r="X1927" s="18" t="s">
        <v>3298</v>
      </c>
      <c r="Y1927" s="42" t="s">
        <v>3299</v>
      </c>
      <c r="Z1927" s="27" t="s">
        <v>3300</v>
      </c>
      <c r="AA1927" s="27"/>
      <c r="AB1927" s="123"/>
      <c r="AC1927" s="123"/>
    </row>
    <row r="1928" spans="1:29" s="11" customFormat="1" hidden="1" x14ac:dyDescent="0.3">
      <c r="A1928" s="18" t="s">
        <v>3295</v>
      </c>
      <c r="B1928" s="18" t="s">
        <v>279</v>
      </c>
      <c r="C1928" s="18" t="s">
        <v>544</v>
      </c>
      <c r="D1928" s="20" t="s">
        <v>540</v>
      </c>
      <c r="E1928" s="18" t="s">
        <v>10</v>
      </c>
      <c r="F1928" s="20" t="s">
        <v>688</v>
      </c>
      <c r="G1928" s="20" t="s">
        <v>518</v>
      </c>
      <c r="H1928" s="18" t="s">
        <v>5</v>
      </c>
      <c r="I1928" s="20" t="s">
        <v>115</v>
      </c>
      <c r="J1928" s="18"/>
      <c r="K1928" s="18" t="s">
        <v>642</v>
      </c>
      <c r="L1928" s="18"/>
      <c r="M1928" s="20">
        <v>1</v>
      </c>
      <c r="N1928" s="15">
        <v>101694.92</v>
      </c>
      <c r="O1928" s="15">
        <f t="shared" si="75"/>
        <v>101694.92</v>
      </c>
      <c r="P1928" s="15"/>
      <c r="Q1928" s="14" t="s">
        <v>520</v>
      </c>
      <c r="R1928" s="25">
        <v>45869</v>
      </c>
      <c r="S1928" s="34" t="str">
        <f>TEXT(Table1[[#This Row],[End Date]],"MMMM")</f>
        <v>July</v>
      </c>
      <c r="T1928" s="34" t="str">
        <f>TEXT(Table1[[#This Row],[End Date]],"YYYY")</f>
        <v>2025</v>
      </c>
      <c r="U1928" s="28">
        <f t="shared" ca="1" si="76"/>
        <v>-736</v>
      </c>
      <c r="V1928" s="14" t="str" cm="1">
        <f t="array" aca="1" ref="V1928" ca="1">_xlfn.IFS(Table1[[#This Row],[Agreement Days]]&gt;=0,"Expired",Table1[[#This Row],[Agreement Days]]&gt;=-30,"Expires &lt; 30 Days",Table1[[#This Row],[Agreement Days]]&gt;=-60,"Expires &lt; 60 Days",Table1[[#This Row],[Agreement Days]]&lt;-60,"Valid Contract")</f>
        <v>Valid Contract</v>
      </c>
      <c r="W1928" s="18" t="s">
        <v>18</v>
      </c>
      <c r="X1928" s="18" t="s">
        <v>3298</v>
      </c>
      <c r="Y1928" s="42" t="s">
        <v>3299</v>
      </c>
      <c r="Z1928" s="27" t="s">
        <v>3300</v>
      </c>
      <c r="AA1928" s="27"/>
      <c r="AB1928" s="123"/>
      <c r="AC1928" s="123"/>
    </row>
    <row r="1929" spans="1:29" s="11" customFormat="1" hidden="1" x14ac:dyDescent="0.3">
      <c r="A1929" s="18" t="s">
        <v>3295</v>
      </c>
      <c r="B1929" s="18" t="s">
        <v>279</v>
      </c>
      <c r="C1929" s="18" t="s">
        <v>3305</v>
      </c>
      <c r="D1929" s="20" t="s">
        <v>540</v>
      </c>
      <c r="E1929" s="18" t="s">
        <v>10</v>
      </c>
      <c r="F1929" s="20" t="s">
        <v>688</v>
      </c>
      <c r="G1929" s="20" t="s">
        <v>518</v>
      </c>
      <c r="H1929" s="18" t="s">
        <v>5</v>
      </c>
      <c r="I1929" s="20" t="s">
        <v>115</v>
      </c>
      <c r="J1929" s="18"/>
      <c r="K1929" s="18" t="s">
        <v>642</v>
      </c>
      <c r="L1929" s="18"/>
      <c r="M1929" s="20">
        <v>1</v>
      </c>
      <c r="N1929" s="15">
        <v>101694.92</v>
      </c>
      <c r="O1929" s="15">
        <f t="shared" si="75"/>
        <v>101694.92</v>
      </c>
      <c r="P1929" s="15"/>
      <c r="Q1929" s="14" t="s">
        <v>520</v>
      </c>
      <c r="R1929" s="25">
        <v>45869</v>
      </c>
      <c r="S1929" s="34" t="str">
        <f>TEXT(Table1[[#This Row],[End Date]],"MMMM")</f>
        <v>July</v>
      </c>
      <c r="T1929" s="34" t="str">
        <f>TEXT(Table1[[#This Row],[End Date]],"YYYY")</f>
        <v>2025</v>
      </c>
      <c r="U1929" s="28">
        <f t="shared" ca="1" si="76"/>
        <v>-736</v>
      </c>
      <c r="V1929" s="14" t="str" cm="1">
        <f t="array" aca="1" ref="V1929" ca="1">_xlfn.IFS(Table1[[#This Row],[Agreement Days]]&gt;=0,"Expired",Table1[[#This Row],[Agreement Days]]&gt;=-30,"Expires &lt; 30 Days",Table1[[#This Row],[Agreement Days]]&gt;=-60,"Expires &lt; 60 Days",Table1[[#This Row],[Agreement Days]]&lt;-60,"Valid Contract")</f>
        <v>Valid Contract</v>
      </c>
      <c r="W1929" s="18" t="s">
        <v>18</v>
      </c>
      <c r="X1929" s="18" t="s">
        <v>3298</v>
      </c>
      <c r="Y1929" s="42" t="s">
        <v>3299</v>
      </c>
      <c r="Z1929" s="27" t="s">
        <v>3300</v>
      </c>
      <c r="AA1929" s="27"/>
      <c r="AB1929" s="123"/>
      <c r="AC1929" s="123"/>
    </row>
    <row r="1930" spans="1:29" s="11" customFormat="1" hidden="1" x14ac:dyDescent="0.3">
      <c r="A1930" s="18" t="s">
        <v>3295</v>
      </c>
      <c r="B1930" s="18" t="s">
        <v>279</v>
      </c>
      <c r="C1930" s="18" t="s">
        <v>3306</v>
      </c>
      <c r="D1930" s="20" t="s">
        <v>653</v>
      </c>
      <c r="E1930" s="18" t="s">
        <v>10</v>
      </c>
      <c r="F1930" s="20" t="s">
        <v>688</v>
      </c>
      <c r="G1930" s="20" t="s">
        <v>518</v>
      </c>
      <c r="H1930" s="18" t="s">
        <v>5</v>
      </c>
      <c r="I1930" s="20" t="s">
        <v>115</v>
      </c>
      <c r="J1930" s="18"/>
      <c r="K1930" s="18" t="s">
        <v>642</v>
      </c>
      <c r="L1930" s="18"/>
      <c r="M1930" s="20">
        <v>1</v>
      </c>
      <c r="N1930" s="15">
        <v>101694.92</v>
      </c>
      <c r="O1930" s="15">
        <f t="shared" si="75"/>
        <v>101694.92</v>
      </c>
      <c r="P1930" s="15"/>
      <c r="Q1930" s="14" t="s">
        <v>520</v>
      </c>
      <c r="R1930" s="25">
        <v>45869</v>
      </c>
      <c r="S1930" s="34" t="str">
        <f>TEXT(Table1[[#This Row],[End Date]],"MMMM")</f>
        <v>July</v>
      </c>
      <c r="T1930" s="34" t="str">
        <f>TEXT(Table1[[#This Row],[End Date]],"YYYY")</f>
        <v>2025</v>
      </c>
      <c r="U1930" s="24">
        <f t="shared" ca="1" si="76"/>
        <v>-736</v>
      </c>
      <c r="V1930" s="14" t="str" cm="1">
        <f t="array" aca="1" ref="V1930" ca="1">_xlfn.IFS(Table1[[#This Row],[Agreement Days]]&gt;=0,"Expired",Table1[[#This Row],[Agreement Days]]&gt;=-30,"Expires &lt; 30 Days",Table1[[#This Row],[Agreement Days]]&gt;=-60,"Expires &lt; 60 Days",Table1[[#This Row],[Agreement Days]]&lt;-60,"Valid Contract")</f>
        <v>Valid Contract</v>
      </c>
      <c r="W1930" s="18" t="s">
        <v>18</v>
      </c>
      <c r="X1930" s="18" t="s">
        <v>3298</v>
      </c>
      <c r="Y1930" s="42" t="s">
        <v>3299</v>
      </c>
      <c r="Z1930" s="27" t="s">
        <v>3300</v>
      </c>
      <c r="AA1930" s="27"/>
      <c r="AB1930" s="123"/>
      <c r="AC1930" s="123"/>
    </row>
    <row r="1931" spans="1:29" s="11" customFormat="1" hidden="1" x14ac:dyDescent="0.3">
      <c r="A1931" s="18" t="s">
        <v>3295</v>
      </c>
      <c r="B1931" s="18" t="s">
        <v>279</v>
      </c>
      <c r="C1931" s="18" t="s">
        <v>3307</v>
      </c>
      <c r="D1931" s="20" t="s">
        <v>653</v>
      </c>
      <c r="E1931" s="18" t="s">
        <v>10</v>
      </c>
      <c r="F1931" s="20" t="s">
        <v>688</v>
      </c>
      <c r="G1931" s="20" t="s">
        <v>518</v>
      </c>
      <c r="H1931" s="18" t="s">
        <v>5</v>
      </c>
      <c r="I1931" s="20" t="s">
        <v>115</v>
      </c>
      <c r="J1931" s="18"/>
      <c r="K1931" s="18" t="s">
        <v>642</v>
      </c>
      <c r="L1931" s="18"/>
      <c r="M1931" s="20">
        <v>1</v>
      </c>
      <c r="N1931" s="15">
        <v>101694.92</v>
      </c>
      <c r="O1931" s="15">
        <f t="shared" si="75"/>
        <v>101694.92</v>
      </c>
      <c r="P1931" s="15"/>
      <c r="Q1931" s="14" t="s">
        <v>520</v>
      </c>
      <c r="R1931" s="25">
        <v>45869</v>
      </c>
      <c r="S1931" s="34" t="str">
        <f>TEXT(Table1[[#This Row],[End Date]],"MMMM")</f>
        <v>July</v>
      </c>
      <c r="T1931" s="34" t="str">
        <f>TEXT(Table1[[#This Row],[End Date]],"YYYY")</f>
        <v>2025</v>
      </c>
      <c r="U1931" s="24">
        <f t="shared" ca="1" si="76"/>
        <v>-736</v>
      </c>
      <c r="V1931" s="14" t="str" cm="1">
        <f t="array" aca="1" ref="V1931" ca="1">_xlfn.IFS(Table1[[#This Row],[Agreement Days]]&gt;=0,"Expired",Table1[[#This Row],[Agreement Days]]&gt;=-30,"Expires &lt; 30 Days",Table1[[#This Row],[Agreement Days]]&gt;=-60,"Expires &lt; 60 Days",Table1[[#This Row],[Agreement Days]]&lt;-60,"Valid Contract")</f>
        <v>Valid Contract</v>
      </c>
      <c r="W1931" s="18" t="s">
        <v>18</v>
      </c>
      <c r="X1931" s="18" t="s">
        <v>3298</v>
      </c>
      <c r="Y1931" s="42" t="s">
        <v>3299</v>
      </c>
      <c r="Z1931" s="27" t="s">
        <v>3300</v>
      </c>
      <c r="AA1931" s="27"/>
      <c r="AB1931" s="123"/>
      <c r="AC1931" s="123"/>
    </row>
    <row r="1932" spans="1:29" s="11" customFormat="1" hidden="1" x14ac:dyDescent="0.3">
      <c r="A1932" s="18" t="s">
        <v>3308</v>
      </c>
      <c r="B1932" s="18" t="s">
        <v>456</v>
      </c>
      <c r="C1932" s="18" t="s">
        <v>544</v>
      </c>
      <c r="D1932" s="14" t="s">
        <v>1280</v>
      </c>
      <c r="E1932" s="18" t="s">
        <v>9</v>
      </c>
      <c r="F1932" s="14" t="s">
        <v>517</v>
      </c>
      <c r="G1932" s="14" t="s">
        <v>518</v>
      </c>
      <c r="H1932" s="18" t="s">
        <v>5</v>
      </c>
      <c r="I1932" s="14" t="s">
        <v>115</v>
      </c>
      <c r="J1932" s="18"/>
      <c r="K1932" s="18" t="s">
        <v>651</v>
      </c>
      <c r="L1932" s="18"/>
      <c r="M1932" s="14">
        <v>1</v>
      </c>
      <c r="N1932" s="15">
        <f>96000/1.18</f>
        <v>81355.932203389835</v>
      </c>
      <c r="O1932" s="15">
        <f t="shared" si="75"/>
        <v>81355.932203389835</v>
      </c>
      <c r="P1932" s="15"/>
      <c r="Q1932" s="14" t="s">
        <v>520</v>
      </c>
      <c r="R1932" s="25">
        <v>45891</v>
      </c>
      <c r="S1932" s="34" t="str">
        <f>TEXT(Table1[[#This Row],[End Date]],"MMMM")</f>
        <v>August</v>
      </c>
      <c r="T1932" s="34" t="str">
        <f>TEXT(Table1[[#This Row],[End Date]],"YYYY")</f>
        <v>2025</v>
      </c>
      <c r="U1932" s="24">
        <f t="shared" ca="1" si="76"/>
        <v>-758</v>
      </c>
      <c r="V1932" s="14" t="str" cm="1">
        <f t="array" aca="1" ref="V1932" ca="1">_xlfn.IFS(Table1[[#This Row],[Agreement Days]]&gt;=0,"Expired",Table1[[#This Row],[Agreement Days]]&gt;=-30,"Expires &lt; 30 Days",Table1[[#This Row],[Agreement Days]]&gt;=-60,"Expires &lt; 60 Days",Table1[[#This Row],[Agreement Days]]&lt;-60,"Valid Contract")</f>
        <v>Valid Contract</v>
      </c>
      <c r="W1932" s="18" t="s">
        <v>18</v>
      </c>
      <c r="X1932" s="18" t="s">
        <v>3278</v>
      </c>
      <c r="Y1932" s="35" t="s">
        <v>3279</v>
      </c>
      <c r="Z1932" s="27" t="s">
        <v>3280</v>
      </c>
      <c r="AA1932" s="27"/>
      <c r="AB1932" s="123"/>
      <c r="AC1932" s="123"/>
    </row>
    <row r="1933" spans="1:29" s="11" customFormat="1" hidden="1" x14ac:dyDescent="0.3">
      <c r="A1933" s="18" t="s">
        <v>3309</v>
      </c>
      <c r="B1933" s="18" t="s">
        <v>202</v>
      </c>
      <c r="C1933" s="18" t="s">
        <v>3310</v>
      </c>
      <c r="D1933" s="14" t="s">
        <v>1280</v>
      </c>
      <c r="E1933" s="18" t="s">
        <v>9</v>
      </c>
      <c r="F1933" s="14" t="s">
        <v>517</v>
      </c>
      <c r="G1933" s="14" t="s">
        <v>518</v>
      </c>
      <c r="H1933" s="18" t="s">
        <v>5</v>
      </c>
      <c r="I1933" s="14" t="s">
        <v>115</v>
      </c>
      <c r="J1933" s="18"/>
      <c r="K1933" s="18" t="s">
        <v>642</v>
      </c>
      <c r="L1933" s="18"/>
      <c r="M1933" s="14">
        <v>1</v>
      </c>
      <c r="N1933" s="15">
        <f>120000/1.18</f>
        <v>101694.91525423729</v>
      </c>
      <c r="O1933" s="15">
        <f t="shared" si="75"/>
        <v>101694.91525423729</v>
      </c>
      <c r="P1933" s="15"/>
      <c r="Q1933" s="14" t="s">
        <v>520</v>
      </c>
      <c r="R1933" s="25">
        <v>45900</v>
      </c>
      <c r="S1933" s="34" t="str">
        <f>TEXT(Table1[[#This Row],[End Date]],"MMMM")</f>
        <v>August</v>
      </c>
      <c r="T1933" s="34" t="str">
        <f>TEXT(Table1[[#This Row],[End Date]],"YYYY")</f>
        <v>2025</v>
      </c>
      <c r="U1933" s="24">
        <f t="shared" ca="1" si="76"/>
        <v>-767</v>
      </c>
      <c r="V1933" s="14" t="str" cm="1">
        <f t="array" aca="1" ref="V1933" ca="1">_xlfn.IFS(Table1[[#This Row],[Agreement Days]]&gt;=0,"Expired",Table1[[#This Row],[Agreement Days]]&gt;=-30,"Expires &lt; 30 Days",Table1[[#This Row],[Agreement Days]]&gt;=-60,"Expires &lt; 60 Days",Table1[[#This Row],[Agreement Days]]&lt;-60,"Valid Contract")</f>
        <v>Valid Contract</v>
      </c>
      <c r="W1933" s="18" t="s">
        <v>18</v>
      </c>
      <c r="X1933" s="18" t="s">
        <v>3311</v>
      </c>
      <c r="Y1933" s="35" t="s">
        <v>3279</v>
      </c>
      <c r="Z1933" s="27" t="s">
        <v>3280</v>
      </c>
      <c r="AA1933" s="27"/>
      <c r="AB1933" s="123"/>
      <c r="AC1933" s="123"/>
    </row>
    <row r="1934" spans="1:29" s="11" customFormat="1" hidden="1" x14ac:dyDescent="0.3">
      <c r="A1934" s="18" t="s">
        <v>3309</v>
      </c>
      <c r="B1934" s="18" t="s">
        <v>202</v>
      </c>
      <c r="C1934" s="18" t="s">
        <v>544</v>
      </c>
      <c r="D1934" s="14" t="s">
        <v>1280</v>
      </c>
      <c r="E1934" s="18" t="s">
        <v>9</v>
      </c>
      <c r="F1934" s="14" t="s">
        <v>517</v>
      </c>
      <c r="G1934" s="14" t="s">
        <v>518</v>
      </c>
      <c r="H1934" s="18" t="s">
        <v>5</v>
      </c>
      <c r="I1934" s="14" t="s">
        <v>115</v>
      </c>
      <c r="J1934" s="18"/>
      <c r="K1934" s="18" t="s">
        <v>651</v>
      </c>
      <c r="L1934" s="18"/>
      <c r="M1934" s="14">
        <v>4</v>
      </c>
      <c r="N1934" s="15">
        <f>96000/1.18</f>
        <v>81355.932203389835</v>
      </c>
      <c r="O1934" s="15">
        <f t="shared" ref="O1934:O1997" si="77">N1934*M1934</f>
        <v>325423.72881355934</v>
      </c>
      <c r="P1934" s="15"/>
      <c r="Q1934" s="14" t="s">
        <v>520</v>
      </c>
      <c r="R1934" s="25">
        <v>45900</v>
      </c>
      <c r="S1934" s="34" t="str">
        <f>TEXT(Table1[[#This Row],[End Date]],"MMMM")</f>
        <v>August</v>
      </c>
      <c r="T1934" s="34" t="str">
        <f>TEXT(Table1[[#This Row],[End Date]],"YYYY")</f>
        <v>2025</v>
      </c>
      <c r="U1934" s="24">
        <f t="shared" ca="1" si="76"/>
        <v>-767</v>
      </c>
      <c r="V1934" s="14" t="str" cm="1">
        <f t="array" aca="1" ref="V1934" ca="1">_xlfn.IFS(Table1[[#This Row],[Agreement Days]]&gt;=0,"Expired",Table1[[#This Row],[Agreement Days]]&gt;=-30,"Expires &lt; 30 Days",Table1[[#This Row],[Agreement Days]]&gt;=-60,"Expires &lt; 60 Days",Table1[[#This Row],[Agreement Days]]&lt;-60,"Valid Contract")</f>
        <v>Valid Contract</v>
      </c>
      <c r="W1934" s="18" t="s">
        <v>18</v>
      </c>
      <c r="X1934" s="18" t="s">
        <v>3311</v>
      </c>
      <c r="Y1934" s="35" t="s">
        <v>3279</v>
      </c>
      <c r="Z1934" s="27" t="s">
        <v>3280</v>
      </c>
      <c r="AA1934" s="27"/>
      <c r="AB1934" s="123"/>
      <c r="AC1934" s="123"/>
    </row>
    <row r="1935" spans="1:29" s="11" customFormat="1" hidden="1" x14ac:dyDescent="0.3">
      <c r="A1935" s="18" t="s">
        <v>3309</v>
      </c>
      <c r="B1935" s="18" t="s">
        <v>202</v>
      </c>
      <c r="C1935" s="18" t="s">
        <v>544</v>
      </c>
      <c r="D1935" s="14" t="s">
        <v>1280</v>
      </c>
      <c r="E1935" s="18" t="s">
        <v>9</v>
      </c>
      <c r="F1935" s="14" t="s">
        <v>517</v>
      </c>
      <c r="G1935" s="14" t="s">
        <v>518</v>
      </c>
      <c r="H1935" s="18" t="s">
        <v>5</v>
      </c>
      <c r="I1935" s="14" t="s">
        <v>115</v>
      </c>
      <c r="J1935" s="18"/>
      <c r="K1935" s="18" t="s">
        <v>643</v>
      </c>
      <c r="L1935" s="18"/>
      <c r="M1935" s="14">
        <v>59</v>
      </c>
      <c r="N1935" s="15">
        <v>28305.08</v>
      </c>
      <c r="O1935" s="15">
        <f t="shared" si="77"/>
        <v>1669999.7200000002</v>
      </c>
      <c r="P1935" s="15"/>
      <c r="Q1935" s="14" t="s">
        <v>520</v>
      </c>
      <c r="R1935" s="25">
        <v>45900</v>
      </c>
      <c r="S1935" s="34" t="str">
        <f>TEXT(Table1[[#This Row],[End Date]],"MMMM")</f>
        <v>August</v>
      </c>
      <c r="T1935" s="34" t="str">
        <f>TEXT(Table1[[#This Row],[End Date]],"YYYY")</f>
        <v>2025</v>
      </c>
      <c r="U1935" s="24">
        <f t="shared" ca="1" si="76"/>
        <v>-767</v>
      </c>
      <c r="V1935" s="14" t="str" cm="1">
        <f t="array" aca="1" ref="V1935" ca="1">_xlfn.IFS(Table1[[#This Row],[Agreement Days]]&gt;=0,"Expired",Table1[[#This Row],[Agreement Days]]&gt;=-30,"Expires &lt; 30 Days",Table1[[#This Row],[Agreement Days]]&gt;=-60,"Expires &lt; 60 Days",Table1[[#This Row],[Agreement Days]]&lt;-60,"Valid Contract")</f>
        <v>Valid Contract</v>
      </c>
      <c r="W1935" s="18" t="s">
        <v>18</v>
      </c>
      <c r="X1935" s="18" t="s">
        <v>3311</v>
      </c>
      <c r="Y1935" s="35" t="s">
        <v>3279</v>
      </c>
      <c r="Z1935" s="27" t="s">
        <v>3280</v>
      </c>
      <c r="AA1935" s="27"/>
      <c r="AB1935" s="123"/>
      <c r="AC1935" s="123"/>
    </row>
    <row r="1936" spans="1:29" s="11" customFormat="1" hidden="1" x14ac:dyDescent="0.3">
      <c r="A1936" s="18" t="s">
        <v>3312</v>
      </c>
      <c r="B1936" s="18" t="s">
        <v>256</v>
      </c>
      <c r="C1936" s="18" t="s">
        <v>3313</v>
      </c>
      <c r="D1936" s="14" t="s">
        <v>653</v>
      </c>
      <c r="E1936" s="18" t="s">
        <v>10</v>
      </c>
      <c r="F1936" s="14" t="s">
        <v>560</v>
      </c>
      <c r="G1936" s="14" t="s">
        <v>518</v>
      </c>
      <c r="H1936" s="18" t="s">
        <v>2</v>
      </c>
      <c r="I1936" s="14" t="s">
        <v>134</v>
      </c>
      <c r="J1936" s="14">
        <v>1</v>
      </c>
      <c r="K1936" s="14" t="s">
        <v>823</v>
      </c>
      <c r="L1936" s="14"/>
      <c r="M1936" s="14">
        <v>1</v>
      </c>
      <c r="N1936" s="15">
        <v>175390</v>
      </c>
      <c r="O1936" s="15">
        <f t="shared" si="77"/>
        <v>175390</v>
      </c>
      <c r="P1936" s="15"/>
      <c r="Q1936" s="14" t="s">
        <v>520</v>
      </c>
      <c r="R1936" s="21">
        <v>45900</v>
      </c>
      <c r="S1936" s="22" t="str">
        <f>TEXT(Table1[[#This Row],[End Date]],"MMMM")</f>
        <v>August</v>
      </c>
      <c r="T1936" s="23" t="str">
        <f>TEXT(Table1[[#This Row],[End Date]],"YYYY")</f>
        <v>2025</v>
      </c>
      <c r="U1936" s="24">
        <f t="shared" ca="1" si="76"/>
        <v>-767</v>
      </c>
      <c r="V1936" s="14" t="str" cm="1">
        <f t="array" aca="1" ref="V1936" ca="1">_xlfn.IFS(Table1[[#This Row],[Agreement Days]]&gt;=0,"Expired",Table1[[#This Row],[Agreement Days]]&gt;=-30,"Expires &lt; 30 Days",Table1[[#This Row],[Agreement Days]]&gt;=-60,"Expires &lt; 60 Days",Table1[[#This Row],[Agreement Days]]&lt;-60,"Valid Contract")</f>
        <v>Valid Contract</v>
      </c>
      <c r="W1936" s="14" t="s">
        <v>20</v>
      </c>
      <c r="X1936" s="55" t="s">
        <v>3314</v>
      </c>
      <c r="Y1936" s="16" t="s">
        <v>3315</v>
      </c>
      <c r="Z1936" s="27" t="s">
        <v>3316</v>
      </c>
      <c r="AA1936" s="19"/>
      <c r="AB1936" s="123"/>
      <c r="AC1936" s="123"/>
    </row>
    <row r="1937" spans="1:29" s="11" customFormat="1" hidden="1" x14ac:dyDescent="0.3">
      <c r="A1937" s="18" t="s">
        <v>3312</v>
      </c>
      <c r="B1937" s="18" t="s">
        <v>256</v>
      </c>
      <c r="C1937" s="18" t="s">
        <v>3313</v>
      </c>
      <c r="D1937" s="14" t="s">
        <v>653</v>
      </c>
      <c r="E1937" s="18" t="s">
        <v>10</v>
      </c>
      <c r="F1937" s="14" t="s">
        <v>560</v>
      </c>
      <c r="G1937" s="14" t="s">
        <v>518</v>
      </c>
      <c r="H1937" s="18" t="s">
        <v>2</v>
      </c>
      <c r="I1937" s="14" t="s">
        <v>134</v>
      </c>
      <c r="J1937" s="14">
        <v>23</v>
      </c>
      <c r="K1937" s="14" t="s">
        <v>3317</v>
      </c>
      <c r="L1937" s="14"/>
      <c r="M1937" s="14">
        <v>1</v>
      </c>
      <c r="N1937" s="15">
        <v>1490000</v>
      </c>
      <c r="O1937" s="15">
        <f t="shared" si="77"/>
        <v>1490000</v>
      </c>
      <c r="P1937" s="15"/>
      <c r="Q1937" s="14" t="s">
        <v>520</v>
      </c>
      <c r="R1937" s="21">
        <v>45900</v>
      </c>
      <c r="S1937" s="22" t="str">
        <f>TEXT(Table1[[#This Row],[End Date]],"MMMM")</f>
        <v>August</v>
      </c>
      <c r="T1937" s="23" t="str">
        <f>TEXT(Table1[[#This Row],[End Date]],"YYYY")</f>
        <v>2025</v>
      </c>
      <c r="U1937" s="24">
        <f t="shared" ca="1" si="76"/>
        <v>-767</v>
      </c>
      <c r="V1937" s="14" t="str" cm="1">
        <f t="array" aca="1" ref="V1937" ca="1">_xlfn.IFS(Table1[[#This Row],[Agreement Days]]&gt;=0,"Expired",Table1[[#This Row],[Agreement Days]]&gt;=-30,"Expires &lt; 30 Days",Table1[[#This Row],[Agreement Days]]&gt;=-60,"Expires &lt; 60 Days",Table1[[#This Row],[Agreement Days]]&lt;-60,"Valid Contract")</f>
        <v>Valid Contract</v>
      </c>
      <c r="W1937" s="14" t="s">
        <v>20</v>
      </c>
      <c r="X1937" s="55" t="s">
        <v>3314</v>
      </c>
      <c r="Y1937" s="16" t="s">
        <v>3315</v>
      </c>
      <c r="Z1937" s="27" t="s">
        <v>3316</v>
      </c>
      <c r="AA1937" s="19"/>
      <c r="AB1937" s="123"/>
      <c r="AC1937" s="123"/>
    </row>
    <row r="1938" spans="1:29" s="11" customFormat="1" hidden="1" x14ac:dyDescent="0.3">
      <c r="A1938" s="18" t="s">
        <v>1229</v>
      </c>
      <c r="B1938" s="18" t="s">
        <v>343</v>
      </c>
      <c r="C1938" s="18" t="s">
        <v>1230</v>
      </c>
      <c r="D1938" s="14" t="s">
        <v>579</v>
      </c>
      <c r="E1938" s="18" t="s">
        <v>9</v>
      </c>
      <c r="F1938" s="14" t="s">
        <v>688</v>
      </c>
      <c r="G1938" s="14" t="s">
        <v>518</v>
      </c>
      <c r="H1938" s="18" t="s">
        <v>5</v>
      </c>
      <c r="I1938" s="14" t="s">
        <v>117</v>
      </c>
      <c r="J1938" s="14">
        <v>10</v>
      </c>
      <c r="K1938" s="18" t="s">
        <v>547</v>
      </c>
      <c r="L1938" s="18"/>
      <c r="M1938" s="14">
        <v>1</v>
      </c>
      <c r="N1938" s="15">
        <v>510000</v>
      </c>
      <c r="O1938" s="15">
        <f t="shared" si="77"/>
        <v>510000</v>
      </c>
      <c r="P1938" s="15"/>
      <c r="Q1938" s="14" t="s">
        <v>520</v>
      </c>
      <c r="R1938" s="25">
        <v>45906</v>
      </c>
      <c r="S1938" s="34" t="str">
        <f>TEXT(Table1[[#This Row],[End Date]],"MMMM")</f>
        <v>September</v>
      </c>
      <c r="T1938" s="34" t="str">
        <f>TEXT(Table1[[#This Row],[End Date]],"YYYY")</f>
        <v>2025</v>
      </c>
      <c r="U1938" s="24">
        <f t="shared" ca="1" si="76"/>
        <v>-773</v>
      </c>
      <c r="V1938" s="14" t="str" cm="1">
        <f t="array" aca="1" ref="V1938" ca="1">_xlfn.IFS(Table1[[#This Row],[Agreement Days]]&gt;=0,"Expired",Table1[[#This Row],[Agreement Days]]&gt;=-30,"Expires &lt; 30 Days",Table1[[#This Row],[Agreement Days]]&gt;=-60,"Expires &lt; 60 Days",Table1[[#This Row],[Agreement Days]]&lt;-60,"Valid Contract")</f>
        <v>Valid Contract</v>
      </c>
      <c r="W1938" s="18" t="s">
        <v>21</v>
      </c>
      <c r="X1938" s="18" t="s">
        <v>1231</v>
      </c>
      <c r="Y1938" s="42" t="s">
        <v>1232</v>
      </c>
      <c r="Z1938" s="27">
        <v>782434307</v>
      </c>
      <c r="AA1938" s="27"/>
      <c r="AB1938" s="123"/>
      <c r="AC1938" s="123"/>
    </row>
    <row r="1939" spans="1:29" s="11" customFormat="1" hidden="1" x14ac:dyDescent="0.3">
      <c r="A1939" s="18" t="s">
        <v>3318</v>
      </c>
      <c r="B1939" s="18" t="s">
        <v>350</v>
      </c>
      <c r="C1939" s="18" t="s">
        <v>3319</v>
      </c>
      <c r="D1939" s="14" t="s">
        <v>545</v>
      </c>
      <c r="E1939" s="18" t="s">
        <v>9</v>
      </c>
      <c r="F1939" s="14" t="s">
        <v>2560</v>
      </c>
      <c r="G1939" s="14" t="s">
        <v>518</v>
      </c>
      <c r="H1939" s="18" t="s">
        <v>5</v>
      </c>
      <c r="I1939" s="14" t="s">
        <v>117</v>
      </c>
      <c r="J1939" s="14">
        <v>5</v>
      </c>
      <c r="K1939" s="14" t="s">
        <v>882</v>
      </c>
      <c r="L1939" s="14"/>
      <c r="M1939" s="14">
        <v>1</v>
      </c>
      <c r="N1939" s="15">
        <v>270000</v>
      </c>
      <c r="O1939" s="15">
        <f t="shared" si="77"/>
        <v>270000</v>
      </c>
      <c r="P1939" s="15"/>
      <c r="Q1939" s="14" t="s">
        <v>520</v>
      </c>
      <c r="R1939" s="21">
        <v>45910</v>
      </c>
      <c r="S1939" s="22" t="str">
        <f>TEXT(Table1[[#This Row],[End Date]],"MMMM")</f>
        <v>September</v>
      </c>
      <c r="T1939" s="23" t="str">
        <f>TEXT(Table1[[#This Row],[End Date]],"YYYY")</f>
        <v>2025</v>
      </c>
      <c r="U1939" s="24">
        <f t="shared" ca="1" si="76"/>
        <v>-777</v>
      </c>
      <c r="V1939" s="14" t="str" cm="1">
        <f t="array" aca="1" ref="V1939" ca="1">_xlfn.IFS(Table1[[#This Row],[Agreement Days]]&gt;=0,"Expired",Table1[[#This Row],[Agreement Days]]&gt;=-30,"Expires &lt; 30 Days",Table1[[#This Row],[Agreement Days]]&gt;=-60,"Expires &lt; 60 Days",Table1[[#This Row],[Agreement Days]]&lt;-60,"Valid Contract")</f>
        <v>Valid Contract</v>
      </c>
      <c r="W1939" s="14" t="s">
        <v>19</v>
      </c>
      <c r="X1939" s="14" t="s">
        <v>3320</v>
      </c>
      <c r="Y1939" s="43" t="s">
        <v>3321</v>
      </c>
      <c r="Z1939" s="27">
        <v>783820776</v>
      </c>
      <c r="AA1939" s="17"/>
      <c r="AB1939" s="123"/>
      <c r="AC1939" s="123"/>
    </row>
    <row r="1940" spans="1:29" s="11" customFormat="1" hidden="1" x14ac:dyDescent="0.3">
      <c r="A1940" s="18" t="s">
        <v>3318</v>
      </c>
      <c r="B1940" s="18" t="s">
        <v>350</v>
      </c>
      <c r="C1940" s="18" t="s">
        <v>350</v>
      </c>
      <c r="D1940" s="14" t="s">
        <v>540</v>
      </c>
      <c r="E1940" s="18" t="s">
        <v>9</v>
      </c>
      <c r="F1940" s="14" t="s">
        <v>2560</v>
      </c>
      <c r="G1940" s="14" t="s">
        <v>518</v>
      </c>
      <c r="H1940" s="18" t="s">
        <v>2</v>
      </c>
      <c r="I1940" s="14" t="s">
        <v>123</v>
      </c>
      <c r="J1940" s="14"/>
      <c r="K1940" s="14" t="s">
        <v>3322</v>
      </c>
      <c r="L1940" s="14"/>
      <c r="M1940" s="14">
        <v>1</v>
      </c>
      <c r="N1940" s="15">
        <v>45500</v>
      </c>
      <c r="O1940" s="15">
        <f t="shared" si="77"/>
        <v>45500</v>
      </c>
      <c r="P1940" s="15"/>
      <c r="Q1940" s="14" t="s">
        <v>520</v>
      </c>
      <c r="R1940" s="21">
        <v>45910</v>
      </c>
      <c r="S1940" s="22" t="str">
        <f>TEXT(Table1[[#This Row],[End Date]],"MMMM")</f>
        <v>September</v>
      </c>
      <c r="T1940" s="23" t="str">
        <f>TEXT(Table1[[#This Row],[End Date]],"YYYY")</f>
        <v>2025</v>
      </c>
      <c r="U1940" s="24">
        <f t="shared" ca="1" si="76"/>
        <v>-777</v>
      </c>
      <c r="V1940" s="14" t="str" cm="1">
        <f t="array" aca="1" ref="V1940" ca="1">_xlfn.IFS(Table1[[#This Row],[Agreement Days]]&gt;=0,"Expired",Table1[[#This Row],[Agreement Days]]&gt;=-30,"Expires &lt; 30 Days",Table1[[#This Row],[Agreement Days]]&gt;=-60,"Expires &lt; 60 Days",Table1[[#This Row],[Agreement Days]]&lt;-60,"Valid Contract")</f>
        <v>Valid Contract</v>
      </c>
      <c r="W1940" s="14" t="s">
        <v>19</v>
      </c>
      <c r="X1940" s="14" t="s">
        <v>3320</v>
      </c>
      <c r="Y1940" s="43" t="s">
        <v>3321</v>
      </c>
      <c r="Z1940" s="27">
        <v>783820776</v>
      </c>
      <c r="AA1940" s="17"/>
      <c r="AB1940" s="123"/>
      <c r="AC1940" s="123"/>
    </row>
    <row r="1941" spans="1:29" s="11" customFormat="1" hidden="1" x14ac:dyDescent="0.3">
      <c r="A1941" s="18" t="s">
        <v>3318</v>
      </c>
      <c r="B1941" s="18" t="s">
        <v>350</v>
      </c>
      <c r="C1941" s="18" t="s">
        <v>350</v>
      </c>
      <c r="D1941" s="14" t="s">
        <v>540</v>
      </c>
      <c r="E1941" s="18" t="s">
        <v>9</v>
      </c>
      <c r="F1941" s="14" t="s">
        <v>2560</v>
      </c>
      <c r="G1941" s="14" t="s">
        <v>518</v>
      </c>
      <c r="H1941" s="18" t="s">
        <v>5</v>
      </c>
      <c r="I1941" s="14" t="s">
        <v>115</v>
      </c>
      <c r="J1941" s="14"/>
      <c r="K1941" s="18" t="s">
        <v>657</v>
      </c>
      <c r="L1941" s="14"/>
      <c r="M1941" s="14">
        <v>1</v>
      </c>
      <c r="N1941" s="15">
        <v>45338.98</v>
      </c>
      <c r="O1941" s="15">
        <f t="shared" si="77"/>
        <v>45338.98</v>
      </c>
      <c r="P1941" s="15"/>
      <c r="Q1941" s="14" t="s">
        <v>520</v>
      </c>
      <c r="R1941" s="21">
        <v>45910</v>
      </c>
      <c r="S1941" s="22" t="str">
        <f>TEXT(Table1[[#This Row],[End Date]],"MMMM")</f>
        <v>September</v>
      </c>
      <c r="T1941" s="23" t="str">
        <f>TEXT(Table1[[#This Row],[End Date]],"YYYY")</f>
        <v>2025</v>
      </c>
      <c r="U1941" s="24">
        <f t="shared" ca="1" si="76"/>
        <v>-777</v>
      </c>
      <c r="V1941" s="14" t="str" cm="1">
        <f t="array" aca="1" ref="V1941" ca="1">_xlfn.IFS(Table1[[#This Row],[Agreement Days]]&gt;=0,"Expired",Table1[[#This Row],[Agreement Days]]&gt;=-30,"Expires &lt; 30 Days",Table1[[#This Row],[Agreement Days]]&gt;=-60,"Expires &lt; 60 Days",Table1[[#This Row],[Agreement Days]]&lt;-60,"Valid Contract")</f>
        <v>Valid Contract</v>
      </c>
      <c r="W1941" s="14" t="s">
        <v>19</v>
      </c>
      <c r="X1941" s="14" t="s">
        <v>3320</v>
      </c>
      <c r="Y1941" s="43" t="s">
        <v>3321</v>
      </c>
      <c r="Z1941" s="27">
        <v>783820776</v>
      </c>
      <c r="AA1941" s="17"/>
      <c r="AB1941" s="123"/>
      <c r="AC1941" s="123"/>
    </row>
    <row r="1942" spans="1:29" s="11" customFormat="1" x14ac:dyDescent="0.3">
      <c r="A1942" s="18" t="s">
        <v>3323</v>
      </c>
      <c r="B1942" s="18" t="s">
        <v>399</v>
      </c>
      <c r="C1942" s="18" t="s">
        <v>3324</v>
      </c>
      <c r="D1942" s="14" t="s">
        <v>545</v>
      </c>
      <c r="E1942" s="18" t="s">
        <v>10</v>
      </c>
      <c r="F1942" s="14" t="s">
        <v>560</v>
      </c>
      <c r="G1942" s="14" t="s">
        <v>518</v>
      </c>
      <c r="H1942" s="18" t="s">
        <v>2</v>
      </c>
      <c r="I1942" s="14" t="s">
        <v>134</v>
      </c>
      <c r="J1942" s="14">
        <v>5</v>
      </c>
      <c r="K1942" s="14" t="s">
        <v>730</v>
      </c>
      <c r="L1942" s="14"/>
      <c r="M1942" s="14">
        <v>1</v>
      </c>
      <c r="N1942" s="15">
        <f>318600/1.18</f>
        <v>270000</v>
      </c>
      <c r="O1942" s="15">
        <f t="shared" si="77"/>
        <v>270000</v>
      </c>
      <c r="P1942" s="15"/>
      <c r="Q1942" s="14" t="s">
        <v>520</v>
      </c>
      <c r="R1942" s="21">
        <v>45914</v>
      </c>
      <c r="S1942" s="22" t="str">
        <f>TEXT(Table1[[#This Row],[End Date]],"MMMM")</f>
        <v>September</v>
      </c>
      <c r="T1942" s="23" t="str">
        <f>TEXT(Table1[[#This Row],[End Date]],"YYYY")</f>
        <v>2025</v>
      </c>
      <c r="U1942" s="24">
        <f t="shared" ca="1" si="76"/>
        <v>-781</v>
      </c>
      <c r="V1942" s="14" t="str" cm="1">
        <f t="array" aca="1" ref="V1942" ca="1">_xlfn.IFS(Table1[[#This Row],[Agreement Days]]&gt;=0,"Expired",Table1[[#This Row],[Agreement Days]]&gt;=-30,"Expires &lt; 30 Days",Table1[[#This Row],[Agreement Days]]&gt;=-60,"Expires &lt; 60 Days",Table1[[#This Row],[Agreement Days]]&lt;-60,"Valid Contract")</f>
        <v>Valid Contract</v>
      </c>
      <c r="W1942" s="14" t="s">
        <v>12</v>
      </c>
      <c r="X1942" s="14" t="s">
        <v>3325</v>
      </c>
      <c r="Y1942" s="16" t="s">
        <v>3326</v>
      </c>
      <c r="Z1942" s="27" t="s">
        <v>3327</v>
      </c>
      <c r="AA1942" s="17"/>
      <c r="AB1942" s="123"/>
      <c r="AC1942" s="123"/>
    </row>
    <row r="1943" spans="1:29" s="11" customFormat="1" hidden="1" x14ac:dyDescent="0.3">
      <c r="A1943" s="18" t="s">
        <v>3318</v>
      </c>
      <c r="B1943" s="18" t="s">
        <v>350</v>
      </c>
      <c r="C1943" s="18" t="s">
        <v>350</v>
      </c>
      <c r="D1943" s="14" t="s">
        <v>540</v>
      </c>
      <c r="E1943" s="18" t="s">
        <v>9</v>
      </c>
      <c r="F1943" s="14" t="s">
        <v>2560</v>
      </c>
      <c r="G1943" s="14" t="s">
        <v>518</v>
      </c>
      <c r="H1943" s="18" t="s">
        <v>2</v>
      </c>
      <c r="I1943" s="14" t="s">
        <v>117</v>
      </c>
      <c r="J1943" s="14">
        <v>3</v>
      </c>
      <c r="K1943" s="14" t="s">
        <v>3328</v>
      </c>
      <c r="L1943" s="14"/>
      <c r="M1943" s="14">
        <v>1</v>
      </c>
      <c r="N1943" s="15">
        <v>180000</v>
      </c>
      <c r="O1943" s="15">
        <f t="shared" si="77"/>
        <v>180000</v>
      </c>
      <c r="P1943" s="15"/>
      <c r="Q1943" s="14" t="s">
        <v>520</v>
      </c>
      <c r="R1943" s="21">
        <v>45930</v>
      </c>
      <c r="S1943" s="22" t="str">
        <f>TEXT(Table1[[#This Row],[End Date]],"MMMM")</f>
        <v>September</v>
      </c>
      <c r="T1943" s="23" t="str">
        <f>TEXT(Table1[[#This Row],[End Date]],"YYYY")</f>
        <v>2025</v>
      </c>
      <c r="U1943" s="24">
        <f t="shared" ca="1" si="76"/>
        <v>-797</v>
      </c>
      <c r="V1943" s="14" t="str" cm="1">
        <f t="array" aca="1" ref="V1943" ca="1">_xlfn.IFS(Table1[[#This Row],[Agreement Days]]&gt;=0,"Expired",Table1[[#This Row],[Agreement Days]]&gt;=-30,"Expires &lt; 30 Days",Table1[[#This Row],[Agreement Days]]&gt;=-60,"Expires &lt; 60 Days",Table1[[#This Row],[Agreement Days]]&lt;-60,"Valid Contract")</f>
        <v>Valid Contract</v>
      </c>
      <c r="W1943" s="14" t="s">
        <v>19</v>
      </c>
      <c r="X1943" s="14" t="s">
        <v>3320</v>
      </c>
      <c r="Y1943" s="43" t="s">
        <v>3321</v>
      </c>
      <c r="Z1943" s="27">
        <v>783820776</v>
      </c>
      <c r="AA1943" s="17"/>
      <c r="AB1943" s="123"/>
      <c r="AC1943" s="123"/>
    </row>
    <row r="1944" spans="1:29" s="11" customFormat="1" hidden="1" x14ac:dyDescent="0.3">
      <c r="A1944" s="18" t="s">
        <v>1070</v>
      </c>
      <c r="B1944" s="18" t="s">
        <v>219</v>
      </c>
      <c r="C1944" s="18" t="s">
        <v>1071</v>
      </c>
      <c r="D1944" s="14" t="s">
        <v>808</v>
      </c>
      <c r="E1944" s="18" t="s">
        <v>9</v>
      </c>
      <c r="F1944" s="14" t="s">
        <v>688</v>
      </c>
      <c r="G1944" s="14" t="s">
        <v>518</v>
      </c>
      <c r="H1944" s="18" t="s">
        <v>2</v>
      </c>
      <c r="I1944" s="14" t="s">
        <v>120</v>
      </c>
      <c r="J1944" s="18"/>
      <c r="K1944" s="18" t="s">
        <v>1470</v>
      </c>
      <c r="L1944" s="18"/>
      <c r="M1944" s="14">
        <v>1</v>
      </c>
      <c r="N1944" s="15">
        <v>258045</v>
      </c>
      <c r="O1944" s="15">
        <f t="shared" si="77"/>
        <v>258045</v>
      </c>
      <c r="P1944" s="15"/>
      <c r="Q1944" s="14" t="s">
        <v>520</v>
      </c>
      <c r="R1944" s="25">
        <v>45930</v>
      </c>
      <c r="S1944" s="34" t="str">
        <f>TEXT(Table1[[#This Row],[End Date]],"MMMM")</f>
        <v>September</v>
      </c>
      <c r="T1944" s="34" t="str">
        <f>TEXT(Table1[[#This Row],[End Date]],"YYYY")</f>
        <v>2025</v>
      </c>
      <c r="U1944" s="24">
        <f t="shared" ca="1" si="76"/>
        <v>-797</v>
      </c>
      <c r="V1944" s="14" t="str" cm="1">
        <f t="array" aca="1" ref="V1944" ca="1">_xlfn.IFS(Table1[[#This Row],[Agreement Days]]&gt;=0,"Expired",Table1[[#This Row],[Agreement Days]]&gt;=-30,"Expires &lt; 30 Days",Table1[[#This Row],[Agreement Days]]&gt;=-60,"Expires &lt; 60 Days",Table1[[#This Row],[Agreement Days]]&lt;-60,"Valid Contract")</f>
        <v>Valid Contract</v>
      </c>
      <c r="W1944" s="18" t="s">
        <v>21</v>
      </c>
      <c r="X1944" s="18" t="s">
        <v>1072</v>
      </c>
      <c r="Y1944" s="42" t="s">
        <v>1073</v>
      </c>
      <c r="Z1944" s="27">
        <v>788553158</v>
      </c>
      <c r="AA1944" s="27"/>
      <c r="AB1944" s="123"/>
      <c r="AC1944" s="123"/>
    </row>
    <row r="1945" spans="1:29" s="11" customFormat="1" hidden="1" x14ac:dyDescent="0.3">
      <c r="A1945" s="18" t="s">
        <v>3281</v>
      </c>
      <c r="B1945" s="18" t="s">
        <v>288</v>
      </c>
      <c r="C1945" s="18" t="s">
        <v>544</v>
      </c>
      <c r="D1945" s="14" t="s">
        <v>653</v>
      </c>
      <c r="E1945" s="18" t="s">
        <v>9</v>
      </c>
      <c r="F1945" s="14" t="s">
        <v>517</v>
      </c>
      <c r="G1945" s="14" t="s">
        <v>518</v>
      </c>
      <c r="H1945" s="18" t="s">
        <v>5</v>
      </c>
      <c r="I1945" s="14" t="s">
        <v>117</v>
      </c>
      <c r="J1945" s="19">
        <v>20</v>
      </c>
      <c r="K1945" s="26" t="s">
        <v>1440</v>
      </c>
      <c r="L1945" s="26"/>
      <c r="M1945" s="19">
        <v>1</v>
      </c>
      <c r="N1945" s="15">
        <v>900000</v>
      </c>
      <c r="O1945" s="15">
        <f t="shared" si="77"/>
        <v>900000</v>
      </c>
      <c r="P1945" s="15"/>
      <c r="Q1945" s="14" t="s">
        <v>520</v>
      </c>
      <c r="R1945" s="25">
        <v>45930</v>
      </c>
      <c r="S1945" s="34" t="str">
        <f>TEXT(Table1[[#This Row],[End Date]],"MMMM")</f>
        <v>September</v>
      </c>
      <c r="T1945" s="34" t="str">
        <f>TEXT(Table1[[#This Row],[End Date]],"YYYY")</f>
        <v>2025</v>
      </c>
      <c r="U1945" s="24">
        <f t="shared" ca="1" si="76"/>
        <v>-797</v>
      </c>
      <c r="V1945" s="14" t="str" cm="1">
        <f t="array" aca="1" ref="V1945" ca="1">_xlfn.IFS(Table1[[#This Row],[Agreement Days]]&gt;=0,"Expired",Table1[[#This Row],[Agreement Days]]&gt;=-30,"Expires &lt; 30 Days",Table1[[#This Row],[Agreement Days]]&gt;=-60,"Expires &lt; 60 Days",Table1[[#This Row],[Agreement Days]]&lt;-60,"Valid Contract")</f>
        <v>Valid Contract</v>
      </c>
      <c r="W1945" s="26" t="s">
        <v>17</v>
      </c>
      <c r="X1945" s="26" t="s">
        <v>3282</v>
      </c>
      <c r="Y1945" s="35" t="s">
        <v>3283</v>
      </c>
      <c r="Z1945" s="27">
        <v>788319697</v>
      </c>
      <c r="AA1945" s="27"/>
      <c r="AB1945" s="123"/>
      <c r="AC1945" s="123"/>
    </row>
    <row r="1946" spans="1:29" s="11" customFormat="1" hidden="1" x14ac:dyDescent="0.3">
      <c r="A1946" s="18" t="s">
        <v>3281</v>
      </c>
      <c r="B1946" s="18" t="s">
        <v>288</v>
      </c>
      <c r="C1946" s="18" t="s">
        <v>544</v>
      </c>
      <c r="D1946" s="14" t="s">
        <v>653</v>
      </c>
      <c r="E1946" s="18" t="s">
        <v>9</v>
      </c>
      <c r="F1946" s="14" t="s">
        <v>517</v>
      </c>
      <c r="G1946" s="14" t="s">
        <v>518</v>
      </c>
      <c r="H1946" s="18" t="s">
        <v>4</v>
      </c>
      <c r="I1946" s="14" t="s">
        <v>118</v>
      </c>
      <c r="J1946" s="26"/>
      <c r="K1946" s="26" t="s">
        <v>594</v>
      </c>
      <c r="L1946" s="26"/>
      <c r="M1946" s="19">
        <v>1</v>
      </c>
      <c r="N1946" s="15">
        <v>86130</v>
      </c>
      <c r="O1946" s="15">
        <f t="shared" si="77"/>
        <v>86130</v>
      </c>
      <c r="P1946" s="15"/>
      <c r="Q1946" s="14" t="s">
        <v>520</v>
      </c>
      <c r="R1946" s="25">
        <v>45930</v>
      </c>
      <c r="S1946" s="34" t="str">
        <f>TEXT(Table1[[#This Row],[End Date]],"MMMM")</f>
        <v>September</v>
      </c>
      <c r="T1946" s="34" t="str">
        <f>TEXT(Table1[[#This Row],[End Date]],"YYYY")</f>
        <v>2025</v>
      </c>
      <c r="U1946" s="24">
        <f t="shared" ca="1" si="76"/>
        <v>-797</v>
      </c>
      <c r="V1946" s="14" t="str" cm="1">
        <f t="array" aca="1" ref="V1946" ca="1">_xlfn.IFS(Table1[[#This Row],[Agreement Days]]&gt;=0,"Expired",Table1[[#This Row],[Agreement Days]]&gt;=-30,"Expires &lt; 30 Days",Table1[[#This Row],[Agreement Days]]&gt;=-60,"Expires &lt; 60 Days",Table1[[#This Row],[Agreement Days]]&lt;-60,"Valid Contract")</f>
        <v>Valid Contract</v>
      </c>
      <c r="W1946" s="26" t="s">
        <v>17</v>
      </c>
      <c r="X1946" s="26" t="s">
        <v>3282</v>
      </c>
      <c r="Y1946" s="35" t="s">
        <v>3283</v>
      </c>
      <c r="Z1946" s="27">
        <v>788319697</v>
      </c>
      <c r="AA1946" s="27"/>
      <c r="AB1946" s="123"/>
      <c r="AC1946" s="123"/>
    </row>
    <row r="1947" spans="1:29" s="11" customFormat="1" hidden="1" x14ac:dyDescent="0.3">
      <c r="A1947" s="18" t="s">
        <v>3329</v>
      </c>
      <c r="B1947" s="18" t="s">
        <v>416</v>
      </c>
      <c r="C1947" s="18" t="s">
        <v>1439</v>
      </c>
      <c r="D1947" s="14" t="s">
        <v>545</v>
      </c>
      <c r="E1947" s="18" t="s">
        <v>9</v>
      </c>
      <c r="F1947" s="14" t="s">
        <v>601</v>
      </c>
      <c r="G1947" s="14" t="s">
        <v>546</v>
      </c>
      <c r="H1947" s="18" t="s">
        <v>5</v>
      </c>
      <c r="I1947" s="14" t="s">
        <v>115</v>
      </c>
      <c r="J1947" s="26"/>
      <c r="K1947" s="18" t="s">
        <v>643</v>
      </c>
      <c r="L1947" s="26"/>
      <c r="M1947" s="19">
        <v>1</v>
      </c>
      <c r="N1947" s="15">
        <v>28305.08</v>
      </c>
      <c r="O1947" s="15">
        <f t="shared" si="77"/>
        <v>28305.08</v>
      </c>
      <c r="P1947" s="15"/>
      <c r="Q1947" s="14" t="s">
        <v>520</v>
      </c>
      <c r="R1947" s="25">
        <v>45930</v>
      </c>
      <c r="S1947" s="34" t="str">
        <f>TEXT(Table1[[#This Row],[End Date]],"MMMM")</f>
        <v>September</v>
      </c>
      <c r="T1947" s="34" t="str">
        <f>TEXT(Table1[[#This Row],[End Date]],"YYYY")</f>
        <v>2025</v>
      </c>
      <c r="U1947" s="24">
        <f t="shared" ca="1" si="76"/>
        <v>-797</v>
      </c>
      <c r="V1947" s="14" t="str" cm="1">
        <f t="array" aca="1" ref="V1947" ca="1">_xlfn.IFS(Table1[[#This Row],[Agreement Days]]&gt;=0,"Expired",Table1[[#This Row],[Agreement Days]]&gt;=-30,"Expires &lt; 30 Days",Table1[[#This Row],[Agreement Days]]&gt;=-60,"Expires &lt; 60 Days",Table1[[#This Row],[Agreement Days]]&lt;-60,"Valid Contract")</f>
        <v>Valid Contract</v>
      </c>
      <c r="W1947" s="26" t="s">
        <v>17</v>
      </c>
      <c r="X1947" s="26" t="s">
        <v>3330</v>
      </c>
      <c r="Y1947" s="35" t="s">
        <v>3331</v>
      </c>
      <c r="Z1947" s="27">
        <v>781740000</v>
      </c>
      <c r="AA1947" s="27"/>
      <c r="AB1947" s="123"/>
      <c r="AC1947" s="123"/>
    </row>
    <row r="1948" spans="1:29" s="11" customFormat="1" hidden="1" x14ac:dyDescent="0.3">
      <c r="A1948" s="18" t="s">
        <v>3329</v>
      </c>
      <c r="B1948" s="18" t="s">
        <v>416</v>
      </c>
      <c r="C1948" s="18" t="s">
        <v>1439</v>
      </c>
      <c r="D1948" s="14" t="s">
        <v>545</v>
      </c>
      <c r="E1948" s="18" t="s">
        <v>9</v>
      </c>
      <c r="F1948" s="14" t="s">
        <v>601</v>
      </c>
      <c r="G1948" s="14" t="s">
        <v>546</v>
      </c>
      <c r="H1948" s="18" t="s">
        <v>5</v>
      </c>
      <c r="I1948" s="14" t="s">
        <v>115</v>
      </c>
      <c r="J1948" s="26"/>
      <c r="K1948" s="18" t="s">
        <v>643</v>
      </c>
      <c r="L1948" s="26"/>
      <c r="M1948" s="19">
        <v>3</v>
      </c>
      <c r="N1948" s="15">
        <v>28305.08</v>
      </c>
      <c r="O1948" s="15">
        <f t="shared" si="77"/>
        <v>84915.24</v>
      </c>
      <c r="P1948" s="15"/>
      <c r="Q1948" s="14" t="s">
        <v>520</v>
      </c>
      <c r="R1948" s="25">
        <v>45930</v>
      </c>
      <c r="S1948" s="34" t="str">
        <f>TEXT(Table1[[#This Row],[End Date]],"MMMM")</f>
        <v>September</v>
      </c>
      <c r="T1948" s="34" t="str">
        <f>TEXT(Table1[[#This Row],[End Date]],"YYYY")</f>
        <v>2025</v>
      </c>
      <c r="U1948" s="24">
        <f t="shared" ca="1" si="76"/>
        <v>-797</v>
      </c>
      <c r="V1948" s="14" t="str" cm="1">
        <f t="array" aca="1" ref="V1948" ca="1">_xlfn.IFS(Table1[[#This Row],[Agreement Days]]&gt;=0,"Expired",Table1[[#This Row],[Agreement Days]]&gt;=-30,"Expires &lt; 30 Days",Table1[[#This Row],[Agreement Days]]&gt;=-60,"Expires &lt; 60 Days",Table1[[#This Row],[Agreement Days]]&lt;-60,"Valid Contract")</f>
        <v>Valid Contract</v>
      </c>
      <c r="W1948" s="26" t="s">
        <v>17</v>
      </c>
      <c r="X1948" s="26" t="s">
        <v>3330</v>
      </c>
      <c r="Y1948" s="35" t="s">
        <v>3331</v>
      </c>
      <c r="Z1948" s="27">
        <v>781740000</v>
      </c>
      <c r="AA1948" s="27"/>
      <c r="AB1948" s="123"/>
      <c r="AC1948" s="123"/>
    </row>
    <row r="1949" spans="1:29" s="11" customFormat="1" hidden="1" x14ac:dyDescent="0.3">
      <c r="A1949" s="18" t="s">
        <v>3329</v>
      </c>
      <c r="B1949" s="18" t="s">
        <v>416</v>
      </c>
      <c r="C1949" s="18" t="s">
        <v>1439</v>
      </c>
      <c r="D1949" s="14" t="s">
        <v>545</v>
      </c>
      <c r="E1949" s="18" t="s">
        <v>9</v>
      </c>
      <c r="F1949" s="14" t="s">
        <v>601</v>
      </c>
      <c r="G1949" s="14" t="s">
        <v>546</v>
      </c>
      <c r="H1949" s="18" t="s">
        <v>5</v>
      </c>
      <c r="I1949" s="14" t="s">
        <v>115</v>
      </c>
      <c r="J1949" s="26"/>
      <c r="K1949" s="18" t="s">
        <v>573</v>
      </c>
      <c r="L1949" s="26"/>
      <c r="M1949" s="19">
        <v>4</v>
      </c>
      <c r="N1949" s="15">
        <v>19491.53</v>
      </c>
      <c r="O1949" s="15">
        <f t="shared" si="77"/>
        <v>77966.12</v>
      </c>
      <c r="P1949" s="15"/>
      <c r="Q1949" s="14" t="s">
        <v>520</v>
      </c>
      <c r="R1949" s="21">
        <v>45930</v>
      </c>
      <c r="S1949" s="34" t="str">
        <f>TEXT(Table1[[#This Row],[End Date]],"MMMM")</f>
        <v>September</v>
      </c>
      <c r="T1949" s="23" t="str">
        <f>TEXT(Table1[[#This Row],[End Date]],"YYYY")</f>
        <v>2025</v>
      </c>
      <c r="U1949" s="24">
        <f t="shared" ca="1" si="76"/>
        <v>-797</v>
      </c>
      <c r="V1949" s="14" t="str" cm="1">
        <f t="array" aca="1" ref="V1949" ca="1">_xlfn.IFS(Table1[[#This Row],[Agreement Days]]&gt;=0,"Expired",Table1[[#This Row],[Agreement Days]]&gt;=-30,"Expires &lt; 30 Days",Table1[[#This Row],[Agreement Days]]&gt;=-60,"Expires &lt; 60 Days",Table1[[#This Row],[Agreement Days]]&lt;-60,"Valid Contract")</f>
        <v>Valid Contract</v>
      </c>
      <c r="W1949" s="26" t="s">
        <v>17</v>
      </c>
      <c r="X1949" s="26" t="s">
        <v>3330</v>
      </c>
      <c r="Y1949" s="35" t="s">
        <v>3331</v>
      </c>
      <c r="Z1949" s="27">
        <v>781740000</v>
      </c>
      <c r="AA1949" s="27"/>
      <c r="AB1949" s="123"/>
      <c r="AC1949" s="123"/>
    </row>
    <row r="1950" spans="1:29" s="11" customFormat="1" hidden="1" x14ac:dyDescent="0.3">
      <c r="A1950" s="18" t="s">
        <v>2310</v>
      </c>
      <c r="B1950" s="18" t="s">
        <v>266</v>
      </c>
      <c r="C1950" s="18" t="s">
        <v>2311</v>
      </c>
      <c r="D1950" s="14" t="s">
        <v>545</v>
      </c>
      <c r="E1950" s="18" t="s">
        <v>9</v>
      </c>
      <c r="F1950" s="14" t="s">
        <v>688</v>
      </c>
      <c r="G1950" s="14" t="s">
        <v>518</v>
      </c>
      <c r="H1950" s="18" t="s">
        <v>5</v>
      </c>
      <c r="I1950" s="14" t="s">
        <v>115</v>
      </c>
      <c r="J1950" s="18"/>
      <c r="K1950" s="18" t="s">
        <v>643</v>
      </c>
      <c r="L1950" s="18"/>
      <c r="M1950" s="14">
        <v>8</v>
      </c>
      <c r="N1950" s="15">
        <v>28305.08</v>
      </c>
      <c r="O1950" s="15">
        <f t="shared" si="77"/>
        <v>226440.64</v>
      </c>
      <c r="P1950" s="15"/>
      <c r="Q1950" s="14" t="s">
        <v>520</v>
      </c>
      <c r="R1950" s="25">
        <v>45960</v>
      </c>
      <c r="S1950" s="34" t="str">
        <f>TEXT(Table1[[#This Row],[End Date]],"MMMM")</f>
        <v>October</v>
      </c>
      <c r="T1950" s="34" t="str">
        <f>TEXT(Table1[[#This Row],[End Date]],"YYYY")</f>
        <v>2025</v>
      </c>
      <c r="U1950" s="24">
        <f t="shared" ca="1" si="76"/>
        <v>-827</v>
      </c>
      <c r="V1950" s="14" t="str" cm="1">
        <f t="array" aca="1" ref="V1950" ca="1">_xlfn.IFS(Table1[[#This Row],[Agreement Days]]&gt;=0,"Expired",Table1[[#This Row],[Agreement Days]]&gt;=-30,"Expires &lt; 30 Days",Table1[[#This Row],[Agreement Days]]&gt;=-60,"Expires &lt; 60 Days",Table1[[#This Row],[Agreement Days]]&lt;-60,"Valid Contract")</f>
        <v>Valid Contract</v>
      </c>
      <c r="W1950" s="18" t="s">
        <v>21</v>
      </c>
      <c r="X1950" s="42" t="s">
        <v>2312</v>
      </c>
      <c r="Y1950" s="42" t="s">
        <v>2313</v>
      </c>
      <c r="Z1950" s="27">
        <v>788718169</v>
      </c>
      <c r="AA1950" s="27"/>
      <c r="AB1950" s="123"/>
      <c r="AC1950" s="123"/>
    </row>
    <row r="1951" spans="1:29" s="11" customFormat="1" hidden="1" x14ac:dyDescent="0.3">
      <c r="A1951" s="18" t="s">
        <v>3332</v>
      </c>
      <c r="B1951" s="18" t="s">
        <v>441</v>
      </c>
      <c r="C1951" s="18" t="s">
        <v>544</v>
      </c>
      <c r="D1951" s="14" t="s">
        <v>540</v>
      </c>
      <c r="E1951" s="18" t="s">
        <v>9</v>
      </c>
      <c r="F1951" s="14" t="s">
        <v>517</v>
      </c>
      <c r="G1951" s="14" t="s">
        <v>518</v>
      </c>
      <c r="H1951" s="18" t="s">
        <v>5</v>
      </c>
      <c r="I1951" s="14" t="s">
        <v>115</v>
      </c>
      <c r="J1951" s="18"/>
      <c r="K1951" s="18" t="s">
        <v>642</v>
      </c>
      <c r="L1951" s="18"/>
      <c r="M1951" s="14">
        <v>1</v>
      </c>
      <c r="N1951" s="15">
        <v>101694.92</v>
      </c>
      <c r="O1951" s="15">
        <f t="shared" si="77"/>
        <v>101694.92</v>
      </c>
      <c r="P1951" s="15"/>
      <c r="Q1951" s="14" t="s">
        <v>520</v>
      </c>
      <c r="R1951" s="25">
        <v>45961</v>
      </c>
      <c r="S1951" s="34" t="str">
        <f>TEXT(Table1[[#This Row],[End Date]],"MMMM")</f>
        <v>October</v>
      </c>
      <c r="T1951" s="34" t="str">
        <f>TEXT(Table1[[#This Row],[End Date]],"YYYY")</f>
        <v>2025</v>
      </c>
      <c r="U1951" s="24">
        <f t="shared" ca="1" si="76"/>
        <v>-828</v>
      </c>
      <c r="V1951" s="14" t="str" cm="1">
        <f t="array" aca="1" ref="V1951" ca="1">_xlfn.IFS(Table1[[#This Row],[Agreement Days]]&gt;=0,"Expired",Table1[[#This Row],[Agreement Days]]&gt;=-30,"Expires &lt; 30 Days",Table1[[#This Row],[Agreement Days]]&gt;=-60,"Expires &lt; 60 Days",Table1[[#This Row],[Agreement Days]]&lt;-60,"Valid Contract")</f>
        <v>Valid Contract</v>
      </c>
      <c r="W1951" s="18" t="s">
        <v>18</v>
      </c>
      <c r="X1951" s="18" t="s">
        <v>3333</v>
      </c>
      <c r="Y1951" s="35" t="s">
        <v>3334</v>
      </c>
      <c r="Z1951" s="27" t="s">
        <v>3335</v>
      </c>
      <c r="AA1951" s="27"/>
      <c r="AB1951" s="123"/>
      <c r="AC1951" s="123"/>
    </row>
    <row r="1952" spans="1:29" s="11" customFormat="1" hidden="1" x14ac:dyDescent="0.3">
      <c r="A1952" s="18" t="s">
        <v>2310</v>
      </c>
      <c r="B1952" s="18" t="s">
        <v>266</v>
      </c>
      <c r="C1952" s="18" t="s">
        <v>2311</v>
      </c>
      <c r="D1952" s="14" t="s">
        <v>545</v>
      </c>
      <c r="E1952" s="18" t="s">
        <v>9</v>
      </c>
      <c r="F1952" s="14" t="s">
        <v>688</v>
      </c>
      <c r="G1952" s="14" t="s">
        <v>518</v>
      </c>
      <c r="H1952" s="18" t="s">
        <v>5</v>
      </c>
      <c r="I1952" s="14" t="s">
        <v>117</v>
      </c>
      <c r="J1952" s="14">
        <v>10</v>
      </c>
      <c r="K1952" s="18" t="s">
        <v>547</v>
      </c>
      <c r="L1952" s="18"/>
      <c r="M1952" s="14">
        <v>1</v>
      </c>
      <c r="N1952" s="15">
        <v>510000</v>
      </c>
      <c r="O1952" s="15">
        <f t="shared" si="77"/>
        <v>510000</v>
      </c>
      <c r="P1952" s="15"/>
      <c r="Q1952" s="14" t="s">
        <v>520</v>
      </c>
      <c r="R1952" s="25">
        <v>45961</v>
      </c>
      <c r="S1952" s="34" t="str">
        <f>TEXT(Table1[[#This Row],[End Date]],"MMMM")</f>
        <v>October</v>
      </c>
      <c r="T1952" s="34" t="str">
        <f>TEXT(Table1[[#This Row],[End Date]],"YYYY")</f>
        <v>2025</v>
      </c>
      <c r="U1952" s="24">
        <f t="shared" ca="1" si="76"/>
        <v>-828</v>
      </c>
      <c r="V1952" s="14" t="str" cm="1">
        <f t="array" aca="1" ref="V1952" ca="1">_xlfn.IFS(Table1[[#This Row],[Agreement Days]]&gt;=0,"Expired",Table1[[#This Row],[Agreement Days]]&gt;=-30,"Expires &lt; 30 Days",Table1[[#This Row],[Agreement Days]]&gt;=-60,"Expires &lt; 60 Days",Table1[[#This Row],[Agreement Days]]&lt;-60,"Valid Contract")</f>
        <v>Valid Contract</v>
      </c>
      <c r="W1952" s="18" t="s">
        <v>21</v>
      </c>
      <c r="X1952" s="42" t="s">
        <v>2312</v>
      </c>
      <c r="Y1952" s="42" t="s">
        <v>2313</v>
      </c>
      <c r="Z1952" s="27">
        <v>788718169</v>
      </c>
      <c r="AA1952" s="27"/>
      <c r="AB1952" s="123"/>
      <c r="AC1952" s="123"/>
    </row>
    <row r="1953" spans="1:29" s="11" customFormat="1" hidden="1" x14ac:dyDescent="0.3">
      <c r="A1953" s="18" t="s">
        <v>2314</v>
      </c>
      <c r="B1953" s="18" t="s">
        <v>286</v>
      </c>
      <c r="C1953" s="18" t="s">
        <v>2315</v>
      </c>
      <c r="D1953" s="14" t="s">
        <v>662</v>
      </c>
      <c r="E1953" s="18" t="s">
        <v>9</v>
      </c>
      <c r="F1953" s="14" t="s">
        <v>688</v>
      </c>
      <c r="G1953" s="14" t="s">
        <v>518</v>
      </c>
      <c r="H1953" s="18" t="s">
        <v>5</v>
      </c>
      <c r="I1953" s="14" t="s">
        <v>117</v>
      </c>
      <c r="J1953" s="14">
        <v>10</v>
      </c>
      <c r="K1953" s="18" t="s">
        <v>547</v>
      </c>
      <c r="L1953" s="18"/>
      <c r="M1953" s="14">
        <v>1</v>
      </c>
      <c r="N1953" s="15">
        <v>510000</v>
      </c>
      <c r="O1953" s="15">
        <f t="shared" si="77"/>
        <v>510000</v>
      </c>
      <c r="P1953" s="15"/>
      <c r="Q1953" s="14" t="s">
        <v>520</v>
      </c>
      <c r="R1953" s="25">
        <v>45961</v>
      </c>
      <c r="S1953" s="34" t="str">
        <f>TEXT(Table1[[#This Row],[End Date]],"MMMM")</f>
        <v>October</v>
      </c>
      <c r="T1953" s="34" t="str">
        <f>TEXT(Table1[[#This Row],[End Date]],"YYYY")</f>
        <v>2025</v>
      </c>
      <c r="U1953" s="24">
        <f t="shared" ca="1" si="76"/>
        <v>-828</v>
      </c>
      <c r="V1953" s="14" t="str" cm="1">
        <f t="array" aca="1" ref="V1953" ca="1">_xlfn.IFS(Table1[[#This Row],[Agreement Days]]&gt;=0,"Expired",Table1[[#This Row],[Agreement Days]]&gt;=-30,"Expires &lt; 30 Days",Table1[[#This Row],[Agreement Days]]&gt;=-60,"Expires &lt; 60 Days",Table1[[#This Row],[Agreement Days]]&lt;-60,"Valid Contract")</f>
        <v>Valid Contract</v>
      </c>
      <c r="W1953" s="18" t="s">
        <v>21</v>
      </c>
      <c r="X1953" s="18" t="s">
        <v>2316</v>
      </c>
      <c r="Y1953" s="42" t="s">
        <v>2317</v>
      </c>
      <c r="Z1953" s="27" t="s">
        <v>2318</v>
      </c>
      <c r="AA1953" s="27"/>
      <c r="AB1953" s="123"/>
      <c r="AC1953" s="123"/>
    </row>
    <row r="1954" spans="1:29" s="11" customFormat="1" hidden="1" x14ac:dyDescent="0.3">
      <c r="A1954" s="18" t="s">
        <v>2341</v>
      </c>
      <c r="B1954" s="18" t="s">
        <v>278</v>
      </c>
      <c r="C1954" s="18" t="s">
        <v>278</v>
      </c>
      <c r="D1954" s="14" t="s">
        <v>653</v>
      </c>
      <c r="E1954" s="18" t="s">
        <v>9</v>
      </c>
      <c r="F1954" s="14" t="s">
        <v>517</v>
      </c>
      <c r="G1954" s="14" t="s">
        <v>518</v>
      </c>
      <c r="H1954" s="18" t="s">
        <v>5</v>
      </c>
      <c r="I1954" s="14" t="s">
        <v>115</v>
      </c>
      <c r="J1954" s="14"/>
      <c r="K1954" s="14" t="s">
        <v>3336</v>
      </c>
      <c r="L1954" s="14"/>
      <c r="M1954" s="14">
        <v>1</v>
      </c>
      <c r="N1954" s="2">
        <f>23000/1.18</f>
        <v>19491.525423728814</v>
      </c>
      <c r="O1954" s="2">
        <f t="shared" si="77"/>
        <v>19491.525423728814</v>
      </c>
      <c r="P1954" s="2"/>
      <c r="Q1954" s="14" t="s">
        <v>520</v>
      </c>
      <c r="R1954" s="25">
        <v>45961</v>
      </c>
      <c r="S1954" s="57" t="str">
        <f>TEXT(Table1[[#This Row],[End Date]],"MMMM")</f>
        <v>October</v>
      </c>
      <c r="T1954" s="57" t="str">
        <f>TEXT(Table1[[#This Row],[End Date]],"YYYY")</f>
        <v>2025</v>
      </c>
      <c r="U1954" s="58">
        <f t="shared" ca="1" si="76"/>
        <v>-828</v>
      </c>
      <c r="V1954" s="14" t="str" cm="1">
        <f t="array" aca="1" ref="V1954" ca="1">_xlfn.IFS(Table1[[#This Row],[Agreement Days]]&gt;=0,"Expired",Table1[[#This Row],[Agreement Days]]&gt;=-30,"Expires &lt; 30 Days",Table1[[#This Row],[Agreement Days]]&gt;=-60,"Expires &lt; 60 Days",Table1[[#This Row],[Agreement Days]]&lt;-60,"Valid Contract")</f>
        <v>Valid Contract</v>
      </c>
      <c r="W1954" s="14" t="s">
        <v>19</v>
      </c>
      <c r="X1954" s="14" t="s">
        <v>2342</v>
      </c>
      <c r="Y1954" s="16" t="s">
        <v>2343</v>
      </c>
      <c r="Z1954" s="27">
        <v>788352491</v>
      </c>
      <c r="AA1954" s="17"/>
      <c r="AB1954" s="123"/>
      <c r="AC1954" s="123"/>
    </row>
    <row r="1955" spans="1:29" s="11" customFormat="1" hidden="1" x14ac:dyDescent="0.3">
      <c r="A1955" s="18" t="s">
        <v>3286</v>
      </c>
      <c r="B1955" s="18" t="s">
        <v>320</v>
      </c>
      <c r="C1955" s="18" t="s">
        <v>3287</v>
      </c>
      <c r="D1955" s="14" t="s">
        <v>540</v>
      </c>
      <c r="E1955" s="18" t="s">
        <v>10</v>
      </c>
      <c r="F1955" s="14" t="s">
        <v>560</v>
      </c>
      <c r="G1955" s="14" t="s">
        <v>518</v>
      </c>
      <c r="H1955" s="18" t="s">
        <v>2</v>
      </c>
      <c r="I1955" s="14" t="s">
        <v>123</v>
      </c>
      <c r="J1955" s="14"/>
      <c r="K1955" s="14" t="s">
        <v>3337</v>
      </c>
      <c r="L1955" s="14"/>
      <c r="M1955" s="14">
        <v>1</v>
      </c>
      <c r="N1955" s="15">
        <v>256500</v>
      </c>
      <c r="O1955" s="15">
        <f t="shared" si="77"/>
        <v>256500</v>
      </c>
      <c r="P1955" s="15"/>
      <c r="Q1955" s="14" t="s">
        <v>520</v>
      </c>
      <c r="R1955" s="21">
        <v>45961</v>
      </c>
      <c r="S1955" s="22" t="str">
        <f>TEXT(Table1[[#This Row],[End Date]],"MMMM")</f>
        <v>October</v>
      </c>
      <c r="T1955" s="22" t="str">
        <f>TEXT(Table1[[#This Row],[End Date]],"YYYY")</f>
        <v>2025</v>
      </c>
      <c r="U1955" s="24">
        <f t="shared" ca="1" si="76"/>
        <v>-828</v>
      </c>
      <c r="V1955" s="14" t="str" cm="1">
        <f t="array" aca="1" ref="V1955" ca="1">_xlfn.IFS(Table1[[#This Row],[Agreement Days]]&gt;=0,"Expired",Table1[[#This Row],[Agreement Days]]&gt;=-30,"Expires &lt; 30 Days",Table1[[#This Row],[Agreement Days]]&gt;=-60,"Expires &lt; 60 Days",Table1[[#This Row],[Agreement Days]]&lt;-60,"Valid Contract")</f>
        <v>Valid Contract</v>
      </c>
      <c r="W1955" s="14" t="s">
        <v>20</v>
      </c>
      <c r="X1955" s="14" t="s">
        <v>3288</v>
      </c>
      <c r="Y1955" s="16" t="s">
        <v>3289</v>
      </c>
      <c r="Z1955" s="27" t="s">
        <v>3290</v>
      </c>
      <c r="AA1955" s="19"/>
      <c r="AB1955" s="123"/>
      <c r="AC1955" s="123"/>
    </row>
    <row r="1956" spans="1:29" s="11" customFormat="1" hidden="1" x14ac:dyDescent="0.3">
      <c r="A1956" s="18" t="s">
        <v>3286</v>
      </c>
      <c r="B1956" s="18" t="s">
        <v>320</v>
      </c>
      <c r="C1956" s="18" t="s">
        <v>3287</v>
      </c>
      <c r="D1956" s="14" t="s">
        <v>540</v>
      </c>
      <c r="E1956" s="18" t="s">
        <v>10</v>
      </c>
      <c r="F1956" s="14" t="s">
        <v>560</v>
      </c>
      <c r="G1956" s="14" t="s">
        <v>518</v>
      </c>
      <c r="H1956" s="18" t="s">
        <v>2</v>
      </c>
      <c r="I1956" s="14" t="s">
        <v>123</v>
      </c>
      <c r="J1956" s="14"/>
      <c r="K1956" s="20" t="s">
        <v>3237</v>
      </c>
      <c r="L1956" s="14"/>
      <c r="M1956" s="14">
        <v>1</v>
      </c>
      <c r="N1956" s="15">
        <v>140294</v>
      </c>
      <c r="O1956" s="15">
        <f t="shared" si="77"/>
        <v>140294</v>
      </c>
      <c r="P1956" s="15"/>
      <c r="Q1956" s="14" t="s">
        <v>520</v>
      </c>
      <c r="R1956" s="21">
        <v>45961</v>
      </c>
      <c r="S1956" s="22" t="str">
        <f>TEXT(Table1[[#This Row],[End Date]],"MMMM")</f>
        <v>October</v>
      </c>
      <c r="T1956" s="23" t="str">
        <f>TEXT(Table1[[#This Row],[End Date]],"YYYY")</f>
        <v>2025</v>
      </c>
      <c r="U1956" s="24">
        <f t="shared" ca="1" si="76"/>
        <v>-828</v>
      </c>
      <c r="V1956" s="14" t="str" cm="1">
        <f t="array" aca="1" ref="V1956" ca="1">_xlfn.IFS(Table1[[#This Row],[Agreement Days]]&gt;=0,"Expired",Table1[[#This Row],[Agreement Days]]&gt;=-30,"Expires &lt; 30 Days",Table1[[#This Row],[Agreement Days]]&gt;=-60,"Expires &lt; 60 Days",Table1[[#This Row],[Agreement Days]]&lt;-60,"Valid Contract")</f>
        <v>Valid Contract</v>
      </c>
      <c r="W1956" s="14" t="s">
        <v>20</v>
      </c>
      <c r="X1956" s="14" t="s">
        <v>3288</v>
      </c>
      <c r="Y1956" s="16" t="s">
        <v>3289</v>
      </c>
      <c r="Z1956" s="27" t="s">
        <v>3290</v>
      </c>
      <c r="AA1956" s="19"/>
      <c r="AB1956" s="123"/>
      <c r="AC1956" s="123"/>
    </row>
    <row r="1957" spans="1:29" s="11" customFormat="1" hidden="1" x14ac:dyDescent="0.3">
      <c r="A1957" s="18" t="s">
        <v>3338</v>
      </c>
      <c r="B1957" s="18" t="s">
        <v>472</v>
      </c>
      <c r="C1957" s="18" t="s">
        <v>544</v>
      </c>
      <c r="D1957" s="14" t="s">
        <v>545</v>
      </c>
      <c r="E1957" s="18" t="s">
        <v>10</v>
      </c>
      <c r="F1957" s="14" t="s">
        <v>560</v>
      </c>
      <c r="G1957" s="14" t="s">
        <v>518</v>
      </c>
      <c r="H1957" s="18" t="s">
        <v>5</v>
      </c>
      <c r="I1957" s="14" t="s">
        <v>115</v>
      </c>
      <c r="J1957" s="18"/>
      <c r="K1957" s="26" t="s">
        <v>573</v>
      </c>
      <c r="L1957" s="18"/>
      <c r="M1957" s="20">
        <v>1</v>
      </c>
      <c r="N1957" s="15">
        <v>19491.53</v>
      </c>
      <c r="O1957" s="15">
        <f t="shared" si="77"/>
        <v>19491.53</v>
      </c>
      <c r="P1957" s="15"/>
      <c r="Q1957" s="14" t="s">
        <v>520</v>
      </c>
      <c r="R1957" s="25">
        <v>45961</v>
      </c>
      <c r="S1957" s="34" t="str">
        <f>TEXT(Table1[[#This Row],[End Date]],"MMMM")</f>
        <v>October</v>
      </c>
      <c r="T1957" s="34" t="str">
        <f>TEXT(Table1[[#This Row],[End Date]],"YYYY")</f>
        <v>2025</v>
      </c>
      <c r="U1957" s="24">
        <f t="shared" ca="1" si="76"/>
        <v>-828</v>
      </c>
      <c r="V1957" s="14" t="str" cm="1">
        <f t="array" aca="1" ref="V1957" ca="1">_xlfn.IFS(Table1[[#This Row],[Agreement Days]]&gt;=0,"Expired",Table1[[#This Row],[Agreement Days]]&gt;=-30,"Expires &lt; 30 Days",Table1[[#This Row],[Agreement Days]]&gt;=-60,"Expires &lt; 60 Days",Table1[[#This Row],[Agreement Days]]&lt;-60,"Valid Contract")</f>
        <v>Valid Contract</v>
      </c>
      <c r="W1957" s="18" t="s">
        <v>16</v>
      </c>
      <c r="X1957" s="18" t="s">
        <v>3339</v>
      </c>
      <c r="Y1957" s="18" t="s">
        <v>3340</v>
      </c>
      <c r="Z1957" s="27" t="s">
        <v>3341</v>
      </c>
      <c r="AA1957" s="27"/>
      <c r="AB1957" s="123"/>
      <c r="AC1957" s="123"/>
    </row>
    <row r="1958" spans="1:29" s="11" customFormat="1" hidden="1" x14ac:dyDescent="0.3">
      <c r="A1958" s="18" t="s">
        <v>3342</v>
      </c>
      <c r="B1958" s="18" t="s">
        <v>52</v>
      </c>
      <c r="C1958" s="18" t="s">
        <v>3343</v>
      </c>
      <c r="D1958" s="14" t="s">
        <v>771</v>
      </c>
      <c r="E1958" s="18" t="s">
        <v>10</v>
      </c>
      <c r="F1958" s="14" t="s">
        <v>631</v>
      </c>
      <c r="G1958" s="14" t="s">
        <v>518</v>
      </c>
      <c r="H1958" s="18" t="s">
        <v>5</v>
      </c>
      <c r="I1958" s="14" t="s">
        <v>134</v>
      </c>
      <c r="J1958" s="14">
        <v>20</v>
      </c>
      <c r="K1958" s="14" t="s">
        <v>3344</v>
      </c>
      <c r="L1958" s="14"/>
      <c r="M1958" s="14">
        <v>1</v>
      </c>
      <c r="N1958" s="15">
        <v>566800</v>
      </c>
      <c r="O1958" s="15">
        <f t="shared" si="77"/>
        <v>566800</v>
      </c>
      <c r="P1958" s="15"/>
      <c r="Q1958" s="14" t="s">
        <v>520</v>
      </c>
      <c r="R1958" s="21">
        <v>45961</v>
      </c>
      <c r="S1958" s="22" t="str">
        <f>TEXT(Table1[[#This Row],[End Date]],"MMMM")</f>
        <v>October</v>
      </c>
      <c r="T1958" s="23" t="str">
        <f>TEXT(Table1[[#This Row],[End Date]],"YYYY")</f>
        <v>2025</v>
      </c>
      <c r="U1958" s="24">
        <f t="shared" ca="1" si="76"/>
        <v>-828</v>
      </c>
      <c r="V1958" s="14" t="str" cm="1">
        <f t="array" aca="1" ref="V1958" ca="1">_xlfn.IFS(Table1[[#This Row],[Agreement Days]]&gt;=0,"Expired",Table1[[#This Row],[Agreement Days]]&gt;=-30,"Expires &lt; 30 Days",Table1[[#This Row],[Agreement Days]]&gt;=-60,"Expires &lt; 60 Days",Table1[[#This Row],[Agreement Days]]&lt;-60,"Valid Contract")</f>
        <v>Valid Contract</v>
      </c>
      <c r="W1958" s="14" t="s">
        <v>13</v>
      </c>
      <c r="X1958" s="14" t="s">
        <v>3345</v>
      </c>
      <c r="Y1958" s="16" t="s">
        <v>3346</v>
      </c>
      <c r="Z1958" s="27" t="s">
        <v>3347</v>
      </c>
      <c r="AA1958" s="14"/>
      <c r="AB1958" s="123"/>
      <c r="AC1958" s="123"/>
    </row>
    <row r="1959" spans="1:29" s="11" customFormat="1" hidden="1" x14ac:dyDescent="0.3">
      <c r="A1959" s="18" t="s">
        <v>3348</v>
      </c>
      <c r="B1959" s="18" t="s">
        <v>94</v>
      </c>
      <c r="C1959" s="18" t="s">
        <v>94</v>
      </c>
      <c r="D1959" s="14" t="s">
        <v>739</v>
      </c>
      <c r="E1959" s="18" t="s">
        <v>9</v>
      </c>
      <c r="F1959" s="14" t="s">
        <v>631</v>
      </c>
      <c r="G1959" s="14" t="s">
        <v>518</v>
      </c>
      <c r="H1959" s="18" t="s">
        <v>5</v>
      </c>
      <c r="I1959" s="14" t="s">
        <v>117</v>
      </c>
      <c r="J1959" s="14">
        <v>3</v>
      </c>
      <c r="K1959" s="18" t="s">
        <v>646</v>
      </c>
      <c r="L1959" s="18"/>
      <c r="M1959" s="14">
        <v>1</v>
      </c>
      <c r="N1959" s="15">
        <v>270000</v>
      </c>
      <c r="O1959" s="15">
        <f t="shared" si="77"/>
        <v>270000</v>
      </c>
      <c r="P1959" s="15"/>
      <c r="Q1959" s="14" t="s">
        <v>520</v>
      </c>
      <c r="R1959" s="25">
        <v>45963</v>
      </c>
      <c r="S1959" s="34" t="str">
        <f>TEXT(Table1[[#This Row],[End Date]],"MMMM")</f>
        <v>November</v>
      </c>
      <c r="T1959" s="34" t="str">
        <f>TEXT(Table1[[#This Row],[End Date]],"YYYY")</f>
        <v>2025</v>
      </c>
      <c r="U1959" s="24">
        <f t="shared" ca="1" si="76"/>
        <v>-830</v>
      </c>
      <c r="V1959" s="14" t="str" cm="1">
        <f t="array" aca="1" ref="V1959" ca="1">_xlfn.IFS(Table1[[#This Row],[Agreement Days]]&gt;=0,"Expired",Table1[[#This Row],[Agreement Days]]&gt;=-30,"Expires &lt; 30 Days",Table1[[#This Row],[Agreement Days]]&gt;=-60,"Expires &lt; 60 Days",Table1[[#This Row],[Agreement Days]]&lt;-60,"Valid Contract")</f>
        <v>Valid Contract</v>
      </c>
      <c r="W1959" s="18" t="s">
        <v>21</v>
      </c>
      <c r="X1959" s="18" t="s">
        <v>3349</v>
      </c>
      <c r="Y1959" s="42" t="s">
        <v>3350</v>
      </c>
      <c r="Z1959" s="27">
        <v>788218417</v>
      </c>
      <c r="AA1959" s="27"/>
      <c r="AB1959" s="123"/>
      <c r="AC1959" s="123"/>
    </row>
    <row r="1960" spans="1:29" s="11" customFormat="1" hidden="1" x14ac:dyDescent="0.3">
      <c r="A1960" s="18" t="s">
        <v>1444</v>
      </c>
      <c r="B1960" s="18" t="s">
        <v>271</v>
      </c>
      <c r="C1960" s="18" t="s">
        <v>3351</v>
      </c>
      <c r="D1960" s="14" t="s">
        <v>545</v>
      </c>
      <c r="E1960" s="18" t="s">
        <v>9</v>
      </c>
      <c r="F1960" s="14" t="s">
        <v>517</v>
      </c>
      <c r="G1960" s="14" t="s">
        <v>518</v>
      </c>
      <c r="H1960" s="18" t="s">
        <v>5</v>
      </c>
      <c r="I1960" s="14" t="s">
        <v>115</v>
      </c>
      <c r="J1960" s="14"/>
      <c r="K1960" s="14" t="s">
        <v>722</v>
      </c>
      <c r="L1960" s="14"/>
      <c r="M1960" s="14">
        <v>2</v>
      </c>
      <c r="N1960" s="15">
        <v>77711.86</v>
      </c>
      <c r="O1960" s="15">
        <f t="shared" si="77"/>
        <v>155423.72</v>
      </c>
      <c r="P1960" s="15"/>
      <c r="Q1960" s="14" t="s">
        <v>520</v>
      </c>
      <c r="R1960" s="21">
        <v>45963</v>
      </c>
      <c r="S1960" s="22" t="str">
        <f>TEXT(Table1[[#This Row],[End Date]],"MMMM")</f>
        <v>November</v>
      </c>
      <c r="T1960" s="23" t="str">
        <f>TEXT(Table1[[#This Row],[End Date]],"YYYY")</f>
        <v>2025</v>
      </c>
      <c r="U1960" s="24">
        <f t="shared" ca="1" si="76"/>
        <v>-830</v>
      </c>
      <c r="V1960" s="14" t="str" cm="1">
        <f t="array" aca="1" ref="V1960" ca="1">_xlfn.IFS(Table1[[#This Row],[Agreement Days]]&gt;=0,"Expired",Table1[[#This Row],[Agreement Days]]&gt;=-30,"Expires &lt; 30 Days",Table1[[#This Row],[Agreement Days]]&gt;=-60,"Expires &lt; 60 Days",Table1[[#This Row],[Agreement Days]]&lt;-60,"Valid Contract")</f>
        <v>Valid Contract</v>
      </c>
      <c r="W1960" s="14" t="s">
        <v>20</v>
      </c>
      <c r="X1960" s="26" t="s">
        <v>3219</v>
      </c>
      <c r="Y1960" s="16" t="s">
        <v>1447</v>
      </c>
      <c r="Z1960" s="27" t="s">
        <v>1448</v>
      </c>
      <c r="AA1960" s="19"/>
      <c r="AB1960" s="123"/>
      <c r="AC1960" s="123"/>
    </row>
    <row r="1961" spans="1:29" s="11" customFormat="1" hidden="1" x14ac:dyDescent="0.3">
      <c r="A1961" s="18" t="s">
        <v>3352</v>
      </c>
      <c r="B1961" s="18" t="s">
        <v>454</v>
      </c>
      <c r="C1961" s="18" t="s">
        <v>544</v>
      </c>
      <c r="D1961" s="14" t="s">
        <v>540</v>
      </c>
      <c r="E1961" s="18" t="s">
        <v>9</v>
      </c>
      <c r="F1961" s="14" t="s">
        <v>517</v>
      </c>
      <c r="G1961" s="14" t="s">
        <v>518</v>
      </c>
      <c r="H1961" s="18" t="s">
        <v>5</v>
      </c>
      <c r="I1961" s="14" t="s">
        <v>115</v>
      </c>
      <c r="J1961" s="18"/>
      <c r="K1961" s="18" t="s">
        <v>3353</v>
      </c>
      <c r="L1961" s="18"/>
      <c r="M1961" s="14">
        <v>1</v>
      </c>
      <c r="N1961" s="15">
        <f>96000/1.18</f>
        <v>81355.932203389835</v>
      </c>
      <c r="O1961" s="15">
        <f t="shared" si="77"/>
        <v>81355.932203389835</v>
      </c>
      <c r="P1961" s="15"/>
      <c r="Q1961" s="14" t="s">
        <v>520</v>
      </c>
      <c r="R1961" s="25">
        <v>45971</v>
      </c>
      <c r="S1961" s="34" t="str">
        <f>TEXT(Table1[[#This Row],[End Date]],"MMMM")</f>
        <v>November</v>
      </c>
      <c r="T1961" s="34" t="str">
        <f>TEXT(Table1[[#This Row],[End Date]],"YYYY")</f>
        <v>2025</v>
      </c>
      <c r="U1961" s="24">
        <f t="shared" ca="1" si="76"/>
        <v>-838</v>
      </c>
      <c r="V1961" s="14" t="str" cm="1">
        <f t="array" aca="1" ref="V1961" ca="1">_xlfn.IFS(Table1[[#This Row],[Agreement Days]]&gt;=0,"Expired",Table1[[#This Row],[Agreement Days]]&gt;=-30,"Expires &lt; 30 Days",Table1[[#This Row],[Agreement Days]]&gt;=-60,"Expires &lt; 60 Days",Table1[[#This Row],[Agreement Days]]&lt;-60,"Valid Contract")</f>
        <v>Valid Contract</v>
      </c>
      <c r="W1961" s="18" t="s">
        <v>18</v>
      </c>
      <c r="X1961" s="18" t="s">
        <v>3278</v>
      </c>
      <c r="Y1961" s="35" t="s">
        <v>3279</v>
      </c>
      <c r="Z1961" s="27" t="s">
        <v>3280</v>
      </c>
      <c r="AA1961" s="36"/>
      <c r="AB1961" s="123"/>
      <c r="AC1961" s="123"/>
    </row>
    <row r="1962" spans="1:29" s="11" customFormat="1" hidden="1" x14ac:dyDescent="0.3">
      <c r="A1962" s="18" t="s">
        <v>3354</v>
      </c>
      <c r="B1962" s="18" t="s">
        <v>347</v>
      </c>
      <c r="C1962" s="18" t="s">
        <v>3355</v>
      </c>
      <c r="D1962" s="14" t="s">
        <v>630</v>
      </c>
      <c r="E1962" s="18" t="s">
        <v>9</v>
      </c>
      <c r="F1962" s="14" t="s">
        <v>688</v>
      </c>
      <c r="G1962" s="14" t="s">
        <v>518</v>
      </c>
      <c r="H1962" s="18" t="s">
        <v>5</v>
      </c>
      <c r="I1962" s="14" t="s">
        <v>117</v>
      </c>
      <c r="J1962" s="14">
        <v>5</v>
      </c>
      <c r="K1962" s="18" t="s">
        <v>519</v>
      </c>
      <c r="L1962" s="18"/>
      <c r="M1962" s="14">
        <v>1</v>
      </c>
      <c r="N1962" s="15">
        <v>270000</v>
      </c>
      <c r="O1962" s="15">
        <f t="shared" si="77"/>
        <v>270000</v>
      </c>
      <c r="P1962" s="15"/>
      <c r="Q1962" s="14" t="s">
        <v>520</v>
      </c>
      <c r="R1962" s="25">
        <v>45973</v>
      </c>
      <c r="S1962" s="34" t="str">
        <f>TEXT(Table1[[#This Row],[End Date]],"MMMM")</f>
        <v>November</v>
      </c>
      <c r="T1962" s="34" t="str">
        <f>TEXT(Table1[[#This Row],[End Date]],"YYYY")</f>
        <v>2025</v>
      </c>
      <c r="U1962" s="24">
        <f t="shared" ca="1" si="76"/>
        <v>-840</v>
      </c>
      <c r="V1962" s="14" t="str" cm="1">
        <f t="array" aca="1" ref="V1962" ca="1">_xlfn.IFS(Table1[[#This Row],[Agreement Days]]&gt;=0,"Expired",Table1[[#This Row],[Agreement Days]]&gt;=-30,"Expires &lt; 30 Days",Table1[[#This Row],[Agreement Days]]&gt;=-60,"Expires &lt; 60 Days",Table1[[#This Row],[Agreement Days]]&lt;-60,"Valid Contract")</f>
        <v>Valid Contract</v>
      </c>
      <c r="W1962" s="18" t="s">
        <v>21</v>
      </c>
      <c r="X1962" s="18" t="s">
        <v>3356</v>
      </c>
      <c r="Y1962" s="42" t="s">
        <v>3357</v>
      </c>
      <c r="Z1962" s="27">
        <v>725188043</v>
      </c>
      <c r="AA1962" s="27"/>
      <c r="AB1962" s="123"/>
      <c r="AC1962" s="123"/>
    </row>
    <row r="1963" spans="1:29" s="11" customFormat="1" hidden="1" x14ac:dyDescent="0.3">
      <c r="A1963" s="18" t="s">
        <v>3354</v>
      </c>
      <c r="B1963" s="18" t="s">
        <v>347</v>
      </c>
      <c r="C1963" s="18" t="s">
        <v>3358</v>
      </c>
      <c r="D1963" s="14" t="s">
        <v>630</v>
      </c>
      <c r="E1963" s="18" t="s">
        <v>9</v>
      </c>
      <c r="F1963" s="14" t="s">
        <v>688</v>
      </c>
      <c r="G1963" s="14" t="s">
        <v>518</v>
      </c>
      <c r="H1963" s="18" t="s">
        <v>5</v>
      </c>
      <c r="I1963" s="14" t="s">
        <v>117</v>
      </c>
      <c r="J1963" s="14">
        <v>5</v>
      </c>
      <c r="K1963" s="18" t="s">
        <v>519</v>
      </c>
      <c r="L1963" s="18"/>
      <c r="M1963" s="14">
        <v>1</v>
      </c>
      <c r="N1963" s="15">
        <v>270000</v>
      </c>
      <c r="O1963" s="15">
        <f t="shared" si="77"/>
        <v>270000</v>
      </c>
      <c r="P1963" s="15"/>
      <c r="Q1963" s="14" t="s">
        <v>520</v>
      </c>
      <c r="R1963" s="25">
        <v>45973</v>
      </c>
      <c r="S1963" s="34" t="str">
        <f>TEXT(Table1[[#This Row],[End Date]],"MMMM")</f>
        <v>November</v>
      </c>
      <c r="T1963" s="34" t="str">
        <f>TEXT(Table1[[#This Row],[End Date]],"YYYY")</f>
        <v>2025</v>
      </c>
      <c r="U1963" s="24">
        <f t="shared" ca="1" si="76"/>
        <v>-840</v>
      </c>
      <c r="V1963" s="14" t="str" cm="1">
        <f t="array" aca="1" ref="V1963" ca="1">_xlfn.IFS(Table1[[#This Row],[Agreement Days]]&gt;=0,"Expired",Table1[[#This Row],[Agreement Days]]&gt;=-30,"Expires &lt; 30 Days",Table1[[#This Row],[Agreement Days]]&gt;=-60,"Expires &lt; 60 Days",Table1[[#This Row],[Agreement Days]]&lt;-60,"Valid Contract")</f>
        <v>Valid Contract</v>
      </c>
      <c r="W1963" s="18" t="s">
        <v>21</v>
      </c>
      <c r="X1963" s="18" t="s">
        <v>3356</v>
      </c>
      <c r="Y1963" s="42" t="s">
        <v>3357</v>
      </c>
      <c r="Z1963" s="27">
        <v>725188043</v>
      </c>
      <c r="AA1963" s="27"/>
      <c r="AB1963" s="123"/>
      <c r="AC1963" s="123"/>
    </row>
    <row r="1964" spans="1:29" s="11" customFormat="1" hidden="1" x14ac:dyDescent="0.3">
      <c r="A1964" s="18" t="s">
        <v>3354</v>
      </c>
      <c r="B1964" s="18" t="s">
        <v>347</v>
      </c>
      <c r="C1964" s="18" t="s">
        <v>3355</v>
      </c>
      <c r="D1964" s="14" t="s">
        <v>630</v>
      </c>
      <c r="E1964" s="18" t="s">
        <v>9</v>
      </c>
      <c r="F1964" s="14" t="s">
        <v>688</v>
      </c>
      <c r="G1964" s="14" t="s">
        <v>518</v>
      </c>
      <c r="H1964" s="18" t="s">
        <v>5</v>
      </c>
      <c r="I1964" s="14" t="s">
        <v>115</v>
      </c>
      <c r="J1964" s="18"/>
      <c r="K1964" s="18" t="s">
        <v>643</v>
      </c>
      <c r="L1964" s="18"/>
      <c r="M1964" s="14">
        <v>1</v>
      </c>
      <c r="N1964" s="15">
        <f>33400/1.18</f>
        <v>28305.084745762713</v>
      </c>
      <c r="O1964" s="15">
        <f t="shared" si="77"/>
        <v>28305.084745762713</v>
      </c>
      <c r="P1964" s="15"/>
      <c r="Q1964" s="14" t="s">
        <v>520</v>
      </c>
      <c r="R1964" s="25">
        <v>45973</v>
      </c>
      <c r="S1964" s="34" t="str">
        <f>TEXT(Table1[[#This Row],[End Date]],"MMMM")</f>
        <v>November</v>
      </c>
      <c r="T1964" s="34" t="str">
        <f>TEXT(Table1[[#This Row],[End Date]],"YYYY")</f>
        <v>2025</v>
      </c>
      <c r="U1964" s="24">
        <f t="shared" ca="1" si="76"/>
        <v>-840</v>
      </c>
      <c r="V1964" s="14" t="str" cm="1">
        <f t="array" aca="1" ref="V1964" ca="1">_xlfn.IFS(Table1[[#This Row],[Agreement Days]]&gt;=0,"Expired",Table1[[#This Row],[Agreement Days]]&gt;=-30,"Expires &lt; 30 Days",Table1[[#This Row],[Agreement Days]]&gt;=-60,"Expires &lt; 60 Days",Table1[[#This Row],[Agreement Days]]&lt;-60,"Valid Contract")</f>
        <v>Valid Contract</v>
      </c>
      <c r="W1964" s="18" t="s">
        <v>21</v>
      </c>
      <c r="X1964" s="18" t="s">
        <v>3356</v>
      </c>
      <c r="Y1964" s="42" t="s">
        <v>3357</v>
      </c>
      <c r="Z1964" s="27">
        <v>725188043</v>
      </c>
      <c r="AA1964" s="27"/>
      <c r="AB1964" s="123"/>
      <c r="AC1964" s="123"/>
    </row>
    <row r="1965" spans="1:29" s="11" customFormat="1" hidden="1" x14ac:dyDescent="0.3">
      <c r="A1965" s="18" t="s">
        <v>3359</v>
      </c>
      <c r="B1965" s="18" t="s">
        <v>68</v>
      </c>
      <c r="C1965" s="18" t="s">
        <v>544</v>
      </c>
      <c r="D1965" s="14" t="s">
        <v>653</v>
      </c>
      <c r="E1965" s="18" t="s">
        <v>9</v>
      </c>
      <c r="F1965" s="14" t="s">
        <v>631</v>
      </c>
      <c r="G1965" s="14" t="s">
        <v>518</v>
      </c>
      <c r="H1965" s="18" t="s">
        <v>5</v>
      </c>
      <c r="I1965" s="14" t="s">
        <v>117</v>
      </c>
      <c r="J1965" s="19">
        <v>3</v>
      </c>
      <c r="K1965" s="26" t="s">
        <v>646</v>
      </c>
      <c r="L1965" s="26"/>
      <c r="M1965" s="19">
        <v>1</v>
      </c>
      <c r="N1965" s="15">
        <v>180000</v>
      </c>
      <c r="O1965" s="15">
        <f t="shared" si="77"/>
        <v>180000</v>
      </c>
      <c r="P1965" s="15"/>
      <c r="Q1965" s="14" t="s">
        <v>520</v>
      </c>
      <c r="R1965" s="25">
        <v>45980</v>
      </c>
      <c r="S1965" s="34" t="str">
        <f>TEXT(Table1[[#This Row],[End Date]],"MMMM")</f>
        <v>November</v>
      </c>
      <c r="T1965" s="34" t="str">
        <f>TEXT(Table1[[#This Row],[End Date]],"YYYY")</f>
        <v>2025</v>
      </c>
      <c r="U1965" s="24">
        <f t="shared" ca="1" si="76"/>
        <v>-847</v>
      </c>
      <c r="V1965" s="14" t="str" cm="1">
        <f t="array" aca="1" ref="V1965" ca="1">_xlfn.IFS(Table1[[#This Row],[Agreement Days]]&gt;=0,"Expired",Table1[[#This Row],[Agreement Days]]&gt;=-30,"Expires &lt; 30 Days",Table1[[#This Row],[Agreement Days]]&gt;=-60,"Expires &lt; 60 Days",Table1[[#This Row],[Agreement Days]]&lt;-60,"Valid Contract")</f>
        <v>Valid Contract</v>
      </c>
      <c r="W1965" s="26" t="s">
        <v>17</v>
      </c>
      <c r="X1965" s="26" t="s">
        <v>3360</v>
      </c>
      <c r="Y1965" s="18" t="s">
        <v>3361</v>
      </c>
      <c r="Z1965" s="27">
        <v>783729172</v>
      </c>
      <c r="AA1965" s="27"/>
      <c r="AB1965" s="123"/>
      <c r="AC1965" s="123"/>
    </row>
    <row r="1966" spans="1:29" s="11" customFormat="1" hidden="1" x14ac:dyDescent="0.3">
      <c r="A1966" s="18" t="s">
        <v>2495</v>
      </c>
      <c r="B1966" s="18" t="s">
        <v>336</v>
      </c>
      <c r="C1966" s="18" t="s">
        <v>544</v>
      </c>
      <c r="D1966" s="14" t="s">
        <v>516</v>
      </c>
      <c r="E1966" s="18" t="s">
        <v>9</v>
      </c>
      <c r="F1966" s="14" t="s">
        <v>517</v>
      </c>
      <c r="G1966" s="14" t="s">
        <v>546</v>
      </c>
      <c r="H1966" s="18" t="s">
        <v>5</v>
      </c>
      <c r="I1966" s="14" t="s">
        <v>115</v>
      </c>
      <c r="J1966" s="18"/>
      <c r="K1966" s="18" t="s">
        <v>813</v>
      </c>
      <c r="L1966" s="18"/>
      <c r="M1966" s="14">
        <v>1</v>
      </c>
      <c r="N1966" s="15">
        <v>19491.53</v>
      </c>
      <c r="O1966" s="15">
        <f t="shared" si="77"/>
        <v>19491.53</v>
      </c>
      <c r="P1966" s="15"/>
      <c r="Q1966" s="14" t="s">
        <v>520</v>
      </c>
      <c r="R1966" s="25">
        <v>45985</v>
      </c>
      <c r="S1966" s="34" t="str">
        <f>TEXT(Table1[[#This Row],[End Date]],"MMMM")</f>
        <v>November</v>
      </c>
      <c r="T1966" s="34" t="str">
        <f>TEXT(Table1[[#This Row],[End Date]],"YYYY")</f>
        <v>2025</v>
      </c>
      <c r="U1966" s="24">
        <f t="shared" ca="1" si="76"/>
        <v>-852</v>
      </c>
      <c r="V1966" s="14" t="str" cm="1">
        <f t="array" aca="1" ref="V1966" ca="1">_xlfn.IFS(Table1[[#This Row],[Agreement Days]]&gt;=0,"Expired",Table1[[#This Row],[Agreement Days]]&gt;=-30,"Expires &lt; 30 Days",Table1[[#This Row],[Agreement Days]]&gt;=-60,"Expires &lt; 60 Days",Table1[[#This Row],[Agreement Days]]&lt;-60,"Valid Contract")</f>
        <v>Valid Contract</v>
      </c>
      <c r="W1966" s="18" t="s">
        <v>18</v>
      </c>
      <c r="X1966" s="18" t="s">
        <v>2496</v>
      </c>
      <c r="Y1966" s="35" t="s">
        <v>2497</v>
      </c>
      <c r="Z1966" s="27" t="s">
        <v>2498</v>
      </c>
      <c r="AA1966" s="27"/>
      <c r="AB1966" s="123"/>
      <c r="AC1966" s="123"/>
    </row>
    <row r="1967" spans="1:29" s="11" customFormat="1" hidden="1" x14ac:dyDescent="0.3">
      <c r="A1967" s="18" t="s">
        <v>2495</v>
      </c>
      <c r="B1967" s="18" t="s">
        <v>336</v>
      </c>
      <c r="C1967" s="18" t="s">
        <v>544</v>
      </c>
      <c r="D1967" s="14" t="s">
        <v>516</v>
      </c>
      <c r="E1967" s="18" t="s">
        <v>9</v>
      </c>
      <c r="F1967" s="14" t="s">
        <v>517</v>
      </c>
      <c r="G1967" s="14" t="s">
        <v>546</v>
      </c>
      <c r="H1967" s="18" t="s">
        <v>5</v>
      </c>
      <c r="I1967" s="14" t="s">
        <v>115</v>
      </c>
      <c r="J1967" s="18"/>
      <c r="K1967" s="18" t="s">
        <v>651</v>
      </c>
      <c r="L1967" s="18"/>
      <c r="M1967" s="14">
        <v>1</v>
      </c>
      <c r="N1967" s="15">
        <f>96000/1.18</f>
        <v>81355.932203389835</v>
      </c>
      <c r="O1967" s="15">
        <f t="shared" si="77"/>
        <v>81355.932203389835</v>
      </c>
      <c r="P1967" s="15"/>
      <c r="Q1967" s="14" t="s">
        <v>520</v>
      </c>
      <c r="R1967" s="25">
        <v>45985</v>
      </c>
      <c r="S1967" s="34" t="str">
        <f>TEXT(Table1[[#This Row],[End Date]],"MMMM")</f>
        <v>November</v>
      </c>
      <c r="T1967" s="34" t="str">
        <f>TEXT(Table1[[#This Row],[End Date]],"YYYY")</f>
        <v>2025</v>
      </c>
      <c r="U1967" s="24">
        <f t="shared" ca="1" si="76"/>
        <v>-852</v>
      </c>
      <c r="V1967" s="14" t="str" cm="1">
        <f t="array" aca="1" ref="V1967" ca="1">_xlfn.IFS(Table1[[#This Row],[Agreement Days]]&gt;=0,"Expired",Table1[[#This Row],[Agreement Days]]&gt;=-30,"Expires &lt; 30 Days",Table1[[#This Row],[Agreement Days]]&gt;=-60,"Expires &lt; 60 Days",Table1[[#This Row],[Agreement Days]]&lt;-60,"Valid Contract")</f>
        <v>Valid Contract</v>
      </c>
      <c r="W1967" s="18" t="s">
        <v>18</v>
      </c>
      <c r="X1967" s="18" t="s">
        <v>2496</v>
      </c>
      <c r="Y1967" s="35" t="s">
        <v>2497</v>
      </c>
      <c r="Z1967" s="27" t="s">
        <v>2498</v>
      </c>
      <c r="AA1967" s="27"/>
      <c r="AB1967" s="123"/>
      <c r="AC1967" s="123"/>
    </row>
    <row r="1968" spans="1:29" s="11" customFormat="1" hidden="1" x14ac:dyDescent="0.3">
      <c r="A1968" s="18" t="s">
        <v>2495</v>
      </c>
      <c r="B1968" s="18" t="s">
        <v>336</v>
      </c>
      <c r="C1968" s="18" t="s">
        <v>544</v>
      </c>
      <c r="D1968" s="14" t="s">
        <v>516</v>
      </c>
      <c r="E1968" s="18" t="s">
        <v>9</v>
      </c>
      <c r="F1968" s="14" t="s">
        <v>517</v>
      </c>
      <c r="G1968" s="14" t="s">
        <v>546</v>
      </c>
      <c r="H1968" s="18" t="s">
        <v>5</v>
      </c>
      <c r="I1968" s="14" t="s">
        <v>115</v>
      </c>
      <c r="J1968" s="18"/>
      <c r="K1968" s="18" t="s">
        <v>643</v>
      </c>
      <c r="L1968" s="18"/>
      <c r="M1968" s="14">
        <v>1</v>
      </c>
      <c r="N1968" s="15">
        <v>28305.08</v>
      </c>
      <c r="O1968" s="15">
        <f t="shared" si="77"/>
        <v>28305.08</v>
      </c>
      <c r="P1968" s="15"/>
      <c r="Q1968" s="14" t="s">
        <v>520</v>
      </c>
      <c r="R1968" s="25">
        <v>45985</v>
      </c>
      <c r="S1968" s="34" t="str">
        <f>TEXT(Table1[[#This Row],[End Date]],"MMMM")</f>
        <v>November</v>
      </c>
      <c r="T1968" s="34" t="str">
        <f>TEXT(Table1[[#This Row],[End Date]],"YYYY")</f>
        <v>2025</v>
      </c>
      <c r="U1968" s="24">
        <f t="shared" ca="1" si="76"/>
        <v>-852</v>
      </c>
      <c r="V1968" s="14" t="str" cm="1">
        <f t="array" aca="1" ref="V1968" ca="1">_xlfn.IFS(Table1[[#This Row],[Agreement Days]]&gt;=0,"Expired",Table1[[#This Row],[Agreement Days]]&gt;=-30,"Expires &lt; 30 Days",Table1[[#This Row],[Agreement Days]]&gt;=-60,"Expires &lt; 60 Days",Table1[[#This Row],[Agreement Days]]&lt;-60,"Valid Contract")</f>
        <v>Valid Contract</v>
      </c>
      <c r="W1968" s="18" t="s">
        <v>18</v>
      </c>
      <c r="X1968" s="18" t="s">
        <v>2496</v>
      </c>
      <c r="Y1968" s="35" t="s">
        <v>2497</v>
      </c>
      <c r="Z1968" s="27" t="s">
        <v>2498</v>
      </c>
      <c r="AA1968" s="27"/>
      <c r="AB1968" s="123"/>
      <c r="AC1968" s="123"/>
    </row>
    <row r="1969" spans="1:29" s="11" customFormat="1" hidden="1" x14ac:dyDescent="0.3">
      <c r="A1969" s="18" t="s">
        <v>3362</v>
      </c>
      <c r="B1969" s="18" t="s">
        <v>47</v>
      </c>
      <c r="C1969" s="18" t="s">
        <v>47</v>
      </c>
      <c r="D1969" s="14" t="s">
        <v>516</v>
      </c>
      <c r="E1969" s="18" t="s">
        <v>9</v>
      </c>
      <c r="F1969" s="14" t="s">
        <v>631</v>
      </c>
      <c r="G1969" s="14" t="s">
        <v>518</v>
      </c>
      <c r="H1969" s="18" t="s">
        <v>5</v>
      </c>
      <c r="I1969" s="14" t="s">
        <v>117</v>
      </c>
      <c r="J1969" s="14">
        <v>20</v>
      </c>
      <c r="K1969" s="14" t="s">
        <v>2480</v>
      </c>
      <c r="L1969" s="14"/>
      <c r="M1969" s="14">
        <v>1</v>
      </c>
      <c r="N1969" s="15">
        <f>1062000/1.18</f>
        <v>900000</v>
      </c>
      <c r="O1969" s="15">
        <f t="shared" si="77"/>
        <v>900000</v>
      </c>
      <c r="P1969" s="15"/>
      <c r="Q1969" s="14" t="s">
        <v>520</v>
      </c>
      <c r="R1969" s="21">
        <v>45991</v>
      </c>
      <c r="S1969" s="22" t="str">
        <f>TEXT(Table1[[#This Row],[End Date]],"MMMM")</f>
        <v>November</v>
      </c>
      <c r="T1969" s="23" t="str">
        <f>TEXT(Table1[[#This Row],[End Date]],"YYYY")</f>
        <v>2025</v>
      </c>
      <c r="U1969" s="24">
        <f t="shared" ca="1" si="76"/>
        <v>-858</v>
      </c>
      <c r="V1969" s="14" t="str" cm="1">
        <f t="array" aca="1" ref="V1969" ca="1">_xlfn.IFS(Table1[[#This Row],[Agreement Days]]&gt;=0,"Expired",Table1[[#This Row],[Agreement Days]]&gt;=-30,"Expires &lt; 30 Days",Table1[[#This Row],[Agreement Days]]&gt;=-60,"Expires &lt; 60 Days",Table1[[#This Row],[Agreement Days]]&lt;-60,"Valid Contract")</f>
        <v>Valid Contract</v>
      </c>
      <c r="W1969" s="14" t="s">
        <v>13</v>
      </c>
      <c r="X1969" s="14" t="s">
        <v>3363</v>
      </c>
      <c r="Y1969" s="43" t="s">
        <v>3364</v>
      </c>
      <c r="Z1969" s="27">
        <v>785839178</v>
      </c>
      <c r="AA1969" s="17"/>
      <c r="AB1969" s="123"/>
      <c r="AC1969" s="123"/>
    </row>
    <row r="1970" spans="1:29" s="11" customFormat="1" hidden="1" x14ac:dyDescent="0.3">
      <c r="A1970" s="18" t="s">
        <v>3362</v>
      </c>
      <c r="B1970" s="18" t="s">
        <v>47</v>
      </c>
      <c r="C1970" s="18" t="s">
        <v>3365</v>
      </c>
      <c r="D1970" s="14" t="s">
        <v>516</v>
      </c>
      <c r="E1970" s="18" t="s">
        <v>9</v>
      </c>
      <c r="F1970" s="14" t="s">
        <v>631</v>
      </c>
      <c r="G1970" s="14" t="s">
        <v>518</v>
      </c>
      <c r="H1970" s="18" t="s">
        <v>5</v>
      </c>
      <c r="I1970" s="14" t="s">
        <v>115</v>
      </c>
      <c r="J1970" s="14"/>
      <c r="K1970" s="18" t="s">
        <v>657</v>
      </c>
      <c r="L1970" s="14"/>
      <c r="M1970" s="14">
        <v>1</v>
      </c>
      <c r="N1970" s="15">
        <v>45338.98</v>
      </c>
      <c r="O1970" s="15">
        <f t="shared" si="77"/>
        <v>45338.98</v>
      </c>
      <c r="P1970" s="15"/>
      <c r="Q1970" s="14" t="s">
        <v>520</v>
      </c>
      <c r="R1970" s="21">
        <v>45991</v>
      </c>
      <c r="S1970" s="22" t="str">
        <f>TEXT(Table1[[#This Row],[End Date]],"MMMM")</f>
        <v>November</v>
      </c>
      <c r="T1970" s="23" t="str">
        <f>TEXT(Table1[[#This Row],[End Date]],"YYYY")</f>
        <v>2025</v>
      </c>
      <c r="U1970" s="24">
        <f t="shared" ca="1" si="76"/>
        <v>-858</v>
      </c>
      <c r="V1970" s="14" t="str" cm="1">
        <f t="array" aca="1" ref="V1970" ca="1">_xlfn.IFS(Table1[[#This Row],[Agreement Days]]&gt;=0,"Expired",Table1[[#This Row],[Agreement Days]]&gt;=-30,"Expires &lt; 30 Days",Table1[[#This Row],[Agreement Days]]&gt;=-60,"Expires &lt; 60 Days",Table1[[#This Row],[Agreement Days]]&lt;-60,"Valid Contract")</f>
        <v>Valid Contract</v>
      </c>
      <c r="W1970" s="14" t="s">
        <v>13</v>
      </c>
      <c r="X1970" s="14" t="s">
        <v>3363</v>
      </c>
      <c r="Y1970" s="43" t="s">
        <v>3364</v>
      </c>
      <c r="Z1970" s="27">
        <v>785839179</v>
      </c>
      <c r="AA1970" s="17"/>
      <c r="AB1970" s="123"/>
      <c r="AC1970" s="123"/>
    </row>
    <row r="1971" spans="1:29" s="11" customFormat="1" hidden="1" x14ac:dyDescent="0.3">
      <c r="A1971" s="18" t="s">
        <v>3362</v>
      </c>
      <c r="B1971" s="18" t="s">
        <v>47</v>
      </c>
      <c r="C1971" s="18" t="s">
        <v>3365</v>
      </c>
      <c r="D1971" s="14" t="s">
        <v>516</v>
      </c>
      <c r="E1971" s="18" t="s">
        <v>9</v>
      </c>
      <c r="F1971" s="14" t="s">
        <v>631</v>
      </c>
      <c r="G1971" s="14" t="s">
        <v>518</v>
      </c>
      <c r="H1971" s="18" t="s">
        <v>5</v>
      </c>
      <c r="I1971" s="14" t="s">
        <v>115</v>
      </c>
      <c r="J1971" s="14"/>
      <c r="K1971" s="14" t="s">
        <v>642</v>
      </c>
      <c r="L1971" s="14"/>
      <c r="M1971" s="14">
        <v>9</v>
      </c>
      <c r="N1971" s="2">
        <v>101694.91525400001</v>
      </c>
      <c r="O1971" s="2">
        <f t="shared" si="77"/>
        <v>915254.23728600005</v>
      </c>
      <c r="P1971" s="2"/>
      <c r="Q1971" s="14" t="s">
        <v>520</v>
      </c>
      <c r="R1971" s="21">
        <v>45991</v>
      </c>
      <c r="S1971" s="57" t="str">
        <f>TEXT(Table1[[#This Row],[End Date]],"MMMM")</f>
        <v>November</v>
      </c>
      <c r="T1971" s="57" t="str">
        <f>TEXT(Table1[[#This Row],[End Date]],"YYYY")</f>
        <v>2025</v>
      </c>
      <c r="U1971" s="58">
        <f t="shared" ca="1" si="76"/>
        <v>-858</v>
      </c>
      <c r="V1971" s="14" t="str" cm="1">
        <f t="array" aca="1" ref="V1971" ca="1">_xlfn.IFS(Table1[[#This Row],[Agreement Days]]&gt;=0,"Expired",Table1[[#This Row],[Agreement Days]]&gt;=-30,"Expires &lt; 30 Days",Table1[[#This Row],[Agreement Days]]&gt;=-60,"Expires &lt; 60 Days",Table1[[#This Row],[Agreement Days]]&lt;-60,"Valid Contract")</f>
        <v>Valid Contract</v>
      </c>
      <c r="W1971" s="14" t="s">
        <v>13</v>
      </c>
      <c r="X1971" s="14" t="s">
        <v>3363</v>
      </c>
      <c r="Y1971" s="16" t="s">
        <v>3364</v>
      </c>
      <c r="Z1971" s="27">
        <v>785839180</v>
      </c>
      <c r="AA1971" s="17"/>
      <c r="AB1971" s="123"/>
      <c r="AC1971" s="123"/>
    </row>
    <row r="1972" spans="1:29" s="11" customFormat="1" hidden="1" x14ac:dyDescent="0.3">
      <c r="A1972" s="18" t="s">
        <v>3362</v>
      </c>
      <c r="B1972" s="18" t="s">
        <v>47</v>
      </c>
      <c r="C1972" s="18" t="s">
        <v>3365</v>
      </c>
      <c r="D1972" s="14" t="s">
        <v>516</v>
      </c>
      <c r="E1972" s="18" t="s">
        <v>9</v>
      </c>
      <c r="F1972" s="14" t="s">
        <v>631</v>
      </c>
      <c r="G1972" s="14" t="s">
        <v>518</v>
      </c>
      <c r="H1972" s="18" t="s">
        <v>5</v>
      </c>
      <c r="I1972" s="14" t="s">
        <v>115</v>
      </c>
      <c r="J1972" s="14"/>
      <c r="K1972" s="14" t="s">
        <v>1048</v>
      </c>
      <c r="L1972" s="14"/>
      <c r="M1972" s="14">
        <v>2</v>
      </c>
      <c r="N1972" s="15">
        <v>100424</v>
      </c>
      <c r="O1972" s="15">
        <f t="shared" si="77"/>
        <v>200848</v>
      </c>
      <c r="P1972" s="15"/>
      <c r="Q1972" s="14" t="s">
        <v>520</v>
      </c>
      <c r="R1972" s="21">
        <v>45991</v>
      </c>
      <c r="S1972" s="22" t="str">
        <f>TEXT(Table1[[#This Row],[End Date]],"MMMM")</f>
        <v>November</v>
      </c>
      <c r="T1972" s="23" t="str">
        <f>TEXT(Table1[[#This Row],[End Date]],"YYYY")</f>
        <v>2025</v>
      </c>
      <c r="U1972" s="24">
        <f t="shared" ca="1" si="76"/>
        <v>-858</v>
      </c>
      <c r="V1972" s="14" t="str" cm="1">
        <f t="array" aca="1" ref="V1972" ca="1">_xlfn.IFS(Table1[[#This Row],[Agreement Days]]&gt;=0,"Expired",Table1[[#This Row],[Agreement Days]]&gt;=-30,"Expires &lt; 30 Days",Table1[[#This Row],[Agreement Days]]&gt;=-60,"Expires &lt; 60 Days",Table1[[#This Row],[Agreement Days]]&lt;-60,"Valid Contract")</f>
        <v>Valid Contract</v>
      </c>
      <c r="W1972" s="14" t="s">
        <v>13</v>
      </c>
      <c r="X1972" s="14" t="s">
        <v>3363</v>
      </c>
      <c r="Y1972" s="43" t="s">
        <v>3364</v>
      </c>
      <c r="Z1972" s="27">
        <v>785839180</v>
      </c>
      <c r="AA1972" s="17"/>
      <c r="AB1972" s="123"/>
      <c r="AC1972" s="123"/>
    </row>
    <row r="1973" spans="1:29" s="11" customFormat="1" hidden="1" x14ac:dyDescent="0.3">
      <c r="A1973" s="18" t="s">
        <v>3362</v>
      </c>
      <c r="B1973" s="18" t="s">
        <v>47</v>
      </c>
      <c r="C1973" s="18" t="s">
        <v>47</v>
      </c>
      <c r="D1973" s="14" t="s">
        <v>516</v>
      </c>
      <c r="E1973" s="18" t="s">
        <v>9</v>
      </c>
      <c r="F1973" s="14" t="s">
        <v>631</v>
      </c>
      <c r="G1973" s="14" t="s">
        <v>518</v>
      </c>
      <c r="H1973" s="18" t="s">
        <v>5</v>
      </c>
      <c r="I1973" s="14" t="s">
        <v>115</v>
      </c>
      <c r="J1973" s="14"/>
      <c r="K1973" s="14" t="s">
        <v>936</v>
      </c>
      <c r="L1973" s="14"/>
      <c r="M1973" s="14">
        <v>5</v>
      </c>
      <c r="N1973" s="15">
        <v>77711.86</v>
      </c>
      <c r="O1973" s="15">
        <f t="shared" si="77"/>
        <v>388559.3</v>
      </c>
      <c r="P1973" s="15"/>
      <c r="Q1973" s="14" t="s">
        <v>520</v>
      </c>
      <c r="R1973" s="21">
        <v>45991</v>
      </c>
      <c r="S1973" s="22" t="str">
        <f>TEXT(Table1[[#This Row],[End Date]],"MMMM")</f>
        <v>November</v>
      </c>
      <c r="T1973" s="23" t="str">
        <f>TEXT(Table1[[#This Row],[End Date]],"YYYY")</f>
        <v>2025</v>
      </c>
      <c r="U1973" s="24">
        <f t="shared" ca="1" si="76"/>
        <v>-858</v>
      </c>
      <c r="V1973" s="14" t="str" cm="1">
        <f t="array" aca="1" ref="V1973" ca="1">_xlfn.IFS(Table1[[#This Row],[Agreement Days]]&gt;=0,"Expired",Table1[[#This Row],[Agreement Days]]&gt;=-30,"Expires &lt; 30 Days",Table1[[#This Row],[Agreement Days]]&gt;=-60,"Expires &lt; 60 Days",Table1[[#This Row],[Agreement Days]]&lt;-60,"Valid Contract")</f>
        <v>Valid Contract</v>
      </c>
      <c r="W1973" s="14" t="s">
        <v>13</v>
      </c>
      <c r="X1973" s="14" t="s">
        <v>3363</v>
      </c>
      <c r="Y1973" s="43" t="s">
        <v>3364</v>
      </c>
      <c r="Z1973" s="27">
        <v>785839178</v>
      </c>
      <c r="AA1973" s="17"/>
      <c r="AB1973" s="123"/>
      <c r="AC1973" s="123"/>
    </row>
    <row r="1974" spans="1:29" s="11" customFormat="1" hidden="1" x14ac:dyDescent="0.3">
      <c r="A1974" s="18" t="s">
        <v>3309</v>
      </c>
      <c r="B1974" s="18" t="s">
        <v>202</v>
      </c>
      <c r="C1974" s="18" t="s">
        <v>515</v>
      </c>
      <c r="D1974" s="14" t="s">
        <v>1280</v>
      </c>
      <c r="E1974" s="18" t="s">
        <v>9</v>
      </c>
      <c r="F1974" s="14" t="s">
        <v>517</v>
      </c>
      <c r="G1974" s="14" t="s">
        <v>518</v>
      </c>
      <c r="H1974" s="18" t="s">
        <v>5</v>
      </c>
      <c r="I1974" s="14" t="s">
        <v>117</v>
      </c>
      <c r="J1974" s="14">
        <v>3</v>
      </c>
      <c r="K1974" s="18" t="s">
        <v>646</v>
      </c>
      <c r="L1974" s="18"/>
      <c r="M1974" s="14">
        <v>1</v>
      </c>
      <c r="N1974" s="15">
        <v>180000</v>
      </c>
      <c r="O1974" s="15">
        <f t="shared" si="77"/>
        <v>180000</v>
      </c>
      <c r="P1974" s="15"/>
      <c r="Q1974" s="14" t="s">
        <v>520</v>
      </c>
      <c r="R1974" s="25">
        <v>45991</v>
      </c>
      <c r="S1974" s="34" t="str">
        <f>TEXT(Table1[[#This Row],[End Date]],"MMMM")</f>
        <v>November</v>
      </c>
      <c r="T1974" s="34" t="str">
        <f>TEXT(Table1[[#This Row],[End Date]],"YYYY")</f>
        <v>2025</v>
      </c>
      <c r="U1974" s="24">
        <f t="shared" ca="1" si="76"/>
        <v>-858</v>
      </c>
      <c r="V1974" s="14" t="str" cm="1">
        <f t="array" aca="1" ref="V1974" ca="1">_xlfn.IFS(Table1[[#This Row],[Agreement Days]]&gt;=0,"Expired",Table1[[#This Row],[Agreement Days]]&gt;=-30,"Expires &lt; 30 Days",Table1[[#This Row],[Agreement Days]]&gt;=-60,"Expires &lt; 60 Days",Table1[[#This Row],[Agreement Days]]&lt;-60,"Valid Contract")</f>
        <v>Valid Contract</v>
      </c>
      <c r="W1974" s="18" t="s">
        <v>18</v>
      </c>
      <c r="X1974" s="18" t="s">
        <v>3311</v>
      </c>
      <c r="Y1974" s="35" t="s">
        <v>3279</v>
      </c>
      <c r="Z1974" s="27" t="s">
        <v>3280</v>
      </c>
      <c r="AA1974" s="27"/>
      <c r="AB1974" s="123"/>
      <c r="AC1974" s="123"/>
    </row>
    <row r="1975" spans="1:29" s="11" customFormat="1" hidden="1" x14ac:dyDescent="0.3">
      <c r="A1975" s="18" t="s">
        <v>3309</v>
      </c>
      <c r="B1975" s="18" t="s">
        <v>202</v>
      </c>
      <c r="C1975" s="18" t="s">
        <v>544</v>
      </c>
      <c r="D1975" s="14" t="s">
        <v>1280</v>
      </c>
      <c r="E1975" s="18" t="s">
        <v>9</v>
      </c>
      <c r="F1975" s="14" t="s">
        <v>517</v>
      </c>
      <c r="G1975" s="14" t="s">
        <v>518</v>
      </c>
      <c r="H1975" s="18" t="s">
        <v>5</v>
      </c>
      <c r="I1975" s="14" t="s">
        <v>117</v>
      </c>
      <c r="J1975" s="14">
        <v>10</v>
      </c>
      <c r="K1975" s="14" t="s">
        <v>547</v>
      </c>
      <c r="L1975" s="18"/>
      <c r="M1975" s="14">
        <v>1</v>
      </c>
      <c r="N1975" s="15">
        <v>510000</v>
      </c>
      <c r="O1975" s="15">
        <f t="shared" si="77"/>
        <v>510000</v>
      </c>
      <c r="P1975" s="15"/>
      <c r="Q1975" s="14" t="s">
        <v>520</v>
      </c>
      <c r="R1975" s="25">
        <v>45991</v>
      </c>
      <c r="S1975" s="34" t="str">
        <f>TEXT(Table1[[#This Row],[End Date]],"MMMM")</f>
        <v>November</v>
      </c>
      <c r="T1975" s="34" t="str">
        <f>TEXT(Table1[[#This Row],[End Date]],"YYYY")</f>
        <v>2025</v>
      </c>
      <c r="U1975" s="24">
        <f t="shared" ca="1" si="76"/>
        <v>-858</v>
      </c>
      <c r="V1975" s="14" t="str" cm="1">
        <f t="array" aca="1" ref="V1975" ca="1">_xlfn.IFS(Table1[[#This Row],[Agreement Days]]&gt;=0,"Expired",Table1[[#This Row],[Agreement Days]]&gt;=-30,"Expires &lt; 30 Days",Table1[[#This Row],[Agreement Days]]&gt;=-60,"Expires &lt; 60 Days",Table1[[#This Row],[Agreement Days]]&lt;-60,"Valid Contract")</f>
        <v>Valid Contract</v>
      </c>
      <c r="W1975" s="18" t="s">
        <v>18</v>
      </c>
      <c r="X1975" s="18" t="s">
        <v>3311</v>
      </c>
      <c r="Y1975" s="35" t="s">
        <v>3279</v>
      </c>
      <c r="Z1975" s="27" t="s">
        <v>3280</v>
      </c>
      <c r="AA1975" s="27"/>
      <c r="AB1975" s="123"/>
      <c r="AC1975" s="123"/>
    </row>
    <row r="1976" spans="1:29" s="11" customFormat="1" hidden="1" x14ac:dyDescent="0.3">
      <c r="A1976" s="18" t="s">
        <v>3309</v>
      </c>
      <c r="B1976" s="18" t="s">
        <v>202</v>
      </c>
      <c r="C1976" s="18" t="s">
        <v>544</v>
      </c>
      <c r="D1976" s="14" t="s">
        <v>1280</v>
      </c>
      <c r="E1976" s="18" t="s">
        <v>9</v>
      </c>
      <c r="F1976" s="14" t="s">
        <v>517</v>
      </c>
      <c r="G1976" s="14" t="s">
        <v>518</v>
      </c>
      <c r="H1976" s="18" t="s">
        <v>2</v>
      </c>
      <c r="I1976" s="14" t="s">
        <v>120</v>
      </c>
      <c r="J1976" s="18"/>
      <c r="K1976" s="18" t="s">
        <v>649</v>
      </c>
      <c r="L1976" s="18"/>
      <c r="M1976" s="14">
        <v>1</v>
      </c>
      <c r="N1976" s="15">
        <v>258044.92</v>
      </c>
      <c r="O1976" s="15">
        <f t="shared" si="77"/>
        <v>258044.92</v>
      </c>
      <c r="P1976" s="15"/>
      <c r="Q1976" s="14" t="s">
        <v>520</v>
      </c>
      <c r="R1976" s="25">
        <v>45991</v>
      </c>
      <c r="S1976" s="34" t="str">
        <f>TEXT(Table1[[#This Row],[End Date]],"MMMM")</f>
        <v>November</v>
      </c>
      <c r="T1976" s="34" t="str">
        <f>TEXT(Table1[[#This Row],[End Date]],"YYYY")</f>
        <v>2025</v>
      </c>
      <c r="U1976" s="24">
        <f t="shared" ca="1" si="76"/>
        <v>-858</v>
      </c>
      <c r="V1976" s="14" t="str" cm="1">
        <f t="array" aca="1" ref="V1976" ca="1">_xlfn.IFS(Table1[[#This Row],[Agreement Days]]&gt;=0,"Expired",Table1[[#This Row],[Agreement Days]]&gt;=-30,"Expires &lt; 30 Days",Table1[[#This Row],[Agreement Days]]&gt;=-60,"Expires &lt; 60 Days",Table1[[#This Row],[Agreement Days]]&lt;-60,"Valid Contract")</f>
        <v>Valid Contract</v>
      </c>
      <c r="W1976" s="18" t="s">
        <v>18</v>
      </c>
      <c r="X1976" s="18" t="s">
        <v>3311</v>
      </c>
      <c r="Y1976" s="35" t="s">
        <v>3279</v>
      </c>
      <c r="Z1976" s="27" t="s">
        <v>3280</v>
      </c>
      <c r="AA1976" s="36"/>
      <c r="AB1976" s="123"/>
      <c r="AC1976" s="123"/>
    </row>
    <row r="1977" spans="1:29" s="11" customFormat="1" hidden="1" x14ac:dyDescent="0.3">
      <c r="A1977" s="18" t="s">
        <v>3309</v>
      </c>
      <c r="B1977" s="18" t="s">
        <v>202</v>
      </c>
      <c r="C1977" s="18" t="s">
        <v>544</v>
      </c>
      <c r="D1977" s="14" t="s">
        <v>1280</v>
      </c>
      <c r="E1977" s="18" t="s">
        <v>9</v>
      </c>
      <c r="F1977" s="14" t="s">
        <v>517</v>
      </c>
      <c r="G1977" s="14" t="s">
        <v>518</v>
      </c>
      <c r="H1977" s="18" t="s">
        <v>4</v>
      </c>
      <c r="I1977" s="14" t="s">
        <v>118</v>
      </c>
      <c r="J1977" s="18"/>
      <c r="K1977" s="18" t="s">
        <v>650</v>
      </c>
      <c r="L1977" s="18"/>
      <c r="M1977" s="14">
        <v>1</v>
      </c>
      <c r="N1977" s="15">
        <v>369325.42</v>
      </c>
      <c r="O1977" s="15">
        <f t="shared" si="77"/>
        <v>369325.42</v>
      </c>
      <c r="P1977" s="15"/>
      <c r="Q1977" s="14" t="s">
        <v>520</v>
      </c>
      <c r="R1977" s="25">
        <v>45991</v>
      </c>
      <c r="S1977" s="34" t="str">
        <f>TEXT(Table1[[#This Row],[End Date]],"MMMM")</f>
        <v>November</v>
      </c>
      <c r="T1977" s="34" t="str">
        <f>TEXT(Table1[[#This Row],[End Date]],"YYYY")</f>
        <v>2025</v>
      </c>
      <c r="U1977" s="24">
        <f t="shared" ca="1" si="76"/>
        <v>-858</v>
      </c>
      <c r="V1977" s="14" t="str" cm="1">
        <f t="array" aca="1" ref="V1977" ca="1">_xlfn.IFS(Table1[[#This Row],[Agreement Days]]&gt;=0,"Expired",Table1[[#This Row],[Agreement Days]]&gt;=-30,"Expires &lt; 30 Days",Table1[[#This Row],[Agreement Days]]&gt;=-60,"Expires &lt; 60 Days",Table1[[#This Row],[Agreement Days]]&lt;-60,"Valid Contract")</f>
        <v>Valid Contract</v>
      </c>
      <c r="W1977" s="18" t="s">
        <v>18</v>
      </c>
      <c r="X1977" s="18" t="s">
        <v>3311</v>
      </c>
      <c r="Y1977" s="35" t="s">
        <v>3279</v>
      </c>
      <c r="Z1977" s="27" t="s">
        <v>3280</v>
      </c>
      <c r="AA1977" s="27"/>
      <c r="AB1977" s="123"/>
      <c r="AC1977" s="123"/>
    </row>
    <row r="1978" spans="1:29" s="11" customFormat="1" hidden="1" x14ac:dyDescent="0.3">
      <c r="A1978" s="18" t="s">
        <v>3366</v>
      </c>
      <c r="B1978" s="18" t="s">
        <v>322</v>
      </c>
      <c r="C1978" s="18" t="s">
        <v>3367</v>
      </c>
      <c r="D1978" s="14" t="s">
        <v>1719</v>
      </c>
      <c r="E1978" s="18" t="s">
        <v>9</v>
      </c>
      <c r="F1978" s="14" t="s">
        <v>688</v>
      </c>
      <c r="G1978" s="14" t="s">
        <v>518</v>
      </c>
      <c r="H1978" s="18" t="s">
        <v>5</v>
      </c>
      <c r="I1978" s="14" t="s">
        <v>117</v>
      </c>
      <c r="J1978" s="14">
        <v>20</v>
      </c>
      <c r="K1978" s="18" t="s">
        <v>689</v>
      </c>
      <c r="L1978" s="18"/>
      <c r="M1978" s="14">
        <v>1</v>
      </c>
      <c r="N1978" s="15">
        <v>900000</v>
      </c>
      <c r="O1978" s="15">
        <f t="shared" si="77"/>
        <v>900000</v>
      </c>
      <c r="P1978" s="15"/>
      <c r="Q1978" s="14" t="s">
        <v>520</v>
      </c>
      <c r="R1978" s="25">
        <v>45991</v>
      </c>
      <c r="S1978" s="34" t="str">
        <f>TEXT(Table1[[#This Row],[End Date]],"MMMM")</f>
        <v>November</v>
      </c>
      <c r="T1978" s="34" t="str">
        <f>TEXT(Table1[[#This Row],[End Date]],"YYYY")</f>
        <v>2025</v>
      </c>
      <c r="U1978" s="24">
        <f t="shared" ca="1" si="76"/>
        <v>-858</v>
      </c>
      <c r="V1978" s="14" t="str" cm="1">
        <f t="array" aca="1" ref="V1978" ca="1">_xlfn.IFS(Table1[[#This Row],[Agreement Days]]&gt;=0,"Expired",Table1[[#This Row],[Agreement Days]]&gt;=-30,"Expires &lt; 30 Days",Table1[[#This Row],[Agreement Days]]&gt;=-60,"Expires &lt; 60 Days",Table1[[#This Row],[Agreement Days]]&lt;-60,"Valid Contract")</f>
        <v>Valid Contract</v>
      </c>
      <c r="W1978" s="18" t="s">
        <v>21</v>
      </c>
      <c r="X1978" s="18" t="s">
        <v>3368</v>
      </c>
      <c r="Y1978" s="42" t="s">
        <v>3369</v>
      </c>
      <c r="Z1978" s="27">
        <v>788506029</v>
      </c>
      <c r="AA1978" s="27"/>
      <c r="AB1978" s="123"/>
      <c r="AC1978" s="123"/>
    </row>
    <row r="1979" spans="1:29" s="11" customFormat="1" hidden="1" x14ac:dyDescent="0.3">
      <c r="A1979" s="18" t="s">
        <v>3207</v>
      </c>
      <c r="B1979" s="18" t="s">
        <v>315</v>
      </c>
      <c r="C1979" s="18" t="s">
        <v>3208</v>
      </c>
      <c r="D1979" s="14" t="s">
        <v>739</v>
      </c>
      <c r="E1979" s="18" t="s">
        <v>9</v>
      </c>
      <c r="F1979" s="14" t="s">
        <v>688</v>
      </c>
      <c r="G1979" s="14" t="s">
        <v>518</v>
      </c>
      <c r="H1979" s="18" t="s">
        <v>5</v>
      </c>
      <c r="I1979" s="14" t="s">
        <v>117</v>
      </c>
      <c r="J1979" s="14">
        <v>5</v>
      </c>
      <c r="K1979" s="18" t="s">
        <v>519</v>
      </c>
      <c r="L1979" s="18"/>
      <c r="M1979" s="14">
        <v>1</v>
      </c>
      <c r="N1979" s="15">
        <v>270000</v>
      </c>
      <c r="O1979" s="15">
        <f t="shared" si="77"/>
        <v>270000</v>
      </c>
      <c r="P1979" s="15"/>
      <c r="Q1979" s="14" t="s">
        <v>520</v>
      </c>
      <c r="R1979" s="25">
        <v>45991</v>
      </c>
      <c r="S1979" s="34" t="str">
        <f>TEXT(Table1[[#This Row],[End Date]],"MMMM")</f>
        <v>November</v>
      </c>
      <c r="T1979" s="34" t="str">
        <f>TEXT(Table1[[#This Row],[End Date]],"YYYY")</f>
        <v>2025</v>
      </c>
      <c r="U1979" s="24">
        <f t="shared" ca="1" si="76"/>
        <v>-858</v>
      </c>
      <c r="V1979" s="14" t="str" cm="1">
        <f t="array" aca="1" ref="V1979" ca="1">_xlfn.IFS(Table1[[#This Row],[Agreement Days]]&gt;=0,"Expired",Table1[[#This Row],[Agreement Days]]&gt;=-30,"Expires &lt; 30 Days",Table1[[#This Row],[Agreement Days]]&gt;=-60,"Expires &lt; 60 Days",Table1[[#This Row],[Agreement Days]]&lt;-60,"Valid Contract")</f>
        <v>Valid Contract</v>
      </c>
      <c r="W1979" s="18" t="s">
        <v>21</v>
      </c>
      <c r="X1979" s="18" t="s">
        <v>3209</v>
      </c>
      <c r="Y1979" s="42" t="s">
        <v>3210</v>
      </c>
      <c r="Z1979" s="27">
        <v>788611859</v>
      </c>
      <c r="AA1979" s="27"/>
      <c r="AB1979" s="123"/>
      <c r="AC1979" s="123"/>
    </row>
    <row r="1980" spans="1:29" s="11" customFormat="1" hidden="1" x14ac:dyDescent="0.3">
      <c r="A1980" s="18" t="s">
        <v>3370</v>
      </c>
      <c r="B1980" s="18" t="s">
        <v>242</v>
      </c>
      <c r="C1980" s="18" t="s">
        <v>3371</v>
      </c>
      <c r="D1980" s="14" t="s">
        <v>653</v>
      </c>
      <c r="E1980" s="18" t="s">
        <v>9</v>
      </c>
      <c r="F1980" s="14" t="s">
        <v>517</v>
      </c>
      <c r="G1980" s="14" t="s">
        <v>518</v>
      </c>
      <c r="H1980" s="18" t="s">
        <v>5</v>
      </c>
      <c r="I1980" s="14" t="s">
        <v>117</v>
      </c>
      <c r="J1980" s="19">
        <v>3</v>
      </c>
      <c r="K1980" s="26" t="s">
        <v>646</v>
      </c>
      <c r="L1980" s="26"/>
      <c r="M1980" s="19">
        <v>1</v>
      </c>
      <c r="N1980" s="15">
        <v>180000</v>
      </c>
      <c r="O1980" s="15">
        <f t="shared" si="77"/>
        <v>180000</v>
      </c>
      <c r="P1980" s="15"/>
      <c r="Q1980" s="14" t="s">
        <v>520</v>
      </c>
      <c r="R1980" s="25">
        <v>45991</v>
      </c>
      <c r="S1980" s="34" t="str">
        <f>TEXT(Table1[[#This Row],[End Date]],"MMMM")</f>
        <v>November</v>
      </c>
      <c r="T1980" s="34" t="str">
        <f>TEXT(Table1[[#This Row],[End Date]],"YYYY")</f>
        <v>2025</v>
      </c>
      <c r="U1980" s="24">
        <f t="shared" ca="1" si="76"/>
        <v>-858</v>
      </c>
      <c r="V1980" s="14" t="str" cm="1">
        <f t="array" aca="1" ref="V1980" ca="1">_xlfn.IFS(Table1[[#This Row],[Agreement Days]]&gt;=0,"Expired",Table1[[#This Row],[Agreement Days]]&gt;=-30,"Expires &lt; 30 Days",Table1[[#This Row],[Agreement Days]]&gt;=-60,"Expires &lt; 60 Days",Table1[[#This Row],[Agreement Days]]&lt;-60,"Valid Contract")</f>
        <v>Valid Contract</v>
      </c>
      <c r="W1980" s="26" t="s">
        <v>17</v>
      </c>
      <c r="X1980" s="26" t="s">
        <v>3372</v>
      </c>
      <c r="Y1980" s="35" t="s">
        <v>3373</v>
      </c>
      <c r="Z1980" s="27">
        <v>788870836</v>
      </c>
      <c r="AA1980" s="27"/>
      <c r="AB1980" s="123"/>
      <c r="AC1980" s="123"/>
    </row>
    <row r="1981" spans="1:29" s="11" customFormat="1" hidden="1" x14ac:dyDescent="0.3">
      <c r="A1981" s="18" t="s">
        <v>3370</v>
      </c>
      <c r="B1981" s="18" t="s">
        <v>242</v>
      </c>
      <c r="C1981" s="18" t="s">
        <v>3374</v>
      </c>
      <c r="D1981" s="14" t="s">
        <v>653</v>
      </c>
      <c r="E1981" s="18" t="s">
        <v>9</v>
      </c>
      <c r="F1981" s="14" t="s">
        <v>517</v>
      </c>
      <c r="G1981" s="14" t="s">
        <v>518</v>
      </c>
      <c r="H1981" s="18" t="s">
        <v>5</v>
      </c>
      <c r="I1981" s="14" t="s">
        <v>117</v>
      </c>
      <c r="J1981" s="19">
        <v>3</v>
      </c>
      <c r="K1981" s="26" t="s">
        <v>646</v>
      </c>
      <c r="L1981" s="26"/>
      <c r="M1981" s="19">
        <v>1</v>
      </c>
      <c r="N1981" s="15">
        <v>180000</v>
      </c>
      <c r="O1981" s="15">
        <f t="shared" si="77"/>
        <v>180000</v>
      </c>
      <c r="P1981" s="15"/>
      <c r="Q1981" s="14" t="s">
        <v>520</v>
      </c>
      <c r="R1981" s="25">
        <v>45991</v>
      </c>
      <c r="S1981" s="34" t="str">
        <f>TEXT(Table1[[#This Row],[End Date]],"MMMM")</f>
        <v>November</v>
      </c>
      <c r="T1981" s="34" t="str">
        <f>TEXT(Table1[[#This Row],[End Date]],"YYYY")</f>
        <v>2025</v>
      </c>
      <c r="U1981" s="24">
        <f t="shared" ca="1" si="76"/>
        <v>-858</v>
      </c>
      <c r="V1981" s="14" t="str" cm="1">
        <f t="array" aca="1" ref="V1981" ca="1">_xlfn.IFS(Table1[[#This Row],[Agreement Days]]&gt;=0,"Expired",Table1[[#This Row],[Agreement Days]]&gt;=-30,"Expires &lt; 30 Days",Table1[[#This Row],[Agreement Days]]&gt;=-60,"Expires &lt; 60 Days",Table1[[#This Row],[Agreement Days]]&lt;-60,"Valid Contract")</f>
        <v>Valid Contract</v>
      </c>
      <c r="W1981" s="26" t="s">
        <v>17</v>
      </c>
      <c r="X1981" s="26" t="s">
        <v>3372</v>
      </c>
      <c r="Y1981" s="35" t="s">
        <v>3373</v>
      </c>
      <c r="Z1981" s="27">
        <v>788870836</v>
      </c>
      <c r="AA1981" s="27"/>
      <c r="AB1981" s="123"/>
      <c r="AC1981" s="123"/>
    </row>
    <row r="1982" spans="1:29" s="11" customFormat="1" hidden="1" x14ac:dyDescent="0.3">
      <c r="A1982" s="18" t="s">
        <v>3370</v>
      </c>
      <c r="B1982" s="18" t="s">
        <v>242</v>
      </c>
      <c r="C1982" s="18" t="s">
        <v>544</v>
      </c>
      <c r="D1982" s="14" t="s">
        <v>653</v>
      </c>
      <c r="E1982" s="18" t="s">
        <v>9</v>
      </c>
      <c r="F1982" s="14" t="s">
        <v>517</v>
      </c>
      <c r="G1982" s="14" t="s">
        <v>518</v>
      </c>
      <c r="H1982" s="18" t="s">
        <v>5</v>
      </c>
      <c r="I1982" s="14" t="s">
        <v>117</v>
      </c>
      <c r="J1982" s="19">
        <v>30</v>
      </c>
      <c r="K1982" s="26" t="s">
        <v>694</v>
      </c>
      <c r="L1982" s="26"/>
      <c r="M1982" s="19">
        <v>1</v>
      </c>
      <c r="N1982" s="15">
        <v>1260000</v>
      </c>
      <c r="O1982" s="15">
        <f t="shared" si="77"/>
        <v>1260000</v>
      </c>
      <c r="P1982" s="15"/>
      <c r="Q1982" s="14" t="s">
        <v>520</v>
      </c>
      <c r="R1982" s="25">
        <v>45991</v>
      </c>
      <c r="S1982" s="34" t="str">
        <f>TEXT(Table1[[#This Row],[End Date]],"MMMM")</f>
        <v>November</v>
      </c>
      <c r="T1982" s="34" t="str">
        <f>TEXT(Table1[[#This Row],[End Date]],"YYYY")</f>
        <v>2025</v>
      </c>
      <c r="U1982" s="24">
        <f t="shared" ca="1" si="76"/>
        <v>-858</v>
      </c>
      <c r="V1982" s="14" t="str" cm="1">
        <f t="array" aca="1" ref="V1982" ca="1">_xlfn.IFS(Table1[[#This Row],[Agreement Days]]&gt;=0,"Expired",Table1[[#This Row],[Agreement Days]]&gt;=-30,"Expires &lt; 30 Days",Table1[[#This Row],[Agreement Days]]&gt;=-60,"Expires &lt; 60 Days",Table1[[#This Row],[Agreement Days]]&lt;-60,"Valid Contract")</f>
        <v>Valid Contract</v>
      </c>
      <c r="W1982" s="26" t="s">
        <v>17</v>
      </c>
      <c r="X1982" s="26" t="s">
        <v>3372</v>
      </c>
      <c r="Y1982" s="35" t="s">
        <v>3373</v>
      </c>
      <c r="Z1982" s="27">
        <v>788870836</v>
      </c>
      <c r="AA1982" s="27"/>
      <c r="AB1982" s="123"/>
      <c r="AC1982" s="123"/>
    </row>
    <row r="1983" spans="1:29" s="11" customFormat="1" hidden="1" x14ac:dyDescent="0.3">
      <c r="A1983" s="18" t="s">
        <v>3370</v>
      </c>
      <c r="B1983" s="18" t="s">
        <v>242</v>
      </c>
      <c r="C1983" s="18" t="s">
        <v>544</v>
      </c>
      <c r="D1983" s="14" t="s">
        <v>653</v>
      </c>
      <c r="E1983" s="18" t="s">
        <v>9</v>
      </c>
      <c r="F1983" s="14" t="s">
        <v>517</v>
      </c>
      <c r="G1983" s="14" t="s">
        <v>518</v>
      </c>
      <c r="H1983" s="18" t="s">
        <v>4</v>
      </c>
      <c r="I1983" s="14" t="s">
        <v>118</v>
      </c>
      <c r="J1983" s="26"/>
      <c r="K1983" s="26" t="s">
        <v>650</v>
      </c>
      <c r="L1983" s="26"/>
      <c r="M1983" s="19">
        <v>1</v>
      </c>
      <c r="N1983" s="15">
        <v>369325</v>
      </c>
      <c r="O1983" s="15">
        <f t="shared" si="77"/>
        <v>369325</v>
      </c>
      <c r="P1983" s="15"/>
      <c r="Q1983" s="14" t="s">
        <v>520</v>
      </c>
      <c r="R1983" s="25">
        <v>45991</v>
      </c>
      <c r="S1983" s="34" t="str">
        <f>TEXT(Table1[[#This Row],[End Date]],"MMMM")</f>
        <v>November</v>
      </c>
      <c r="T1983" s="34" t="str">
        <f>TEXT(Table1[[#This Row],[End Date]],"YYYY")</f>
        <v>2025</v>
      </c>
      <c r="U1983" s="24">
        <f t="shared" ca="1" si="76"/>
        <v>-858</v>
      </c>
      <c r="V1983" s="14" t="str" cm="1">
        <f t="array" aca="1" ref="V1983" ca="1">_xlfn.IFS(Table1[[#This Row],[Agreement Days]]&gt;=0,"Expired",Table1[[#This Row],[Agreement Days]]&gt;=-30,"Expires &lt; 30 Days",Table1[[#This Row],[Agreement Days]]&gt;=-60,"Expires &lt; 60 Days",Table1[[#This Row],[Agreement Days]]&lt;-60,"Valid Contract")</f>
        <v>Valid Contract</v>
      </c>
      <c r="W1983" s="26" t="s">
        <v>17</v>
      </c>
      <c r="X1983" s="26" t="s">
        <v>3372</v>
      </c>
      <c r="Y1983" s="35" t="s">
        <v>3373</v>
      </c>
      <c r="Z1983" s="27">
        <v>788870836</v>
      </c>
      <c r="AA1983" s="27"/>
      <c r="AB1983" s="123"/>
      <c r="AC1983" s="123"/>
    </row>
    <row r="1984" spans="1:29" s="11" customFormat="1" hidden="1" x14ac:dyDescent="0.3">
      <c r="A1984" s="18" t="s">
        <v>3370</v>
      </c>
      <c r="B1984" s="18" t="s">
        <v>242</v>
      </c>
      <c r="C1984" s="18" t="s">
        <v>544</v>
      </c>
      <c r="D1984" s="14" t="s">
        <v>653</v>
      </c>
      <c r="E1984" s="18" t="s">
        <v>9</v>
      </c>
      <c r="F1984" s="14" t="s">
        <v>517</v>
      </c>
      <c r="G1984" s="14" t="s">
        <v>518</v>
      </c>
      <c r="H1984" s="18" t="s">
        <v>5</v>
      </c>
      <c r="I1984" s="14" t="s">
        <v>115</v>
      </c>
      <c r="J1984" s="26"/>
      <c r="K1984" s="18" t="s">
        <v>657</v>
      </c>
      <c r="L1984" s="26"/>
      <c r="M1984" s="19">
        <v>1</v>
      </c>
      <c r="N1984" s="15">
        <v>45338.98</v>
      </c>
      <c r="O1984" s="15">
        <f t="shared" si="77"/>
        <v>45338.98</v>
      </c>
      <c r="P1984" s="15"/>
      <c r="Q1984" s="14" t="s">
        <v>520</v>
      </c>
      <c r="R1984" s="25">
        <v>45991</v>
      </c>
      <c r="S1984" s="34" t="str">
        <f>TEXT(Table1[[#This Row],[End Date]],"MMMM")</f>
        <v>November</v>
      </c>
      <c r="T1984" s="34" t="str">
        <f>TEXT(Table1[[#This Row],[End Date]],"YYYY")</f>
        <v>2025</v>
      </c>
      <c r="U1984" s="24">
        <f t="shared" ca="1" si="76"/>
        <v>-858</v>
      </c>
      <c r="V1984" s="14" t="str" cm="1">
        <f t="array" aca="1" ref="V1984" ca="1">_xlfn.IFS(Table1[[#This Row],[Agreement Days]]&gt;=0,"Expired",Table1[[#This Row],[Agreement Days]]&gt;=-30,"Expires &lt; 30 Days",Table1[[#This Row],[Agreement Days]]&gt;=-60,"Expires &lt; 60 Days",Table1[[#This Row],[Agreement Days]]&lt;-60,"Valid Contract")</f>
        <v>Valid Contract</v>
      </c>
      <c r="W1984" s="26" t="s">
        <v>17</v>
      </c>
      <c r="X1984" s="26" t="s">
        <v>3372</v>
      </c>
      <c r="Y1984" s="35" t="s">
        <v>3373</v>
      </c>
      <c r="Z1984" s="27">
        <v>788870836</v>
      </c>
      <c r="AA1984" s="27"/>
      <c r="AB1984" s="123"/>
      <c r="AC1984" s="123"/>
    </row>
    <row r="1985" spans="1:29" s="11" customFormat="1" hidden="1" x14ac:dyDescent="0.3">
      <c r="A1985" s="18" t="s">
        <v>2132</v>
      </c>
      <c r="B1985" s="18" t="s">
        <v>171</v>
      </c>
      <c r="C1985" s="18" t="s">
        <v>937</v>
      </c>
      <c r="D1985" s="14" t="s">
        <v>769</v>
      </c>
      <c r="E1985" s="18" t="s">
        <v>9</v>
      </c>
      <c r="F1985" s="14" t="s">
        <v>517</v>
      </c>
      <c r="G1985" s="14" t="s">
        <v>518</v>
      </c>
      <c r="H1985" s="18" t="s">
        <v>5</v>
      </c>
      <c r="I1985" s="14" t="s">
        <v>115</v>
      </c>
      <c r="J1985" s="14"/>
      <c r="K1985" s="18" t="s">
        <v>3375</v>
      </c>
      <c r="L1985" s="18"/>
      <c r="M1985" s="20">
        <v>1</v>
      </c>
      <c r="N1985" s="15">
        <f>120000/1.18</f>
        <v>101694.91525423729</v>
      </c>
      <c r="O1985" s="15">
        <f t="shared" si="77"/>
        <v>101694.91525423729</v>
      </c>
      <c r="P1985" s="15"/>
      <c r="Q1985" s="14" t="s">
        <v>520</v>
      </c>
      <c r="R1985" s="25">
        <v>45998</v>
      </c>
      <c r="S1985" s="34" t="str">
        <f>TEXT(Table1[[#This Row],[End Date]],"MMMM")</f>
        <v>December</v>
      </c>
      <c r="T1985" s="34" t="str">
        <f>TEXT(Table1[[#This Row],[End Date]],"YYYY")</f>
        <v>2025</v>
      </c>
      <c r="U1985" s="24">
        <f t="shared" ca="1" si="76"/>
        <v>-865</v>
      </c>
      <c r="V1985" s="14" t="str" cm="1">
        <f t="array" aca="1" ref="V1985" ca="1">_xlfn.IFS(Table1[[#This Row],[Agreement Days]]&gt;=0,"Expired",Table1[[#This Row],[Agreement Days]]&gt;=-30,"Expires &lt; 30 Days",Table1[[#This Row],[Agreement Days]]&gt;=-60,"Expires &lt; 60 Days",Table1[[#This Row],[Agreement Days]]&lt;-60,"Valid Contract")</f>
        <v>Valid Contract</v>
      </c>
      <c r="W1985" s="18" t="s">
        <v>18</v>
      </c>
      <c r="X1985" s="18" t="s">
        <v>2133</v>
      </c>
      <c r="Y1985" s="35" t="s">
        <v>2134</v>
      </c>
      <c r="Z1985" s="27" t="s">
        <v>2135</v>
      </c>
      <c r="AA1985" s="27"/>
      <c r="AB1985" s="123"/>
      <c r="AC1985" s="123"/>
    </row>
    <row r="1986" spans="1:29" s="11" customFormat="1" hidden="1" x14ac:dyDescent="0.3">
      <c r="A1986" s="18" t="s">
        <v>2132</v>
      </c>
      <c r="B1986" s="18" t="s">
        <v>171</v>
      </c>
      <c r="C1986" s="18" t="s">
        <v>937</v>
      </c>
      <c r="D1986" s="14" t="s">
        <v>769</v>
      </c>
      <c r="E1986" s="18" t="s">
        <v>9</v>
      </c>
      <c r="F1986" s="14" t="s">
        <v>517</v>
      </c>
      <c r="G1986" s="14" t="s">
        <v>518</v>
      </c>
      <c r="H1986" s="18" t="s">
        <v>5</v>
      </c>
      <c r="I1986" s="14" t="s">
        <v>115</v>
      </c>
      <c r="J1986" s="14"/>
      <c r="K1986" s="18" t="s">
        <v>3376</v>
      </c>
      <c r="L1986" s="18"/>
      <c r="M1986" s="20">
        <v>13</v>
      </c>
      <c r="N1986" s="15">
        <f>96000/1.18</f>
        <v>81355.932203389835</v>
      </c>
      <c r="O1986" s="15">
        <f t="shared" si="77"/>
        <v>1057627.1186440678</v>
      </c>
      <c r="P1986" s="15"/>
      <c r="Q1986" s="14" t="s">
        <v>520</v>
      </c>
      <c r="R1986" s="25">
        <v>45998</v>
      </c>
      <c r="S1986" s="34" t="str">
        <f>TEXT(Table1[[#This Row],[End Date]],"MMMM")</f>
        <v>December</v>
      </c>
      <c r="T1986" s="34" t="str">
        <f>TEXT(Table1[[#This Row],[End Date]],"YYYY")</f>
        <v>2025</v>
      </c>
      <c r="U1986" s="24">
        <f t="shared" ca="1" si="76"/>
        <v>-865</v>
      </c>
      <c r="V1986" s="14" t="str" cm="1">
        <f t="array" aca="1" ref="V1986" ca="1">_xlfn.IFS(Table1[[#This Row],[Agreement Days]]&gt;=0,"Expired",Table1[[#This Row],[Agreement Days]]&gt;=-30,"Expires &lt; 30 Days",Table1[[#This Row],[Agreement Days]]&gt;=-60,"Expires &lt; 60 Days",Table1[[#This Row],[Agreement Days]]&lt;-60,"Valid Contract")</f>
        <v>Valid Contract</v>
      </c>
      <c r="W1986" s="18" t="s">
        <v>18</v>
      </c>
      <c r="X1986" s="18" t="s">
        <v>2133</v>
      </c>
      <c r="Y1986" s="35" t="s">
        <v>2134</v>
      </c>
      <c r="Z1986" s="27" t="s">
        <v>2135</v>
      </c>
      <c r="AA1986" s="27"/>
      <c r="AB1986" s="123"/>
      <c r="AC1986" s="123"/>
    </row>
    <row r="1987" spans="1:29" s="11" customFormat="1" hidden="1" x14ac:dyDescent="0.3">
      <c r="A1987" s="18" t="s">
        <v>2132</v>
      </c>
      <c r="B1987" s="18" t="s">
        <v>171</v>
      </c>
      <c r="C1987" s="18" t="s">
        <v>937</v>
      </c>
      <c r="D1987" s="14" t="s">
        <v>769</v>
      </c>
      <c r="E1987" s="18" t="s">
        <v>9</v>
      </c>
      <c r="F1987" s="14" t="s">
        <v>517</v>
      </c>
      <c r="G1987" s="14" t="s">
        <v>518</v>
      </c>
      <c r="H1987" s="18" t="s">
        <v>5</v>
      </c>
      <c r="I1987" s="14" t="s">
        <v>115</v>
      </c>
      <c r="J1987" s="18"/>
      <c r="K1987" s="18" t="s">
        <v>643</v>
      </c>
      <c r="L1987" s="18"/>
      <c r="M1987" s="14">
        <v>18</v>
      </c>
      <c r="N1987" s="15">
        <f>33400/1.18</f>
        <v>28305.084745762713</v>
      </c>
      <c r="O1987" s="15">
        <f t="shared" si="77"/>
        <v>509491.52542372886</v>
      </c>
      <c r="P1987" s="15"/>
      <c r="Q1987" s="14" t="s">
        <v>520</v>
      </c>
      <c r="R1987" s="25">
        <v>45998</v>
      </c>
      <c r="S1987" s="34" t="str">
        <f>TEXT(Table1[[#This Row],[End Date]],"MMMM")</f>
        <v>December</v>
      </c>
      <c r="T1987" s="34" t="str">
        <f>TEXT(Table1[[#This Row],[End Date]],"YYYY")</f>
        <v>2025</v>
      </c>
      <c r="U1987" s="24">
        <f t="shared" ca="1" si="76"/>
        <v>-865</v>
      </c>
      <c r="V1987" s="14" t="str" cm="1">
        <f t="array" aca="1" ref="V1987" ca="1">_xlfn.IFS(Table1[[#This Row],[Agreement Days]]&gt;=0,"Expired",Table1[[#This Row],[Agreement Days]]&gt;=-30,"Expires &lt; 30 Days",Table1[[#This Row],[Agreement Days]]&gt;=-60,"Expires &lt; 60 Days",Table1[[#This Row],[Agreement Days]]&lt;-60,"Valid Contract")</f>
        <v>Valid Contract</v>
      </c>
      <c r="W1987" s="18" t="s">
        <v>18</v>
      </c>
      <c r="X1987" s="18" t="s">
        <v>2133</v>
      </c>
      <c r="Y1987" s="35" t="s">
        <v>2134</v>
      </c>
      <c r="Z1987" s="27" t="s">
        <v>2135</v>
      </c>
      <c r="AA1987" s="27"/>
      <c r="AB1987" s="123"/>
      <c r="AC1987" s="123"/>
    </row>
    <row r="1988" spans="1:29" s="11" customFormat="1" hidden="1" x14ac:dyDescent="0.3">
      <c r="A1988" s="18" t="s">
        <v>3377</v>
      </c>
      <c r="B1988" s="18" t="s">
        <v>282</v>
      </c>
      <c r="C1988" s="18" t="s">
        <v>3378</v>
      </c>
      <c r="D1988" s="14" t="s">
        <v>761</v>
      </c>
      <c r="E1988" s="18" t="s">
        <v>9</v>
      </c>
      <c r="F1988" s="14" t="s">
        <v>688</v>
      </c>
      <c r="G1988" s="14" t="s">
        <v>518</v>
      </c>
      <c r="H1988" s="18" t="s">
        <v>5</v>
      </c>
      <c r="I1988" s="14" t="s">
        <v>115</v>
      </c>
      <c r="J1988" s="18"/>
      <c r="K1988" s="18" t="s">
        <v>643</v>
      </c>
      <c r="L1988" s="18"/>
      <c r="M1988" s="14">
        <v>1</v>
      </c>
      <c r="N1988" s="15">
        <v>28305.08</v>
      </c>
      <c r="O1988" s="15">
        <f t="shared" si="77"/>
        <v>28305.08</v>
      </c>
      <c r="P1988" s="15"/>
      <c r="Q1988" s="14" t="s">
        <v>520</v>
      </c>
      <c r="R1988" s="25">
        <v>46001</v>
      </c>
      <c r="S1988" s="34" t="str">
        <f>TEXT(Table1[[#This Row],[End Date]],"MMMM")</f>
        <v>December</v>
      </c>
      <c r="T1988" s="34" t="str">
        <f>TEXT(Table1[[#This Row],[End Date]],"YYYY")</f>
        <v>2025</v>
      </c>
      <c r="U1988" s="24">
        <f t="shared" ca="1" si="76"/>
        <v>-868</v>
      </c>
      <c r="V1988" s="14" t="str" cm="1">
        <f t="array" aca="1" ref="V1988" ca="1">_xlfn.IFS(Table1[[#This Row],[Agreement Days]]&gt;=0,"Expired",Table1[[#This Row],[Agreement Days]]&gt;=-30,"Expires &lt; 30 Days",Table1[[#This Row],[Agreement Days]]&gt;=-60,"Expires &lt; 60 Days",Table1[[#This Row],[Agreement Days]]&lt;-60,"Valid Contract")</f>
        <v>Valid Contract</v>
      </c>
      <c r="W1988" s="18" t="s">
        <v>21</v>
      </c>
      <c r="X1988" s="18" t="s">
        <v>3379</v>
      </c>
      <c r="Y1988" s="42" t="s">
        <v>3380</v>
      </c>
      <c r="Z1988" s="27">
        <v>788857767</v>
      </c>
      <c r="AA1988" s="27"/>
      <c r="AB1988" s="123"/>
      <c r="AC1988" s="123"/>
    </row>
    <row r="1989" spans="1:29" s="11" customFormat="1" hidden="1" x14ac:dyDescent="0.3">
      <c r="A1989" s="18" t="s">
        <v>3381</v>
      </c>
      <c r="B1989" s="18" t="s">
        <v>462</v>
      </c>
      <c r="C1989" s="18" t="s">
        <v>544</v>
      </c>
      <c r="D1989" s="14" t="s">
        <v>545</v>
      </c>
      <c r="E1989" s="18" t="s">
        <v>10</v>
      </c>
      <c r="F1989" s="20" t="s">
        <v>527</v>
      </c>
      <c r="G1989" s="20" t="s">
        <v>518</v>
      </c>
      <c r="H1989" s="18" t="s">
        <v>5</v>
      </c>
      <c r="I1989" s="14" t="s">
        <v>115</v>
      </c>
      <c r="J1989" s="14"/>
      <c r="K1989" s="14" t="s">
        <v>1245</v>
      </c>
      <c r="L1989" s="14"/>
      <c r="M1989" s="14">
        <v>1</v>
      </c>
      <c r="N1989" s="15">
        <v>72033.898304999995</v>
      </c>
      <c r="O1989" s="15">
        <f t="shared" si="77"/>
        <v>72033.898304999995</v>
      </c>
      <c r="P1989" s="15"/>
      <c r="Q1989" s="14" t="s">
        <v>520</v>
      </c>
      <c r="R1989" s="21">
        <v>46004</v>
      </c>
      <c r="S1989" s="22" t="str">
        <f>TEXT(Table1[[#This Row],[End Date]],"MMMM")</f>
        <v>December</v>
      </c>
      <c r="T1989" s="23" t="str">
        <f>TEXT(Table1[[#This Row],[End Date]],"YYYY")</f>
        <v>2025</v>
      </c>
      <c r="U1989" s="24">
        <f t="shared" ca="1" si="76"/>
        <v>-871</v>
      </c>
      <c r="V1989" s="14" t="str" cm="1">
        <f t="array" aca="1" ref="V1989" ca="1">_xlfn.IFS(Table1[[#This Row],[Agreement Days]]&gt;=0,"Expired",Table1[[#This Row],[Agreement Days]]&gt;=-30,"Expires &lt; 30 Days",Table1[[#This Row],[Agreement Days]]&gt;=-60,"Expires &lt; 60 Days",Table1[[#This Row],[Agreement Days]]&lt;-60,"Valid Contract")</f>
        <v>Valid Contract</v>
      </c>
      <c r="W1989" s="14" t="s">
        <v>14</v>
      </c>
      <c r="X1989" s="20" t="s">
        <v>3382</v>
      </c>
      <c r="Y1989" s="33" t="s">
        <v>3383</v>
      </c>
      <c r="Z1989" s="27">
        <v>781141576</v>
      </c>
      <c r="AA1989" s="19"/>
      <c r="AB1989" s="123"/>
      <c r="AC1989" s="123"/>
    </row>
    <row r="1990" spans="1:29" s="11" customFormat="1" hidden="1" x14ac:dyDescent="0.3">
      <c r="A1990" s="18" t="s">
        <v>3318</v>
      </c>
      <c r="B1990" s="18" t="s">
        <v>447</v>
      </c>
      <c r="C1990" s="18" t="s">
        <v>544</v>
      </c>
      <c r="D1990" s="14" t="s">
        <v>545</v>
      </c>
      <c r="E1990" s="18" t="s">
        <v>9</v>
      </c>
      <c r="F1990" s="20" t="s">
        <v>2560</v>
      </c>
      <c r="G1990" s="20" t="s">
        <v>518</v>
      </c>
      <c r="H1990" s="18" t="s">
        <v>2</v>
      </c>
      <c r="I1990" s="14" t="s">
        <v>123</v>
      </c>
      <c r="J1990" s="14"/>
      <c r="K1990" s="14" t="s">
        <v>3384</v>
      </c>
      <c r="L1990" s="14"/>
      <c r="M1990" s="14">
        <v>1</v>
      </c>
      <c r="N1990" s="15">
        <v>99710</v>
      </c>
      <c r="O1990" s="15">
        <f t="shared" si="77"/>
        <v>99710</v>
      </c>
      <c r="P1990" s="15"/>
      <c r="Q1990" s="14" t="s">
        <v>520</v>
      </c>
      <c r="R1990" s="25">
        <v>46022</v>
      </c>
      <c r="S1990" s="22" t="s">
        <v>1565</v>
      </c>
      <c r="T1990" s="34" t="str">
        <f>TEXT(Table1[[#This Row],[End Date]],"YYYY")</f>
        <v>2025</v>
      </c>
      <c r="U1990" s="24">
        <f t="shared" ca="1" si="76"/>
        <v>-889</v>
      </c>
      <c r="V1990" s="14" t="str" cm="1">
        <f t="array" aca="1" ref="V1990" ca="1">_xlfn.IFS(Table1[[#This Row],[Agreement Days]]&gt;=0,"Expired",Table1[[#This Row],[Agreement Days]]&gt;=-30,"Expires &lt; 30 Days",Table1[[#This Row],[Agreement Days]]&gt;=-60,"Expires &lt; 60 Days",Table1[[#This Row],[Agreement Days]]&lt;-60,"Valid Contract")</f>
        <v>Valid Contract</v>
      </c>
      <c r="W1990" s="14" t="s">
        <v>19</v>
      </c>
      <c r="X1990" s="14" t="s">
        <v>3385</v>
      </c>
      <c r="Y1990" s="45" t="s">
        <v>3321</v>
      </c>
      <c r="Z1990" s="17">
        <v>785920129</v>
      </c>
      <c r="AA1990" s="19"/>
      <c r="AB1990" s="123"/>
      <c r="AC1990" s="123"/>
    </row>
    <row r="1991" spans="1:29" s="11" customFormat="1" hidden="1" x14ac:dyDescent="0.3">
      <c r="A1991" s="18" t="s">
        <v>3386</v>
      </c>
      <c r="B1991" s="18" t="s">
        <v>420</v>
      </c>
      <c r="C1991" s="18" t="s">
        <v>420</v>
      </c>
      <c r="D1991" s="14" t="s">
        <v>662</v>
      </c>
      <c r="E1991" s="18" t="s">
        <v>9</v>
      </c>
      <c r="F1991" s="14" t="s">
        <v>688</v>
      </c>
      <c r="G1991" s="14" t="s">
        <v>518</v>
      </c>
      <c r="H1991" s="18" t="s">
        <v>5</v>
      </c>
      <c r="I1991" s="14" t="s">
        <v>117</v>
      </c>
      <c r="J1991" s="14">
        <v>3</v>
      </c>
      <c r="K1991" s="18" t="s">
        <v>646</v>
      </c>
      <c r="L1991" s="18"/>
      <c r="M1991" s="20">
        <v>1</v>
      </c>
      <c r="N1991" s="15">
        <v>180000</v>
      </c>
      <c r="O1991" s="15">
        <f t="shared" si="77"/>
        <v>180000</v>
      </c>
      <c r="P1991" s="15"/>
      <c r="Q1991" s="14" t="s">
        <v>520</v>
      </c>
      <c r="R1991" s="25">
        <v>46022</v>
      </c>
      <c r="S1991" s="34" t="str">
        <f>TEXT(Table1[[#This Row],[End Date]],"MMMM")</f>
        <v>December</v>
      </c>
      <c r="T1991" s="34" t="str">
        <f>TEXT(Table1[[#This Row],[End Date]],"YYYY")</f>
        <v>2025</v>
      </c>
      <c r="U1991" s="24">
        <f t="shared" ref="U1991:U2020" ca="1" si="78">TODAY()-R1991</f>
        <v>-889</v>
      </c>
      <c r="V1991" s="14" t="str" cm="1">
        <f t="array" aca="1" ref="V1991" ca="1">_xlfn.IFS(Table1[[#This Row],[Agreement Days]]&gt;=0,"Expired",Table1[[#This Row],[Agreement Days]]&gt;=-30,"Expires &lt; 30 Days",Table1[[#This Row],[Agreement Days]]&gt;=-60,"Expires &lt; 60 Days",Table1[[#This Row],[Agreement Days]]&lt;-60,"Valid Contract")</f>
        <v>Valid Contract</v>
      </c>
      <c r="W1991" s="18" t="s">
        <v>21</v>
      </c>
      <c r="X1991" s="18" t="s">
        <v>3387</v>
      </c>
      <c r="Y1991" s="42" t="s">
        <v>3388</v>
      </c>
      <c r="Z1991" s="27">
        <v>784418431</v>
      </c>
      <c r="AA1991" s="27"/>
      <c r="AB1991" s="123"/>
      <c r="AC1991" s="123"/>
    </row>
    <row r="1992" spans="1:29" s="11" customFormat="1" x14ac:dyDescent="0.3">
      <c r="A1992" s="18" t="s">
        <v>2756</v>
      </c>
      <c r="B1992" s="18" t="s">
        <v>259</v>
      </c>
      <c r="C1992" s="18" t="s">
        <v>2399</v>
      </c>
      <c r="D1992" s="14" t="s">
        <v>545</v>
      </c>
      <c r="E1992" s="18" t="s">
        <v>9</v>
      </c>
      <c r="F1992" s="14" t="s">
        <v>517</v>
      </c>
      <c r="G1992" s="14" t="s">
        <v>518</v>
      </c>
      <c r="H1992" s="18" t="s">
        <v>5</v>
      </c>
      <c r="I1992" s="14" t="s">
        <v>117</v>
      </c>
      <c r="J1992" s="14">
        <v>20</v>
      </c>
      <c r="K1992" s="14" t="s">
        <v>794</v>
      </c>
      <c r="L1992" s="14"/>
      <c r="M1992" s="14">
        <v>1</v>
      </c>
      <c r="N1992" s="15">
        <v>900000</v>
      </c>
      <c r="O1992" s="15">
        <f t="shared" si="77"/>
        <v>900000</v>
      </c>
      <c r="P1992" s="15"/>
      <c r="Q1992" s="14" t="s">
        <v>520</v>
      </c>
      <c r="R1992" s="21">
        <v>46022</v>
      </c>
      <c r="S1992" s="22" t="str">
        <f>TEXT(Table1[[#This Row],[End Date]],"MMMM")</f>
        <v>December</v>
      </c>
      <c r="T1992" s="23" t="str">
        <f>TEXT(Table1[[#This Row],[End Date]],"YYYY")</f>
        <v>2025</v>
      </c>
      <c r="U1992" s="24">
        <f t="shared" ca="1" si="78"/>
        <v>-889</v>
      </c>
      <c r="V1992" s="14" t="str" cm="1">
        <f t="array" aca="1" ref="V1992" ca="1">_xlfn.IFS(Table1[[#This Row],[Agreement Days]]&gt;=0,"Expired",Table1[[#This Row],[Agreement Days]]&gt;=-30,"Expires &lt; 30 Days",Table1[[#This Row],[Agreement Days]]&gt;=-60,"Expires &lt; 60 Days",Table1[[#This Row],[Agreement Days]]&lt;-60,"Valid Contract")</f>
        <v>Valid Contract</v>
      </c>
      <c r="W1992" s="14" t="s">
        <v>12</v>
      </c>
      <c r="X1992" s="14" t="s">
        <v>2757</v>
      </c>
      <c r="Y1992" s="16" t="s">
        <v>2758</v>
      </c>
      <c r="Z1992" s="27" t="s">
        <v>2759</v>
      </c>
      <c r="AA1992" s="17"/>
      <c r="AB1992" s="123"/>
      <c r="AC1992" s="123"/>
    </row>
    <row r="1993" spans="1:29" s="11" customFormat="1" x14ac:dyDescent="0.3">
      <c r="A1993" s="18" t="s">
        <v>2756</v>
      </c>
      <c r="B1993" s="18" t="s">
        <v>259</v>
      </c>
      <c r="C1993" s="18" t="s">
        <v>974</v>
      </c>
      <c r="D1993" s="14" t="s">
        <v>545</v>
      </c>
      <c r="E1993" s="18" t="s">
        <v>9</v>
      </c>
      <c r="F1993" s="14" t="s">
        <v>517</v>
      </c>
      <c r="G1993" s="14" t="s">
        <v>518</v>
      </c>
      <c r="H1993" s="18" t="s">
        <v>2</v>
      </c>
      <c r="I1993" s="14" t="s">
        <v>131</v>
      </c>
      <c r="J1993" s="14"/>
      <c r="K1993" s="26" t="s">
        <v>720</v>
      </c>
      <c r="L1993" s="14"/>
      <c r="M1993" s="14">
        <v>1</v>
      </c>
      <c r="N1993" s="15">
        <v>60000</v>
      </c>
      <c r="O1993" s="15">
        <f t="shared" si="77"/>
        <v>60000</v>
      </c>
      <c r="P1993" s="15"/>
      <c r="Q1993" s="14" t="s">
        <v>520</v>
      </c>
      <c r="R1993" s="21">
        <v>46022</v>
      </c>
      <c r="S1993" s="22" t="str">
        <f>TEXT(Table1[[#This Row],[End Date]],"MMMM")</f>
        <v>December</v>
      </c>
      <c r="T1993" s="23" t="str">
        <f>TEXT(Table1[[#This Row],[End Date]],"YYYY")</f>
        <v>2025</v>
      </c>
      <c r="U1993" s="24">
        <f t="shared" ca="1" si="78"/>
        <v>-889</v>
      </c>
      <c r="V1993" s="14" t="str" cm="1">
        <f t="array" aca="1" ref="V1993" ca="1">_xlfn.IFS(Table1[[#This Row],[Agreement Days]]&gt;=0,"Expired",Table1[[#This Row],[Agreement Days]]&gt;=-30,"Expires &lt; 30 Days",Table1[[#This Row],[Agreement Days]]&gt;=-60,"Expires &lt; 60 Days",Table1[[#This Row],[Agreement Days]]&lt;-60,"Valid Contract")</f>
        <v>Valid Contract</v>
      </c>
      <c r="W1993" s="14" t="s">
        <v>12</v>
      </c>
      <c r="X1993" s="14" t="s">
        <v>2757</v>
      </c>
      <c r="Y1993" s="16" t="s">
        <v>2758</v>
      </c>
      <c r="Z1993" s="27" t="s">
        <v>2759</v>
      </c>
      <c r="AA1993" s="17"/>
      <c r="AB1993" s="123"/>
      <c r="AC1993" s="123"/>
    </row>
    <row r="1994" spans="1:29" s="11" customFormat="1" x14ac:dyDescent="0.3">
      <c r="A1994" s="18" t="s">
        <v>2756</v>
      </c>
      <c r="B1994" s="18" t="s">
        <v>259</v>
      </c>
      <c r="C1994" s="18" t="s">
        <v>3389</v>
      </c>
      <c r="D1994" s="14" t="s">
        <v>545</v>
      </c>
      <c r="E1994" s="18" t="s">
        <v>9</v>
      </c>
      <c r="F1994" s="14" t="s">
        <v>517</v>
      </c>
      <c r="G1994" s="14" t="s">
        <v>518</v>
      </c>
      <c r="H1994" s="18" t="s">
        <v>5</v>
      </c>
      <c r="I1994" s="14" t="s">
        <v>115</v>
      </c>
      <c r="J1994" s="14"/>
      <c r="K1994" s="18" t="s">
        <v>643</v>
      </c>
      <c r="L1994" s="14"/>
      <c r="M1994" s="14">
        <v>10</v>
      </c>
      <c r="N1994" s="15">
        <v>28305.084746</v>
      </c>
      <c r="O1994" s="15">
        <f t="shared" si="77"/>
        <v>283050.84746000002</v>
      </c>
      <c r="P1994" s="15"/>
      <c r="Q1994" s="14" t="s">
        <v>520</v>
      </c>
      <c r="R1994" s="21">
        <v>46022</v>
      </c>
      <c r="S1994" s="22" t="str">
        <f>TEXT(Table1[[#This Row],[End Date]],"MMMM")</f>
        <v>December</v>
      </c>
      <c r="T1994" s="23" t="str">
        <f>TEXT(Table1[[#This Row],[End Date]],"YYYY")</f>
        <v>2025</v>
      </c>
      <c r="U1994" s="24">
        <f t="shared" ca="1" si="78"/>
        <v>-889</v>
      </c>
      <c r="V1994" s="14" t="str" cm="1">
        <f t="array" aca="1" ref="V1994" ca="1">_xlfn.IFS(Table1[[#This Row],[Agreement Days]]&gt;=0,"Expired",Table1[[#This Row],[Agreement Days]]&gt;=-30,"Expires &lt; 30 Days",Table1[[#This Row],[Agreement Days]]&gt;=-60,"Expires &lt; 60 Days",Table1[[#This Row],[Agreement Days]]&lt;-60,"Valid Contract")</f>
        <v>Valid Contract</v>
      </c>
      <c r="W1994" s="14" t="s">
        <v>12</v>
      </c>
      <c r="X1994" s="14" t="s">
        <v>2757</v>
      </c>
      <c r="Y1994" s="16" t="s">
        <v>2758</v>
      </c>
      <c r="Z1994" s="27" t="s">
        <v>2759</v>
      </c>
      <c r="AA1994" s="17"/>
      <c r="AB1994" s="125"/>
      <c r="AC1994" s="125"/>
    </row>
    <row r="1995" spans="1:29" s="11" customFormat="1" hidden="1" x14ac:dyDescent="0.3">
      <c r="A1995" s="18" t="s">
        <v>3390</v>
      </c>
      <c r="B1995" s="18" t="s">
        <v>176</v>
      </c>
      <c r="C1995" s="18" t="s">
        <v>3391</v>
      </c>
      <c r="D1995" s="14" t="s">
        <v>545</v>
      </c>
      <c r="E1995" s="18" t="s">
        <v>9</v>
      </c>
      <c r="F1995" s="14" t="s">
        <v>517</v>
      </c>
      <c r="G1995" s="14" t="s">
        <v>546</v>
      </c>
      <c r="H1995" s="18" t="s">
        <v>5</v>
      </c>
      <c r="I1995" s="14" t="s">
        <v>117</v>
      </c>
      <c r="J1995" s="19">
        <v>10</v>
      </c>
      <c r="K1995" s="26" t="s">
        <v>547</v>
      </c>
      <c r="L1995" s="26"/>
      <c r="M1995" s="19">
        <v>1</v>
      </c>
      <c r="N1995" s="15">
        <v>510000</v>
      </c>
      <c r="O1995" s="15">
        <f t="shared" si="77"/>
        <v>510000</v>
      </c>
      <c r="P1995" s="15"/>
      <c r="Q1995" s="14" t="s">
        <v>520</v>
      </c>
      <c r="R1995" s="25">
        <v>46022</v>
      </c>
      <c r="S1995" s="34" t="str">
        <f>TEXT(Table1[[#This Row],[End Date]],"MMMM")</f>
        <v>December</v>
      </c>
      <c r="T1995" s="34" t="str">
        <f>TEXT(Table1[[#This Row],[End Date]],"YYYY")</f>
        <v>2025</v>
      </c>
      <c r="U1995" s="24">
        <f t="shared" ca="1" si="78"/>
        <v>-889</v>
      </c>
      <c r="V1995" s="14" t="str" cm="1">
        <f t="array" aca="1" ref="V1995" ca="1">_xlfn.IFS(Table1[[#This Row],[Agreement Days]]&gt;=0,"Expired",Table1[[#This Row],[Agreement Days]]&gt;=-30,"Expires &lt; 30 Days",Table1[[#This Row],[Agreement Days]]&gt;=-60,"Expires &lt; 60 Days",Table1[[#This Row],[Agreement Days]]&lt;-60,"Valid Contract")</f>
        <v>Valid Contract</v>
      </c>
      <c r="W1995" s="26" t="s">
        <v>17</v>
      </c>
      <c r="X1995" s="26" t="s">
        <v>3392</v>
      </c>
      <c r="Y1995" s="35" t="s">
        <v>3393</v>
      </c>
      <c r="Z1995" s="27">
        <v>788306555</v>
      </c>
      <c r="AA1995" s="27"/>
      <c r="AB1995" s="123"/>
      <c r="AC1995" s="123"/>
    </row>
    <row r="1996" spans="1:29" s="11" customFormat="1" hidden="1" x14ac:dyDescent="0.3">
      <c r="A1996" s="18" t="s">
        <v>3390</v>
      </c>
      <c r="B1996" s="18" t="s">
        <v>176</v>
      </c>
      <c r="C1996" s="18" t="s">
        <v>3391</v>
      </c>
      <c r="D1996" s="14" t="s">
        <v>545</v>
      </c>
      <c r="E1996" s="18" t="s">
        <v>9</v>
      </c>
      <c r="F1996" s="14" t="s">
        <v>517</v>
      </c>
      <c r="G1996" s="14" t="s">
        <v>546</v>
      </c>
      <c r="H1996" s="18" t="s">
        <v>5</v>
      </c>
      <c r="I1996" s="14" t="s">
        <v>117</v>
      </c>
      <c r="J1996" s="19">
        <v>10</v>
      </c>
      <c r="K1996" s="26" t="s">
        <v>547</v>
      </c>
      <c r="L1996" s="26"/>
      <c r="M1996" s="19">
        <v>1</v>
      </c>
      <c r="N1996" s="15">
        <v>510000</v>
      </c>
      <c r="O1996" s="15">
        <f t="shared" si="77"/>
        <v>510000</v>
      </c>
      <c r="P1996" s="15"/>
      <c r="Q1996" s="14" t="s">
        <v>520</v>
      </c>
      <c r="R1996" s="25">
        <v>46022</v>
      </c>
      <c r="S1996" s="34" t="str">
        <f>TEXT(Table1[[#This Row],[End Date]],"MMMM")</f>
        <v>December</v>
      </c>
      <c r="T1996" s="34" t="str">
        <f>TEXT(Table1[[#This Row],[End Date]],"YYYY")</f>
        <v>2025</v>
      </c>
      <c r="U1996" s="24">
        <f t="shared" ca="1" si="78"/>
        <v>-889</v>
      </c>
      <c r="V1996" s="14" t="str" cm="1">
        <f t="array" aca="1" ref="V1996" ca="1">_xlfn.IFS(Table1[[#This Row],[Agreement Days]]&gt;=0,"Expired",Table1[[#This Row],[Agreement Days]]&gt;=-30,"Expires &lt; 30 Days",Table1[[#This Row],[Agreement Days]]&gt;=-60,"Expires &lt; 60 Days",Table1[[#This Row],[Agreement Days]]&lt;-60,"Valid Contract")</f>
        <v>Valid Contract</v>
      </c>
      <c r="W1996" s="26" t="s">
        <v>17</v>
      </c>
      <c r="X1996" s="26" t="s">
        <v>3392</v>
      </c>
      <c r="Y1996" s="35" t="s">
        <v>3393</v>
      </c>
      <c r="Z1996" s="27">
        <v>788306555</v>
      </c>
      <c r="AA1996" s="27"/>
      <c r="AB1996" s="123"/>
      <c r="AC1996" s="123"/>
    </row>
    <row r="1997" spans="1:29" s="11" customFormat="1" hidden="1" x14ac:dyDescent="0.3">
      <c r="A1997" s="18" t="s">
        <v>3390</v>
      </c>
      <c r="B1997" s="18" t="s">
        <v>176</v>
      </c>
      <c r="C1997" s="18" t="s">
        <v>3391</v>
      </c>
      <c r="D1997" s="14" t="s">
        <v>545</v>
      </c>
      <c r="E1997" s="18" t="s">
        <v>9</v>
      </c>
      <c r="F1997" s="14" t="s">
        <v>517</v>
      </c>
      <c r="G1997" s="14" t="s">
        <v>546</v>
      </c>
      <c r="H1997" s="18" t="s">
        <v>5</v>
      </c>
      <c r="I1997" s="14" t="s">
        <v>117</v>
      </c>
      <c r="J1997" s="19">
        <v>10</v>
      </c>
      <c r="K1997" s="26" t="s">
        <v>547</v>
      </c>
      <c r="L1997" s="26"/>
      <c r="M1997" s="19">
        <v>1</v>
      </c>
      <c r="N1997" s="15">
        <v>510000</v>
      </c>
      <c r="O1997" s="15">
        <f t="shared" si="77"/>
        <v>510000</v>
      </c>
      <c r="P1997" s="15"/>
      <c r="Q1997" s="14" t="s">
        <v>520</v>
      </c>
      <c r="R1997" s="25">
        <v>46022</v>
      </c>
      <c r="S1997" s="34" t="str">
        <f>TEXT(Table1[[#This Row],[End Date]],"MMMM")</f>
        <v>December</v>
      </c>
      <c r="T1997" s="34" t="str">
        <f>TEXT(Table1[[#This Row],[End Date]],"YYYY")</f>
        <v>2025</v>
      </c>
      <c r="U1997" s="24">
        <f t="shared" ca="1" si="78"/>
        <v>-889</v>
      </c>
      <c r="V1997" s="14" t="str" cm="1">
        <f t="array" aca="1" ref="V1997" ca="1">_xlfn.IFS(Table1[[#This Row],[Agreement Days]]&gt;=0,"Expired",Table1[[#This Row],[Agreement Days]]&gt;=-30,"Expires &lt; 30 Days",Table1[[#This Row],[Agreement Days]]&gt;=-60,"Expires &lt; 60 Days",Table1[[#This Row],[Agreement Days]]&lt;-60,"Valid Contract")</f>
        <v>Valid Contract</v>
      </c>
      <c r="W1997" s="26" t="s">
        <v>17</v>
      </c>
      <c r="X1997" s="26" t="s">
        <v>3392</v>
      </c>
      <c r="Y1997" s="35" t="s">
        <v>3393</v>
      </c>
      <c r="Z1997" s="27">
        <v>788306555</v>
      </c>
      <c r="AA1997" s="27"/>
      <c r="AB1997" s="123"/>
      <c r="AC1997" s="123"/>
    </row>
    <row r="1998" spans="1:29" s="11" customFormat="1" hidden="1" x14ac:dyDescent="0.3">
      <c r="A1998" s="18" t="s">
        <v>3390</v>
      </c>
      <c r="B1998" s="18" t="s">
        <v>176</v>
      </c>
      <c r="C1998" s="18" t="s">
        <v>3391</v>
      </c>
      <c r="D1998" s="14" t="s">
        <v>545</v>
      </c>
      <c r="E1998" s="18" t="s">
        <v>9</v>
      </c>
      <c r="F1998" s="14" t="s">
        <v>517</v>
      </c>
      <c r="G1998" s="14" t="s">
        <v>546</v>
      </c>
      <c r="H1998" s="18" t="s">
        <v>5</v>
      </c>
      <c r="I1998" s="14" t="s">
        <v>117</v>
      </c>
      <c r="J1998" s="19">
        <v>10</v>
      </c>
      <c r="K1998" s="26" t="s">
        <v>547</v>
      </c>
      <c r="L1998" s="26"/>
      <c r="M1998" s="19">
        <v>1</v>
      </c>
      <c r="N1998" s="15">
        <v>510000</v>
      </c>
      <c r="O1998" s="15">
        <f t="shared" ref="O1998:O2020" si="79">N1998*M1998</f>
        <v>510000</v>
      </c>
      <c r="P1998" s="15"/>
      <c r="Q1998" s="14" t="s">
        <v>520</v>
      </c>
      <c r="R1998" s="25">
        <v>46022</v>
      </c>
      <c r="S1998" s="34" t="str">
        <f>TEXT(Table1[[#This Row],[End Date]],"MMMM")</f>
        <v>December</v>
      </c>
      <c r="T1998" s="34" t="str">
        <f>TEXT(Table1[[#This Row],[End Date]],"YYYY")</f>
        <v>2025</v>
      </c>
      <c r="U1998" s="24">
        <f t="shared" ca="1" si="78"/>
        <v>-889</v>
      </c>
      <c r="V1998" s="14" t="str" cm="1">
        <f t="array" aca="1" ref="V1998" ca="1">_xlfn.IFS(Table1[[#This Row],[Agreement Days]]&gt;=0,"Expired",Table1[[#This Row],[Agreement Days]]&gt;=-30,"Expires &lt; 30 Days",Table1[[#This Row],[Agreement Days]]&gt;=-60,"Expires &lt; 60 Days",Table1[[#This Row],[Agreement Days]]&lt;-60,"Valid Contract")</f>
        <v>Valid Contract</v>
      </c>
      <c r="W1998" s="26" t="s">
        <v>17</v>
      </c>
      <c r="X1998" s="26" t="s">
        <v>3392</v>
      </c>
      <c r="Y1998" s="35" t="s">
        <v>3393</v>
      </c>
      <c r="Z1998" s="27">
        <v>788306555</v>
      </c>
      <c r="AA1998" s="27"/>
      <c r="AB1998" s="123"/>
      <c r="AC1998" s="123"/>
    </row>
    <row r="1999" spans="1:29" s="11" customFormat="1" hidden="1" x14ac:dyDescent="0.3">
      <c r="A1999" s="18" t="s">
        <v>3390</v>
      </c>
      <c r="B1999" s="18" t="s">
        <v>176</v>
      </c>
      <c r="C1999" s="18" t="s">
        <v>3391</v>
      </c>
      <c r="D1999" s="14" t="s">
        <v>545</v>
      </c>
      <c r="E1999" s="18" t="s">
        <v>9</v>
      </c>
      <c r="F1999" s="14" t="s">
        <v>517</v>
      </c>
      <c r="G1999" s="14" t="s">
        <v>546</v>
      </c>
      <c r="H1999" s="18" t="s">
        <v>5</v>
      </c>
      <c r="I1999" s="14" t="s">
        <v>117</v>
      </c>
      <c r="J1999" s="19">
        <v>10</v>
      </c>
      <c r="K1999" s="26" t="s">
        <v>547</v>
      </c>
      <c r="L1999" s="26"/>
      <c r="M1999" s="19">
        <v>1</v>
      </c>
      <c r="N1999" s="15">
        <v>510000</v>
      </c>
      <c r="O1999" s="15">
        <f t="shared" si="79"/>
        <v>510000</v>
      </c>
      <c r="P1999" s="15"/>
      <c r="Q1999" s="14" t="s">
        <v>520</v>
      </c>
      <c r="R1999" s="25">
        <v>46022</v>
      </c>
      <c r="S1999" s="34" t="str">
        <f>TEXT(Table1[[#This Row],[End Date]],"MMMM")</f>
        <v>December</v>
      </c>
      <c r="T1999" s="34" t="str">
        <f>TEXT(Table1[[#This Row],[End Date]],"YYYY")</f>
        <v>2025</v>
      </c>
      <c r="U1999" s="24">
        <f t="shared" ca="1" si="78"/>
        <v>-889</v>
      </c>
      <c r="V1999" s="14" t="str" cm="1">
        <f t="array" aca="1" ref="V1999" ca="1">_xlfn.IFS(Table1[[#This Row],[Agreement Days]]&gt;=0,"Expired",Table1[[#This Row],[Agreement Days]]&gt;=-30,"Expires &lt; 30 Days",Table1[[#This Row],[Agreement Days]]&gt;=-60,"Expires &lt; 60 Days",Table1[[#This Row],[Agreement Days]]&lt;-60,"Valid Contract")</f>
        <v>Valid Contract</v>
      </c>
      <c r="W1999" s="26" t="s">
        <v>17</v>
      </c>
      <c r="X1999" s="26" t="s">
        <v>3392</v>
      </c>
      <c r="Y1999" s="35" t="s">
        <v>3393</v>
      </c>
      <c r="Z1999" s="27">
        <v>788306555</v>
      </c>
      <c r="AA1999" s="27"/>
      <c r="AB1999" s="123"/>
      <c r="AC1999" s="123"/>
    </row>
    <row r="2000" spans="1:29" s="11" customFormat="1" hidden="1" x14ac:dyDescent="0.3">
      <c r="A2000" s="18" t="s">
        <v>3390</v>
      </c>
      <c r="B2000" s="18" t="s">
        <v>176</v>
      </c>
      <c r="C2000" s="18" t="s">
        <v>3391</v>
      </c>
      <c r="D2000" s="14" t="s">
        <v>545</v>
      </c>
      <c r="E2000" s="18" t="s">
        <v>9</v>
      </c>
      <c r="F2000" s="14" t="s">
        <v>517</v>
      </c>
      <c r="G2000" s="14" t="s">
        <v>546</v>
      </c>
      <c r="H2000" s="18" t="s">
        <v>5</v>
      </c>
      <c r="I2000" s="14" t="s">
        <v>117</v>
      </c>
      <c r="J2000" s="19">
        <v>10</v>
      </c>
      <c r="K2000" s="26" t="s">
        <v>547</v>
      </c>
      <c r="L2000" s="26"/>
      <c r="M2000" s="19">
        <v>1</v>
      </c>
      <c r="N2000" s="15">
        <v>510000</v>
      </c>
      <c r="O2000" s="15">
        <f t="shared" si="79"/>
        <v>510000</v>
      </c>
      <c r="P2000" s="15"/>
      <c r="Q2000" s="14" t="s">
        <v>520</v>
      </c>
      <c r="R2000" s="25">
        <v>46022</v>
      </c>
      <c r="S2000" s="34" t="str">
        <f>TEXT(Table1[[#This Row],[End Date]],"MMMM")</f>
        <v>December</v>
      </c>
      <c r="T2000" s="34" t="str">
        <f>TEXT(Table1[[#This Row],[End Date]],"YYYY")</f>
        <v>2025</v>
      </c>
      <c r="U2000" s="24">
        <f t="shared" ca="1" si="78"/>
        <v>-889</v>
      </c>
      <c r="V2000" s="14" t="str" cm="1">
        <f t="array" aca="1" ref="V2000" ca="1">_xlfn.IFS(Table1[[#This Row],[Agreement Days]]&gt;=0,"Expired",Table1[[#This Row],[Agreement Days]]&gt;=-30,"Expires &lt; 30 Days",Table1[[#This Row],[Agreement Days]]&gt;=-60,"Expires &lt; 60 Days",Table1[[#This Row],[Agreement Days]]&lt;-60,"Valid Contract")</f>
        <v>Valid Contract</v>
      </c>
      <c r="W2000" s="26" t="s">
        <v>17</v>
      </c>
      <c r="X2000" s="26" t="s">
        <v>3392</v>
      </c>
      <c r="Y2000" s="35" t="s">
        <v>3393</v>
      </c>
      <c r="Z2000" s="27">
        <v>788306555</v>
      </c>
      <c r="AA2000" s="27"/>
      <c r="AB2000" s="123"/>
      <c r="AC2000" s="123"/>
    </row>
    <row r="2001" spans="1:29" s="11" customFormat="1" hidden="1" x14ac:dyDescent="0.3">
      <c r="A2001" s="18" t="s">
        <v>3390</v>
      </c>
      <c r="B2001" s="18" t="s">
        <v>176</v>
      </c>
      <c r="C2001" s="18" t="s">
        <v>3391</v>
      </c>
      <c r="D2001" s="14" t="s">
        <v>545</v>
      </c>
      <c r="E2001" s="18" t="s">
        <v>9</v>
      </c>
      <c r="F2001" s="14" t="s">
        <v>517</v>
      </c>
      <c r="G2001" s="14" t="s">
        <v>546</v>
      </c>
      <c r="H2001" s="18" t="s">
        <v>5</v>
      </c>
      <c r="I2001" s="14" t="s">
        <v>117</v>
      </c>
      <c r="J2001" s="19">
        <v>25</v>
      </c>
      <c r="K2001" s="26" t="s">
        <v>3394</v>
      </c>
      <c r="L2001" s="26"/>
      <c r="M2001" s="19">
        <v>1</v>
      </c>
      <c r="N2001" s="15">
        <v>1080000</v>
      </c>
      <c r="O2001" s="15">
        <f t="shared" si="79"/>
        <v>1080000</v>
      </c>
      <c r="P2001" s="15"/>
      <c r="Q2001" s="14" t="s">
        <v>520</v>
      </c>
      <c r="R2001" s="25">
        <v>46022</v>
      </c>
      <c r="S2001" s="34" t="str">
        <f>TEXT(Table1[[#This Row],[End Date]],"MMMM")</f>
        <v>December</v>
      </c>
      <c r="T2001" s="34" t="str">
        <f>TEXT(Table1[[#This Row],[End Date]],"YYYY")</f>
        <v>2025</v>
      </c>
      <c r="U2001" s="24">
        <f t="shared" ca="1" si="78"/>
        <v>-889</v>
      </c>
      <c r="V2001" s="14" t="str" cm="1">
        <f t="array" aca="1" ref="V2001" ca="1">_xlfn.IFS(Table1[[#This Row],[Agreement Days]]&gt;=0,"Expired",Table1[[#This Row],[Agreement Days]]&gt;=-30,"Expires &lt; 30 Days",Table1[[#This Row],[Agreement Days]]&gt;=-60,"Expires &lt; 60 Days",Table1[[#This Row],[Agreement Days]]&lt;-60,"Valid Contract")</f>
        <v>Valid Contract</v>
      </c>
      <c r="W2001" s="26" t="s">
        <v>17</v>
      </c>
      <c r="X2001" s="26" t="s">
        <v>3392</v>
      </c>
      <c r="Y2001" s="35" t="s">
        <v>3393</v>
      </c>
      <c r="Z2001" s="27">
        <v>788306555</v>
      </c>
      <c r="AA2001" s="27"/>
      <c r="AB2001" s="123"/>
      <c r="AC2001" s="123"/>
    </row>
    <row r="2002" spans="1:29" s="11" customFormat="1" hidden="1" x14ac:dyDescent="0.3">
      <c r="A2002" s="18" t="s">
        <v>3390</v>
      </c>
      <c r="B2002" s="18" t="s">
        <v>176</v>
      </c>
      <c r="C2002" s="18" t="s">
        <v>3395</v>
      </c>
      <c r="D2002" s="14" t="s">
        <v>545</v>
      </c>
      <c r="E2002" s="18" t="s">
        <v>9</v>
      </c>
      <c r="F2002" s="14" t="s">
        <v>517</v>
      </c>
      <c r="G2002" s="14" t="s">
        <v>546</v>
      </c>
      <c r="H2002" s="18" t="s">
        <v>5</v>
      </c>
      <c r="I2002" s="14" t="s">
        <v>117</v>
      </c>
      <c r="J2002" s="19">
        <v>5</v>
      </c>
      <c r="K2002" s="26" t="s">
        <v>3396</v>
      </c>
      <c r="L2002" s="26"/>
      <c r="M2002" s="19">
        <v>1</v>
      </c>
      <c r="N2002" s="2">
        <v>270000</v>
      </c>
      <c r="O2002" s="2">
        <f t="shared" si="79"/>
        <v>270000</v>
      </c>
      <c r="P2002" s="2"/>
      <c r="Q2002" s="14" t="s">
        <v>520</v>
      </c>
      <c r="R2002" s="25">
        <v>46022</v>
      </c>
      <c r="S2002" s="34" t="str">
        <f>TEXT(Table1[[#This Row],[End Date]],"MMMM")</f>
        <v>December</v>
      </c>
      <c r="T2002" s="34" t="str">
        <f>TEXT(Table1[[#This Row],[End Date]],"YYYY")</f>
        <v>2025</v>
      </c>
      <c r="U2002" s="58">
        <f t="shared" ca="1" si="78"/>
        <v>-889</v>
      </c>
      <c r="V2002" s="14" t="str" cm="1">
        <f t="array" aca="1" ref="V2002" ca="1">_xlfn.IFS(Table1[[#This Row],[Agreement Days]]&gt;=0,"Expired",Table1[[#This Row],[Agreement Days]]&gt;=-30,"Expires &lt; 30 Days",Table1[[#This Row],[Agreement Days]]&gt;=-60,"Expires &lt; 60 Days",Table1[[#This Row],[Agreement Days]]&lt;-60,"Valid Contract")</f>
        <v>Valid Contract</v>
      </c>
      <c r="W2002" s="26" t="s">
        <v>17</v>
      </c>
      <c r="X2002" s="26" t="s">
        <v>3392</v>
      </c>
      <c r="Y2002" s="35" t="s">
        <v>3393</v>
      </c>
      <c r="Z2002" s="27">
        <v>788306555</v>
      </c>
      <c r="AA2002" s="27"/>
      <c r="AB2002" s="125"/>
      <c r="AC2002" s="125"/>
    </row>
    <row r="2003" spans="1:29" s="11" customFormat="1" hidden="1" x14ac:dyDescent="0.3">
      <c r="A2003" s="18" t="s">
        <v>3390</v>
      </c>
      <c r="B2003" s="18" t="s">
        <v>176</v>
      </c>
      <c r="C2003" s="18" t="s">
        <v>3395</v>
      </c>
      <c r="D2003" s="14" t="s">
        <v>545</v>
      </c>
      <c r="E2003" s="18" t="s">
        <v>9</v>
      </c>
      <c r="F2003" s="14" t="s">
        <v>517</v>
      </c>
      <c r="G2003" s="14" t="s">
        <v>546</v>
      </c>
      <c r="H2003" s="18" t="s">
        <v>4</v>
      </c>
      <c r="I2003" s="14" t="s">
        <v>118</v>
      </c>
      <c r="J2003" s="19"/>
      <c r="K2003" s="26" t="s">
        <v>1021</v>
      </c>
      <c r="L2003" s="26"/>
      <c r="M2003" s="19">
        <v>1</v>
      </c>
      <c r="N2003" s="2">
        <v>369325</v>
      </c>
      <c r="O2003" s="2">
        <f t="shared" si="79"/>
        <v>369325</v>
      </c>
      <c r="P2003" s="2"/>
      <c r="Q2003" s="14" t="s">
        <v>520</v>
      </c>
      <c r="R2003" s="25">
        <v>46022</v>
      </c>
      <c r="S2003" s="34" t="str">
        <f>TEXT(Table1[[#This Row],[End Date]],"MMMM")</f>
        <v>December</v>
      </c>
      <c r="T2003" s="34" t="str">
        <f>TEXT(Table1[[#This Row],[End Date]],"YYYY")</f>
        <v>2025</v>
      </c>
      <c r="U2003" s="58">
        <f t="shared" ca="1" si="78"/>
        <v>-889</v>
      </c>
      <c r="V2003" s="14" t="str" cm="1">
        <f t="array" aca="1" ref="V2003" ca="1">_xlfn.IFS(Table1[[#This Row],[Agreement Days]]&gt;=0,"Expired",Table1[[#This Row],[Agreement Days]]&gt;=-30,"Expires &lt; 30 Days",Table1[[#This Row],[Agreement Days]]&gt;=-60,"Expires &lt; 60 Days",Table1[[#This Row],[Agreement Days]]&lt;-60,"Valid Contract")</f>
        <v>Valid Contract</v>
      </c>
      <c r="W2003" s="26" t="s">
        <v>17</v>
      </c>
      <c r="X2003" s="26" t="s">
        <v>3392</v>
      </c>
      <c r="Y2003" s="35" t="s">
        <v>3393</v>
      </c>
      <c r="Z2003" s="27">
        <v>788306555</v>
      </c>
      <c r="AA2003" s="27"/>
      <c r="AB2003" s="125"/>
      <c r="AC2003" s="125"/>
    </row>
    <row r="2004" spans="1:29" s="11" customFormat="1" x14ac:dyDescent="0.3">
      <c r="A2004" s="18" t="s">
        <v>1049</v>
      </c>
      <c r="B2004" s="18" t="s">
        <v>238</v>
      </c>
      <c r="C2004" s="18" t="s">
        <v>3397</v>
      </c>
      <c r="D2004" s="14" t="s">
        <v>545</v>
      </c>
      <c r="E2004" s="18" t="s">
        <v>9</v>
      </c>
      <c r="F2004" s="14" t="s">
        <v>517</v>
      </c>
      <c r="G2004" s="14" t="s">
        <v>518</v>
      </c>
      <c r="H2004" s="18" t="s">
        <v>5</v>
      </c>
      <c r="I2004" s="14" t="s">
        <v>117</v>
      </c>
      <c r="J2004" s="14">
        <v>30</v>
      </c>
      <c r="K2004" s="14" t="s">
        <v>796</v>
      </c>
      <c r="L2004" s="14"/>
      <c r="M2004" s="14">
        <v>1</v>
      </c>
      <c r="N2004" s="15">
        <f>1486800/1.18</f>
        <v>1260000</v>
      </c>
      <c r="O2004" s="15">
        <f t="shared" si="79"/>
        <v>1260000</v>
      </c>
      <c r="P2004" s="15"/>
      <c r="Q2004" s="14" t="s">
        <v>520</v>
      </c>
      <c r="R2004" s="21">
        <v>46022</v>
      </c>
      <c r="S2004" s="22" t="str">
        <f>TEXT(Table1[[#This Row],[End Date]],"MMMM")</f>
        <v>December</v>
      </c>
      <c r="T2004" s="23" t="str">
        <f>TEXT(Table1[[#This Row],[End Date]],"YYYY")</f>
        <v>2025</v>
      </c>
      <c r="U2004" s="24">
        <f t="shared" ca="1" si="78"/>
        <v>-889</v>
      </c>
      <c r="V2004" s="14" t="str" cm="1">
        <f t="array" aca="1" ref="V2004" ca="1">_xlfn.IFS(Table1[[#This Row],[Agreement Days]]&gt;=0,"Expired",Table1[[#This Row],[Agreement Days]]&gt;=-30,"Expires &lt; 30 Days",Table1[[#This Row],[Agreement Days]]&gt;=-60,"Expires &lt; 60 Days",Table1[[#This Row],[Agreement Days]]&lt;-60,"Valid Contract")</f>
        <v>Valid Contract</v>
      </c>
      <c r="W2004" s="14" t="s">
        <v>12</v>
      </c>
      <c r="X2004" s="14" t="s">
        <v>1050</v>
      </c>
      <c r="Y2004" s="16" t="s">
        <v>1051</v>
      </c>
      <c r="Z2004" s="27" t="s">
        <v>1052</v>
      </c>
      <c r="AA2004" s="17"/>
      <c r="AB2004" s="123"/>
      <c r="AC2004" s="123"/>
    </row>
    <row r="2005" spans="1:29" s="11" customFormat="1" x14ac:dyDescent="0.3">
      <c r="A2005" s="18" t="s">
        <v>1049</v>
      </c>
      <c r="B2005" s="18" t="s">
        <v>238</v>
      </c>
      <c r="C2005" s="18" t="s">
        <v>3398</v>
      </c>
      <c r="D2005" s="14" t="s">
        <v>545</v>
      </c>
      <c r="E2005" s="18" t="s">
        <v>9</v>
      </c>
      <c r="F2005" s="14" t="s">
        <v>517</v>
      </c>
      <c r="G2005" s="14" t="s">
        <v>518</v>
      </c>
      <c r="H2005" s="18" t="s">
        <v>5</v>
      </c>
      <c r="I2005" s="14" t="s">
        <v>115</v>
      </c>
      <c r="J2005" s="14"/>
      <c r="K2005" s="14" t="s">
        <v>1245</v>
      </c>
      <c r="L2005" s="14"/>
      <c r="M2005" s="14">
        <v>3</v>
      </c>
      <c r="N2005" s="15">
        <v>53500</v>
      </c>
      <c r="O2005" s="15">
        <f t="shared" si="79"/>
        <v>160500</v>
      </c>
      <c r="P2005" s="15"/>
      <c r="Q2005" s="14" t="s">
        <v>520</v>
      </c>
      <c r="R2005" s="21">
        <v>46022</v>
      </c>
      <c r="S2005" s="22" t="str">
        <f>TEXT(Table1[[#This Row],[End Date]],"MMMM")</f>
        <v>December</v>
      </c>
      <c r="T2005" s="23" t="str">
        <f>TEXT(Table1[[#This Row],[End Date]],"YYYY")</f>
        <v>2025</v>
      </c>
      <c r="U2005" s="24">
        <f t="shared" ca="1" si="78"/>
        <v>-889</v>
      </c>
      <c r="V2005" s="14" t="str" cm="1">
        <f t="array" aca="1" ref="V2005" ca="1">_xlfn.IFS(Table1[[#This Row],[Agreement Days]]&gt;=0,"Expired",Table1[[#This Row],[Agreement Days]]&gt;=-30,"Expires &lt; 30 Days",Table1[[#This Row],[Agreement Days]]&gt;=-60,"Expires &lt; 60 Days",Table1[[#This Row],[Agreement Days]]&lt;-60,"Valid Contract")</f>
        <v>Valid Contract</v>
      </c>
      <c r="W2005" s="14" t="s">
        <v>12</v>
      </c>
      <c r="X2005" s="14" t="s">
        <v>1050</v>
      </c>
      <c r="Y2005" s="16" t="s">
        <v>1051</v>
      </c>
      <c r="Z2005" s="27" t="s">
        <v>1052</v>
      </c>
      <c r="AA2005" s="17"/>
      <c r="AB2005" s="125"/>
      <c r="AC2005" s="125"/>
    </row>
    <row r="2006" spans="1:29" s="11" customFormat="1" x14ac:dyDescent="0.3">
      <c r="A2006" s="18" t="s">
        <v>1049</v>
      </c>
      <c r="B2006" s="18" t="s">
        <v>238</v>
      </c>
      <c r="C2006" s="18" t="s">
        <v>3399</v>
      </c>
      <c r="D2006" s="14" t="s">
        <v>545</v>
      </c>
      <c r="E2006" s="18" t="s">
        <v>9</v>
      </c>
      <c r="F2006" s="14" t="s">
        <v>517</v>
      </c>
      <c r="G2006" s="14" t="s">
        <v>518</v>
      </c>
      <c r="H2006" s="18" t="s">
        <v>5</v>
      </c>
      <c r="I2006" s="14" t="s">
        <v>115</v>
      </c>
      <c r="J2006" s="14"/>
      <c r="K2006" s="26" t="s">
        <v>643</v>
      </c>
      <c r="L2006" s="14"/>
      <c r="M2006" s="14">
        <v>11</v>
      </c>
      <c r="N2006" s="15">
        <v>33400</v>
      </c>
      <c r="O2006" s="15">
        <f t="shared" si="79"/>
        <v>367400</v>
      </c>
      <c r="P2006" s="15"/>
      <c r="Q2006" s="14" t="s">
        <v>520</v>
      </c>
      <c r="R2006" s="21">
        <v>46022</v>
      </c>
      <c r="S2006" s="22" t="str">
        <f>TEXT(Table1[[#This Row],[End Date]],"MMMM")</f>
        <v>December</v>
      </c>
      <c r="T2006" s="23" t="str">
        <f>TEXT(Table1[[#This Row],[End Date]],"YYYY")</f>
        <v>2025</v>
      </c>
      <c r="U2006" s="24">
        <f t="shared" ca="1" si="78"/>
        <v>-889</v>
      </c>
      <c r="V2006" s="14" t="str" cm="1">
        <f t="array" aca="1" ref="V2006" ca="1">_xlfn.IFS(Table1[[#This Row],[Agreement Days]]&gt;=0,"Expired",Table1[[#This Row],[Agreement Days]]&gt;=-30,"Expires &lt; 30 Days",Table1[[#This Row],[Agreement Days]]&gt;=-60,"Expires &lt; 60 Days",Table1[[#This Row],[Agreement Days]]&lt;-60,"Valid Contract")</f>
        <v>Valid Contract</v>
      </c>
      <c r="W2006" s="14" t="s">
        <v>12</v>
      </c>
      <c r="X2006" s="14" t="s">
        <v>1050</v>
      </c>
      <c r="Y2006" s="16" t="s">
        <v>1051</v>
      </c>
      <c r="Z2006" s="27" t="s">
        <v>1052</v>
      </c>
      <c r="AA2006" s="17"/>
      <c r="AB2006" s="125"/>
      <c r="AC2006" s="125"/>
    </row>
    <row r="2007" spans="1:29" s="11" customFormat="1" hidden="1" x14ac:dyDescent="0.3">
      <c r="A2007" s="18" t="s">
        <v>3400</v>
      </c>
      <c r="B2007" s="18" t="s">
        <v>211</v>
      </c>
      <c r="C2007" s="18" t="s">
        <v>211</v>
      </c>
      <c r="D2007" s="14" t="s">
        <v>540</v>
      </c>
      <c r="E2007" s="18" t="s">
        <v>9</v>
      </c>
      <c r="F2007" s="20" t="s">
        <v>3401</v>
      </c>
      <c r="G2007" s="20" t="s">
        <v>518</v>
      </c>
      <c r="H2007" s="18" t="s">
        <v>2</v>
      </c>
      <c r="I2007" s="14" t="s">
        <v>117</v>
      </c>
      <c r="J2007" s="14">
        <v>25</v>
      </c>
      <c r="K2007" s="14" t="s">
        <v>1075</v>
      </c>
      <c r="L2007" s="14"/>
      <c r="M2007" s="14">
        <v>1</v>
      </c>
      <c r="N2007" s="15">
        <v>1080000</v>
      </c>
      <c r="O2007" s="15">
        <f t="shared" si="79"/>
        <v>1080000</v>
      </c>
      <c r="P2007" s="15"/>
      <c r="Q2007" s="14" t="s">
        <v>520</v>
      </c>
      <c r="R2007" s="21">
        <v>46022</v>
      </c>
      <c r="S2007" s="22" t="str">
        <f>TEXT(Table1[[#This Row],[End Date]],"MMMM")</f>
        <v>December</v>
      </c>
      <c r="T2007" s="22" t="str">
        <f>TEXT(Table1[[#This Row],[End Date]],"YYYY")</f>
        <v>2025</v>
      </c>
      <c r="U2007" s="28">
        <f t="shared" ca="1" si="78"/>
        <v>-889</v>
      </c>
      <c r="V2007" s="14" t="str" cm="1">
        <f t="array" aca="1" ref="V2007" ca="1">_xlfn.IFS(Table1[[#This Row],[Agreement Days]]&gt;=0,"Expired",Table1[[#This Row],[Agreement Days]]&gt;=-30,"Expires &lt; 30 Days",Table1[[#This Row],[Agreement Days]]&gt;=-60,"Expires &lt; 60 Days",Table1[[#This Row],[Agreement Days]]&lt;-60,"Valid Contract")</f>
        <v>Valid Contract</v>
      </c>
      <c r="W2007" s="14" t="s">
        <v>20</v>
      </c>
      <c r="X2007" s="226" t="s">
        <v>3402</v>
      </c>
      <c r="Y2007" s="45" t="s">
        <v>3403</v>
      </c>
      <c r="Z2007" s="27" t="s">
        <v>3404</v>
      </c>
      <c r="AA2007" s="14"/>
      <c r="AB2007" s="123"/>
      <c r="AC2007" s="123"/>
    </row>
    <row r="2008" spans="1:29" s="11" customFormat="1" hidden="1" x14ac:dyDescent="0.3">
      <c r="A2008" s="18" t="s">
        <v>3400</v>
      </c>
      <c r="B2008" s="18" t="s">
        <v>211</v>
      </c>
      <c r="C2008" s="18" t="s">
        <v>211</v>
      </c>
      <c r="D2008" s="14" t="s">
        <v>540</v>
      </c>
      <c r="E2008" s="18" t="s">
        <v>9</v>
      </c>
      <c r="F2008" s="20" t="s">
        <v>3401</v>
      </c>
      <c r="G2008" s="20" t="s">
        <v>518</v>
      </c>
      <c r="H2008" s="18" t="s">
        <v>4</v>
      </c>
      <c r="I2008" s="14" t="s">
        <v>118</v>
      </c>
      <c r="J2008" s="14"/>
      <c r="K2008" s="14" t="s">
        <v>650</v>
      </c>
      <c r="L2008" s="14"/>
      <c r="M2008" s="14">
        <v>1</v>
      </c>
      <c r="N2008" s="15">
        <v>369325</v>
      </c>
      <c r="O2008" s="15">
        <f t="shared" si="79"/>
        <v>369325</v>
      </c>
      <c r="P2008" s="15"/>
      <c r="Q2008" s="14" t="s">
        <v>520</v>
      </c>
      <c r="R2008" s="21">
        <v>46022</v>
      </c>
      <c r="S2008" s="22" t="str">
        <f>TEXT(Table1[[#This Row],[End Date]],"MMMM")</f>
        <v>December</v>
      </c>
      <c r="T2008" s="22" t="str">
        <f>TEXT(Table1[[#This Row],[End Date]],"YYYY")</f>
        <v>2025</v>
      </c>
      <c r="U2008" s="28">
        <f t="shared" ca="1" si="78"/>
        <v>-889</v>
      </c>
      <c r="V2008" s="14" t="str" cm="1">
        <f t="array" aca="1" ref="V2008" ca="1">_xlfn.IFS(Table1[[#This Row],[Agreement Days]]&gt;=0,"Expired",Table1[[#This Row],[Agreement Days]]&gt;=-30,"Expires &lt; 30 Days",Table1[[#This Row],[Agreement Days]]&gt;=-60,"Expires &lt; 60 Days",Table1[[#This Row],[Agreement Days]]&lt;-60,"Valid Contract")</f>
        <v>Valid Contract</v>
      </c>
      <c r="W2008" s="14" t="s">
        <v>20</v>
      </c>
      <c r="X2008" s="226" t="s">
        <v>3402</v>
      </c>
      <c r="Y2008" s="45" t="s">
        <v>3403</v>
      </c>
      <c r="Z2008" s="27" t="s">
        <v>3404</v>
      </c>
      <c r="AA2008" s="14"/>
      <c r="AB2008" s="123"/>
      <c r="AC2008" s="123"/>
    </row>
    <row r="2009" spans="1:29" s="10" customFormat="1" hidden="1" x14ac:dyDescent="0.3">
      <c r="A2009" s="18" t="s">
        <v>3405</v>
      </c>
      <c r="B2009" s="18" t="s">
        <v>211</v>
      </c>
      <c r="C2009" s="18" t="s">
        <v>211</v>
      </c>
      <c r="D2009" s="14" t="s">
        <v>540</v>
      </c>
      <c r="E2009" s="18" t="s">
        <v>9</v>
      </c>
      <c r="F2009" s="20" t="s">
        <v>3401</v>
      </c>
      <c r="G2009" s="20" t="s">
        <v>518</v>
      </c>
      <c r="H2009" s="18" t="s">
        <v>5</v>
      </c>
      <c r="I2009" s="14" t="s">
        <v>115</v>
      </c>
      <c r="J2009" s="14"/>
      <c r="K2009" s="14" t="s">
        <v>643</v>
      </c>
      <c r="L2009" s="14"/>
      <c r="M2009" s="14">
        <v>1</v>
      </c>
      <c r="N2009" s="15">
        <f>33400/1.18</f>
        <v>28305.084745762713</v>
      </c>
      <c r="O2009" s="15">
        <f t="shared" si="79"/>
        <v>28305.084745762713</v>
      </c>
      <c r="P2009" s="15"/>
      <c r="Q2009" s="14" t="s">
        <v>520</v>
      </c>
      <c r="R2009" s="21">
        <v>46022</v>
      </c>
      <c r="S2009" s="22" t="str">
        <f>TEXT(Table1[[#This Row],[End Date]],"MMMM")</f>
        <v>December</v>
      </c>
      <c r="T2009" s="22" t="str">
        <f>TEXT(Table1[[#This Row],[End Date]],"YYYY")</f>
        <v>2025</v>
      </c>
      <c r="U2009" s="28">
        <f t="shared" ca="1" si="78"/>
        <v>-889</v>
      </c>
      <c r="V2009" s="14" t="str" cm="1">
        <f t="array" aca="1" ref="V2009" ca="1">_xlfn.IFS(Table1[[#This Row],[Agreement Days]]&gt;=0,"Expired",Table1[[#This Row],[Agreement Days]]&gt;=-30,"Expires &lt; 30 Days",Table1[[#This Row],[Agreement Days]]&gt;=-60,"Expires &lt; 60 Days",Table1[[#This Row],[Agreement Days]]&lt;-60,"Valid Contract")</f>
        <v>Valid Contract</v>
      </c>
      <c r="W2009" s="14" t="s">
        <v>20</v>
      </c>
      <c r="X2009" s="227" t="s">
        <v>3402</v>
      </c>
      <c r="Y2009" s="45" t="s">
        <v>3403</v>
      </c>
      <c r="Z2009" s="27" t="s">
        <v>3404</v>
      </c>
      <c r="AA2009" s="14"/>
      <c r="AB2009" s="123"/>
      <c r="AC2009" s="123"/>
    </row>
    <row r="2010" spans="1:29" s="10" customFormat="1" hidden="1" x14ac:dyDescent="0.3">
      <c r="A2010" s="18" t="s">
        <v>3400</v>
      </c>
      <c r="B2010" s="18" t="s">
        <v>211</v>
      </c>
      <c r="C2010" s="18" t="s">
        <v>211</v>
      </c>
      <c r="D2010" s="14" t="s">
        <v>540</v>
      </c>
      <c r="E2010" s="18" t="s">
        <v>9</v>
      </c>
      <c r="F2010" s="20" t="s">
        <v>3401</v>
      </c>
      <c r="G2010" s="20" t="s">
        <v>518</v>
      </c>
      <c r="H2010" s="18" t="s">
        <v>5</v>
      </c>
      <c r="I2010" s="14" t="s">
        <v>115</v>
      </c>
      <c r="J2010" s="14"/>
      <c r="K2010" s="14" t="s">
        <v>573</v>
      </c>
      <c r="L2010" s="14"/>
      <c r="M2010" s="14">
        <v>69</v>
      </c>
      <c r="N2010" s="15">
        <f>23000/1.18</f>
        <v>19491.525423728814</v>
      </c>
      <c r="O2010" s="15">
        <f t="shared" si="79"/>
        <v>1344915.2542372881</v>
      </c>
      <c r="P2010" s="15"/>
      <c r="Q2010" s="14" t="s">
        <v>520</v>
      </c>
      <c r="R2010" s="21">
        <v>46022</v>
      </c>
      <c r="S2010" s="22" t="str">
        <f>TEXT(Table1[[#This Row],[End Date]],"MMMM")</f>
        <v>December</v>
      </c>
      <c r="T2010" s="22" t="str">
        <f>TEXT(Table1[[#This Row],[End Date]],"YYYY")</f>
        <v>2025</v>
      </c>
      <c r="U2010" s="28">
        <f t="shared" ca="1" si="78"/>
        <v>-889</v>
      </c>
      <c r="V2010" s="14" t="str" cm="1">
        <f t="array" aca="1" ref="V2010" ca="1">_xlfn.IFS(Table1[[#This Row],[Agreement Days]]&gt;=0,"Expired",Table1[[#This Row],[Agreement Days]]&gt;=-30,"Expires &lt; 30 Days",Table1[[#This Row],[Agreement Days]]&gt;=-60,"Expires &lt; 60 Days",Table1[[#This Row],[Agreement Days]]&lt;-60,"Valid Contract")</f>
        <v>Valid Contract</v>
      </c>
      <c r="W2010" s="14" t="s">
        <v>20</v>
      </c>
      <c r="X2010" s="226" t="s">
        <v>3402</v>
      </c>
      <c r="Y2010" s="45" t="s">
        <v>3403</v>
      </c>
      <c r="Z2010" s="27" t="s">
        <v>3404</v>
      </c>
      <c r="AA2010" s="14"/>
      <c r="AB2010" s="125"/>
      <c r="AC2010" s="125"/>
    </row>
    <row r="2011" spans="1:29" s="10" customFormat="1" hidden="1" x14ac:dyDescent="0.3">
      <c r="A2011" s="18" t="s">
        <v>3406</v>
      </c>
      <c r="B2011" s="18" t="s">
        <v>225</v>
      </c>
      <c r="C2011" s="18" t="s">
        <v>3407</v>
      </c>
      <c r="D2011" s="14" t="s">
        <v>545</v>
      </c>
      <c r="E2011" s="18" t="s">
        <v>9</v>
      </c>
      <c r="F2011" s="14" t="s">
        <v>517</v>
      </c>
      <c r="G2011" s="14" t="s">
        <v>518</v>
      </c>
      <c r="H2011" s="18" t="s">
        <v>5</v>
      </c>
      <c r="I2011" s="14" t="s">
        <v>117</v>
      </c>
      <c r="J2011" s="14">
        <v>5</v>
      </c>
      <c r="K2011" s="14" t="s">
        <v>519</v>
      </c>
      <c r="L2011" s="14"/>
      <c r="M2011" s="14">
        <v>1</v>
      </c>
      <c r="N2011" s="15">
        <v>270000</v>
      </c>
      <c r="O2011" s="15">
        <f t="shared" si="79"/>
        <v>270000</v>
      </c>
      <c r="P2011" s="15"/>
      <c r="Q2011" s="14" t="s">
        <v>520</v>
      </c>
      <c r="R2011" s="21">
        <v>46022</v>
      </c>
      <c r="S2011" s="22" t="str">
        <f>TEXT(Table1[[#This Row],[End Date]],"MMMM")</f>
        <v>December</v>
      </c>
      <c r="T2011" s="23" t="str">
        <f>TEXT(Table1[[#This Row],[End Date]],"YYYY")</f>
        <v>2025</v>
      </c>
      <c r="U2011" s="24">
        <f t="shared" ca="1" si="78"/>
        <v>-889</v>
      </c>
      <c r="V2011" s="14" t="str" cm="1">
        <f t="array" aca="1" ref="V2011" ca="1">_xlfn.IFS(Table1[[#This Row],[Agreement Days]]&gt;=0,"Expired",Table1[[#This Row],[Agreement Days]]&gt;=-30,"Expires &lt; 30 Days",Table1[[#This Row],[Agreement Days]]&gt;=-60,"Expires &lt; 60 Days",Table1[[#This Row],[Agreement Days]]&lt;-60,"Valid Contract")</f>
        <v>Valid Contract</v>
      </c>
      <c r="W2011" s="14" t="s">
        <v>19</v>
      </c>
      <c r="X2011" s="14" t="s">
        <v>3408</v>
      </c>
      <c r="Y2011" s="14" t="s">
        <v>3409</v>
      </c>
      <c r="Z2011" s="17">
        <v>784412486</v>
      </c>
      <c r="AA2011" s="17"/>
      <c r="AB2011" s="123"/>
      <c r="AC2011" s="123"/>
    </row>
    <row r="2012" spans="1:29" s="10" customFormat="1" hidden="1" x14ac:dyDescent="0.3">
      <c r="A2012" s="18" t="s">
        <v>3406</v>
      </c>
      <c r="B2012" s="18" t="s">
        <v>225</v>
      </c>
      <c r="C2012" s="18" t="s">
        <v>3407</v>
      </c>
      <c r="D2012" s="14" t="s">
        <v>545</v>
      </c>
      <c r="E2012" s="18" t="s">
        <v>9</v>
      </c>
      <c r="F2012" s="14" t="s">
        <v>517</v>
      </c>
      <c r="G2012" s="14" t="s">
        <v>518</v>
      </c>
      <c r="H2012" s="18" t="s">
        <v>5</v>
      </c>
      <c r="I2012" s="14" t="s">
        <v>117</v>
      </c>
      <c r="J2012" s="14">
        <v>40</v>
      </c>
      <c r="K2012" s="14" t="s">
        <v>962</v>
      </c>
      <c r="L2012" s="14"/>
      <c r="M2012" s="14">
        <v>1</v>
      </c>
      <c r="N2012" s="15">
        <v>1529661</v>
      </c>
      <c r="O2012" s="15">
        <f t="shared" si="79"/>
        <v>1529661</v>
      </c>
      <c r="P2012" s="15"/>
      <c r="Q2012" s="14" t="s">
        <v>520</v>
      </c>
      <c r="R2012" s="21">
        <v>46022</v>
      </c>
      <c r="S2012" s="22" t="str">
        <f>TEXT(Table1[[#This Row],[End Date]],"MMMM")</f>
        <v>December</v>
      </c>
      <c r="T2012" s="23" t="str">
        <f>TEXT(Table1[[#This Row],[End Date]],"YYYY")</f>
        <v>2025</v>
      </c>
      <c r="U2012" s="24">
        <f t="shared" ca="1" si="78"/>
        <v>-889</v>
      </c>
      <c r="V2012" s="14" t="str" cm="1">
        <f t="array" aca="1" ref="V2012" ca="1">_xlfn.IFS(Table1[[#This Row],[Agreement Days]]&gt;=0,"Expired",Table1[[#This Row],[Agreement Days]]&gt;=-30,"Expires &lt; 30 Days",Table1[[#This Row],[Agreement Days]]&gt;=-60,"Expires &lt; 60 Days",Table1[[#This Row],[Agreement Days]]&lt;-60,"Valid Contract")</f>
        <v>Valid Contract</v>
      </c>
      <c r="W2012" s="14" t="s">
        <v>19</v>
      </c>
      <c r="X2012" s="14" t="s">
        <v>3408</v>
      </c>
      <c r="Y2012" s="14" t="s">
        <v>3409</v>
      </c>
      <c r="Z2012" s="17">
        <v>784412486</v>
      </c>
      <c r="AA2012" s="17"/>
      <c r="AB2012" s="123"/>
      <c r="AC2012" s="123"/>
    </row>
    <row r="2013" spans="1:29" s="10" customFormat="1" hidden="1" x14ac:dyDescent="0.3">
      <c r="A2013" s="18" t="s">
        <v>3406</v>
      </c>
      <c r="B2013" s="18" t="s">
        <v>225</v>
      </c>
      <c r="C2013" s="18" t="s">
        <v>3407</v>
      </c>
      <c r="D2013" s="14" t="s">
        <v>545</v>
      </c>
      <c r="E2013" s="18" t="s">
        <v>9</v>
      </c>
      <c r="F2013" s="14" t="s">
        <v>517</v>
      </c>
      <c r="G2013" s="14" t="s">
        <v>518</v>
      </c>
      <c r="H2013" s="18" t="s">
        <v>2</v>
      </c>
      <c r="I2013" s="14" t="s">
        <v>120</v>
      </c>
      <c r="J2013" s="14"/>
      <c r="K2013" s="14" t="s">
        <v>649</v>
      </c>
      <c r="L2013" s="14"/>
      <c r="M2013" s="14">
        <v>1</v>
      </c>
      <c r="N2013" s="15">
        <v>258044.92</v>
      </c>
      <c r="O2013" s="15">
        <f t="shared" si="79"/>
        <v>258044.92</v>
      </c>
      <c r="P2013" s="15"/>
      <c r="Q2013" s="14" t="s">
        <v>520</v>
      </c>
      <c r="R2013" s="21">
        <v>46022</v>
      </c>
      <c r="S2013" s="22" t="str">
        <f>TEXT(Table1[[#This Row],[End Date]],"MMMM")</f>
        <v>December</v>
      </c>
      <c r="T2013" s="23" t="str">
        <f>TEXT(Table1[[#This Row],[End Date]],"YYYY")</f>
        <v>2025</v>
      </c>
      <c r="U2013" s="24">
        <f t="shared" ca="1" si="78"/>
        <v>-889</v>
      </c>
      <c r="V2013" s="14" t="str" cm="1">
        <f t="array" aca="1" ref="V2013" ca="1">_xlfn.IFS(Table1[[#This Row],[Agreement Days]]&gt;=0,"Expired",Table1[[#This Row],[Agreement Days]]&gt;=-30,"Expires &lt; 30 Days",Table1[[#This Row],[Agreement Days]]&gt;=-60,"Expires &lt; 60 Days",Table1[[#This Row],[Agreement Days]]&lt;-60,"Valid Contract")</f>
        <v>Valid Contract</v>
      </c>
      <c r="W2013" s="14" t="s">
        <v>19</v>
      </c>
      <c r="X2013" s="14" t="s">
        <v>3408</v>
      </c>
      <c r="Y2013" s="14" t="s">
        <v>3409</v>
      </c>
      <c r="Z2013" s="17">
        <v>784412486</v>
      </c>
      <c r="AA2013" s="17"/>
      <c r="AB2013" s="123"/>
      <c r="AC2013" s="123"/>
    </row>
    <row r="2014" spans="1:29" s="10" customFormat="1" hidden="1" x14ac:dyDescent="0.3">
      <c r="A2014" s="18" t="s">
        <v>3406</v>
      </c>
      <c r="B2014" s="18" t="s">
        <v>225</v>
      </c>
      <c r="C2014" s="18" t="s">
        <v>3407</v>
      </c>
      <c r="D2014" s="14" t="s">
        <v>545</v>
      </c>
      <c r="E2014" s="18" t="s">
        <v>9</v>
      </c>
      <c r="F2014" s="14" t="s">
        <v>517</v>
      </c>
      <c r="G2014" s="14" t="s">
        <v>518</v>
      </c>
      <c r="H2014" s="18" t="s">
        <v>4</v>
      </c>
      <c r="I2014" s="14" t="s">
        <v>118</v>
      </c>
      <c r="J2014" s="14"/>
      <c r="K2014" s="14" t="s">
        <v>650</v>
      </c>
      <c r="L2014" s="14"/>
      <c r="M2014" s="14">
        <v>1</v>
      </c>
      <c r="N2014" s="15">
        <v>369325.42</v>
      </c>
      <c r="O2014" s="15">
        <f t="shared" si="79"/>
        <v>369325.42</v>
      </c>
      <c r="P2014" s="15"/>
      <c r="Q2014" s="14" t="s">
        <v>520</v>
      </c>
      <c r="R2014" s="21">
        <v>46022</v>
      </c>
      <c r="S2014" s="22" t="str">
        <f>TEXT(Table1[[#This Row],[End Date]],"MMMM")</f>
        <v>December</v>
      </c>
      <c r="T2014" s="23" t="str">
        <f>TEXT(Table1[[#This Row],[End Date]],"YYYY")</f>
        <v>2025</v>
      </c>
      <c r="U2014" s="24">
        <f t="shared" ca="1" si="78"/>
        <v>-889</v>
      </c>
      <c r="V2014" s="14" t="str" cm="1">
        <f t="array" aca="1" ref="V2014" ca="1">_xlfn.IFS(Table1[[#This Row],[Agreement Days]]&gt;=0,"Expired",Table1[[#This Row],[Agreement Days]]&gt;=-30,"Expires &lt; 30 Days",Table1[[#This Row],[Agreement Days]]&gt;=-60,"Expires &lt; 60 Days",Table1[[#This Row],[Agreement Days]]&lt;-60,"Valid Contract")</f>
        <v>Valid Contract</v>
      </c>
      <c r="W2014" s="14" t="s">
        <v>19</v>
      </c>
      <c r="X2014" s="14" t="s">
        <v>3408</v>
      </c>
      <c r="Y2014" s="14" t="s">
        <v>3409</v>
      </c>
      <c r="Z2014" s="17">
        <v>784412486</v>
      </c>
      <c r="AA2014" s="17"/>
      <c r="AB2014" s="125"/>
      <c r="AC2014" s="125"/>
    </row>
    <row r="2015" spans="1:29" s="10" customFormat="1" hidden="1" x14ac:dyDescent="0.3">
      <c r="A2015" s="18" t="s">
        <v>2464</v>
      </c>
      <c r="B2015" s="18" t="s">
        <v>167</v>
      </c>
      <c r="C2015" s="18" t="s">
        <v>544</v>
      </c>
      <c r="D2015" s="14" t="s">
        <v>653</v>
      </c>
      <c r="E2015" s="18" t="s">
        <v>9</v>
      </c>
      <c r="F2015" s="14" t="s">
        <v>517</v>
      </c>
      <c r="G2015" s="14" t="s">
        <v>546</v>
      </c>
      <c r="H2015" s="18" t="s">
        <v>5</v>
      </c>
      <c r="I2015" s="14" t="s">
        <v>117</v>
      </c>
      <c r="J2015" s="19">
        <v>30</v>
      </c>
      <c r="K2015" s="26" t="s">
        <v>3410</v>
      </c>
      <c r="L2015" s="26"/>
      <c r="M2015" s="19">
        <v>1</v>
      </c>
      <c r="N2015" s="15">
        <v>2875000</v>
      </c>
      <c r="O2015" s="15">
        <f t="shared" si="79"/>
        <v>2875000</v>
      </c>
      <c r="P2015" s="15"/>
      <c r="Q2015" s="14" t="s">
        <v>520</v>
      </c>
      <c r="R2015" s="25">
        <v>46022</v>
      </c>
      <c r="S2015" s="34" t="str">
        <f>TEXT(Table1[[#This Row],[End Date]],"MMMM")</f>
        <v>December</v>
      </c>
      <c r="T2015" s="34" t="str">
        <f>TEXT(Table1[[#This Row],[End Date]],"YYYY")</f>
        <v>2025</v>
      </c>
      <c r="U2015" s="24">
        <f t="shared" ca="1" si="78"/>
        <v>-889</v>
      </c>
      <c r="V2015" s="14" t="str" cm="1">
        <f t="array" aca="1" ref="V2015" ca="1">_xlfn.IFS(Table1[[#This Row],[Agreement Days]]&gt;=0,"Expired",Table1[[#This Row],[Agreement Days]]&gt;=-30,"Expires &lt; 30 Days",Table1[[#This Row],[Agreement Days]]&gt;=-60,"Expires &lt; 60 Days",Table1[[#This Row],[Agreement Days]]&lt;-60,"Valid Contract")</f>
        <v>Valid Contract</v>
      </c>
      <c r="W2015" s="26" t="s">
        <v>17</v>
      </c>
      <c r="X2015" s="26" t="s">
        <v>2467</v>
      </c>
      <c r="Y2015" s="35" t="s">
        <v>2468</v>
      </c>
      <c r="Z2015" s="27">
        <v>788839202</v>
      </c>
      <c r="AA2015" s="27"/>
      <c r="AB2015" s="123"/>
      <c r="AC2015" s="123"/>
    </row>
    <row r="2016" spans="1:29" s="10" customFormat="1" hidden="1" x14ac:dyDescent="0.3">
      <c r="A2016" s="18" t="s">
        <v>2464</v>
      </c>
      <c r="B2016" s="18" t="s">
        <v>167</v>
      </c>
      <c r="C2016" s="18" t="s">
        <v>544</v>
      </c>
      <c r="D2016" s="14" t="s">
        <v>653</v>
      </c>
      <c r="E2016" s="18" t="s">
        <v>9</v>
      </c>
      <c r="F2016" s="14" t="s">
        <v>517</v>
      </c>
      <c r="G2016" s="14" t="s">
        <v>546</v>
      </c>
      <c r="H2016" s="18" t="s">
        <v>5</v>
      </c>
      <c r="I2016" s="14" t="s">
        <v>115</v>
      </c>
      <c r="J2016" s="26"/>
      <c r="K2016" s="26" t="s">
        <v>1618</v>
      </c>
      <c r="L2016" s="26"/>
      <c r="M2016" s="19">
        <v>1</v>
      </c>
      <c r="N2016" s="15">
        <v>20338.98</v>
      </c>
      <c r="O2016" s="15">
        <f t="shared" si="79"/>
        <v>20338.98</v>
      </c>
      <c r="P2016" s="15"/>
      <c r="Q2016" s="14" t="s">
        <v>520</v>
      </c>
      <c r="R2016" s="25">
        <v>46022</v>
      </c>
      <c r="S2016" s="34" t="str">
        <f>TEXT(Table1[[#This Row],[End Date]],"MMMM")</f>
        <v>December</v>
      </c>
      <c r="T2016" s="34" t="str">
        <f>TEXT(Table1[[#This Row],[End Date]],"YYYY")</f>
        <v>2025</v>
      </c>
      <c r="U2016" s="24">
        <f t="shared" ca="1" si="78"/>
        <v>-889</v>
      </c>
      <c r="V2016" s="14" t="str" cm="1">
        <f t="array" aca="1" ref="V2016" ca="1">_xlfn.IFS(Table1[[#This Row],[Agreement Days]]&gt;=0,"Expired",Table1[[#This Row],[Agreement Days]]&gt;=-30,"Expires &lt; 30 Days",Table1[[#This Row],[Agreement Days]]&gt;=-60,"Expires &lt; 60 Days",Table1[[#This Row],[Agreement Days]]&lt;-60,"Valid Contract")</f>
        <v>Valid Contract</v>
      </c>
      <c r="W2016" s="26" t="s">
        <v>17</v>
      </c>
      <c r="X2016" s="26" t="s">
        <v>2467</v>
      </c>
      <c r="Y2016" s="35" t="s">
        <v>2468</v>
      </c>
      <c r="Z2016" s="27">
        <v>788839202</v>
      </c>
      <c r="AA2016" s="27"/>
      <c r="AB2016" s="123"/>
      <c r="AC2016" s="123"/>
    </row>
    <row r="2017" spans="1:29" s="10" customFormat="1" hidden="1" x14ac:dyDescent="0.3">
      <c r="A2017" s="18" t="s">
        <v>2464</v>
      </c>
      <c r="B2017" s="18" t="s">
        <v>167</v>
      </c>
      <c r="C2017" s="18" t="s">
        <v>3411</v>
      </c>
      <c r="D2017" s="14" t="s">
        <v>653</v>
      </c>
      <c r="E2017" s="18" t="s">
        <v>9</v>
      </c>
      <c r="F2017" s="14" t="s">
        <v>517</v>
      </c>
      <c r="G2017" s="14" t="s">
        <v>546</v>
      </c>
      <c r="H2017" s="18" t="s">
        <v>5</v>
      </c>
      <c r="I2017" s="14" t="s">
        <v>116</v>
      </c>
      <c r="J2017" s="26"/>
      <c r="K2017" s="14" t="s">
        <v>3412</v>
      </c>
      <c r="L2017" s="26">
        <v>10</v>
      </c>
      <c r="M2017" s="19">
        <v>1</v>
      </c>
      <c r="N2017" s="2">
        <v>1097711.7999999998</v>
      </c>
      <c r="O2017" s="15">
        <f t="shared" si="79"/>
        <v>1097711.7999999998</v>
      </c>
      <c r="P2017" s="15"/>
      <c r="Q2017" s="14" t="s">
        <v>520</v>
      </c>
      <c r="R2017" s="25">
        <v>46022</v>
      </c>
      <c r="S2017" s="34" t="str">
        <f>TEXT(Table1[[#This Row],[End Date]],"MMMM")</f>
        <v>December</v>
      </c>
      <c r="T2017" s="34" t="str">
        <f>TEXT(Table1[[#This Row],[End Date]],"YYYY")</f>
        <v>2025</v>
      </c>
      <c r="U2017" s="24">
        <f t="shared" ca="1" si="78"/>
        <v>-889</v>
      </c>
      <c r="V2017" s="14" t="str" cm="1">
        <f t="array" aca="1" ref="V2017" ca="1">_xlfn.IFS(Table1[[#This Row],[Agreement Days]]&gt;=0,"Expired",Table1[[#This Row],[Agreement Days]]&gt;=-30,"Expires &lt; 30 Days",Table1[[#This Row],[Agreement Days]]&gt;=-60,"Expires &lt; 60 Days",Table1[[#This Row],[Agreement Days]]&lt;-60,"Valid Contract")</f>
        <v>Valid Contract</v>
      </c>
      <c r="W2017" s="26" t="s">
        <v>17</v>
      </c>
      <c r="X2017" s="26" t="s">
        <v>2467</v>
      </c>
      <c r="Y2017" s="35" t="s">
        <v>2468</v>
      </c>
      <c r="Z2017" s="27">
        <v>788839202</v>
      </c>
      <c r="AA2017" s="27"/>
      <c r="AB2017" s="125"/>
      <c r="AC2017" s="125"/>
    </row>
    <row r="2018" spans="1:29" s="10" customFormat="1" hidden="1" x14ac:dyDescent="0.3">
      <c r="A2018" s="18" t="s">
        <v>2464</v>
      </c>
      <c r="B2018" s="18" t="s">
        <v>167</v>
      </c>
      <c r="C2018" s="18" t="s">
        <v>3413</v>
      </c>
      <c r="D2018" s="14" t="s">
        <v>653</v>
      </c>
      <c r="E2018" s="18" t="s">
        <v>9</v>
      </c>
      <c r="F2018" s="14" t="s">
        <v>517</v>
      </c>
      <c r="G2018" s="14" t="s">
        <v>546</v>
      </c>
      <c r="H2018" s="18" t="s">
        <v>5</v>
      </c>
      <c r="I2018" s="14" t="s">
        <v>117</v>
      </c>
      <c r="J2018" s="19">
        <v>5</v>
      </c>
      <c r="K2018" s="26" t="s">
        <v>816</v>
      </c>
      <c r="L2018" s="26"/>
      <c r="M2018" s="19">
        <v>5</v>
      </c>
      <c r="N2018" s="15">
        <v>90000</v>
      </c>
      <c r="O2018" s="15">
        <f t="shared" si="79"/>
        <v>450000</v>
      </c>
      <c r="P2018" s="15"/>
      <c r="Q2018" s="14" t="s">
        <v>520</v>
      </c>
      <c r="R2018" s="25">
        <v>46022</v>
      </c>
      <c r="S2018" s="34" t="str">
        <f>TEXT(Table1[[#This Row],[End Date]],"MMMM")</f>
        <v>December</v>
      </c>
      <c r="T2018" s="34" t="str">
        <f>TEXT(Table1[[#This Row],[End Date]],"YYYY")</f>
        <v>2025</v>
      </c>
      <c r="U2018" s="24">
        <f t="shared" ca="1" si="78"/>
        <v>-889</v>
      </c>
      <c r="V2018" s="14" t="str" cm="1">
        <f t="array" aca="1" ref="V2018" ca="1">_xlfn.IFS(Table1[[#This Row],[Agreement Days]]&gt;=0,"Expired",Table1[[#This Row],[Agreement Days]]&gt;=-30,"Expires &lt; 30 Days",Table1[[#This Row],[Agreement Days]]&gt;=-60,"Expires &lt; 60 Days",Table1[[#This Row],[Agreement Days]]&lt;-60,"Valid Contract")</f>
        <v>Valid Contract</v>
      </c>
      <c r="W2018" s="26" t="s">
        <v>17</v>
      </c>
      <c r="X2018" s="26" t="s">
        <v>2467</v>
      </c>
      <c r="Y2018" s="35" t="s">
        <v>2468</v>
      </c>
      <c r="Z2018" s="27">
        <v>788839202</v>
      </c>
      <c r="AA2018" s="27"/>
      <c r="AB2018" s="125"/>
      <c r="AC2018" s="125"/>
    </row>
    <row r="2019" spans="1:29" s="10" customFormat="1" x14ac:dyDescent="0.3">
      <c r="A2019" s="18" t="s">
        <v>3414</v>
      </c>
      <c r="B2019" s="18" t="s">
        <v>334</v>
      </c>
      <c r="C2019" s="18" t="s">
        <v>3415</v>
      </c>
      <c r="D2019" s="14" t="s">
        <v>545</v>
      </c>
      <c r="E2019" s="18" t="s">
        <v>10</v>
      </c>
      <c r="F2019" s="14" t="s">
        <v>527</v>
      </c>
      <c r="G2019" s="14" t="s">
        <v>518</v>
      </c>
      <c r="H2019" s="18" t="s">
        <v>2</v>
      </c>
      <c r="I2019" s="14" t="s">
        <v>123</v>
      </c>
      <c r="J2019" s="14"/>
      <c r="K2019" s="14" t="s">
        <v>3416</v>
      </c>
      <c r="L2019" s="14"/>
      <c r="M2019" s="14">
        <v>1</v>
      </c>
      <c r="N2019" s="15">
        <v>100000</v>
      </c>
      <c r="O2019" s="15">
        <f t="shared" si="79"/>
        <v>100000</v>
      </c>
      <c r="P2019" s="15"/>
      <c r="Q2019" s="14" t="s">
        <v>520</v>
      </c>
      <c r="R2019" s="21">
        <v>46022</v>
      </c>
      <c r="S2019" s="22" t="str">
        <f>TEXT(Table1[[#This Row],[End Date]],"MMMM")</f>
        <v>December</v>
      </c>
      <c r="T2019" s="23" t="str">
        <f>TEXT(Table1[[#This Row],[End Date]],"YYYY")</f>
        <v>2025</v>
      </c>
      <c r="U2019" s="24">
        <f t="shared" ca="1" si="78"/>
        <v>-889</v>
      </c>
      <c r="V2019" s="14" t="str" cm="1">
        <f t="array" aca="1" ref="V2019" ca="1">_xlfn.IFS(Table1[[#This Row],[Agreement Days]]&gt;=0,"Expired",Table1[[#This Row],[Agreement Days]]&gt;=-30,"Expires &lt; 30 Days",Table1[[#This Row],[Agreement Days]]&gt;=-60,"Expires &lt; 60 Days",Table1[[#This Row],[Agreement Days]]&lt;-60,"Valid Contract")</f>
        <v>Valid Contract</v>
      </c>
      <c r="W2019" s="14" t="s">
        <v>12</v>
      </c>
      <c r="X2019" s="14" t="s">
        <v>3417</v>
      </c>
      <c r="Y2019" s="16" t="s">
        <v>3418</v>
      </c>
      <c r="Z2019" s="17" t="s">
        <v>3419</v>
      </c>
      <c r="AA2019" s="17"/>
      <c r="AB2019" s="125"/>
      <c r="AC2019" s="125"/>
    </row>
    <row r="2020" spans="1:29" s="10" customFormat="1" hidden="1" x14ac:dyDescent="0.3">
      <c r="A2020" s="18" t="s">
        <v>3420</v>
      </c>
      <c r="B2020" s="18" t="s">
        <v>27</v>
      </c>
      <c r="C2020" s="18" t="s">
        <v>27</v>
      </c>
      <c r="D2020" s="14" t="s">
        <v>579</v>
      </c>
      <c r="E2020" s="18" t="s">
        <v>10</v>
      </c>
      <c r="F2020" s="14" t="s">
        <v>631</v>
      </c>
      <c r="G2020" s="14" t="s">
        <v>546</v>
      </c>
      <c r="H2020" s="18" t="s">
        <v>2</v>
      </c>
      <c r="I2020" s="14" t="s">
        <v>134</v>
      </c>
      <c r="J2020" s="14">
        <v>150</v>
      </c>
      <c r="K2020" s="14" t="s">
        <v>2130</v>
      </c>
      <c r="L2020" s="14"/>
      <c r="M2020" s="14">
        <v>1</v>
      </c>
      <c r="N2020" s="15">
        <f>5239200/1.18</f>
        <v>4440000</v>
      </c>
      <c r="O2020" s="15">
        <f t="shared" si="79"/>
        <v>4440000</v>
      </c>
      <c r="P2020" s="15"/>
      <c r="Q2020" s="14" t="s">
        <v>520</v>
      </c>
      <c r="R2020" s="21">
        <v>46022</v>
      </c>
      <c r="S2020" s="22" t="str">
        <f>TEXT(Table1[[#This Row],[End Date]],"MMMM")</f>
        <v>December</v>
      </c>
      <c r="T2020" s="23" t="str">
        <f>TEXT(Table1[[#This Row],[End Date]],"YYYY")</f>
        <v>2025</v>
      </c>
      <c r="U2020" s="24">
        <f t="shared" ca="1" si="78"/>
        <v>-889</v>
      </c>
      <c r="V2020" s="14" t="str" cm="1">
        <f t="array" aca="1" ref="V2020" ca="1">_xlfn.IFS(Table1[[#This Row],[Agreement Days]]&gt;=0,"Expired",Table1[[#This Row],[Agreement Days]]&gt;=-30,"Expires &lt; 30 Days",Table1[[#This Row],[Agreement Days]]&gt;=-60,"Expires &lt; 60 Days",Table1[[#This Row],[Agreement Days]]&lt;-60,"Valid Contract")</f>
        <v>Valid Contract</v>
      </c>
      <c r="W2020" s="14" t="s">
        <v>13</v>
      </c>
      <c r="X2020" s="14" t="s">
        <v>3421</v>
      </c>
      <c r="Y2020" s="43" t="s">
        <v>3422</v>
      </c>
      <c r="Z2020" s="17" t="s">
        <v>3423</v>
      </c>
      <c r="AA2020" s="17"/>
      <c r="AB2020" s="125"/>
      <c r="AC2020" s="125"/>
    </row>
    <row r="2021" spans="1:29" s="10" customFormat="1" x14ac:dyDescent="0.3">
      <c r="A2021" s="18" t="s">
        <v>3414</v>
      </c>
      <c r="B2021" s="18" t="s">
        <v>334</v>
      </c>
      <c r="C2021" s="18" t="s">
        <v>3424</v>
      </c>
      <c r="D2021" s="14" t="s">
        <v>545</v>
      </c>
      <c r="E2021" s="18" t="s">
        <v>10</v>
      </c>
      <c r="F2021" s="14" t="s">
        <v>527</v>
      </c>
      <c r="G2021" s="14" t="s">
        <v>518</v>
      </c>
      <c r="H2021" s="18" t="s">
        <v>2</v>
      </c>
      <c r="I2021" s="14" t="s">
        <v>123</v>
      </c>
      <c r="J2021" s="14"/>
      <c r="K2021" s="14" t="s">
        <v>3416</v>
      </c>
      <c r="L2021" s="14"/>
      <c r="M2021" s="14">
        <v>1</v>
      </c>
      <c r="N2021" s="15">
        <v>100000</v>
      </c>
      <c r="O2021" s="15">
        <f t="shared" ref="O2021:O2063" si="80">N2021*M2021</f>
        <v>100000</v>
      </c>
      <c r="P2021" s="15"/>
      <c r="Q2021" s="14" t="s">
        <v>520</v>
      </c>
      <c r="R2021" s="21">
        <v>46022</v>
      </c>
      <c r="S2021" s="22" t="str">
        <f>TEXT(Table1[[#This Row],[End Date]],"MMMM")</f>
        <v>December</v>
      </c>
      <c r="T2021" s="23" t="str">
        <f>TEXT(Table1[[#This Row],[End Date]],"YYYY")</f>
        <v>2025</v>
      </c>
      <c r="U2021" s="24">
        <f t="shared" ref="U2021:U2054" ca="1" si="81">TODAY()-R2021</f>
        <v>-889</v>
      </c>
      <c r="V2021" s="14" t="str" cm="1">
        <f t="array" aca="1" ref="V2021" ca="1">_xlfn.IFS(Table1[[#This Row],[Agreement Days]]&gt;=0,"Expired",Table1[[#This Row],[Agreement Days]]&gt;=-30,"Expires &lt; 30 Days",Table1[[#This Row],[Agreement Days]]&gt;=-60,"Expires &lt; 60 Days",Table1[[#This Row],[Agreement Days]]&lt;-60,"Valid Contract")</f>
        <v>Valid Contract</v>
      </c>
      <c r="W2021" s="14" t="s">
        <v>12</v>
      </c>
      <c r="X2021" s="14" t="s">
        <v>3417</v>
      </c>
      <c r="Y2021" s="16" t="s">
        <v>3418</v>
      </c>
      <c r="Z2021" s="17" t="s">
        <v>3419</v>
      </c>
      <c r="AA2021" s="17"/>
      <c r="AB2021" s="125"/>
      <c r="AC2021" s="125"/>
    </row>
    <row r="2022" spans="1:29" s="10" customFormat="1" x14ac:dyDescent="0.3">
      <c r="A2022" s="18" t="s">
        <v>3414</v>
      </c>
      <c r="B2022" s="18" t="s">
        <v>334</v>
      </c>
      <c r="C2022" s="18" t="s">
        <v>3425</v>
      </c>
      <c r="D2022" s="14" t="s">
        <v>545</v>
      </c>
      <c r="E2022" s="18" t="s">
        <v>10</v>
      </c>
      <c r="F2022" s="14" t="s">
        <v>527</v>
      </c>
      <c r="G2022" s="14" t="s">
        <v>518</v>
      </c>
      <c r="H2022" s="18" t="s">
        <v>2</v>
      </c>
      <c r="I2022" s="14" t="s">
        <v>123</v>
      </c>
      <c r="J2022" s="14"/>
      <c r="K2022" s="14" t="s">
        <v>3416</v>
      </c>
      <c r="L2022" s="14"/>
      <c r="M2022" s="14">
        <v>1</v>
      </c>
      <c r="N2022" s="15">
        <v>100000</v>
      </c>
      <c r="O2022" s="15">
        <f t="shared" si="80"/>
        <v>100000</v>
      </c>
      <c r="P2022" s="15"/>
      <c r="Q2022" s="14" t="s">
        <v>520</v>
      </c>
      <c r="R2022" s="21">
        <v>46022</v>
      </c>
      <c r="S2022" s="22" t="str">
        <f>TEXT(Table1[[#This Row],[End Date]],"MMMM")</f>
        <v>December</v>
      </c>
      <c r="T2022" s="23" t="str">
        <f>TEXT(Table1[[#This Row],[End Date]],"YYYY")</f>
        <v>2025</v>
      </c>
      <c r="U2022" s="24">
        <f t="shared" ca="1" si="81"/>
        <v>-889</v>
      </c>
      <c r="V2022" s="14" t="str" cm="1">
        <f t="array" aca="1" ref="V2022" ca="1">_xlfn.IFS(Table1[[#This Row],[Agreement Days]]&gt;=0,"Expired",Table1[[#This Row],[Agreement Days]]&gt;=-30,"Expires &lt; 30 Days",Table1[[#This Row],[Agreement Days]]&gt;=-60,"Expires &lt; 60 Days",Table1[[#This Row],[Agreement Days]]&lt;-60,"Valid Contract")</f>
        <v>Valid Contract</v>
      </c>
      <c r="W2022" s="14" t="s">
        <v>12</v>
      </c>
      <c r="X2022" s="14" t="s">
        <v>3417</v>
      </c>
      <c r="Y2022" s="16" t="s">
        <v>3418</v>
      </c>
      <c r="Z2022" s="17" t="s">
        <v>3419</v>
      </c>
      <c r="AA2022" s="17"/>
      <c r="AB2022" s="125"/>
      <c r="AC2022" s="125"/>
    </row>
    <row r="2023" spans="1:29" s="10" customFormat="1" x14ac:dyDescent="0.3">
      <c r="A2023" s="18" t="s">
        <v>3414</v>
      </c>
      <c r="B2023" s="18" t="s">
        <v>334</v>
      </c>
      <c r="C2023" s="18" t="s">
        <v>3426</v>
      </c>
      <c r="D2023" s="14" t="s">
        <v>545</v>
      </c>
      <c r="E2023" s="18" t="s">
        <v>10</v>
      </c>
      <c r="F2023" s="14" t="s">
        <v>527</v>
      </c>
      <c r="G2023" s="14" t="s">
        <v>518</v>
      </c>
      <c r="H2023" s="18" t="s">
        <v>2</v>
      </c>
      <c r="I2023" s="14" t="s">
        <v>123</v>
      </c>
      <c r="J2023" s="14"/>
      <c r="K2023" s="14" t="s">
        <v>3427</v>
      </c>
      <c r="L2023" s="14"/>
      <c r="M2023" s="14">
        <v>1</v>
      </c>
      <c r="N2023" s="15">
        <v>400000</v>
      </c>
      <c r="O2023" s="15">
        <f t="shared" si="80"/>
        <v>400000</v>
      </c>
      <c r="P2023" s="15"/>
      <c r="Q2023" s="14" t="s">
        <v>520</v>
      </c>
      <c r="R2023" s="21">
        <v>46022</v>
      </c>
      <c r="S2023" s="22" t="str">
        <f>TEXT(Table1[[#This Row],[End Date]],"MMMM")</f>
        <v>December</v>
      </c>
      <c r="T2023" s="23" t="str">
        <f>TEXT(Table1[[#This Row],[End Date]],"YYYY")</f>
        <v>2025</v>
      </c>
      <c r="U2023" s="24">
        <f t="shared" ca="1" si="81"/>
        <v>-889</v>
      </c>
      <c r="V2023" s="14" t="str" cm="1">
        <f t="array" aca="1" ref="V2023" ca="1">_xlfn.IFS(Table1[[#This Row],[Agreement Days]]&gt;=0,"Expired",Table1[[#This Row],[Agreement Days]]&gt;=-30,"Expires &lt; 30 Days",Table1[[#This Row],[Agreement Days]]&gt;=-60,"Expires &lt; 60 Days",Table1[[#This Row],[Agreement Days]]&lt;-60,"Valid Contract")</f>
        <v>Valid Contract</v>
      </c>
      <c r="W2023" s="14" t="s">
        <v>12</v>
      </c>
      <c r="X2023" s="14" t="s">
        <v>3417</v>
      </c>
      <c r="Y2023" s="16" t="s">
        <v>3418</v>
      </c>
      <c r="Z2023" s="17" t="s">
        <v>3419</v>
      </c>
      <c r="AA2023" s="17"/>
      <c r="AB2023" s="125"/>
      <c r="AC2023" s="125"/>
    </row>
    <row r="2024" spans="1:29" s="10" customFormat="1" hidden="1" x14ac:dyDescent="0.3">
      <c r="A2024" s="18" t="s">
        <v>3428</v>
      </c>
      <c r="B2024" s="18" t="s">
        <v>370</v>
      </c>
      <c r="C2024" s="18" t="s">
        <v>544</v>
      </c>
      <c r="D2024" s="14" t="s">
        <v>653</v>
      </c>
      <c r="E2024" s="18" t="s">
        <v>10</v>
      </c>
      <c r="F2024" s="14" t="s">
        <v>3401</v>
      </c>
      <c r="G2024" s="14" t="s">
        <v>518</v>
      </c>
      <c r="H2024" s="18" t="s">
        <v>2</v>
      </c>
      <c r="I2024" s="14" t="s">
        <v>134</v>
      </c>
      <c r="J2024" s="14">
        <v>10</v>
      </c>
      <c r="K2024" s="18" t="s">
        <v>3429</v>
      </c>
      <c r="L2024" s="18"/>
      <c r="M2024" s="14">
        <v>1</v>
      </c>
      <c r="N2024" s="15">
        <f>550000/1.18</f>
        <v>466101.69491525425</v>
      </c>
      <c r="O2024" s="15">
        <f t="shared" si="80"/>
        <v>466101.69491525425</v>
      </c>
      <c r="P2024" s="15"/>
      <c r="Q2024" s="14" t="s">
        <v>520</v>
      </c>
      <c r="R2024" s="25">
        <v>46022</v>
      </c>
      <c r="S2024" s="34" t="str">
        <f>TEXT(Table1[[#This Row],[End Date]],"MMMM")</f>
        <v>December</v>
      </c>
      <c r="T2024" s="34" t="str">
        <f>TEXT(Table1[[#This Row],[End Date]],"YYYY")</f>
        <v>2025</v>
      </c>
      <c r="U2024" s="24">
        <f t="shared" ca="1" si="81"/>
        <v>-889</v>
      </c>
      <c r="V2024" s="14" t="str" cm="1">
        <f t="array" aca="1" ref="V2024" ca="1">_xlfn.IFS(Table1[[#This Row],[Agreement Days]]&gt;=0,"Expired",Table1[[#This Row],[Agreement Days]]&gt;=-30,"Expires &lt; 30 Days",Table1[[#This Row],[Agreement Days]]&gt;=-60,"Expires &lt; 60 Days",Table1[[#This Row],[Agreement Days]]&lt;-60,"Valid Contract")</f>
        <v>Valid Contract</v>
      </c>
      <c r="W2024" s="18" t="s">
        <v>18</v>
      </c>
      <c r="X2024" s="18" t="s">
        <v>3430</v>
      </c>
      <c r="Y2024" s="35" t="s">
        <v>3431</v>
      </c>
      <c r="Z2024" s="36" t="s">
        <v>3432</v>
      </c>
      <c r="AA2024" s="36"/>
      <c r="AB2024" s="123"/>
      <c r="AC2024" s="123"/>
    </row>
    <row r="2025" spans="1:29" s="10" customFormat="1" hidden="1" x14ac:dyDescent="0.3">
      <c r="A2025" s="18" t="s">
        <v>3433</v>
      </c>
      <c r="B2025" s="18" t="s">
        <v>46</v>
      </c>
      <c r="C2025" s="18" t="s">
        <v>46</v>
      </c>
      <c r="D2025" s="14" t="s">
        <v>739</v>
      </c>
      <c r="E2025" s="18" t="s">
        <v>10</v>
      </c>
      <c r="F2025" s="14" t="s">
        <v>631</v>
      </c>
      <c r="G2025" s="14" t="s">
        <v>518</v>
      </c>
      <c r="H2025" s="18" t="s">
        <v>5</v>
      </c>
      <c r="I2025" s="14" t="s">
        <v>134</v>
      </c>
      <c r="J2025" s="14">
        <v>20</v>
      </c>
      <c r="K2025" s="18" t="s">
        <v>689</v>
      </c>
      <c r="L2025" s="18"/>
      <c r="M2025" s="14">
        <v>1</v>
      </c>
      <c r="N2025" s="15">
        <v>900000</v>
      </c>
      <c r="O2025" s="15">
        <f t="shared" si="80"/>
        <v>900000</v>
      </c>
      <c r="P2025" s="15"/>
      <c r="Q2025" s="14" t="s">
        <v>520</v>
      </c>
      <c r="R2025" s="21">
        <v>46022</v>
      </c>
      <c r="S2025" s="22" t="str">
        <f>TEXT(Table1[[#This Row],[End Date]],"MMMM")</f>
        <v>December</v>
      </c>
      <c r="T2025" s="23" t="str">
        <f>TEXT(Table1[[#This Row],[End Date]],"YYYY")</f>
        <v>2025</v>
      </c>
      <c r="U2025" s="24">
        <f t="shared" ca="1" si="81"/>
        <v>-889</v>
      </c>
      <c r="V2025" s="14" t="str" cm="1">
        <f t="array" aca="1" ref="V2025" ca="1">_xlfn.IFS(Table1[[#This Row],[Agreement Days]]&gt;=0,"Expired",Table1[[#This Row],[Agreement Days]]&gt;=-30,"Expires &lt; 30 Days",Table1[[#This Row],[Agreement Days]]&gt;=-60,"Expires &lt; 60 Days",Table1[[#This Row],[Agreement Days]]&lt;-60,"Valid Contract")</f>
        <v>Valid Contract</v>
      </c>
      <c r="W2025" s="18" t="s">
        <v>21</v>
      </c>
      <c r="X2025" s="18" t="s">
        <v>3434</v>
      </c>
      <c r="Y2025" s="42" t="s">
        <v>3435</v>
      </c>
      <c r="Z2025" s="27">
        <v>788407941</v>
      </c>
      <c r="AA2025" s="27"/>
      <c r="AB2025" s="116"/>
      <c r="AC2025" s="116"/>
    </row>
    <row r="2026" spans="1:29" s="10" customFormat="1" hidden="1" x14ac:dyDescent="0.3">
      <c r="A2026" s="18" t="s">
        <v>3436</v>
      </c>
      <c r="B2026" s="18" t="s">
        <v>344</v>
      </c>
      <c r="C2026" s="18" t="s">
        <v>3437</v>
      </c>
      <c r="D2026" s="14" t="s">
        <v>653</v>
      </c>
      <c r="E2026" s="18" t="s">
        <v>9</v>
      </c>
      <c r="F2026" s="14" t="s">
        <v>517</v>
      </c>
      <c r="G2026" s="14" t="s">
        <v>518</v>
      </c>
      <c r="H2026" s="18" t="s">
        <v>5</v>
      </c>
      <c r="I2026" s="14" t="s">
        <v>117</v>
      </c>
      <c r="J2026" s="14">
        <v>10</v>
      </c>
      <c r="K2026" s="20" t="s">
        <v>547</v>
      </c>
      <c r="L2026" s="14"/>
      <c r="M2026" s="14">
        <v>1</v>
      </c>
      <c r="N2026" s="15">
        <v>510000</v>
      </c>
      <c r="O2026" s="15">
        <f t="shared" si="80"/>
        <v>510000</v>
      </c>
      <c r="P2026" s="15"/>
      <c r="Q2026" s="14" t="s">
        <v>520</v>
      </c>
      <c r="R2026" s="21">
        <v>46025</v>
      </c>
      <c r="S2026" s="22" t="str">
        <f>TEXT(Table1[[#This Row],[End Date]],"MMMM")</f>
        <v>January</v>
      </c>
      <c r="T2026" s="23" t="str">
        <f>TEXT(Table1[[#This Row],[End Date]],"YYYY")</f>
        <v>2026</v>
      </c>
      <c r="U2026" s="24">
        <f t="shared" ca="1" si="81"/>
        <v>-892</v>
      </c>
      <c r="V2026" s="14" t="str" cm="1">
        <f t="array" aca="1" ref="V2026" ca="1">_xlfn.IFS(Table1[[#This Row],[Agreement Days]]&gt;=0,"Expired",Table1[[#This Row],[Agreement Days]]&gt;=-30,"Expires &lt; 30 Days",Table1[[#This Row],[Agreement Days]]&gt;=-60,"Expires &lt; 60 Days",Table1[[#This Row],[Agreement Days]]&lt;-60,"Valid Contract")</f>
        <v>Valid Contract</v>
      </c>
      <c r="W2026" s="14" t="s">
        <v>20</v>
      </c>
      <c r="X2026" s="26" t="s">
        <v>3438</v>
      </c>
      <c r="Y2026" s="45" t="s">
        <v>3439</v>
      </c>
      <c r="Z2026" s="17" t="s">
        <v>3440</v>
      </c>
      <c r="AA2026" s="19"/>
      <c r="AB2026" s="125"/>
      <c r="AC2026" s="125"/>
    </row>
    <row r="2027" spans="1:29" s="10" customFormat="1" hidden="1" x14ac:dyDescent="0.3">
      <c r="A2027" s="18" t="s">
        <v>3436</v>
      </c>
      <c r="B2027" s="18" t="s">
        <v>344</v>
      </c>
      <c r="C2027" s="18" t="s">
        <v>3437</v>
      </c>
      <c r="D2027" s="14" t="s">
        <v>653</v>
      </c>
      <c r="E2027" s="18" t="s">
        <v>9</v>
      </c>
      <c r="F2027" s="14" t="s">
        <v>517</v>
      </c>
      <c r="G2027" s="14" t="s">
        <v>518</v>
      </c>
      <c r="H2027" s="18" t="s">
        <v>5</v>
      </c>
      <c r="I2027" s="14" t="s">
        <v>115</v>
      </c>
      <c r="J2027" s="14"/>
      <c r="K2027" s="20" t="s">
        <v>733</v>
      </c>
      <c r="L2027" s="14"/>
      <c r="M2027" s="14">
        <v>1</v>
      </c>
      <c r="N2027" s="15">
        <v>81355.929999999993</v>
      </c>
      <c r="O2027" s="15">
        <f t="shared" si="80"/>
        <v>81355.929999999993</v>
      </c>
      <c r="P2027" s="15"/>
      <c r="Q2027" s="14" t="s">
        <v>520</v>
      </c>
      <c r="R2027" s="21">
        <v>46025</v>
      </c>
      <c r="S2027" s="22" t="str">
        <f>TEXT(Table1[[#This Row],[End Date]],"MMMM")</f>
        <v>January</v>
      </c>
      <c r="T2027" s="23" t="str">
        <f>TEXT(Table1[[#This Row],[End Date]],"YYYY")</f>
        <v>2026</v>
      </c>
      <c r="U2027" s="24">
        <f t="shared" ca="1" si="81"/>
        <v>-892</v>
      </c>
      <c r="V2027" s="14" t="str" cm="1">
        <f t="array" aca="1" ref="V2027" ca="1">_xlfn.IFS(Table1[[#This Row],[Agreement Days]]&gt;=0,"Expired",Table1[[#This Row],[Agreement Days]]&gt;=-30,"Expires &lt; 30 Days",Table1[[#This Row],[Agreement Days]]&gt;=-60,"Expires &lt; 60 Days",Table1[[#This Row],[Agreement Days]]&lt;-60,"Valid Contract")</f>
        <v>Valid Contract</v>
      </c>
      <c r="W2027" s="14" t="s">
        <v>20</v>
      </c>
      <c r="X2027" s="26" t="s">
        <v>3438</v>
      </c>
      <c r="Y2027" s="16" t="s">
        <v>3439</v>
      </c>
      <c r="Z2027" s="17" t="s">
        <v>3440</v>
      </c>
      <c r="AA2027" s="19"/>
      <c r="AB2027" s="125"/>
      <c r="AC2027" s="125"/>
    </row>
    <row r="2028" spans="1:29" s="10" customFormat="1" hidden="1" x14ac:dyDescent="0.3">
      <c r="A2028" s="18" t="s">
        <v>3441</v>
      </c>
      <c r="B2028" s="18" t="s">
        <v>138</v>
      </c>
      <c r="C2028" s="18" t="s">
        <v>3442</v>
      </c>
      <c r="D2028" s="20" t="s">
        <v>653</v>
      </c>
      <c r="E2028" s="18" t="s">
        <v>9</v>
      </c>
      <c r="F2028" s="20" t="s">
        <v>1203</v>
      </c>
      <c r="G2028" s="20" t="s">
        <v>546</v>
      </c>
      <c r="H2028" s="18" t="s">
        <v>5</v>
      </c>
      <c r="I2028" s="20" t="s">
        <v>117</v>
      </c>
      <c r="J2028" s="20">
        <v>1</v>
      </c>
      <c r="K2028" s="20" t="s">
        <v>868</v>
      </c>
      <c r="L2028" s="20"/>
      <c r="M2028" s="20">
        <v>1</v>
      </c>
      <c r="N2028" s="15">
        <v>90000</v>
      </c>
      <c r="O2028" s="15">
        <f t="shared" si="80"/>
        <v>90000</v>
      </c>
      <c r="P2028" s="15"/>
      <c r="Q2028" s="14" t="s">
        <v>520</v>
      </c>
      <c r="R2028" s="32">
        <v>46026</v>
      </c>
      <c r="S2028" s="22" t="str">
        <f>TEXT(Table1[[#This Row],[End Date]],"MMMM")</f>
        <v>January</v>
      </c>
      <c r="T2028" s="22" t="str">
        <f>TEXT(Table1[[#This Row],[End Date]],"YYYY")</f>
        <v>2026</v>
      </c>
      <c r="U2028" s="28">
        <f t="shared" ca="1" si="81"/>
        <v>-893</v>
      </c>
      <c r="V2028" s="14" t="str" cm="1">
        <f t="array" aca="1" ref="V2028" ca="1">_xlfn.IFS(Table1[[#This Row],[Agreement Days]]&gt;=0,"Expired",Table1[[#This Row],[Agreement Days]]&gt;=-30,"Expires &lt; 30 Days",Table1[[#This Row],[Agreement Days]]&gt;=-60,"Expires &lt; 60 Days",Table1[[#This Row],[Agreement Days]]&lt;-60,"Valid Contract")</f>
        <v>Valid Contract</v>
      </c>
      <c r="W2028" s="20" t="s">
        <v>19</v>
      </c>
      <c r="X2028" s="20" t="s">
        <v>3443</v>
      </c>
      <c r="Y2028" s="43" t="s">
        <v>3444</v>
      </c>
      <c r="Z2028" s="66">
        <v>788317747</v>
      </c>
      <c r="AA2028" s="66"/>
      <c r="AB2028" s="125"/>
      <c r="AC2028" s="125"/>
    </row>
    <row r="2029" spans="1:29" s="10" customFormat="1" hidden="1" x14ac:dyDescent="0.3">
      <c r="A2029" s="18" t="s">
        <v>3441</v>
      </c>
      <c r="B2029" s="18" t="s">
        <v>138</v>
      </c>
      <c r="C2029" s="18" t="s">
        <v>3445</v>
      </c>
      <c r="D2029" s="14" t="s">
        <v>653</v>
      </c>
      <c r="E2029" s="18" t="s">
        <v>9</v>
      </c>
      <c r="F2029" s="14" t="s">
        <v>1203</v>
      </c>
      <c r="G2029" s="14" t="s">
        <v>546</v>
      </c>
      <c r="H2029" s="18" t="s">
        <v>5</v>
      </c>
      <c r="I2029" s="14" t="s">
        <v>117</v>
      </c>
      <c r="J2029" s="14">
        <v>1</v>
      </c>
      <c r="K2029" s="14" t="s">
        <v>868</v>
      </c>
      <c r="L2029" s="14"/>
      <c r="M2029" s="14">
        <v>1</v>
      </c>
      <c r="N2029" s="15">
        <v>90000</v>
      </c>
      <c r="O2029" s="15">
        <f t="shared" si="80"/>
        <v>90000</v>
      </c>
      <c r="P2029" s="15"/>
      <c r="Q2029" s="14" t="s">
        <v>520</v>
      </c>
      <c r="R2029" s="21">
        <v>46026</v>
      </c>
      <c r="S2029" s="22" t="str">
        <f>TEXT(Table1[[#This Row],[End Date]],"MMMM")</f>
        <v>January</v>
      </c>
      <c r="T2029" s="23" t="str">
        <f>TEXT(Table1[[#This Row],[End Date]],"YYYY")</f>
        <v>2026</v>
      </c>
      <c r="U2029" s="24">
        <f t="shared" ca="1" si="81"/>
        <v>-893</v>
      </c>
      <c r="V2029" s="14" t="str" cm="1">
        <f t="array" aca="1" ref="V2029" ca="1">_xlfn.IFS(Table1[[#This Row],[Agreement Days]]&gt;=0,"Expired",Table1[[#This Row],[Agreement Days]]&gt;=-30,"Expires &lt; 30 Days",Table1[[#This Row],[Agreement Days]]&gt;=-60,"Expires &lt; 60 Days",Table1[[#This Row],[Agreement Days]]&lt;-60,"Valid Contract")</f>
        <v>Valid Contract</v>
      </c>
      <c r="W2029" s="14" t="s">
        <v>19</v>
      </c>
      <c r="X2029" s="14" t="s">
        <v>3443</v>
      </c>
      <c r="Y2029" s="43" t="s">
        <v>3444</v>
      </c>
      <c r="Z2029" s="17">
        <v>788317747</v>
      </c>
      <c r="AA2029" s="17"/>
      <c r="AB2029" s="125"/>
      <c r="AC2029" s="125"/>
    </row>
    <row r="2030" spans="1:29" s="10" customFormat="1" hidden="1" x14ac:dyDescent="0.3">
      <c r="A2030" s="18" t="s">
        <v>3441</v>
      </c>
      <c r="B2030" s="18" t="s">
        <v>138</v>
      </c>
      <c r="C2030" s="18" t="s">
        <v>3446</v>
      </c>
      <c r="D2030" s="14" t="s">
        <v>653</v>
      </c>
      <c r="E2030" s="18" t="s">
        <v>9</v>
      </c>
      <c r="F2030" s="14" t="s">
        <v>1203</v>
      </c>
      <c r="G2030" s="14" t="s">
        <v>546</v>
      </c>
      <c r="H2030" s="18" t="s">
        <v>5</v>
      </c>
      <c r="I2030" s="14" t="s">
        <v>117</v>
      </c>
      <c r="J2030" s="14">
        <v>1</v>
      </c>
      <c r="K2030" s="14" t="s">
        <v>868</v>
      </c>
      <c r="L2030" s="14"/>
      <c r="M2030" s="14">
        <v>1</v>
      </c>
      <c r="N2030" s="15">
        <v>90000</v>
      </c>
      <c r="O2030" s="15">
        <f t="shared" si="80"/>
        <v>90000</v>
      </c>
      <c r="P2030" s="15"/>
      <c r="Q2030" s="14" t="s">
        <v>520</v>
      </c>
      <c r="R2030" s="21">
        <v>46026</v>
      </c>
      <c r="S2030" s="22" t="str">
        <f>TEXT(Table1[[#This Row],[End Date]],"MMMM")</f>
        <v>January</v>
      </c>
      <c r="T2030" s="23" t="str">
        <f>TEXT(Table1[[#This Row],[End Date]],"YYYY")</f>
        <v>2026</v>
      </c>
      <c r="U2030" s="24">
        <f t="shared" ca="1" si="81"/>
        <v>-893</v>
      </c>
      <c r="V2030" s="14" t="str" cm="1">
        <f t="array" aca="1" ref="V2030" ca="1">_xlfn.IFS(Table1[[#This Row],[Agreement Days]]&gt;=0,"Expired",Table1[[#This Row],[Agreement Days]]&gt;=-30,"Expires &lt; 30 Days",Table1[[#This Row],[Agreement Days]]&gt;=-60,"Expires &lt; 60 Days",Table1[[#This Row],[Agreement Days]]&lt;-60,"Valid Contract")</f>
        <v>Valid Contract</v>
      </c>
      <c r="W2030" s="14" t="s">
        <v>19</v>
      </c>
      <c r="X2030" s="14" t="s">
        <v>3443</v>
      </c>
      <c r="Y2030" s="43" t="s">
        <v>3444</v>
      </c>
      <c r="Z2030" s="17">
        <v>788317747</v>
      </c>
      <c r="AA2030" s="17"/>
      <c r="AB2030" s="125"/>
      <c r="AC2030" s="125"/>
    </row>
    <row r="2031" spans="1:29" s="10" customFormat="1" hidden="1" x14ac:dyDescent="0.3">
      <c r="A2031" s="18" t="s">
        <v>3441</v>
      </c>
      <c r="B2031" s="18" t="s">
        <v>138</v>
      </c>
      <c r="C2031" s="18" t="s">
        <v>3447</v>
      </c>
      <c r="D2031" s="14" t="s">
        <v>653</v>
      </c>
      <c r="E2031" s="18" t="s">
        <v>9</v>
      </c>
      <c r="F2031" s="14" t="s">
        <v>1203</v>
      </c>
      <c r="G2031" s="14" t="s">
        <v>546</v>
      </c>
      <c r="H2031" s="18" t="s">
        <v>5</v>
      </c>
      <c r="I2031" s="14" t="s">
        <v>117</v>
      </c>
      <c r="J2031" s="14">
        <v>1</v>
      </c>
      <c r="K2031" s="14" t="s">
        <v>868</v>
      </c>
      <c r="L2031" s="14"/>
      <c r="M2031" s="14">
        <v>1</v>
      </c>
      <c r="N2031" s="15">
        <v>90000</v>
      </c>
      <c r="O2031" s="15">
        <f t="shared" si="80"/>
        <v>90000</v>
      </c>
      <c r="P2031" s="15"/>
      <c r="Q2031" s="14" t="s">
        <v>520</v>
      </c>
      <c r="R2031" s="21">
        <v>46026</v>
      </c>
      <c r="S2031" s="22" t="str">
        <f>TEXT(Table1[[#This Row],[End Date]],"MMMM")</f>
        <v>January</v>
      </c>
      <c r="T2031" s="23" t="str">
        <f>TEXT(Table1[[#This Row],[End Date]],"YYYY")</f>
        <v>2026</v>
      </c>
      <c r="U2031" s="24">
        <f t="shared" ca="1" si="81"/>
        <v>-893</v>
      </c>
      <c r="V2031" s="14" t="str" cm="1">
        <f t="array" aca="1" ref="V2031" ca="1">_xlfn.IFS(Table1[[#This Row],[Agreement Days]]&gt;=0,"Expired",Table1[[#This Row],[Agreement Days]]&gt;=-30,"Expires &lt; 30 Days",Table1[[#This Row],[Agreement Days]]&gt;=-60,"Expires &lt; 60 Days",Table1[[#This Row],[Agreement Days]]&lt;-60,"Valid Contract")</f>
        <v>Valid Contract</v>
      </c>
      <c r="W2031" s="14" t="s">
        <v>19</v>
      </c>
      <c r="X2031" s="14" t="s">
        <v>3443</v>
      </c>
      <c r="Y2031" s="43" t="s">
        <v>3444</v>
      </c>
      <c r="Z2031" s="17">
        <v>788317747</v>
      </c>
      <c r="AA2031" s="17"/>
      <c r="AB2031" s="125"/>
      <c r="AC2031" s="125"/>
    </row>
    <row r="2032" spans="1:29" s="10" customFormat="1" hidden="1" x14ac:dyDescent="0.3">
      <c r="A2032" s="18" t="s">
        <v>3441</v>
      </c>
      <c r="B2032" s="18" t="s">
        <v>138</v>
      </c>
      <c r="C2032" s="18" t="s">
        <v>3448</v>
      </c>
      <c r="D2032" s="14" t="s">
        <v>653</v>
      </c>
      <c r="E2032" s="18" t="s">
        <v>9</v>
      </c>
      <c r="F2032" s="14" t="s">
        <v>1203</v>
      </c>
      <c r="G2032" s="14" t="s">
        <v>546</v>
      </c>
      <c r="H2032" s="18" t="s">
        <v>5</v>
      </c>
      <c r="I2032" s="14" t="s">
        <v>117</v>
      </c>
      <c r="J2032" s="14">
        <v>1</v>
      </c>
      <c r="K2032" s="14" t="s">
        <v>868</v>
      </c>
      <c r="L2032" s="14"/>
      <c r="M2032" s="14">
        <v>1</v>
      </c>
      <c r="N2032" s="15">
        <v>90000</v>
      </c>
      <c r="O2032" s="15">
        <f t="shared" si="80"/>
        <v>90000</v>
      </c>
      <c r="P2032" s="15"/>
      <c r="Q2032" s="14" t="s">
        <v>520</v>
      </c>
      <c r="R2032" s="21">
        <v>46026</v>
      </c>
      <c r="S2032" s="22" t="str">
        <f>TEXT(Table1[[#This Row],[End Date]],"MMMM")</f>
        <v>January</v>
      </c>
      <c r="T2032" s="23" t="str">
        <f>TEXT(Table1[[#This Row],[End Date]],"YYYY")</f>
        <v>2026</v>
      </c>
      <c r="U2032" s="24">
        <f t="shared" ca="1" si="81"/>
        <v>-893</v>
      </c>
      <c r="V2032" s="14" t="str" cm="1">
        <f t="array" aca="1" ref="V2032" ca="1">_xlfn.IFS(Table1[[#This Row],[Agreement Days]]&gt;=0,"Expired",Table1[[#This Row],[Agreement Days]]&gt;=-30,"Expires &lt; 30 Days",Table1[[#This Row],[Agreement Days]]&gt;=-60,"Expires &lt; 60 Days",Table1[[#This Row],[Agreement Days]]&lt;-60,"Valid Contract")</f>
        <v>Valid Contract</v>
      </c>
      <c r="W2032" s="14" t="s">
        <v>19</v>
      </c>
      <c r="X2032" s="14" t="s">
        <v>3443</v>
      </c>
      <c r="Y2032" s="43" t="s">
        <v>3444</v>
      </c>
      <c r="Z2032" s="17">
        <v>788317747</v>
      </c>
      <c r="AA2032" s="17"/>
      <c r="AB2032" s="125"/>
      <c r="AC2032" s="125"/>
    </row>
    <row r="2033" spans="1:29" s="10" customFormat="1" hidden="1" x14ac:dyDescent="0.3">
      <c r="A2033" s="18" t="s">
        <v>3441</v>
      </c>
      <c r="B2033" s="18" t="s">
        <v>138</v>
      </c>
      <c r="C2033" s="18" t="s">
        <v>3449</v>
      </c>
      <c r="D2033" s="14" t="s">
        <v>653</v>
      </c>
      <c r="E2033" s="18" t="s">
        <v>9</v>
      </c>
      <c r="F2033" s="14" t="s">
        <v>1203</v>
      </c>
      <c r="G2033" s="14" t="s">
        <v>546</v>
      </c>
      <c r="H2033" s="18" t="s">
        <v>5</v>
      </c>
      <c r="I2033" s="14" t="s">
        <v>117</v>
      </c>
      <c r="J2033" s="14">
        <v>1</v>
      </c>
      <c r="K2033" s="14" t="s">
        <v>868</v>
      </c>
      <c r="L2033" s="14"/>
      <c r="M2033" s="14">
        <v>1</v>
      </c>
      <c r="N2033" s="15">
        <v>90000</v>
      </c>
      <c r="O2033" s="15">
        <f t="shared" si="80"/>
        <v>90000</v>
      </c>
      <c r="P2033" s="15"/>
      <c r="Q2033" s="14" t="s">
        <v>520</v>
      </c>
      <c r="R2033" s="21">
        <v>46026</v>
      </c>
      <c r="S2033" s="22" t="str">
        <f>TEXT(Table1[[#This Row],[End Date]],"MMMM")</f>
        <v>January</v>
      </c>
      <c r="T2033" s="23" t="str">
        <f>TEXT(Table1[[#This Row],[End Date]],"YYYY")</f>
        <v>2026</v>
      </c>
      <c r="U2033" s="24">
        <f t="shared" ca="1" si="81"/>
        <v>-893</v>
      </c>
      <c r="V2033" s="14" t="str" cm="1">
        <f t="array" aca="1" ref="V2033" ca="1">_xlfn.IFS(Table1[[#This Row],[Agreement Days]]&gt;=0,"Expired",Table1[[#This Row],[Agreement Days]]&gt;=-30,"Expires &lt; 30 Days",Table1[[#This Row],[Agreement Days]]&gt;=-60,"Expires &lt; 60 Days",Table1[[#This Row],[Agreement Days]]&lt;-60,"Valid Contract")</f>
        <v>Valid Contract</v>
      </c>
      <c r="W2033" s="14" t="s">
        <v>19</v>
      </c>
      <c r="X2033" s="14" t="s">
        <v>3443</v>
      </c>
      <c r="Y2033" s="43" t="s">
        <v>3444</v>
      </c>
      <c r="Z2033" s="17">
        <v>788317747</v>
      </c>
      <c r="AA2033" s="17"/>
      <c r="AB2033" s="125"/>
      <c r="AC2033" s="125"/>
    </row>
    <row r="2034" spans="1:29" s="10" customFormat="1" hidden="1" x14ac:dyDescent="0.3">
      <c r="A2034" s="18" t="s">
        <v>3441</v>
      </c>
      <c r="B2034" s="18" t="s">
        <v>138</v>
      </c>
      <c r="C2034" s="18" t="s">
        <v>3450</v>
      </c>
      <c r="D2034" s="14" t="s">
        <v>653</v>
      </c>
      <c r="E2034" s="18" t="s">
        <v>9</v>
      </c>
      <c r="F2034" s="14" t="s">
        <v>1203</v>
      </c>
      <c r="G2034" s="14" t="s">
        <v>546</v>
      </c>
      <c r="H2034" s="18" t="s">
        <v>5</v>
      </c>
      <c r="I2034" s="14" t="s">
        <v>117</v>
      </c>
      <c r="J2034" s="14">
        <v>1</v>
      </c>
      <c r="K2034" s="14" t="s">
        <v>868</v>
      </c>
      <c r="L2034" s="14"/>
      <c r="M2034" s="14">
        <v>1</v>
      </c>
      <c r="N2034" s="15">
        <v>90000</v>
      </c>
      <c r="O2034" s="15">
        <f t="shared" si="80"/>
        <v>90000</v>
      </c>
      <c r="P2034" s="15"/>
      <c r="Q2034" s="14" t="s">
        <v>520</v>
      </c>
      <c r="R2034" s="21">
        <v>46026</v>
      </c>
      <c r="S2034" s="22" t="str">
        <f>TEXT(Table1[[#This Row],[End Date]],"MMMM")</f>
        <v>January</v>
      </c>
      <c r="T2034" s="23" t="str">
        <f>TEXT(Table1[[#This Row],[End Date]],"YYYY")</f>
        <v>2026</v>
      </c>
      <c r="U2034" s="24">
        <f t="shared" ca="1" si="81"/>
        <v>-893</v>
      </c>
      <c r="V2034" s="14" t="str" cm="1">
        <f t="array" aca="1" ref="V2034" ca="1">_xlfn.IFS(Table1[[#This Row],[Agreement Days]]&gt;=0,"Expired",Table1[[#This Row],[Agreement Days]]&gt;=-30,"Expires &lt; 30 Days",Table1[[#This Row],[Agreement Days]]&gt;=-60,"Expires &lt; 60 Days",Table1[[#This Row],[Agreement Days]]&lt;-60,"Valid Contract")</f>
        <v>Valid Contract</v>
      </c>
      <c r="W2034" s="14" t="s">
        <v>19</v>
      </c>
      <c r="X2034" s="14" t="s">
        <v>3443</v>
      </c>
      <c r="Y2034" s="43" t="s">
        <v>3444</v>
      </c>
      <c r="Z2034" s="17">
        <v>788317747</v>
      </c>
      <c r="AA2034" s="17"/>
      <c r="AB2034" s="125"/>
      <c r="AC2034" s="125"/>
    </row>
    <row r="2035" spans="1:29" s="10" customFormat="1" hidden="1" x14ac:dyDescent="0.3">
      <c r="A2035" s="18" t="s">
        <v>3441</v>
      </c>
      <c r="B2035" s="18" t="s">
        <v>138</v>
      </c>
      <c r="C2035" s="18" t="s">
        <v>3451</v>
      </c>
      <c r="D2035" s="14" t="s">
        <v>653</v>
      </c>
      <c r="E2035" s="18" t="s">
        <v>9</v>
      </c>
      <c r="F2035" s="14" t="s">
        <v>1203</v>
      </c>
      <c r="G2035" s="14" t="s">
        <v>546</v>
      </c>
      <c r="H2035" s="18" t="s">
        <v>5</v>
      </c>
      <c r="I2035" s="14" t="s">
        <v>117</v>
      </c>
      <c r="J2035" s="14">
        <v>1</v>
      </c>
      <c r="K2035" s="14" t="s">
        <v>868</v>
      </c>
      <c r="L2035" s="14"/>
      <c r="M2035" s="14">
        <v>1</v>
      </c>
      <c r="N2035" s="15">
        <v>90000</v>
      </c>
      <c r="O2035" s="15">
        <f t="shared" si="80"/>
        <v>90000</v>
      </c>
      <c r="P2035" s="15"/>
      <c r="Q2035" s="14" t="s">
        <v>520</v>
      </c>
      <c r="R2035" s="21">
        <v>46026</v>
      </c>
      <c r="S2035" s="22" t="str">
        <f>TEXT(Table1[[#This Row],[End Date]],"MMMM")</f>
        <v>January</v>
      </c>
      <c r="T2035" s="23" t="str">
        <f>TEXT(Table1[[#This Row],[End Date]],"YYYY")</f>
        <v>2026</v>
      </c>
      <c r="U2035" s="24">
        <f t="shared" ca="1" si="81"/>
        <v>-893</v>
      </c>
      <c r="V2035" s="14" t="str" cm="1">
        <f t="array" aca="1" ref="V2035" ca="1">_xlfn.IFS(Table1[[#This Row],[Agreement Days]]&gt;=0,"Expired",Table1[[#This Row],[Agreement Days]]&gt;=-30,"Expires &lt; 30 Days",Table1[[#This Row],[Agreement Days]]&gt;=-60,"Expires &lt; 60 Days",Table1[[#This Row],[Agreement Days]]&lt;-60,"Valid Contract")</f>
        <v>Valid Contract</v>
      </c>
      <c r="W2035" s="14" t="s">
        <v>19</v>
      </c>
      <c r="X2035" s="14" t="s">
        <v>3443</v>
      </c>
      <c r="Y2035" s="43" t="s">
        <v>3444</v>
      </c>
      <c r="Z2035" s="17">
        <v>788317747</v>
      </c>
      <c r="AA2035" s="17"/>
      <c r="AB2035" s="125"/>
      <c r="AC2035" s="125"/>
    </row>
    <row r="2036" spans="1:29" s="10" customFormat="1" hidden="1" x14ac:dyDescent="0.3">
      <c r="A2036" s="18" t="s">
        <v>3441</v>
      </c>
      <c r="B2036" s="18" t="s">
        <v>138</v>
      </c>
      <c r="C2036" s="18" t="s">
        <v>3452</v>
      </c>
      <c r="D2036" s="14" t="s">
        <v>653</v>
      </c>
      <c r="E2036" s="18" t="s">
        <v>9</v>
      </c>
      <c r="F2036" s="14" t="s">
        <v>1203</v>
      </c>
      <c r="G2036" s="14" t="s">
        <v>546</v>
      </c>
      <c r="H2036" s="18" t="s">
        <v>5</v>
      </c>
      <c r="I2036" s="14" t="s">
        <v>117</v>
      </c>
      <c r="J2036" s="14">
        <v>1</v>
      </c>
      <c r="K2036" s="14" t="s">
        <v>868</v>
      </c>
      <c r="L2036" s="14"/>
      <c r="M2036" s="14">
        <v>1</v>
      </c>
      <c r="N2036" s="15">
        <v>90000</v>
      </c>
      <c r="O2036" s="15">
        <f t="shared" si="80"/>
        <v>90000</v>
      </c>
      <c r="P2036" s="15"/>
      <c r="Q2036" s="14" t="s">
        <v>520</v>
      </c>
      <c r="R2036" s="21">
        <v>46026</v>
      </c>
      <c r="S2036" s="22" t="str">
        <f>TEXT(Table1[[#This Row],[End Date]],"MMMM")</f>
        <v>January</v>
      </c>
      <c r="T2036" s="23" t="str">
        <f>TEXT(Table1[[#This Row],[End Date]],"YYYY")</f>
        <v>2026</v>
      </c>
      <c r="U2036" s="24">
        <f t="shared" ca="1" si="81"/>
        <v>-893</v>
      </c>
      <c r="V2036" s="14" t="str" cm="1">
        <f t="array" aca="1" ref="V2036" ca="1">_xlfn.IFS(Table1[[#This Row],[Agreement Days]]&gt;=0,"Expired",Table1[[#This Row],[Agreement Days]]&gt;=-30,"Expires &lt; 30 Days",Table1[[#This Row],[Agreement Days]]&gt;=-60,"Expires &lt; 60 Days",Table1[[#This Row],[Agreement Days]]&lt;-60,"Valid Contract")</f>
        <v>Valid Contract</v>
      </c>
      <c r="W2036" s="14" t="s">
        <v>19</v>
      </c>
      <c r="X2036" s="14" t="s">
        <v>3443</v>
      </c>
      <c r="Y2036" s="43" t="s">
        <v>3444</v>
      </c>
      <c r="Z2036" s="17">
        <v>788317747</v>
      </c>
      <c r="AA2036" s="17"/>
      <c r="AB2036" s="125"/>
      <c r="AC2036" s="125"/>
    </row>
    <row r="2037" spans="1:29" s="10" customFormat="1" hidden="1" x14ac:dyDescent="0.3">
      <c r="A2037" s="18" t="s">
        <v>3441</v>
      </c>
      <c r="B2037" s="18" t="s">
        <v>138</v>
      </c>
      <c r="C2037" s="18" t="s">
        <v>3453</v>
      </c>
      <c r="D2037" s="14" t="s">
        <v>653</v>
      </c>
      <c r="E2037" s="18" t="s">
        <v>9</v>
      </c>
      <c r="F2037" s="14" t="s">
        <v>1203</v>
      </c>
      <c r="G2037" s="14" t="s">
        <v>546</v>
      </c>
      <c r="H2037" s="18" t="s">
        <v>5</v>
      </c>
      <c r="I2037" s="14" t="s">
        <v>117</v>
      </c>
      <c r="J2037" s="14">
        <v>1</v>
      </c>
      <c r="K2037" s="14" t="s">
        <v>868</v>
      </c>
      <c r="L2037" s="14"/>
      <c r="M2037" s="14">
        <v>1</v>
      </c>
      <c r="N2037" s="15">
        <v>90000</v>
      </c>
      <c r="O2037" s="15">
        <f t="shared" si="80"/>
        <v>90000</v>
      </c>
      <c r="P2037" s="15"/>
      <c r="Q2037" s="14" t="s">
        <v>520</v>
      </c>
      <c r="R2037" s="21">
        <v>46026</v>
      </c>
      <c r="S2037" s="22" t="str">
        <f>TEXT(Table1[[#This Row],[End Date]],"MMMM")</f>
        <v>January</v>
      </c>
      <c r="T2037" s="23" t="str">
        <f>TEXT(Table1[[#This Row],[End Date]],"YYYY")</f>
        <v>2026</v>
      </c>
      <c r="U2037" s="24">
        <f t="shared" ca="1" si="81"/>
        <v>-893</v>
      </c>
      <c r="V2037" s="14" t="str" cm="1">
        <f t="array" aca="1" ref="V2037" ca="1">_xlfn.IFS(Table1[[#This Row],[Agreement Days]]&gt;=0,"Expired",Table1[[#This Row],[Agreement Days]]&gt;=-30,"Expires &lt; 30 Days",Table1[[#This Row],[Agreement Days]]&gt;=-60,"Expires &lt; 60 Days",Table1[[#This Row],[Agreement Days]]&lt;-60,"Valid Contract")</f>
        <v>Valid Contract</v>
      </c>
      <c r="W2037" s="14" t="s">
        <v>19</v>
      </c>
      <c r="X2037" s="14" t="s">
        <v>3443</v>
      </c>
      <c r="Y2037" s="43" t="s">
        <v>3444</v>
      </c>
      <c r="Z2037" s="17">
        <v>788317747</v>
      </c>
      <c r="AA2037" s="17"/>
      <c r="AB2037" s="125"/>
      <c r="AC2037" s="125"/>
    </row>
    <row r="2038" spans="1:29" s="10" customFormat="1" hidden="1" x14ac:dyDescent="0.3">
      <c r="A2038" s="18" t="s">
        <v>3441</v>
      </c>
      <c r="B2038" s="18" t="s">
        <v>138</v>
      </c>
      <c r="C2038" s="18" t="s">
        <v>3454</v>
      </c>
      <c r="D2038" s="14" t="s">
        <v>653</v>
      </c>
      <c r="E2038" s="18" t="s">
        <v>9</v>
      </c>
      <c r="F2038" s="14" t="s">
        <v>1203</v>
      </c>
      <c r="G2038" s="14" t="s">
        <v>546</v>
      </c>
      <c r="H2038" s="18" t="s">
        <v>5</v>
      </c>
      <c r="I2038" s="14" t="s">
        <v>117</v>
      </c>
      <c r="J2038" s="14">
        <v>1</v>
      </c>
      <c r="K2038" s="14" t="s">
        <v>868</v>
      </c>
      <c r="L2038" s="14"/>
      <c r="M2038" s="14">
        <v>1</v>
      </c>
      <c r="N2038" s="15">
        <v>90000</v>
      </c>
      <c r="O2038" s="15">
        <f t="shared" si="80"/>
        <v>90000</v>
      </c>
      <c r="P2038" s="15"/>
      <c r="Q2038" s="14" t="s">
        <v>520</v>
      </c>
      <c r="R2038" s="21">
        <v>46026</v>
      </c>
      <c r="S2038" s="22" t="str">
        <f>TEXT(Table1[[#This Row],[End Date]],"MMMM")</f>
        <v>January</v>
      </c>
      <c r="T2038" s="23" t="str">
        <f>TEXT(Table1[[#This Row],[End Date]],"YYYY")</f>
        <v>2026</v>
      </c>
      <c r="U2038" s="24">
        <f t="shared" ca="1" si="81"/>
        <v>-893</v>
      </c>
      <c r="V2038" s="14" t="str" cm="1">
        <f t="array" aca="1" ref="V2038" ca="1">_xlfn.IFS(Table1[[#This Row],[Agreement Days]]&gt;=0,"Expired",Table1[[#This Row],[Agreement Days]]&gt;=-30,"Expires &lt; 30 Days",Table1[[#This Row],[Agreement Days]]&gt;=-60,"Expires &lt; 60 Days",Table1[[#This Row],[Agreement Days]]&lt;-60,"Valid Contract")</f>
        <v>Valid Contract</v>
      </c>
      <c r="W2038" s="14" t="s">
        <v>19</v>
      </c>
      <c r="X2038" s="14" t="s">
        <v>3443</v>
      </c>
      <c r="Y2038" s="43" t="s">
        <v>3444</v>
      </c>
      <c r="Z2038" s="17">
        <v>788317747</v>
      </c>
      <c r="AA2038" s="17"/>
      <c r="AB2038" s="125"/>
      <c r="AC2038" s="125"/>
    </row>
    <row r="2039" spans="1:29" s="10" customFormat="1" hidden="1" x14ac:dyDescent="0.3">
      <c r="A2039" s="18" t="s">
        <v>3441</v>
      </c>
      <c r="B2039" s="18" t="s">
        <v>138</v>
      </c>
      <c r="C2039" s="18" t="s">
        <v>3455</v>
      </c>
      <c r="D2039" s="14" t="s">
        <v>653</v>
      </c>
      <c r="E2039" s="18" t="s">
        <v>9</v>
      </c>
      <c r="F2039" s="14" t="s">
        <v>1203</v>
      </c>
      <c r="G2039" s="14" t="s">
        <v>546</v>
      </c>
      <c r="H2039" s="18" t="s">
        <v>5</v>
      </c>
      <c r="I2039" s="14" t="s">
        <v>117</v>
      </c>
      <c r="J2039" s="14">
        <v>1</v>
      </c>
      <c r="K2039" s="14" t="s">
        <v>868</v>
      </c>
      <c r="L2039" s="14"/>
      <c r="M2039" s="14">
        <v>1</v>
      </c>
      <c r="N2039" s="15">
        <v>90000</v>
      </c>
      <c r="O2039" s="15">
        <f t="shared" si="80"/>
        <v>90000</v>
      </c>
      <c r="P2039" s="15"/>
      <c r="Q2039" s="14" t="s">
        <v>520</v>
      </c>
      <c r="R2039" s="21">
        <v>46026</v>
      </c>
      <c r="S2039" s="22" t="str">
        <f>TEXT(Table1[[#This Row],[End Date]],"MMMM")</f>
        <v>January</v>
      </c>
      <c r="T2039" s="23" t="str">
        <f>TEXT(Table1[[#This Row],[End Date]],"YYYY")</f>
        <v>2026</v>
      </c>
      <c r="U2039" s="24">
        <f t="shared" ca="1" si="81"/>
        <v>-893</v>
      </c>
      <c r="V2039" s="14" t="str" cm="1">
        <f t="array" aca="1" ref="V2039" ca="1">_xlfn.IFS(Table1[[#This Row],[Agreement Days]]&gt;=0,"Expired",Table1[[#This Row],[Agreement Days]]&gt;=-30,"Expires &lt; 30 Days",Table1[[#This Row],[Agreement Days]]&gt;=-60,"Expires &lt; 60 Days",Table1[[#This Row],[Agreement Days]]&lt;-60,"Valid Contract")</f>
        <v>Valid Contract</v>
      </c>
      <c r="W2039" s="14" t="s">
        <v>19</v>
      </c>
      <c r="X2039" s="14" t="s">
        <v>3443</v>
      </c>
      <c r="Y2039" s="43" t="s">
        <v>3444</v>
      </c>
      <c r="Z2039" s="17">
        <v>788317747</v>
      </c>
      <c r="AA2039" s="17"/>
      <c r="AB2039" s="125"/>
      <c r="AC2039" s="125"/>
    </row>
    <row r="2040" spans="1:29" s="10" customFormat="1" hidden="1" x14ac:dyDescent="0.3">
      <c r="A2040" s="18" t="s">
        <v>3441</v>
      </c>
      <c r="B2040" s="18" t="s">
        <v>138</v>
      </c>
      <c r="C2040" s="18" t="s">
        <v>3456</v>
      </c>
      <c r="D2040" s="14" t="s">
        <v>653</v>
      </c>
      <c r="E2040" s="18" t="s">
        <v>9</v>
      </c>
      <c r="F2040" s="14" t="s">
        <v>1203</v>
      </c>
      <c r="G2040" s="14" t="s">
        <v>546</v>
      </c>
      <c r="H2040" s="18" t="s">
        <v>5</v>
      </c>
      <c r="I2040" s="14" t="s">
        <v>117</v>
      </c>
      <c r="J2040" s="14">
        <v>1</v>
      </c>
      <c r="K2040" s="14" t="s">
        <v>868</v>
      </c>
      <c r="L2040" s="14"/>
      <c r="M2040" s="14">
        <v>1</v>
      </c>
      <c r="N2040" s="15">
        <v>90000</v>
      </c>
      <c r="O2040" s="15">
        <f t="shared" si="80"/>
        <v>90000</v>
      </c>
      <c r="P2040" s="15"/>
      <c r="Q2040" s="14" t="s">
        <v>520</v>
      </c>
      <c r="R2040" s="21">
        <v>46026</v>
      </c>
      <c r="S2040" s="22" t="str">
        <f>TEXT(Table1[[#This Row],[End Date]],"MMMM")</f>
        <v>January</v>
      </c>
      <c r="T2040" s="23" t="str">
        <f>TEXT(Table1[[#This Row],[End Date]],"YYYY")</f>
        <v>2026</v>
      </c>
      <c r="U2040" s="24">
        <f t="shared" ca="1" si="81"/>
        <v>-893</v>
      </c>
      <c r="V2040" s="14" t="str" cm="1">
        <f t="array" aca="1" ref="V2040" ca="1">_xlfn.IFS(Table1[[#This Row],[Agreement Days]]&gt;=0,"Expired",Table1[[#This Row],[Agreement Days]]&gt;=-30,"Expires &lt; 30 Days",Table1[[#This Row],[Agreement Days]]&gt;=-60,"Expires &lt; 60 Days",Table1[[#This Row],[Agreement Days]]&lt;-60,"Valid Contract")</f>
        <v>Valid Contract</v>
      </c>
      <c r="W2040" s="14" t="s">
        <v>19</v>
      </c>
      <c r="X2040" s="14" t="s">
        <v>3443</v>
      </c>
      <c r="Y2040" s="43" t="s">
        <v>3444</v>
      </c>
      <c r="Z2040" s="17">
        <v>788317747</v>
      </c>
      <c r="AA2040" s="17"/>
      <c r="AB2040" s="125"/>
      <c r="AC2040" s="125"/>
    </row>
    <row r="2041" spans="1:29" s="10" customFormat="1" hidden="1" x14ac:dyDescent="0.3">
      <c r="A2041" s="18" t="s">
        <v>3441</v>
      </c>
      <c r="B2041" s="18" t="s">
        <v>138</v>
      </c>
      <c r="C2041" s="18" t="s">
        <v>3457</v>
      </c>
      <c r="D2041" s="14" t="s">
        <v>653</v>
      </c>
      <c r="E2041" s="18" t="s">
        <v>9</v>
      </c>
      <c r="F2041" s="14" t="s">
        <v>1203</v>
      </c>
      <c r="G2041" s="14" t="s">
        <v>546</v>
      </c>
      <c r="H2041" s="18" t="s">
        <v>5</v>
      </c>
      <c r="I2041" s="14" t="s">
        <v>117</v>
      </c>
      <c r="J2041" s="14">
        <v>1</v>
      </c>
      <c r="K2041" s="14" t="s">
        <v>868</v>
      </c>
      <c r="L2041" s="14"/>
      <c r="M2041" s="14">
        <v>1</v>
      </c>
      <c r="N2041" s="15">
        <v>90000</v>
      </c>
      <c r="O2041" s="15">
        <f t="shared" si="80"/>
        <v>90000</v>
      </c>
      <c r="P2041" s="15"/>
      <c r="Q2041" s="14" t="s">
        <v>520</v>
      </c>
      <c r="R2041" s="21">
        <v>46026</v>
      </c>
      <c r="S2041" s="22" t="str">
        <f>TEXT(Table1[[#This Row],[End Date]],"MMMM")</f>
        <v>January</v>
      </c>
      <c r="T2041" s="23" t="str">
        <f>TEXT(Table1[[#This Row],[End Date]],"YYYY")</f>
        <v>2026</v>
      </c>
      <c r="U2041" s="24">
        <f t="shared" ca="1" si="81"/>
        <v>-893</v>
      </c>
      <c r="V2041" s="14" t="str" cm="1">
        <f t="array" aca="1" ref="V2041" ca="1">_xlfn.IFS(Table1[[#This Row],[Agreement Days]]&gt;=0,"Expired",Table1[[#This Row],[Agreement Days]]&gt;=-30,"Expires &lt; 30 Days",Table1[[#This Row],[Agreement Days]]&gt;=-60,"Expires &lt; 60 Days",Table1[[#This Row],[Agreement Days]]&lt;-60,"Valid Contract")</f>
        <v>Valid Contract</v>
      </c>
      <c r="W2041" s="14" t="s">
        <v>19</v>
      </c>
      <c r="X2041" s="14" t="s">
        <v>3443</v>
      </c>
      <c r="Y2041" s="43" t="s">
        <v>3444</v>
      </c>
      <c r="Z2041" s="17">
        <v>788317747</v>
      </c>
      <c r="AA2041" s="17"/>
      <c r="AB2041" s="125"/>
      <c r="AC2041" s="125"/>
    </row>
    <row r="2042" spans="1:29" s="10" customFormat="1" hidden="1" x14ac:dyDescent="0.3">
      <c r="A2042" s="18" t="s">
        <v>3441</v>
      </c>
      <c r="B2042" s="18" t="s">
        <v>138</v>
      </c>
      <c r="C2042" s="18" t="s">
        <v>3458</v>
      </c>
      <c r="D2042" s="14" t="s">
        <v>653</v>
      </c>
      <c r="E2042" s="18" t="s">
        <v>9</v>
      </c>
      <c r="F2042" s="14" t="s">
        <v>1203</v>
      </c>
      <c r="G2042" s="14" t="s">
        <v>546</v>
      </c>
      <c r="H2042" s="18" t="s">
        <v>5</v>
      </c>
      <c r="I2042" s="14" t="s">
        <v>117</v>
      </c>
      <c r="J2042" s="14">
        <v>1</v>
      </c>
      <c r="K2042" s="14" t="s">
        <v>868</v>
      </c>
      <c r="L2042" s="14"/>
      <c r="M2042" s="14">
        <v>1</v>
      </c>
      <c r="N2042" s="15">
        <v>90000</v>
      </c>
      <c r="O2042" s="15">
        <f t="shared" si="80"/>
        <v>90000</v>
      </c>
      <c r="P2042" s="15"/>
      <c r="Q2042" s="14" t="s">
        <v>520</v>
      </c>
      <c r="R2042" s="21">
        <v>46026</v>
      </c>
      <c r="S2042" s="22" t="str">
        <f>TEXT(Table1[[#This Row],[End Date]],"MMMM")</f>
        <v>January</v>
      </c>
      <c r="T2042" s="23" t="str">
        <f>TEXT(Table1[[#This Row],[End Date]],"YYYY")</f>
        <v>2026</v>
      </c>
      <c r="U2042" s="24">
        <f t="shared" ca="1" si="81"/>
        <v>-893</v>
      </c>
      <c r="V2042" s="14" t="str" cm="1">
        <f t="array" aca="1" ref="V2042" ca="1">_xlfn.IFS(Table1[[#This Row],[Agreement Days]]&gt;=0,"Expired",Table1[[#This Row],[Agreement Days]]&gt;=-30,"Expires &lt; 30 Days",Table1[[#This Row],[Agreement Days]]&gt;=-60,"Expires &lt; 60 Days",Table1[[#This Row],[Agreement Days]]&lt;-60,"Valid Contract")</f>
        <v>Valid Contract</v>
      </c>
      <c r="W2042" s="14" t="s">
        <v>19</v>
      </c>
      <c r="X2042" s="14" t="s">
        <v>3443</v>
      </c>
      <c r="Y2042" s="43" t="s">
        <v>3444</v>
      </c>
      <c r="Z2042" s="17">
        <v>788317747</v>
      </c>
      <c r="AA2042" s="17"/>
      <c r="AB2042" s="125"/>
      <c r="AC2042" s="125"/>
    </row>
    <row r="2043" spans="1:29" s="10" customFormat="1" hidden="1" x14ac:dyDescent="0.3">
      <c r="A2043" s="18" t="s">
        <v>3441</v>
      </c>
      <c r="B2043" s="18" t="s">
        <v>138</v>
      </c>
      <c r="C2043" s="18" t="s">
        <v>3459</v>
      </c>
      <c r="D2043" s="14" t="s">
        <v>653</v>
      </c>
      <c r="E2043" s="18" t="s">
        <v>9</v>
      </c>
      <c r="F2043" s="14" t="s">
        <v>1203</v>
      </c>
      <c r="G2043" s="14" t="s">
        <v>546</v>
      </c>
      <c r="H2043" s="18" t="s">
        <v>5</v>
      </c>
      <c r="I2043" s="14" t="s">
        <v>117</v>
      </c>
      <c r="J2043" s="14">
        <v>1</v>
      </c>
      <c r="K2043" s="14" t="s">
        <v>868</v>
      </c>
      <c r="L2043" s="14"/>
      <c r="M2043" s="14">
        <v>1</v>
      </c>
      <c r="N2043" s="15">
        <v>90000</v>
      </c>
      <c r="O2043" s="15">
        <f t="shared" si="80"/>
        <v>90000</v>
      </c>
      <c r="P2043" s="15"/>
      <c r="Q2043" s="14" t="s">
        <v>520</v>
      </c>
      <c r="R2043" s="21">
        <v>46026</v>
      </c>
      <c r="S2043" s="22" t="str">
        <f>TEXT(Table1[[#This Row],[End Date]],"MMMM")</f>
        <v>January</v>
      </c>
      <c r="T2043" s="23" t="str">
        <f>TEXT(Table1[[#This Row],[End Date]],"YYYY")</f>
        <v>2026</v>
      </c>
      <c r="U2043" s="24">
        <f t="shared" ca="1" si="81"/>
        <v>-893</v>
      </c>
      <c r="V2043" s="14" t="str" cm="1">
        <f t="array" aca="1" ref="V2043" ca="1">_xlfn.IFS(Table1[[#This Row],[Agreement Days]]&gt;=0,"Expired",Table1[[#This Row],[Agreement Days]]&gt;=-30,"Expires &lt; 30 Days",Table1[[#This Row],[Agreement Days]]&gt;=-60,"Expires &lt; 60 Days",Table1[[#This Row],[Agreement Days]]&lt;-60,"Valid Contract")</f>
        <v>Valid Contract</v>
      </c>
      <c r="W2043" s="14" t="s">
        <v>19</v>
      </c>
      <c r="X2043" s="14" t="s">
        <v>3443</v>
      </c>
      <c r="Y2043" s="43" t="s">
        <v>3444</v>
      </c>
      <c r="Z2043" s="17">
        <v>788317747</v>
      </c>
      <c r="AA2043" s="17"/>
      <c r="AB2043" s="125"/>
      <c r="AC2043" s="125"/>
    </row>
    <row r="2044" spans="1:29" s="10" customFormat="1" hidden="1" x14ac:dyDescent="0.3">
      <c r="A2044" s="18" t="s">
        <v>3441</v>
      </c>
      <c r="B2044" s="18" t="s">
        <v>138</v>
      </c>
      <c r="C2044" s="18" t="s">
        <v>3460</v>
      </c>
      <c r="D2044" s="14" t="s">
        <v>653</v>
      </c>
      <c r="E2044" s="18" t="s">
        <v>9</v>
      </c>
      <c r="F2044" s="14" t="s">
        <v>1203</v>
      </c>
      <c r="G2044" s="14" t="s">
        <v>546</v>
      </c>
      <c r="H2044" s="18" t="s">
        <v>5</v>
      </c>
      <c r="I2044" s="14" t="s">
        <v>117</v>
      </c>
      <c r="J2044" s="14">
        <v>1</v>
      </c>
      <c r="K2044" s="14" t="s">
        <v>868</v>
      </c>
      <c r="L2044" s="14"/>
      <c r="M2044" s="14">
        <v>1</v>
      </c>
      <c r="N2044" s="15">
        <v>90000</v>
      </c>
      <c r="O2044" s="15">
        <f t="shared" si="80"/>
        <v>90000</v>
      </c>
      <c r="P2044" s="15"/>
      <c r="Q2044" s="14" t="s">
        <v>520</v>
      </c>
      <c r="R2044" s="21">
        <v>46026</v>
      </c>
      <c r="S2044" s="22" t="str">
        <f>TEXT(Table1[[#This Row],[End Date]],"MMMM")</f>
        <v>January</v>
      </c>
      <c r="T2044" s="23" t="str">
        <f>TEXT(Table1[[#This Row],[End Date]],"YYYY")</f>
        <v>2026</v>
      </c>
      <c r="U2044" s="24">
        <f t="shared" ca="1" si="81"/>
        <v>-893</v>
      </c>
      <c r="V2044" s="14" t="str" cm="1">
        <f t="array" aca="1" ref="V2044" ca="1">_xlfn.IFS(Table1[[#This Row],[Agreement Days]]&gt;=0,"Expired",Table1[[#This Row],[Agreement Days]]&gt;=-30,"Expires &lt; 30 Days",Table1[[#This Row],[Agreement Days]]&gt;=-60,"Expires &lt; 60 Days",Table1[[#This Row],[Agreement Days]]&lt;-60,"Valid Contract")</f>
        <v>Valid Contract</v>
      </c>
      <c r="W2044" s="14" t="s">
        <v>19</v>
      </c>
      <c r="X2044" s="14" t="s">
        <v>3443</v>
      </c>
      <c r="Y2044" s="43" t="s">
        <v>3444</v>
      </c>
      <c r="Z2044" s="17">
        <v>788317747</v>
      </c>
      <c r="AA2044" s="17"/>
      <c r="AB2044" s="125"/>
      <c r="AC2044" s="125"/>
    </row>
    <row r="2045" spans="1:29" s="10" customFormat="1" hidden="1" x14ac:dyDescent="0.3">
      <c r="A2045" s="18" t="s">
        <v>3441</v>
      </c>
      <c r="B2045" s="18" t="s">
        <v>138</v>
      </c>
      <c r="C2045" s="18" t="s">
        <v>3461</v>
      </c>
      <c r="D2045" s="14" t="s">
        <v>653</v>
      </c>
      <c r="E2045" s="18" t="s">
        <v>9</v>
      </c>
      <c r="F2045" s="14" t="s">
        <v>1203</v>
      </c>
      <c r="G2045" s="14" t="s">
        <v>546</v>
      </c>
      <c r="H2045" s="18" t="s">
        <v>5</v>
      </c>
      <c r="I2045" s="14" t="s">
        <v>117</v>
      </c>
      <c r="J2045" s="14">
        <v>1</v>
      </c>
      <c r="K2045" s="14" t="s">
        <v>868</v>
      </c>
      <c r="L2045" s="14"/>
      <c r="M2045" s="14">
        <v>1</v>
      </c>
      <c r="N2045" s="15">
        <v>90000</v>
      </c>
      <c r="O2045" s="15">
        <f t="shared" si="80"/>
        <v>90000</v>
      </c>
      <c r="P2045" s="15"/>
      <c r="Q2045" s="14" t="s">
        <v>520</v>
      </c>
      <c r="R2045" s="21">
        <v>46026</v>
      </c>
      <c r="S2045" s="22" t="str">
        <f>TEXT(Table1[[#This Row],[End Date]],"MMMM")</f>
        <v>January</v>
      </c>
      <c r="T2045" s="23" t="str">
        <f>TEXT(Table1[[#This Row],[End Date]],"YYYY")</f>
        <v>2026</v>
      </c>
      <c r="U2045" s="24">
        <f t="shared" ca="1" si="81"/>
        <v>-893</v>
      </c>
      <c r="V2045" s="14" t="str" cm="1">
        <f t="array" aca="1" ref="V2045" ca="1">_xlfn.IFS(Table1[[#This Row],[Agreement Days]]&gt;=0,"Expired",Table1[[#This Row],[Agreement Days]]&gt;=-30,"Expires &lt; 30 Days",Table1[[#This Row],[Agreement Days]]&gt;=-60,"Expires &lt; 60 Days",Table1[[#This Row],[Agreement Days]]&lt;-60,"Valid Contract")</f>
        <v>Valid Contract</v>
      </c>
      <c r="W2045" s="14" t="s">
        <v>19</v>
      </c>
      <c r="X2045" s="14" t="s">
        <v>3443</v>
      </c>
      <c r="Y2045" s="43" t="s">
        <v>3444</v>
      </c>
      <c r="Z2045" s="17">
        <v>788317747</v>
      </c>
      <c r="AA2045" s="17"/>
      <c r="AB2045" s="125"/>
      <c r="AC2045" s="125"/>
    </row>
    <row r="2046" spans="1:29" s="10" customFormat="1" hidden="1" x14ac:dyDescent="0.3">
      <c r="A2046" s="18" t="s">
        <v>3441</v>
      </c>
      <c r="B2046" s="18" t="s">
        <v>138</v>
      </c>
      <c r="C2046" s="18" t="s">
        <v>3462</v>
      </c>
      <c r="D2046" s="14" t="s">
        <v>653</v>
      </c>
      <c r="E2046" s="18" t="s">
        <v>9</v>
      </c>
      <c r="F2046" s="14" t="s">
        <v>1203</v>
      </c>
      <c r="G2046" s="14" t="s">
        <v>546</v>
      </c>
      <c r="H2046" s="18" t="s">
        <v>5</v>
      </c>
      <c r="I2046" s="14" t="s">
        <v>117</v>
      </c>
      <c r="J2046" s="14">
        <v>3</v>
      </c>
      <c r="K2046" s="14" t="s">
        <v>879</v>
      </c>
      <c r="L2046" s="14"/>
      <c r="M2046" s="14">
        <v>1</v>
      </c>
      <c r="N2046" s="15">
        <v>180000</v>
      </c>
      <c r="O2046" s="15">
        <f t="shared" si="80"/>
        <v>180000</v>
      </c>
      <c r="P2046" s="15"/>
      <c r="Q2046" s="14" t="s">
        <v>520</v>
      </c>
      <c r="R2046" s="21">
        <v>46026</v>
      </c>
      <c r="S2046" s="22" t="str">
        <f>TEXT(Table1[[#This Row],[End Date]],"MMMM")</f>
        <v>January</v>
      </c>
      <c r="T2046" s="23" t="str">
        <f>TEXT(Table1[[#This Row],[End Date]],"YYYY")</f>
        <v>2026</v>
      </c>
      <c r="U2046" s="24">
        <f t="shared" ca="1" si="81"/>
        <v>-893</v>
      </c>
      <c r="V2046" s="14" t="str" cm="1">
        <f t="array" aca="1" ref="V2046" ca="1">_xlfn.IFS(Table1[[#This Row],[Agreement Days]]&gt;=0,"Expired",Table1[[#This Row],[Agreement Days]]&gt;=-30,"Expires &lt; 30 Days",Table1[[#This Row],[Agreement Days]]&gt;=-60,"Expires &lt; 60 Days",Table1[[#This Row],[Agreement Days]]&lt;-60,"Valid Contract")</f>
        <v>Valid Contract</v>
      </c>
      <c r="W2046" s="14" t="s">
        <v>19</v>
      </c>
      <c r="X2046" s="14" t="s">
        <v>3443</v>
      </c>
      <c r="Y2046" s="43" t="s">
        <v>3444</v>
      </c>
      <c r="Z2046" s="17">
        <v>788317747</v>
      </c>
      <c r="AA2046" s="17"/>
      <c r="AB2046" s="125"/>
      <c r="AC2046" s="125"/>
    </row>
    <row r="2047" spans="1:29" s="10" customFormat="1" hidden="1" x14ac:dyDescent="0.3">
      <c r="A2047" s="18" t="s">
        <v>3441</v>
      </c>
      <c r="B2047" s="18" t="s">
        <v>138</v>
      </c>
      <c r="C2047" s="18" t="s">
        <v>3463</v>
      </c>
      <c r="D2047" s="14" t="s">
        <v>653</v>
      </c>
      <c r="E2047" s="18" t="s">
        <v>9</v>
      </c>
      <c r="F2047" s="14" t="s">
        <v>1203</v>
      </c>
      <c r="G2047" s="14" t="s">
        <v>546</v>
      </c>
      <c r="H2047" s="18" t="s">
        <v>5</v>
      </c>
      <c r="I2047" s="14" t="s">
        <v>117</v>
      </c>
      <c r="J2047" s="14">
        <v>3</v>
      </c>
      <c r="K2047" s="14" t="s">
        <v>879</v>
      </c>
      <c r="L2047" s="14"/>
      <c r="M2047" s="14">
        <v>1</v>
      </c>
      <c r="N2047" s="15">
        <v>180000</v>
      </c>
      <c r="O2047" s="15">
        <f t="shared" si="80"/>
        <v>180000</v>
      </c>
      <c r="P2047" s="15"/>
      <c r="Q2047" s="14" t="s">
        <v>520</v>
      </c>
      <c r="R2047" s="21">
        <v>46026</v>
      </c>
      <c r="S2047" s="22" t="str">
        <f>TEXT(Table1[[#This Row],[End Date]],"MMMM")</f>
        <v>January</v>
      </c>
      <c r="T2047" s="23" t="str">
        <f>TEXT(Table1[[#This Row],[End Date]],"YYYY")</f>
        <v>2026</v>
      </c>
      <c r="U2047" s="24">
        <f t="shared" ca="1" si="81"/>
        <v>-893</v>
      </c>
      <c r="V2047" s="14" t="str" cm="1">
        <f t="array" aca="1" ref="V2047" ca="1">_xlfn.IFS(Table1[[#This Row],[Agreement Days]]&gt;=0,"Expired",Table1[[#This Row],[Agreement Days]]&gt;=-30,"Expires &lt; 30 Days",Table1[[#This Row],[Agreement Days]]&gt;=-60,"Expires &lt; 60 Days",Table1[[#This Row],[Agreement Days]]&lt;-60,"Valid Contract")</f>
        <v>Valid Contract</v>
      </c>
      <c r="W2047" s="14" t="s">
        <v>19</v>
      </c>
      <c r="X2047" s="14" t="s">
        <v>3443</v>
      </c>
      <c r="Y2047" s="43" t="s">
        <v>3444</v>
      </c>
      <c r="Z2047" s="17">
        <v>788317747</v>
      </c>
      <c r="AA2047" s="17"/>
      <c r="AB2047" s="125"/>
      <c r="AC2047" s="125"/>
    </row>
    <row r="2048" spans="1:29" s="10" customFormat="1" hidden="1" x14ac:dyDescent="0.3">
      <c r="A2048" s="18" t="s">
        <v>3441</v>
      </c>
      <c r="B2048" s="18" t="s">
        <v>138</v>
      </c>
      <c r="C2048" s="18" t="s">
        <v>3464</v>
      </c>
      <c r="D2048" s="14" t="s">
        <v>653</v>
      </c>
      <c r="E2048" s="18" t="s">
        <v>9</v>
      </c>
      <c r="F2048" s="14" t="s">
        <v>1203</v>
      </c>
      <c r="G2048" s="14" t="s">
        <v>546</v>
      </c>
      <c r="H2048" s="18" t="s">
        <v>5</v>
      </c>
      <c r="I2048" s="14" t="s">
        <v>117</v>
      </c>
      <c r="J2048" s="14">
        <v>3</v>
      </c>
      <c r="K2048" s="14" t="s">
        <v>879</v>
      </c>
      <c r="L2048" s="14"/>
      <c r="M2048" s="14">
        <v>1</v>
      </c>
      <c r="N2048" s="15">
        <v>180000</v>
      </c>
      <c r="O2048" s="15">
        <f t="shared" si="80"/>
        <v>180000</v>
      </c>
      <c r="P2048" s="15"/>
      <c r="Q2048" s="14" t="s">
        <v>520</v>
      </c>
      <c r="R2048" s="21">
        <v>46026</v>
      </c>
      <c r="S2048" s="22" t="str">
        <f>TEXT(Table1[[#This Row],[End Date]],"MMMM")</f>
        <v>January</v>
      </c>
      <c r="T2048" s="23" t="str">
        <f>TEXT(Table1[[#This Row],[End Date]],"YYYY")</f>
        <v>2026</v>
      </c>
      <c r="U2048" s="24">
        <f t="shared" ca="1" si="81"/>
        <v>-893</v>
      </c>
      <c r="V2048" s="14" t="str" cm="1">
        <f t="array" aca="1" ref="V2048" ca="1">_xlfn.IFS(Table1[[#This Row],[Agreement Days]]&gt;=0,"Expired",Table1[[#This Row],[Agreement Days]]&gt;=-30,"Expires &lt; 30 Days",Table1[[#This Row],[Agreement Days]]&gt;=-60,"Expires &lt; 60 Days",Table1[[#This Row],[Agreement Days]]&lt;-60,"Valid Contract")</f>
        <v>Valid Contract</v>
      </c>
      <c r="W2048" s="14" t="s">
        <v>19</v>
      </c>
      <c r="X2048" s="14" t="s">
        <v>3443</v>
      </c>
      <c r="Y2048" s="43" t="s">
        <v>3444</v>
      </c>
      <c r="Z2048" s="17">
        <v>788317747</v>
      </c>
      <c r="AA2048" s="17"/>
      <c r="AB2048" s="125"/>
      <c r="AC2048" s="125"/>
    </row>
    <row r="2049" spans="1:29" s="10" customFormat="1" hidden="1" x14ac:dyDescent="0.3">
      <c r="A2049" s="18" t="s">
        <v>3441</v>
      </c>
      <c r="B2049" s="18" t="s">
        <v>138</v>
      </c>
      <c r="C2049" s="18" t="s">
        <v>3465</v>
      </c>
      <c r="D2049" s="14" t="s">
        <v>653</v>
      </c>
      <c r="E2049" s="18" t="s">
        <v>9</v>
      </c>
      <c r="F2049" s="14" t="s">
        <v>1203</v>
      </c>
      <c r="G2049" s="14" t="s">
        <v>546</v>
      </c>
      <c r="H2049" s="18" t="s">
        <v>5</v>
      </c>
      <c r="I2049" s="14" t="s">
        <v>117</v>
      </c>
      <c r="J2049" s="14">
        <v>3</v>
      </c>
      <c r="K2049" s="14" t="s">
        <v>879</v>
      </c>
      <c r="L2049" s="14"/>
      <c r="M2049" s="14">
        <v>1</v>
      </c>
      <c r="N2049" s="15">
        <v>180000</v>
      </c>
      <c r="O2049" s="15">
        <f t="shared" si="80"/>
        <v>180000</v>
      </c>
      <c r="P2049" s="15"/>
      <c r="Q2049" s="14" t="s">
        <v>520</v>
      </c>
      <c r="R2049" s="21">
        <v>46026</v>
      </c>
      <c r="S2049" s="22" t="str">
        <f>TEXT(Table1[[#This Row],[End Date]],"MMMM")</f>
        <v>January</v>
      </c>
      <c r="T2049" s="23" t="str">
        <f>TEXT(Table1[[#This Row],[End Date]],"YYYY")</f>
        <v>2026</v>
      </c>
      <c r="U2049" s="24">
        <f t="shared" ca="1" si="81"/>
        <v>-893</v>
      </c>
      <c r="V2049" s="14" t="str" cm="1">
        <f t="array" aca="1" ref="V2049" ca="1">_xlfn.IFS(Table1[[#This Row],[Agreement Days]]&gt;=0,"Expired",Table1[[#This Row],[Agreement Days]]&gt;=-30,"Expires &lt; 30 Days",Table1[[#This Row],[Agreement Days]]&gt;=-60,"Expires &lt; 60 Days",Table1[[#This Row],[Agreement Days]]&lt;-60,"Valid Contract")</f>
        <v>Valid Contract</v>
      </c>
      <c r="W2049" s="14" t="s">
        <v>19</v>
      </c>
      <c r="X2049" s="14" t="s">
        <v>3443</v>
      </c>
      <c r="Y2049" s="43" t="s">
        <v>3444</v>
      </c>
      <c r="Z2049" s="17">
        <v>788317747</v>
      </c>
      <c r="AA2049" s="17"/>
      <c r="AB2049" s="125"/>
      <c r="AC2049" s="125"/>
    </row>
    <row r="2050" spans="1:29" s="10" customFormat="1" hidden="1" x14ac:dyDescent="0.3">
      <c r="A2050" s="18" t="s">
        <v>3441</v>
      </c>
      <c r="B2050" s="18" t="s">
        <v>138</v>
      </c>
      <c r="C2050" s="18" t="s">
        <v>3466</v>
      </c>
      <c r="D2050" s="14" t="s">
        <v>653</v>
      </c>
      <c r="E2050" s="18" t="s">
        <v>9</v>
      </c>
      <c r="F2050" s="14" t="s">
        <v>1203</v>
      </c>
      <c r="G2050" s="14" t="s">
        <v>546</v>
      </c>
      <c r="H2050" s="18" t="s">
        <v>5</v>
      </c>
      <c r="I2050" s="14" t="s">
        <v>117</v>
      </c>
      <c r="J2050" s="14">
        <v>3</v>
      </c>
      <c r="K2050" s="14" t="s">
        <v>879</v>
      </c>
      <c r="L2050" s="14"/>
      <c r="M2050" s="14">
        <v>1</v>
      </c>
      <c r="N2050" s="15">
        <v>180000</v>
      </c>
      <c r="O2050" s="15">
        <f t="shared" si="80"/>
        <v>180000</v>
      </c>
      <c r="P2050" s="15"/>
      <c r="Q2050" s="14" t="s">
        <v>520</v>
      </c>
      <c r="R2050" s="21">
        <v>46026</v>
      </c>
      <c r="S2050" s="22" t="str">
        <f>TEXT(Table1[[#This Row],[End Date]],"MMMM")</f>
        <v>January</v>
      </c>
      <c r="T2050" s="23" t="str">
        <f>TEXT(Table1[[#This Row],[End Date]],"YYYY")</f>
        <v>2026</v>
      </c>
      <c r="U2050" s="24">
        <f t="shared" ca="1" si="81"/>
        <v>-893</v>
      </c>
      <c r="V2050" s="14" t="str" cm="1">
        <f t="array" aca="1" ref="V2050" ca="1">_xlfn.IFS(Table1[[#This Row],[Agreement Days]]&gt;=0,"Expired",Table1[[#This Row],[Agreement Days]]&gt;=-30,"Expires &lt; 30 Days",Table1[[#This Row],[Agreement Days]]&gt;=-60,"Expires &lt; 60 Days",Table1[[#This Row],[Agreement Days]]&lt;-60,"Valid Contract")</f>
        <v>Valid Contract</v>
      </c>
      <c r="W2050" s="14" t="s">
        <v>19</v>
      </c>
      <c r="X2050" s="14" t="s">
        <v>3443</v>
      </c>
      <c r="Y2050" s="43" t="s">
        <v>3444</v>
      </c>
      <c r="Z2050" s="17">
        <v>788317747</v>
      </c>
      <c r="AA2050" s="17"/>
      <c r="AB2050" s="125"/>
      <c r="AC2050" s="125"/>
    </row>
    <row r="2051" spans="1:29" s="10" customFormat="1" hidden="1" x14ac:dyDescent="0.3">
      <c r="A2051" s="18" t="s">
        <v>3441</v>
      </c>
      <c r="B2051" s="18" t="s">
        <v>138</v>
      </c>
      <c r="C2051" s="18" t="s">
        <v>3467</v>
      </c>
      <c r="D2051" s="14" t="s">
        <v>653</v>
      </c>
      <c r="E2051" s="18" t="s">
        <v>9</v>
      </c>
      <c r="F2051" s="14" t="s">
        <v>1203</v>
      </c>
      <c r="G2051" s="14" t="s">
        <v>546</v>
      </c>
      <c r="H2051" s="18" t="s">
        <v>5</v>
      </c>
      <c r="I2051" s="14" t="s">
        <v>117</v>
      </c>
      <c r="J2051" s="14">
        <v>5</v>
      </c>
      <c r="K2051" s="14" t="s">
        <v>882</v>
      </c>
      <c r="L2051" s="14"/>
      <c r="M2051" s="14">
        <v>1</v>
      </c>
      <c r="N2051" s="15">
        <v>270000</v>
      </c>
      <c r="O2051" s="15">
        <f t="shared" si="80"/>
        <v>270000</v>
      </c>
      <c r="P2051" s="15"/>
      <c r="Q2051" s="14" t="s">
        <v>520</v>
      </c>
      <c r="R2051" s="21">
        <v>46026</v>
      </c>
      <c r="S2051" s="22" t="str">
        <f>TEXT(Table1[[#This Row],[End Date]],"MMMM")</f>
        <v>January</v>
      </c>
      <c r="T2051" s="23" t="str">
        <f>TEXT(Table1[[#This Row],[End Date]],"YYYY")</f>
        <v>2026</v>
      </c>
      <c r="U2051" s="24">
        <f t="shared" ca="1" si="81"/>
        <v>-893</v>
      </c>
      <c r="V2051" s="14" t="str" cm="1">
        <f t="array" aca="1" ref="V2051" ca="1">_xlfn.IFS(Table1[[#This Row],[Agreement Days]]&gt;=0,"Expired",Table1[[#This Row],[Agreement Days]]&gt;=-30,"Expires &lt; 30 Days",Table1[[#This Row],[Agreement Days]]&gt;=-60,"Expires &lt; 60 Days",Table1[[#This Row],[Agreement Days]]&lt;-60,"Valid Contract")</f>
        <v>Valid Contract</v>
      </c>
      <c r="W2051" s="14" t="s">
        <v>19</v>
      </c>
      <c r="X2051" s="14" t="s">
        <v>3443</v>
      </c>
      <c r="Y2051" s="43" t="s">
        <v>3444</v>
      </c>
      <c r="Z2051" s="17">
        <v>788317747</v>
      </c>
      <c r="AA2051" s="17"/>
      <c r="AB2051" s="125"/>
      <c r="AC2051" s="125"/>
    </row>
    <row r="2052" spans="1:29" s="10" customFormat="1" hidden="1" x14ac:dyDescent="0.3">
      <c r="A2052" s="18" t="s">
        <v>3441</v>
      </c>
      <c r="B2052" s="18" t="s">
        <v>138</v>
      </c>
      <c r="C2052" s="18" t="s">
        <v>3468</v>
      </c>
      <c r="D2052" s="14" t="s">
        <v>653</v>
      </c>
      <c r="E2052" s="18" t="s">
        <v>9</v>
      </c>
      <c r="F2052" s="14" t="s">
        <v>1203</v>
      </c>
      <c r="G2052" s="14" t="s">
        <v>546</v>
      </c>
      <c r="H2052" s="18" t="s">
        <v>5</v>
      </c>
      <c r="I2052" s="14" t="s">
        <v>116</v>
      </c>
      <c r="J2052" s="14"/>
      <c r="K2052" s="14" t="s">
        <v>3468</v>
      </c>
      <c r="L2052" s="14">
        <v>66.8</v>
      </c>
      <c r="M2052" s="14">
        <v>1</v>
      </c>
      <c r="N2052" s="15">
        <v>6678345</v>
      </c>
      <c r="O2052" s="15">
        <f t="shared" si="80"/>
        <v>6678345</v>
      </c>
      <c r="P2052" s="15"/>
      <c r="Q2052" s="14" t="s">
        <v>520</v>
      </c>
      <c r="R2052" s="21">
        <v>46026</v>
      </c>
      <c r="S2052" s="22" t="str">
        <f>TEXT(Table1[[#This Row],[End Date]],"MMMM")</f>
        <v>January</v>
      </c>
      <c r="T2052" s="23" t="str">
        <f>TEXT(Table1[[#This Row],[End Date]],"YYYY")</f>
        <v>2026</v>
      </c>
      <c r="U2052" s="24">
        <f t="shared" ca="1" si="81"/>
        <v>-893</v>
      </c>
      <c r="V2052" s="14" t="str" cm="1">
        <f t="array" aca="1" ref="V2052" ca="1">_xlfn.IFS(Table1[[#This Row],[Agreement Days]]&gt;=0,"Expired",Table1[[#This Row],[Agreement Days]]&gt;=-30,"Expires &lt; 30 Days",Table1[[#This Row],[Agreement Days]]&gt;=-60,"Expires &lt; 60 Days",Table1[[#This Row],[Agreement Days]]&lt;-60,"Valid Contract")</f>
        <v>Valid Contract</v>
      </c>
      <c r="W2052" s="14" t="s">
        <v>19</v>
      </c>
      <c r="X2052" s="14" t="s">
        <v>3443</v>
      </c>
      <c r="Y2052" s="43" t="s">
        <v>3444</v>
      </c>
      <c r="Z2052" s="17">
        <v>788317747</v>
      </c>
      <c r="AA2052" s="17"/>
      <c r="AB2052" s="125"/>
      <c r="AC2052" s="125"/>
    </row>
    <row r="2053" spans="1:29" s="10" customFormat="1" hidden="1" x14ac:dyDescent="0.3">
      <c r="A2053" s="18" t="s">
        <v>3441</v>
      </c>
      <c r="B2053" s="18" t="s">
        <v>138</v>
      </c>
      <c r="C2053" s="18" t="s">
        <v>3469</v>
      </c>
      <c r="D2053" s="14" t="s">
        <v>653</v>
      </c>
      <c r="E2053" s="18" t="s">
        <v>9</v>
      </c>
      <c r="F2053" s="14" t="s">
        <v>1203</v>
      </c>
      <c r="G2053" s="14" t="s">
        <v>546</v>
      </c>
      <c r="H2053" s="18" t="s">
        <v>5</v>
      </c>
      <c r="I2053" s="14" t="s">
        <v>117</v>
      </c>
      <c r="J2053" s="14">
        <v>100</v>
      </c>
      <c r="K2053" s="14" t="s">
        <v>3470</v>
      </c>
      <c r="L2053" s="14"/>
      <c r="M2053" s="14">
        <v>1</v>
      </c>
      <c r="N2053" s="15">
        <f>4976000/1.18</f>
        <v>4216949.1525423732</v>
      </c>
      <c r="O2053" s="15">
        <f t="shared" si="80"/>
        <v>4216949.1525423732</v>
      </c>
      <c r="P2053" s="15"/>
      <c r="Q2053" s="14" t="s">
        <v>520</v>
      </c>
      <c r="R2053" s="21">
        <v>46026</v>
      </c>
      <c r="S2053" s="22" t="str">
        <f>TEXT(Table1[[#This Row],[End Date]],"MMMM")</f>
        <v>January</v>
      </c>
      <c r="T2053" s="23" t="str">
        <f>TEXT(Table1[[#This Row],[End Date]],"YYYY")</f>
        <v>2026</v>
      </c>
      <c r="U2053" s="24">
        <f t="shared" ca="1" si="81"/>
        <v>-893</v>
      </c>
      <c r="V2053" s="14" t="str" cm="1">
        <f t="array" aca="1" ref="V2053" ca="1">_xlfn.IFS(Table1[[#This Row],[Agreement Days]]&gt;=0,"Expired",Table1[[#This Row],[Agreement Days]]&gt;=-30,"Expires &lt; 30 Days",Table1[[#This Row],[Agreement Days]]&gt;=-60,"Expires &lt; 60 Days",Table1[[#This Row],[Agreement Days]]&lt;-60,"Valid Contract")</f>
        <v>Valid Contract</v>
      </c>
      <c r="W2053" s="14" t="s">
        <v>19</v>
      </c>
      <c r="X2053" s="14" t="s">
        <v>3443</v>
      </c>
      <c r="Y2053" s="43" t="s">
        <v>3444</v>
      </c>
      <c r="Z2053" s="17">
        <v>788317747</v>
      </c>
      <c r="AA2053" s="17"/>
      <c r="AB2053" s="125"/>
      <c r="AC2053" s="125"/>
    </row>
    <row r="2054" spans="1:29" s="10" customFormat="1" hidden="1" x14ac:dyDescent="0.3">
      <c r="A2054" s="18" t="s">
        <v>3471</v>
      </c>
      <c r="B2054" s="18" t="s">
        <v>365</v>
      </c>
      <c r="C2054" s="18" t="s">
        <v>544</v>
      </c>
      <c r="D2054" s="14" t="s">
        <v>545</v>
      </c>
      <c r="E2054" s="18" t="s">
        <v>9</v>
      </c>
      <c r="F2054" s="14" t="s">
        <v>517</v>
      </c>
      <c r="G2054" s="14" t="s">
        <v>518</v>
      </c>
      <c r="H2054" s="18" t="s">
        <v>2</v>
      </c>
      <c r="I2054" s="14" t="s">
        <v>117</v>
      </c>
      <c r="J2054" s="19">
        <v>10</v>
      </c>
      <c r="K2054" s="26" t="s">
        <v>805</v>
      </c>
      <c r="L2054" s="26"/>
      <c r="M2054" s="19">
        <v>1</v>
      </c>
      <c r="N2054" s="15">
        <v>510000</v>
      </c>
      <c r="O2054" s="15">
        <f t="shared" si="80"/>
        <v>510000</v>
      </c>
      <c r="P2054" s="15"/>
      <c r="Q2054" s="14" t="s">
        <v>520</v>
      </c>
      <c r="R2054" s="25">
        <v>46053</v>
      </c>
      <c r="S2054" s="34" t="str">
        <f>TEXT(Table1[[#This Row],[End Date]],"MMMM")</f>
        <v>January</v>
      </c>
      <c r="T2054" s="34" t="str">
        <f>TEXT(Table1[[#This Row],[End Date]],"YYYY")</f>
        <v>2026</v>
      </c>
      <c r="U2054" s="24">
        <f t="shared" ca="1" si="81"/>
        <v>-920</v>
      </c>
      <c r="V2054" s="14" t="str" cm="1">
        <f t="array" aca="1" ref="V2054" ca="1">_xlfn.IFS(Table1[[#This Row],[Agreement Days]]&gt;=0,"Expired",Table1[[#This Row],[Agreement Days]]&gt;=-30,"Expires &lt; 30 Days",Table1[[#This Row],[Agreement Days]]&gt;=-60,"Expires &lt; 60 Days",Table1[[#This Row],[Agreement Days]]&lt;-60,"Valid Contract")</f>
        <v>Valid Contract</v>
      </c>
      <c r="W2054" s="26" t="s">
        <v>17</v>
      </c>
      <c r="X2054" s="26" t="s">
        <v>3472</v>
      </c>
      <c r="Y2054" s="35" t="s">
        <v>3473</v>
      </c>
      <c r="Z2054" s="27">
        <v>788445236</v>
      </c>
      <c r="AA2054" s="27"/>
      <c r="AB2054" s="125"/>
      <c r="AC2054" s="125"/>
    </row>
    <row r="2055" spans="1:29" s="10" customFormat="1" hidden="1" x14ac:dyDescent="0.3">
      <c r="A2055" s="18" t="s">
        <v>3474</v>
      </c>
      <c r="B2055" s="18" t="s">
        <v>403</v>
      </c>
      <c r="C2055" s="18" t="s">
        <v>544</v>
      </c>
      <c r="D2055" s="14" t="s">
        <v>545</v>
      </c>
      <c r="E2055" s="18" t="s">
        <v>9</v>
      </c>
      <c r="F2055" s="14" t="s">
        <v>517</v>
      </c>
      <c r="G2055" s="14" t="s">
        <v>518</v>
      </c>
      <c r="H2055" s="18" t="s">
        <v>5</v>
      </c>
      <c r="I2055" s="14" t="s">
        <v>115</v>
      </c>
      <c r="J2055" s="18"/>
      <c r="K2055" s="18" t="s">
        <v>642</v>
      </c>
      <c r="L2055" s="18"/>
      <c r="M2055" s="14">
        <v>1</v>
      </c>
      <c r="N2055" s="15">
        <v>101694.92</v>
      </c>
      <c r="O2055" s="15">
        <f t="shared" si="80"/>
        <v>101694.92</v>
      </c>
      <c r="P2055" s="15"/>
      <c r="Q2055" s="14" t="s">
        <v>520</v>
      </c>
      <c r="R2055" s="25">
        <v>46053</v>
      </c>
      <c r="S2055" s="34" t="str">
        <f>TEXT(Table1[[#This Row],[End Date]],"MMMM")</f>
        <v>January</v>
      </c>
      <c r="T2055" s="34" t="str">
        <f>TEXT(Table1[[#This Row],[End Date]],"YYYY")</f>
        <v>2026</v>
      </c>
      <c r="U2055" s="24">
        <f t="shared" ref="U2055:U2118" ca="1" si="82">TODAY()-R2055</f>
        <v>-920</v>
      </c>
      <c r="V2055" s="14" t="str" cm="1">
        <f t="array" aca="1" ref="V2055" ca="1">_xlfn.IFS(Table1[[#This Row],[Agreement Days]]&gt;=0,"Expired",Table1[[#This Row],[Agreement Days]]&gt;=-30,"Expires &lt; 30 Days",Table1[[#This Row],[Agreement Days]]&gt;=-60,"Expires &lt; 60 Days",Table1[[#This Row],[Agreement Days]]&lt;-60,"Valid Contract")</f>
        <v>Valid Contract</v>
      </c>
      <c r="W2055" s="18" t="s">
        <v>18</v>
      </c>
      <c r="X2055" s="18" t="s">
        <v>3475</v>
      </c>
      <c r="Y2055" s="35" t="s">
        <v>3476</v>
      </c>
      <c r="Z2055" s="36" t="s">
        <v>3477</v>
      </c>
      <c r="AA2055" s="36"/>
      <c r="AB2055" s="116"/>
      <c r="AC2055" s="116"/>
    </row>
    <row r="2056" spans="1:29" s="10" customFormat="1" hidden="1" x14ac:dyDescent="0.3">
      <c r="A2056" s="18" t="s">
        <v>3474</v>
      </c>
      <c r="B2056" s="18" t="s">
        <v>403</v>
      </c>
      <c r="C2056" s="18" t="s">
        <v>544</v>
      </c>
      <c r="D2056" s="14" t="s">
        <v>545</v>
      </c>
      <c r="E2056" s="18" t="s">
        <v>9</v>
      </c>
      <c r="F2056" s="14" t="s">
        <v>517</v>
      </c>
      <c r="G2056" s="14" t="s">
        <v>518</v>
      </c>
      <c r="H2056" s="18" t="s">
        <v>5</v>
      </c>
      <c r="I2056" s="14" t="s">
        <v>115</v>
      </c>
      <c r="J2056" s="18"/>
      <c r="K2056" s="18" t="s">
        <v>573</v>
      </c>
      <c r="L2056" s="18"/>
      <c r="M2056" s="14">
        <v>8</v>
      </c>
      <c r="N2056" s="15">
        <v>19491.53</v>
      </c>
      <c r="O2056" s="15">
        <f t="shared" si="80"/>
        <v>155932.24</v>
      </c>
      <c r="P2056" s="15"/>
      <c r="Q2056" s="14" t="s">
        <v>520</v>
      </c>
      <c r="R2056" s="25">
        <v>46053</v>
      </c>
      <c r="S2056" s="34" t="str">
        <f>TEXT(Table1[[#This Row],[End Date]],"MMMM")</f>
        <v>January</v>
      </c>
      <c r="T2056" s="34" t="str">
        <f>TEXT(Table1[[#This Row],[End Date]],"YYYY")</f>
        <v>2026</v>
      </c>
      <c r="U2056" s="24">
        <f t="shared" ca="1" si="82"/>
        <v>-920</v>
      </c>
      <c r="V2056" s="14" t="str" cm="1">
        <f t="array" aca="1" ref="V2056" ca="1">_xlfn.IFS(Table1[[#This Row],[Agreement Days]]&gt;=0,"Expired",Table1[[#This Row],[Agreement Days]]&gt;=-30,"Expires &lt; 30 Days",Table1[[#This Row],[Agreement Days]]&gt;=-60,"Expires &lt; 60 Days",Table1[[#This Row],[Agreement Days]]&lt;-60,"Valid Contract")</f>
        <v>Valid Contract</v>
      </c>
      <c r="W2056" s="18" t="s">
        <v>18</v>
      </c>
      <c r="X2056" s="18" t="s">
        <v>3475</v>
      </c>
      <c r="Y2056" s="35" t="s">
        <v>3478</v>
      </c>
      <c r="Z2056" s="36" t="s">
        <v>3477</v>
      </c>
      <c r="AA2056" s="36"/>
      <c r="AB2056" s="116"/>
      <c r="AC2056" s="116"/>
    </row>
    <row r="2057" spans="1:29" s="10" customFormat="1" hidden="1" x14ac:dyDescent="0.3">
      <c r="A2057" s="18" t="s">
        <v>3479</v>
      </c>
      <c r="B2057" s="18" t="s">
        <v>206</v>
      </c>
      <c r="C2057" s="18" t="s">
        <v>544</v>
      </c>
      <c r="D2057" s="20" t="s">
        <v>653</v>
      </c>
      <c r="E2057" s="18" t="s">
        <v>10</v>
      </c>
      <c r="F2057" s="20" t="s">
        <v>663</v>
      </c>
      <c r="G2057" s="20" t="s">
        <v>518</v>
      </c>
      <c r="H2057" s="18" t="s">
        <v>2</v>
      </c>
      <c r="I2057" s="20" t="s">
        <v>134</v>
      </c>
      <c r="J2057" s="20">
        <v>120</v>
      </c>
      <c r="K2057" s="20" t="s">
        <v>3480</v>
      </c>
      <c r="L2057" s="20"/>
      <c r="M2057" s="20">
        <v>1</v>
      </c>
      <c r="N2057" s="20">
        <f>3658000/1.18</f>
        <v>3100000</v>
      </c>
      <c r="O2057" s="133">
        <f t="shared" si="80"/>
        <v>3100000</v>
      </c>
      <c r="P2057" s="133"/>
      <c r="Q2057" s="20" t="s">
        <v>520</v>
      </c>
      <c r="R2057" s="32">
        <v>46053</v>
      </c>
      <c r="S2057" s="22" t="str">
        <f>TEXT(Table1[[#This Row],[End Date]],"MMMM")</f>
        <v>January</v>
      </c>
      <c r="T2057" s="22" t="str">
        <f>TEXT(Table1[[#This Row],[End Date]],"YYYY")</f>
        <v>2026</v>
      </c>
      <c r="U2057" s="28">
        <f t="shared" ca="1" si="82"/>
        <v>-920</v>
      </c>
      <c r="V2057" s="20" t="str" cm="1">
        <f t="array" aca="1" ref="V2057" ca="1">_xlfn.IFS(Table1[[#This Row],[Agreement Days]]&gt;=0,"Expired",Table1[[#This Row],[Agreement Days]]&gt;=-30,"Expires &lt; 30 Days",Table1[[#This Row],[Agreement Days]]&gt;=-60,"Expires &lt; 60 Days",Table1[[#This Row],[Agreement Days]]&lt;-60,"Valid Contract")</f>
        <v>Valid Contract</v>
      </c>
      <c r="W2057" s="20" t="s">
        <v>18</v>
      </c>
      <c r="X2057" s="20" t="s">
        <v>3481</v>
      </c>
      <c r="Y2057" s="71" t="s">
        <v>3482</v>
      </c>
      <c r="Z2057" s="136" t="s">
        <v>3483</v>
      </c>
      <c r="AA2057" s="20"/>
      <c r="AB2057" s="98"/>
      <c r="AC2057" s="98"/>
    </row>
    <row r="2058" spans="1:29" s="10" customFormat="1" hidden="1" x14ac:dyDescent="0.3">
      <c r="A2058" s="18" t="s">
        <v>3484</v>
      </c>
      <c r="B2058" s="18" t="s">
        <v>175</v>
      </c>
      <c r="C2058" s="18" t="s">
        <v>544</v>
      </c>
      <c r="D2058" s="14" t="s">
        <v>808</v>
      </c>
      <c r="E2058" s="18" t="s">
        <v>9</v>
      </c>
      <c r="F2058" s="14" t="s">
        <v>517</v>
      </c>
      <c r="G2058" s="14" t="s">
        <v>518</v>
      </c>
      <c r="H2058" s="18" t="s">
        <v>5</v>
      </c>
      <c r="I2058" s="14" t="s">
        <v>117</v>
      </c>
      <c r="J2058" s="14">
        <v>3</v>
      </c>
      <c r="K2058" s="18" t="s">
        <v>646</v>
      </c>
      <c r="L2058" s="18"/>
      <c r="M2058" s="14">
        <v>1</v>
      </c>
      <c r="N2058" s="15">
        <v>180000</v>
      </c>
      <c r="O2058" s="15">
        <f t="shared" si="80"/>
        <v>180000</v>
      </c>
      <c r="P2058" s="15"/>
      <c r="Q2058" s="14" t="s">
        <v>520</v>
      </c>
      <c r="R2058" s="25">
        <v>46081</v>
      </c>
      <c r="S2058" s="34" t="str">
        <f>TEXT(Table1[[#This Row],[End Date]],"MMMM")</f>
        <v>February</v>
      </c>
      <c r="T2058" s="34" t="str">
        <f>TEXT(Table1[[#This Row],[End Date]],"YYYY")</f>
        <v>2026</v>
      </c>
      <c r="U2058" s="24">
        <f t="shared" ca="1" si="82"/>
        <v>-948</v>
      </c>
      <c r="V2058" s="14" t="str" cm="1">
        <f t="array" aca="1" ref="V2058" ca="1">_xlfn.IFS(Table1[[#This Row],[Agreement Days]]&gt;=0,"Expired",Table1[[#This Row],[Agreement Days]]&gt;=-30,"Expires &lt; 30 Days",Table1[[#This Row],[Agreement Days]]&gt;=-60,"Expires &lt; 60 Days",Table1[[#This Row],[Agreement Days]]&lt;-60,"Valid Contract")</f>
        <v>Valid Contract</v>
      </c>
      <c r="W2058" s="18" t="s">
        <v>18</v>
      </c>
      <c r="X2058" s="18" t="s">
        <v>3485</v>
      </c>
      <c r="Y2058" s="35" t="s">
        <v>3486</v>
      </c>
      <c r="Z2058" s="36" t="s">
        <v>3487</v>
      </c>
      <c r="AA2058" s="27"/>
      <c r="AB2058" s="125"/>
      <c r="AC2058" s="125"/>
    </row>
    <row r="2059" spans="1:29" s="10" customFormat="1" hidden="1" x14ac:dyDescent="0.3">
      <c r="A2059" s="18" t="s">
        <v>3484</v>
      </c>
      <c r="B2059" s="18" t="s">
        <v>175</v>
      </c>
      <c r="C2059" s="18" t="s">
        <v>544</v>
      </c>
      <c r="D2059" s="14" t="s">
        <v>808</v>
      </c>
      <c r="E2059" s="18" t="s">
        <v>9</v>
      </c>
      <c r="F2059" s="14" t="s">
        <v>517</v>
      </c>
      <c r="G2059" s="14" t="s">
        <v>518</v>
      </c>
      <c r="H2059" s="18" t="s">
        <v>5</v>
      </c>
      <c r="I2059" s="14" t="s">
        <v>117</v>
      </c>
      <c r="J2059" s="14">
        <v>12</v>
      </c>
      <c r="K2059" s="18" t="s">
        <v>3488</v>
      </c>
      <c r="L2059" s="18"/>
      <c r="M2059" s="14">
        <v>1</v>
      </c>
      <c r="N2059" s="15">
        <f>767000/1.18</f>
        <v>650000</v>
      </c>
      <c r="O2059" s="15">
        <f t="shared" si="80"/>
        <v>650000</v>
      </c>
      <c r="P2059" s="15"/>
      <c r="Q2059" s="14" t="s">
        <v>520</v>
      </c>
      <c r="R2059" s="25">
        <v>46081</v>
      </c>
      <c r="S2059" s="34" t="str">
        <f>TEXT(Table1[[#This Row],[End Date]],"MMMM")</f>
        <v>February</v>
      </c>
      <c r="T2059" s="34" t="str">
        <f>TEXT(Table1[[#This Row],[End Date]],"YYYY")</f>
        <v>2026</v>
      </c>
      <c r="U2059" s="24">
        <f t="shared" ca="1" si="82"/>
        <v>-948</v>
      </c>
      <c r="V2059" s="14" t="str" cm="1">
        <f t="array" aca="1" ref="V2059" ca="1">_xlfn.IFS(Table1[[#This Row],[Agreement Days]]&gt;=0,"Expired",Table1[[#This Row],[Agreement Days]]&gt;=-30,"Expires &lt; 30 Days",Table1[[#This Row],[Agreement Days]]&gt;=-60,"Expires &lt; 60 Days",Table1[[#This Row],[Agreement Days]]&lt;-60,"Valid Contract")</f>
        <v>Valid Contract</v>
      </c>
      <c r="W2059" s="18" t="s">
        <v>18</v>
      </c>
      <c r="X2059" s="18" t="s">
        <v>3485</v>
      </c>
      <c r="Y2059" s="35" t="s">
        <v>3486</v>
      </c>
      <c r="Z2059" s="36" t="s">
        <v>3487</v>
      </c>
      <c r="AA2059" s="36"/>
      <c r="AB2059" s="125"/>
      <c r="AC2059" s="125"/>
    </row>
    <row r="2060" spans="1:29" s="10" customFormat="1" hidden="1" x14ac:dyDescent="0.3">
      <c r="A2060" s="18" t="s">
        <v>3484</v>
      </c>
      <c r="B2060" s="18" t="s">
        <v>175</v>
      </c>
      <c r="C2060" s="18" t="s">
        <v>544</v>
      </c>
      <c r="D2060" s="14" t="s">
        <v>808</v>
      </c>
      <c r="E2060" s="18" t="s">
        <v>9</v>
      </c>
      <c r="F2060" s="14" t="s">
        <v>517</v>
      </c>
      <c r="G2060" s="14" t="s">
        <v>518</v>
      </c>
      <c r="H2060" s="18" t="s">
        <v>2</v>
      </c>
      <c r="I2060" s="14" t="s">
        <v>120</v>
      </c>
      <c r="J2060" s="18"/>
      <c r="K2060" s="18" t="s">
        <v>649</v>
      </c>
      <c r="L2060" s="18"/>
      <c r="M2060" s="14">
        <v>1</v>
      </c>
      <c r="N2060" s="15">
        <v>258044.92</v>
      </c>
      <c r="O2060" s="15">
        <f t="shared" si="80"/>
        <v>258044.92</v>
      </c>
      <c r="P2060" s="15"/>
      <c r="Q2060" s="14" t="s">
        <v>520</v>
      </c>
      <c r="R2060" s="25">
        <v>46081</v>
      </c>
      <c r="S2060" s="34" t="str">
        <f>TEXT(Table1[[#This Row],[End Date]],"MMMM")</f>
        <v>February</v>
      </c>
      <c r="T2060" s="34" t="str">
        <f>TEXT(Table1[[#This Row],[End Date]],"YYYY")</f>
        <v>2026</v>
      </c>
      <c r="U2060" s="24">
        <f t="shared" ca="1" si="82"/>
        <v>-948</v>
      </c>
      <c r="V2060" s="14" t="str" cm="1">
        <f t="array" aca="1" ref="V2060" ca="1">_xlfn.IFS(Table1[[#This Row],[Agreement Days]]&gt;=0,"Expired",Table1[[#This Row],[Agreement Days]]&gt;=-30,"Expires &lt; 30 Days",Table1[[#This Row],[Agreement Days]]&gt;=-60,"Expires &lt; 60 Days",Table1[[#This Row],[Agreement Days]]&lt;-60,"Valid Contract")</f>
        <v>Valid Contract</v>
      </c>
      <c r="W2060" s="18" t="s">
        <v>18</v>
      </c>
      <c r="X2060" s="18" t="s">
        <v>3485</v>
      </c>
      <c r="Y2060" s="35" t="s">
        <v>3486</v>
      </c>
      <c r="Z2060" s="36" t="s">
        <v>3487</v>
      </c>
      <c r="AA2060" s="27"/>
      <c r="AB2060" s="125"/>
      <c r="AC2060" s="125"/>
    </row>
    <row r="2061" spans="1:29" s="10" customFormat="1" hidden="1" x14ac:dyDescent="0.3">
      <c r="A2061" s="18" t="s">
        <v>3484</v>
      </c>
      <c r="B2061" s="18" t="s">
        <v>175</v>
      </c>
      <c r="C2061" s="18" t="s">
        <v>544</v>
      </c>
      <c r="D2061" s="14" t="s">
        <v>808</v>
      </c>
      <c r="E2061" s="18" t="s">
        <v>9</v>
      </c>
      <c r="F2061" s="14" t="s">
        <v>517</v>
      </c>
      <c r="G2061" s="14" t="s">
        <v>518</v>
      </c>
      <c r="H2061" s="18" t="s">
        <v>4</v>
      </c>
      <c r="I2061" s="14" t="s">
        <v>118</v>
      </c>
      <c r="J2061" s="18"/>
      <c r="K2061" s="18" t="s">
        <v>650</v>
      </c>
      <c r="L2061" s="18"/>
      <c r="M2061" s="14">
        <v>1</v>
      </c>
      <c r="N2061" s="15">
        <v>369325.42</v>
      </c>
      <c r="O2061" s="15">
        <f t="shared" si="80"/>
        <v>369325.42</v>
      </c>
      <c r="P2061" s="15"/>
      <c r="Q2061" s="14" t="s">
        <v>520</v>
      </c>
      <c r="R2061" s="25">
        <v>46081</v>
      </c>
      <c r="S2061" s="34" t="str">
        <f>TEXT(Table1[[#This Row],[End Date]],"MMMM")</f>
        <v>February</v>
      </c>
      <c r="T2061" s="34" t="str">
        <f>TEXT(Table1[[#This Row],[End Date]],"YYYY")</f>
        <v>2026</v>
      </c>
      <c r="U2061" s="24">
        <f t="shared" ca="1" si="82"/>
        <v>-948</v>
      </c>
      <c r="V2061" s="14" t="str" cm="1">
        <f t="array" aca="1" ref="V2061" ca="1">_xlfn.IFS(Table1[[#This Row],[Agreement Days]]&gt;=0,"Expired",Table1[[#This Row],[Agreement Days]]&gt;=-30,"Expires &lt; 30 Days",Table1[[#This Row],[Agreement Days]]&gt;=-60,"Expires &lt; 60 Days",Table1[[#This Row],[Agreement Days]]&lt;-60,"Valid Contract")</f>
        <v>Valid Contract</v>
      </c>
      <c r="W2061" s="18" t="s">
        <v>18</v>
      </c>
      <c r="X2061" s="18" t="s">
        <v>3485</v>
      </c>
      <c r="Y2061" s="35" t="s">
        <v>3486</v>
      </c>
      <c r="Z2061" s="36" t="s">
        <v>3487</v>
      </c>
      <c r="AA2061" s="27"/>
      <c r="AB2061" s="125"/>
      <c r="AC2061" s="125"/>
    </row>
    <row r="2062" spans="1:29" s="10" customFormat="1" hidden="1" x14ac:dyDescent="0.3">
      <c r="A2062" s="18" t="s">
        <v>1132</v>
      </c>
      <c r="B2062" s="18" t="s">
        <v>337</v>
      </c>
      <c r="C2062" s="18" t="s">
        <v>1133</v>
      </c>
      <c r="D2062" s="14" t="s">
        <v>653</v>
      </c>
      <c r="E2062" s="18" t="s">
        <v>9</v>
      </c>
      <c r="F2062" s="14" t="s">
        <v>517</v>
      </c>
      <c r="G2062" s="14" t="s">
        <v>518</v>
      </c>
      <c r="H2062" s="18" t="s">
        <v>5</v>
      </c>
      <c r="I2062" s="14" t="s">
        <v>117</v>
      </c>
      <c r="J2062" s="14">
        <v>10</v>
      </c>
      <c r="K2062" s="20" t="s">
        <v>547</v>
      </c>
      <c r="L2062" s="14"/>
      <c r="M2062" s="14">
        <v>1</v>
      </c>
      <c r="N2062" s="15">
        <v>510000</v>
      </c>
      <c r="O2062" s="15">
        <f t="shared" si="80"/>
        <v>510000</v>
      </c>
      <c r="P2062" s="15"/>
      <c r="Q2062" s="14" t="s">
        <v>520</v>
      </c>
      <c r="R2062" s="32">
        <v>46081</v>
      </c>
      <c r="S2062" s="22" t="str">
        <f>TEXT(Table1[[#This Row],[End Date]],"MMMM")</f>
        <v>February</v>
      </c>
      <c r="T2062" s="22" t="str">
        <f>TEXT(Table1[[#This Row],[End Date]],"YYYY")</f>
        <v>2026</v>
      </c>
      <c r="U2062" s="24">
        <f t="shared" ca="1" si="82"/>
        <v>-948</v>
      </c>
      <c r="V2062" s="14" t="str" cm="1">
        <f t="array" aca="1" ref="V2062" ca="1">_xlfn.IFS(Table1[[#This Row],[Agreement Days]]&gt;=0,"Expired",Table1[[#This Row],[Agreement Days]]&gt;=-30,"Expires &lt; 30 Days",Table1[[#This Row],[Agreement Days]]&gt;=-60,"Expires &lt; 60 Days",Table1[[#This Row],[Agreement Days]]&lt;-60,"Valid Contract")</f>
        <v>Valid Contract</v>
      </c>
      <c r="W2062" s="14" t="s">
        <v>20</v>
      </c>
      <c r="X2062" s="26" t="s">
        <v>1134</v>
      </c>
      <c r="Y2062" s="45" t="s">
        <v>1135</v>
      </c>
      <c r="Z2062" s="17" t="s">
        <v>1136</v>
      </c>
      <c r="AA2062" s="19"/>
      <c r="AB2062" s="125"/>
      <c r="AC2062" s="125"/>
    </row>
    <row r="2063" spans="1:29" s="10" customFormat="1" hidden="1" x14ac:dyDescent="0.3">
      <c r="A2063" s="18" t="s">
        <v>1132</v>
      </c>
      <c r="B2063" s="18" t="s">
        <v>337</v>
      </c>
      <c r="C2063" s="18" t="s">
        <v>1133</v>
      </c>
      <c r="D2063" s="14" t="s">
        <v>653</v>
      </c>
      <c r="E2063" s="18" t="s">
        <v>9</v>
      </c>
      <c r="F2063" s="14" t="s">
        <v>517</v>
      </c>
      <c r="G2063" s="14" t="s">
        <v>518</v>
      </c>
      <c r="H2063" s="18" t="s">
        <v>4</v>
      </c>
      <c r="I2063" s="14" t="s">
        <v>118</v>
      </c>
      <c r="J2063" s="14"/>
      <c r="K2063" s="20" t="s">
        <v>594</v>
      </c>
      <c r="L2063" s="14"/>
      <c r="M2063" s="14">
        <v>1</v>
      </c>
      <c r="N2063" s="15">
        <v>86130</v>
      </c>
      <c r="O2063" s="15">
        <f t="shared" si="80"/>
        <v>86130</v>
      </c>
      <c r="P2063" s="15"/>
      <c r="Q2063" s="14" t="s">
        <v>520</v>
      </c>
      <c r="R2063" s="32">
        <v>46081</v>
      </c>
      <c r="S2063" s="22" t="str">
        <f>TEXT(Table1[[#This Row],[End Date]],"MMMM")</f>
        <v>February</v>
      </c>
      <c r="T2063" s="22" t="str">
        <f>TEXT(Table1[[#This Row],[End Date]],"YYYY")</f>
        <v>2026</v>
      </c>
      <c r="U2063" s="24">
        <f t="shared" ca="1" si="82"/>
        <v>-948</v>
      </c>
      <c r="V2063" s="14" t="str" cm="1">
        <f t="array" aca="1" ref="V2063" ca="1">_xlfn.IFS(Table1[[#This Row],[Agreement Days]]&gt;=0,"Expired",Table1[[#This Row],[Agreement Days]]&gt;=-30,"Expires &lt; 30 Days",Table1[[#This Row],[Agreement Days]]&gt;=-60,"Expires &lt; 60 Days",Table1[[#This Row],[Agreement Days]]&lt;-60,"Valid Contract")</f>
        <v>Valid Contract</v>
      </c>
      <c r="W2063" s="14" t="s">
        <v>20</v>
      </c>
      <c r="X2063" s="26" t="s">
        <v>1134</v>
      </c>
      <c r="Y2063" s="16" t="s">
        <v>1135</v>
      </c>
      <c r="Z2063" s="17" t="s">
        <v>1136</v>
      </c>
      <c r="AA2063" s="19"/>
      <c r="AB2063" s="125"/>
      <c r="AC2063" s="125"/>
    </row>
    <row r="2064" spans="1:29" s="10" customFormat="1" hidden="1" x14ac:dyDescent="0.3">
      <c r="A2064" s="18" t="s">
        <v>3489</v>
      </c>
      <c r="B2064" s="18" t="s">
        <v>377</v>
      </c>
      <c r="C2064" s="18" t="s">
        <v>544</v>
      </c>
      <c r="D2064" s="20" t="s">
        <v>545</v>
      </c>
      <c r="E2064" s="18" t="s">
        <v>10</v>
      </c>
      <c r="F2064" s="20" t="s">
        <v>560</v>
      </c>
      <c r="G2064" s="20" t="s">
        <v>518</v>
      </c>
      <c r="H2064" s="18" t="s">
        <v>5</v>
      </c>
      <c r="I2064" s="20" t="s">
        <v>115</v>
      </c>
      <c r="J2064" s="18"/>
      <c r="K2064" s="18" t="s">
        <v>3490</v>
      </c>
      <c r="L2064" s="18"/>
      <c r="M2064" s="20">
        <v>1</v>
      </c>
      <c r="N2064" s="15">
        <v>360593.220338983</v>
      </c>
      <c r="O2064" s="15">
        <f t="shared" ref="O2064:O2065" si="83">N2064*M2064</f>
        <v>360593.220338983</v>
      </c>
      <c r="P2064" s="15"/>
      <c r="Q2064" s="14" t="s">
        <v>520</v>
      </c>
      <c r="R2064" s="25">
        <v>46111</v>
      </c>
      <c r="S2064" s="34" t="str">
        <f>TEXT(Table1[[#This Row],[End Date]],"MMMM")</f>
        <v>March</v>
      </c>
      <c r="T2064" s="34" t="str">
        <f>TEXT(Table1[[#This Row],[End Date]],"YYYY")</f>
        <v>2026</v>
      </c>
      <c r="U2064" s="28">
        <f t="shared" ca="1" si="82"/>
        <v>-978</v>
      </c>
      <c r="V2064" s="14" t="str" cm="1">
        <f t="array" aca="1" ref="V2064" ca="1">_xlfn.IFS(Table1[[#This Row],[Agreement Days]]&gt;=0,"Expired",Table1[[#This Row],[Agreement Days]]&gt;=-30,"Expires &lt; 30 Days",Table1[[#This Row],[Agreement Days]]&gt;=-60,"Expires &lt; 60 Days",Table1[[#This Row],[Agreement Days]]&lt;-60,"Valid Contract")</f>
        <v>Valid Contract</v>
      </c>
      <c r="W2064" s="18" t="s">
        <v>14</v>
      </c>
      <c r="X2064" s="18" t="s">
        <v>3491</v>
      </c>
      <c r="Y2064" s="18" t="s">
        <v>3492</v>
      </c>
      <c r="Z2064" s="27">
        <v>784166111</v>
      </c>
      <c r="AA2064" s="27"/>
      <c r="AB2064" s="125"/>
      <c r="AC2064" s="125"/>
    </row>
    <row r="2065" spans="1:29" s="10" customFormat="1" hidden="1" x14ac:dyDescent="0.3">
      <c r="A2065" s="18" t="s">
        <v>1891</v>
      </c>
      <c r="B2065" s="18" t="s">
        <v>389</v>
      </c>
      <c r="C2065" s="18" t="s">
        <v>3493</v>
      </c>
      <c r="D2065" s="14" t="s">
        <v>545</v>
      </c>
      <c r="E2065" s="18" t="s">
        <v>9</v>
      </c>
      <c r="F2065" s="14" t="s">
        <v>517</v>
      </c>
      <c r="G2065" s="14" t="s">
        <v>546</v>
      </c>
      <c r="H2065" s="18" t="s">
        <v>5</v>
      </c>
      <c r="I2065" s="14" t="s">
        <v>115</v>
      </c>
      <c r="J2065" s="18"/>
      <c r="K2065" s="18" t="s">
        <v>1893</v>
      </c>
      <c r="L2065" s="18"/>
      <c r="M2065" s="14">
        <v>1</v>
      </c>
      <c r="N2065" s="15">
        <v>101694.91525400001</v>
      </c>
      <c r="O2065" s="15">
        <f t="shared" si="83"/>
        <v>101694.91525400001</v>
      </c>
      <c r="P2065" s="15"/>
      <c r="Q2065" s="14" t="s">
        <v>520</v>
      </c>
      <c r="R2065" s="25">
        <v>46111</v>
      </c>
      <c r="S2065" s="34" t="str">
        <f>TEXT(Table1[[#This Row],[End Date]],"MMMM")</f>
        <v>March</v>
      </c>
      <c r="T2065" s="34" t="str">
        <f>TEXT(Table1[[#This Row],[End Date]],"YYYY")</f>
        <v>2026</v>
      </c>
      <c r="U2065" s="24">
        <f t="shared" ca="1" si="82"/>
        <v>-978</v>
      </c>
      <c r="V2065" s="14" t="str" cm="1">
        <f t="array" aca="1" ref="V2065" ca="1">_xlfn.IFS(Table1[[#This Row],[Agreement Days]]&gt;=0,"Expired",Table1[[#This Row],[Agreement Days]]&gt;=-30,"Expires &lt; 30 Days",Table1[[#This Row],[Agreement Days]]&gt;=-60,"Expires &lt; 60 Days",Table1[[#This Row],[Agreement Days]]&lt;-60,"Valid Contract")</f>
        <v>Valid Contract</v>
      </c>
      <c r="W2065" s="18" t="s">
        <v>18</v>
      </c>
      <c r="X2065" s="18" t="s">
        <v>1894</v>
      </c>
      <c r="Y2065" s="18" t="s">
        <v>1895</v>
      </c>
      <c r="Z2065" s="27" t="s">
        <v>1896</v>
      </c>
      <c r="AA2065" s="27"/>
      <c r="AB2065" s="125"/>
      <c r="AC2065" s="125"/>
    </row>
    <row r="2066" spans="1:29" s="10" customFormat="1" hidden="1" x14ac:dyDescent="0.3">
      <c r="A2066" s="18" t="s">
        <v>3494</v>
      </c>
      <c r="B2066" s="18" t="s">
        <v>287</v>
      </c>
      <c r="C2066" s="18" t="s">
        <v>544</v>
      </c>
      <c r="D2066" s="74" t="s">
        <v>653</v>
      </c>
      <c r="E2066" s="18" t="s">
        <v>10</v>
      </c>
      <c r="F2066" s="70" t="s">
        <v>3495</v>
      </c>
      <c r="G2066" s="70" t="s">
        <v>3496</v>
      </c>
      <c r="H2066" s="18" t="s">
        <v>2</v>
      </c>
      <c r="I2066" s="75" t="s">
        <v>134</v>
      </c>
      <c r="J2066" s="75">
        <v>30</v>
      </c>
      <c r="K2066" s="74" t="s">
        <v>3497</v>
      </c>
      <c r="L2066" s="74"/>
      <c r="M2066" s="75">
        <v>1</v>
      </c>
      <c r="N2066" s="15">
        <v>1144068</v>
      </c>
      <c r="O2066" s="76">
        <v>1144068</v>
      </c>
      <c r="P2066" s="76"/>
      <c r="Q2066" s="75" t="s">
        <v>520</v>
      </c>
      <c r="R2066" s="77">
        <v>46112</v>
      </c>
      <c r="S2066" s="57" t="str">
        <f>TEXT(Table1[[#This Row],[End Date]],"MMMM")</f>
        <v>March</v>
      </c>
      <c r="T2066" s="57" t="str">
        <f>TEXT(Table1[[#This Row],[End Date]],"YYYY")</f>
        <v>2026</v>
      </c>
      <c r="U2066" s="58">
        <f t="shared" ca="1" si="82"/>
        <v>-979</v>
      </c>
      <c r="V2066" s="14" t="str" cm="1">
        <f t="array" aca="1" ref="V2066" ca="1">_xlfn.IFS(Table1[[#This Row],[Agreement Days]]&gt;=0,"Expired",Table1[[#This Row],[Agreement Days]]&gt;=-30,"Expires &lt; 30 Days",Table1[[#This Row],[Agreement Days]]&gt;=-60,"Expires &lt; 60 Days",Table1[[#This Row],[Agreement Days]]&lt;-60,"Valid Contract")</f>
        <v>Valid Contract</v>
      </c>
      <c r="W2066" s="74" t="s">
        <v>17</v>
      </c>
      <c r="X2066" s="74" t="s">
        <v>3498</v>
      </c>
      <c r="Y2066" s="78" t="s">
        <v>3499</v>
      </c>
      <c r="Z2066" s="27">
        <v>788813346</v>
      </c>
      <c r="AA2066" s="14"/>
      <c r="AB2066" s="125"/>
      <c r="AC2066" s="125"/>
    </row>
    <row r="2067" spans="1:29" s="10" customFormat="1" x14ac:dyDescent="0.3">
      <c r="A2067" s="18" t="s">
        <v>2731</v>
      </c>
      <c r="B2067" s="18" t="s">
        <v>339</v>
      </c>
      <c r="C2067" s="18" t="s">
        <v>3500</v>
      </c>
      <c r="D2067" s="14" t="s">
        <v>875</v>
      </c>
      <c r="E2067" s="18" t="s">
        <v>9</v>
      </c>
      <c r="F2067" s="14" t="s">
        <v>517</v>
      </c>
      <c r="G2067" s="14" t="s">
        <v>518</v>
      </c>
      <c r="H2067" s="18" t="s">
        <v>5</v>
      </c>
      <c r="I2067" s="14" t="s">
        <v>117</v>
      </c>
      <c r="J2067" s="14">
        <v>5</v>
      </c>
      <c r="K2067" s="14" t="s">
        <v>730</v>
      </c>
      <c r="L2067" s="14"/>
      <c r="M2067" s="14">
        <v>1</v>
      </c>
      <c r="N2067" s="15">
        <v>270000</v>
      </c>
      <c r="O2067" s="15">
        <f t="shared" ref="O2067:O2130" si="84">N2067*M2067</f>
        <v>270000</v>
      </c>
      <c r="P2067" s="15"/>
      <c r="Q2067" s="14" t="s">
        <v>520</v>
      </c>
      <c r="R2067" s="21">
        <v>46112</v>
      </c>
      <c r="S2067" s="22" t="str">
        <f>TEXT(Table1[[#This Row],[End Date]],"MMMM")</f>
        <v>March</v>
      </c>
      <c r="T2067" s="23" t="str">
        <f>TEXT(Table1[[#This Row],[End Date]],"YYYY")</f>
        <v>2026</v>
      </c>
      <c r="U2067" s="24">
        <f t="shared" ca="1" si="82"/>
        <v>-979</v>
      </c>
      <c r="V2067" s="14" t="str" cm="1">
        <f t="array" aca="1" ref="V2067" ca="1">_xlfn.IFS(Table1[[#This Row],[Agreement Days]]&gt;=0,"Expired",Table1[[#This Row],[Agreement Days]]&gt;=-30,"Expires &lt; 30 Days",Table1[[#This Row],[Agreement Days]]&gt;=-60,"Expires &lt; 60 Days",Table1[[#This Row],[Agreement Days]]&lt;-60,"Valid Contract")</f>
        <v>Valid Contract</v>
      </c>
      <c r="W2067" s="14" t="s">
        <v>12</v>
      </c>
      <c r="X2067" s="14" t="s">
        <v>2732</v>
      </c>
      <c r="Y2067" s="16" t="s">
        <v>2733</v>
      </c>
      <c r="Z2067" s="17" t="s">
        <v>2734</v>
      </c>
      <c r="AA2067" s="17"/>
      <c r="AB2067" s="125"/>
      <c r="AC2067" s="125"/>
    </row>
    <row r="2068" spans="1:29" s="10" customFormat="1" x14ac:dyDescent="0.3">
      <c r="A2068" s="18" t="s">
        <v>1751</v>
      </c>
      <c r="B2068" s="18" t="s">
        <v>192</v>
      </c>
      <c r="C2068" s="18" t="s">
        <v>3501</v>
      </c>
      <c r="D2068" s="14" t="s">
        <v>545</v>
      </c>
      <c r="E2068" s="18" t="s">
        <v>9</v>
      </c>
      <c r="F2068" s="14" t="s">
        <v>517</v>
      </c>
      <c r="G2068" s="14" t="s">
        <v>546</v>
      </c>
      <c r="H2068" s="18" t="s">
        <v>5</v>
      </c>
      <c r="I2068" s="14" t="s">
        <v>117</v>
      </c>
      <c r="J2068" s="14">
        <v>30</v>
      </c>
      <c r="K2068" s="14" t="s">
        <v>796</v>
      </c>
      <c r="L2068" s="14"/>
      <c r="M2068" s="14">
        <v>1</v>
      </c>
      <c r="N2068" s="15">
        <f>1486800/1.18</f>
        <v>1260000</v>
      </c>
      <c r="O2068" s="15">
        <f t="shared" si="84"/>
        <v>1260000</v>
      </c>
      <c r="P2068" s="15"/>
      <c r="Q2068" s="14" t="s">
        <v>520</v>
      </c>
      <c r="R2068" s="21">
        <v>46112</v>
      </c>
      <c r="S2068" s="22" t="str">
        <f>TEXT(Table1[[#This Row],[End Date]],"MMMM")</f>
        <v>March</v>
      </c>
      <c r="T2068" s="23" t="str">
        <f>TEXT(Table1[[#This Row],[End Date]],"YYYY")</f>
        <v>2026</v>
      </c>
      <c r="U2068" s="24">
        <f t="shared" ca="1" si="82"/>
        <v>-979</v>
      </c>
      <c r="V2068" s="14" t="str" cm="1">
        <f t="array" aca="1" ref="V2068" ca="1">_xlfn.IFS(Table1[[#This Row],[Agreement Days]]&gt;=0,"Expired",Table1[[#This Row],[Agreement Days]]&gt;=-30,"Expires &lt; 30 Days",Table1[[#This Row],[Agreement Days]]&gt;=-60,"Expires &lt; 60 Days",Table1[[#This Row],[Agreement Days]]&lt;-60,"Valid Contract")</f>
        <v>Valid Contract</v>
      </c>
      <c r="W2068" s="14" t="s">
        <v>12</v>
      </c>
      <c r="X2068" s="14" t="s">
        <v>1754</v>
      </c>
      <c r="Y2068" s="16" t="s">
        <v>1755</v>
      </c>
      <c r="Z2068" s="17" t="s">
        <v>1756</v>
      </c>
      <c r="AA2068" s="17"/>
      <c r="AB2068" s="125"/>
      <c r="AC2068" s="125"/>
    </row>
    <row r="2069" spans="1:29" s="10" customFormat="1" hidden="1" x14ac:dyDescent="0.3">
      <c r="A2069" s="18" t="s">
        <v>3502</v>
      </c>
      <c r="B2069" s="18" t="s">
        <v>189</v>
      </c>
      <c r="C2069" s="18" t="s">
        <v>3503</v>
      </c>
      <c r="D2069" s="14" t="s">
        <v>771</v>
      </c>
      <c r="E2069" s="18" t="s">
        <v>9</v>
      </c>
      <c r="F2069" s="14" t="s">
        <v>517</v>
      </c>
      <c r="G2069" s="14" t="s">
        <v>518</v>
      </c>
      <c r="H2069" s="18" t="s">
        <v>5</v>
      </c>
      <c r="I2069" s="14" t="s">
        <v>117</v>
      </c>
      <c r="J2069" s="14">
        <v>1</v>
      </c>
      <c r="K2069" s="18" t="s">
        <v>816</v>
      </c>
      <c r="L2069" s="18"/>
      <c r="M2069" s="14">
        <v>1</v>
      </c>
      <c r="N2069" s="15">
        <v>90000</v>
      </c>
      <c r="O2069" s="15">
        <f t="shared" si="84"/>
        <v>90000</v>
      </c>
      <c r="P2069" s="15"/>
      <c r="Q2069" s="14" t="s">
        <v>520</v>
      </c>
      <c r="R2069" s="25">
        <v>46112</v>
      </c>
      <c r="S2069" s="34" t="str">
        <f>TEXT(Table1[[#This Row],[End Date]],"MMMM")</f>
        <v>March</v>
      </c>
      <c r="T2069" s="34" t="str">
        <f>TEXT(Table1[[#This Row],[End Date]],"YYYY")</f>
        <v>2026</v>
      </c>
      <c r="U2069" s="24">
        <f t="shared" ca="1" si="82"/>
        <v>-979</v>
      </c>
      <c r="V2069" s="14" t="str" cm="1">
        <f t="array" aca="1" ref="V2069" ca="1">_xlfn.IFS(Table1[[#This Row],[Agreement Days]]&gt;=0,"Expired",Table1[[#This Row],[Agreement Days]]&gt;=-30,"Expires &lt; 30 Days",Table1[[#This Row],[Agreement Days]]&gt;=-60,"Expires &lt; 60 Days",Table1[[#This Row],[Agreement Days]]&lt;-60,"Valid Contract")</f>
        <v>Valid Contract</v>
      </c>
      <c r="W2069" s="18" t="s">
        <v>18</v>
      </c>
      <c r="X2069" s="18" t="s">
        <v>3504</v>
      </c>
      <c r="Y2069" s="35" t="s">
        <v>3505</v>
      </c>
      <c r="Z2069" s="36" t="s">
        <v>3506</v>
      </c>
      <c r="AA2069" s="27"/>
      <c r="AB2069" s="125"/>
      <c r="AC2069" s="125"/>
    </row>
    <row r="2070" spans="1:29" s="10" customFormat="1" hidden="1" x14ac:dyDescent="0.3">
      <c r="A2070" s="18" t="s">
        <v>3502</v>
      </c>
      <c r="B2070" s="18" t="s">
        <v>189</v>
      </c>
      <c r="C2070" s="18" t="s">
        <v>515</v>
      </c>
      <c r="D2070" s="14" t="s">
        <v>771</v>
      </c>
      <c r="E2070" s="18" t="s">
        <v>9</v>
      </c>
      <c r="F2070" s="14" t="s">
        <v>517</v>
      </c>
      <c r="G2070" s="14" t="s">
        <v>518</v>
      </c>
      <c r="H2070" s="18" t="s">
        <v>5</v>
      </c>
      <c r="I2070" s="14" t="s">
        <v>117</v>
      </c>
      <c r="J2070" s="14">
        <v>3</v>
      </c>
      <c r="K2070" s="18" t="s">
        <v>646</v>
      </c>
      <c r="L2070" s="18"/>
      <c r="M2070" s="14">
        <v>1</v>
      </c>
      <c r="N2070" s="15">
        <v>180000</v>
      </c>
      <c r="O2070" s="15">
        <f t="shared" si="84"/>
        <v>180000</v>
      </c>
      <c r="P2070" s="15"/>
      <c r="Q2070" s="14" t="s">
        <v>520</v>
      </c>
      <c r="R2070" s="25">
        <v>46112</v>
      </c>
      <c r="S2070" s="34" t="str">
        <f>TEXT(Table1[[#This Row],[End Date]],"MMMM")</f>
        <v>March</v>
      </c>
      <c r="T2070" s="34" t="str">
        <f>TEXT(Table1[[#This Row],[End Date]],"YYYY")</f>
        <v>2026</v>
      </c>
      <c r="U2070" s="24">
        <f t="shared" ca="1" si="82"/>
        <v>-979</v>
      </c>
      <c r="V2070" s="14" t="str" cm="1">
        <f t="array" aca="1" ref="V2070" ca="1">_xlfn.IFS(Table1[[#This Row],[Agreement Days]]&gt;=0,"Expired",Table1[[#This Row],[Agreement Days]]&gt;=-30,"Expires &lt; 30 Days",Table1[[#This Row],[Agreement Days]]&gt;=-60,"Expires &lt; 60 Days",Table1[[#This Row],[Agreement Days]]&lt;-60,"Valid Contract")</f>
        <v>Valid Contract</v>
      </c>
      <c r="W2070" s="18" t="s">
        <v>18</v>
      </c>
      <c r="X2070" s="18" t="s">
        <v>3504</v>
      </c>
      <c r="Y2070" s="35" t="s">
        <v>3505</v>
      </c>
      <c r="Z2070" s="36" t="s">
        <v>3506</v>
      </c>
      <c r="AA2070" s="27"/>
      <c r="AB2070" s="125"/>
      <c r="AC2070" s="125"/>
    </row>
    <row r="2071" spans="1:29" s="10" customFormat="1" hidden="1" x14ac:dyDescent="0.3">
      <c r="A2071" s="18" t="s">
        <v>3502</v>
      </c>
      <c r="B2071" s="18" t="s">
        <v>189</v>
      </c>
      <c r="C2071" s="18" t="s">
        <v>544</v>
      </c>
      <c r="D2071" s="14" t="s">
        <v>771</v>
      </c>
      <c r="E2071" s="18" t="s">
        <v>9</v>
      </c>
      <c r="F2071" s="14" t="s">
        <v>517</v>
      </c>
      <c r="G2071" s="14" t="s">
        <v>518</v>
      </c>
      <c r="H2071" s="18" t="s">
        <v>5</v>
      </c>
      <c r="I2071" s="14" t="s">
        <v>117</v>
      </c>
      <c r="J2071" s="14">
        <v>10</v>
      </c>
      <c r="K2071" s="18" t="s">
        <v>547</v>
      </c>
      <c r="L2071" s="18"/>
      <c r="M2071" s="14">
        <v>1</v>
      </c>
      <c r="N2071" s="15">
        <v>510000</v>
      </c>
      <c r="O2071" s="15">
        <f t="shared" si="84"/>
        <v>510000</v>
      </c>
      <c r="P2071" s="15"/>
      <c r="Q2071" s="14" t="s">
        <v>520</v>
      </c>
      <c r="R2071" s="25">
        <v>46112</v>
      </c>
      <c r="S2071" s="34" t="str">
        <f>TEXT(Table1[[#This Row],[End Date]],"MMMM")</f>
        <v>March</v>
      </c>
      <c r="T2071" s="34" t="str">
        <f>TEXT(Table1[[#This Row],[End Date]],"YYYY")</f>
        <v>2026</v>
      </c>
      <c r="U2071" s="24">
        <f t="shared" ca="1" si="82"/>
        <v>-979</v>
      </c>
      <c r="V2071" s="14" t="str" cm="1">
        <f t="array" aca="1" ref="V2071" ca="1">_xlfn.IFS(Table1[[#This Row],[Agreement Days]]&gt;=0,"Expired",Table1[[#This Row],[Agreement Days]]&gt;=-30,"Expires &lt; 30 Days",Table1[[#This Row],[Agreement Days]]&gt;=-60,"Expires &lt; 60 Days",Table1[[#This Row],[Agreement Days]]&lt;-60,"Valid Contract")</f>
        <v>Valid Contract</v>
      </c>
      <c r="W2071" s="18" t="s">
        <v>18</v>
      </c>
      <c r="X2071" s="18" t="s">
        <v>3504</v>
      </c>
      <c r="Y2071" s="35" t="s">
        <v>3505</v>
      </c>
      <c r="Z2071" s="36" t="s">
        <v>3506</v>
      </c>
      <c r="AA2071" s="36"/>
      <c r="AB2071" s="125"/>
      <c r="AC2071" s="125"/>
    </row>
    <row r="2072" spans="1:29" s="10" customFormat="1" hidden="1" x14ac:dyDescent="0.3">
      <c r="A2072" s="18" t="s">
        <v>3502</v>
      </c>
      <c r="B2072" s="18" t="s">
        <v>189</v>
      </c>
      <c r="C2072" s="18" t="s">
        <v>3507</v>
      </c>
      <c r="D2072" s="14" t="s">
        <v>771</v>
      </c>
      <c r="E2072" s="18" t="s">
        <v>9</v>
      </c>
      <c r="F2072" s="14" t="s">
        <v>517</v>
      </c>
      <c r="G2072" s="14" t="s">
        <v>518</v>
      </c>
      <c r="H2072" s="18" t="s">
        <v>5</v>
      </c>
      <c r="I2072" s="14" t="s">
        <v>115</v>
      </c>
      <c r="J2072" s="18"/>
      <c r="K2072" s="18" t="s">
        <v>651</v>
      </c>
      <c r="L2072" s="18"/>
      <c r="M2072" s="14">
        <v>1</v>
      </c>
      <c r="N2072" s="15">
        <f>96000/1.18</f>
        <v>81355.932203389835</v>
      </c>
      <c r="O2072" s="15">
        <f t="shared" si="84"/>
        <v>81355.932203389835</v>
      </c>
      <c r="P2072" s="15"/>
      <c r="Q2072" s="14" t="s">
        <v>520</v>
      </c>
      <c r="R2072" s="25">
        <v>46112</v>
      </c>
      <c r="S2072" s="34" t="str">
        <f>TEXT(Table1[[#This Row],[End Date]],"MMMM")</f>
        <v>March</v>
      </c>
      <c r="T2072" s="34" t="str">
        <f>TEXT(Table1[[#This Row],[End Date]],"YYYY")</f>
        <v>2026</v>
      </c>
      <c r="U2072" s="24">
        <f t="shared" ca="1" si="82"/>
        <v>-979</v>
      </c>
      <c r="V2072" s="14" t="str" cm="1">
        <f t="array" aca="1" ref="V2072" ca="1">_xlfn.IFS(Table1[[#This Row],[Agreement Days]]&gt;=0,"Expired",Table1[[#This Row],[Agreement Days]]&gt;=-30,"Expires &lt; 30 Days",Table1[[#This Row],[Agreement Days]]&gt;=-60,"Expires &lt; 60 Days",Table1[[#This Row],[Agreement Days]]&lt;-60,"Valid Contract")</f>
        <v>Valid Contract</v>
      </c>
      <c r="W2072" s="18" t="s">
        <v>18</v>
      </c>
      <c r="X2072" s="18" t="s">
        <v>3504</v>
      </c>
      <c r="Y2072" s="35" t="s">
        <v>3505</v>
      </c>
      <c r="Z2072" s="36" t="s">
        <v>3506</v>
      </c>
      <c r="AA2072" s="27"/>
      <c r="AB2072" s="125"/>
      <c r="AC2072" s="125"/>
    </row>
    <row r="2073" spans="1:29" s="10" customFormat="1" hidden="1" x14ac:dyDescent="0.3">
      <c r="A2073" s="18" t="s">
        <v>3502</v>
      </c>
      <c r="B2073" s="18" t="s">
        <v>189</v>
      </c>
      <c r="C2073" s="18" t="s">
        <v>544</v>
      </c>
      <c r="D2073" s="14" t="s">
        <v>771</v>
      </c>
      <c r="E2073" s="18" t="s">
        <v>9</v>
      </c>
      <c r="F2073" s="14" t="s">
        <v>517</v>
      </c>
      <c r="G2073" s="14" t="s">
        <v>518</v>
      </c>
      <c r="H2073" s="18" t="s">
        <v>5</v>
      </c>
      <c r="I2073" s="14" t="s">
        <v>120</v>
      </c>
      <c r="J2073" s="18"/>
      <c r="K2073" s="18" t="s">
        <v>649</v>
      </c>
      <c r="L2073" s="18"/>
      <c r="M2073" s="14">
        <v>1</v>
      </c>
      <c r="N2073" s="15">
        <v>258044.92</v>
      </c>
      <c r="O2073" s="15">
        <f t="shared" si="84"/>
        <v>258044.92</v>
      </c>
      <c r="P2073" s="15"/>
      <c r="Q2073" s="14" t="s">
        <v>520</v>
      </c>
      <c r="R2073" s="25">
        <v>46112</v>
      </c>
      <c r="S2073" s="34" t="str">
        <f>TEXT(Table1[[#This Row],[End Date]],"MMMM")</f>
        <v>March</v>
      </c>
      <c r="T2073" s="34" t="str">
        <f>TEXT(Table1[[#This Row],[End Date]],"YYYY")</f>
        <v>2026</v>
      </c>
      <c r="U2073" s="24">
        <f t="shared" ca="1" si="82"/>
        <v>-979</v>
      </c>
      <c r="V2073" s="14" t="str" cm="1">
        <f t="array" aca="1" ref="V2073" ca="1">_xlfn.IFS(Table1[[#This Row],[Agreement Days]]&gt;=0,"Expired",Table1[[#This Row],[Agreement Days]]&gt;=-30,"Expires &lt; 30 Days",Table1[[#This Row],[Agreement Days]]&gt;=-60,"Expires &lt; 60 Days",Table1[[#This Row],[Agreement Days]]&lt;-60,"Valid Contract")</f>
        <v>Valid Contract</v>
      </c>
      <c r="W2073" s="18" t="s">
        <v>18</v>
      </c>
      <c r="X2073" s="18" t="s">
        <v>3504</v>
      </c>
      <c r="Y2073" s="35" t="s">
        <v>3505</v>
      </c>
      <c r="Z2073" s="36" t="s">
        <v>3506</v>
      </c>
      <c r="AA2073" s="27"/>
      <c r="AB2073" s="125"/>
      <c r="AC2073" s="125"/>
    </row>
    <row r="2074" spans="1:29" s="10" customFormat="1" hidden="1" x14ac:dyDescent="0.3">
      <c r="A2074" s="18" t="s">
        <v>3502</v>
      </c>
      <c r="B2074" s="18" t="s">
        <v>189</v>
      </c>
      <c r="C2074" s="18" t="s">
        <v>544</v>
      </c>
      <c r="D2074" s="20" t="s">
        <v>771</v>
      </c>
      <c r="E2074" s="18" t="s">
        <v>9</v>
      </c>
      <c r="F2074" s="20" t="s">
        <v>517</v>
      </c>
      <c r="G2074" s="20" t="s">
        <v>518</v>
      </c>
      <c r="H2074" s="18" t="s">
        <v>4</v>
      </c>
      <c r="I2074" s="20" t="s">
        <v>118</v>
      </c>
      <c r="J2074" s="18"/>
      <c r="K2074" s="18" t="s">
        <v>650</v>
      </c>
      <c r="L2074" s="18"/>
      <c r="M2074" s="20">
        <v>1</v>
      </c>
      <c r="N2074" s="15">
        <v>369325.42</v>
      </c>
      <c r="O2074" s="15">
        <f t="shared" si="84"/>
        <v>369325.42</v>
      </c>
      <c r="P2074" s="15"/>
      <c r="Q2074" s="14" t="s">
        <v>520</v>
      </c>
      <c r="R2074" s="25">
        <v>46112</v>
      </c>
      <c r="S2074" s="34" t="str">
        <f>TEXT(Table1[[#This Row],[End Date]],"MMMM")</f>
        <v>March</v>
      </c>
      <c r="T2074" s="34" t="str">
        <f>TEXT(Table1[[#This Row],[End Date]],"YYYY")</f>
        <v>2026</v>
      </c>
      <c r="U2074" s="24">
        <f t="shared" ca="1" si="82"/>
        <v>-979</v>
      </c>
      <c r="V2074" s="14" t="str" cm="1">
        <f t="array" aca="1" ref="V2074" ca="1">_xlfn.IFS(Table1[[#This Row],[Agreement Days]]&gt;=0,"Expired",Table1[[#This Row],[Agreement Days]]&gt;=-30,"Expires &lt; 30 Days",Table1[[#This Row],[Agreement Days]]&gt;=-60,"Expires &lt; 60 Days",Table1[[#This Row],[Agreement Days]]&lt;-60,"Valid Contract")</f>
        <v>Valid Contract</v>
      </c>
      <c r="W2074" s="18" t="s">
        <v>18</v>
      </c>
      <c r="X2074" s="18" t="s">
        <v>3504</v>
      </c>
      <c r="Y2074" s="42" t="s">
        <v>3505</v>
      </c>
      <c r="Z2074" s="36" t="s">
        <v>3506</v>
      </c>
      <c r="AA2074" s="27"/>
      <c r="AB2074" s="125"/>
      <c r="AC2074" s="125"/>
    </row>
    <row r="2075" spans="1:29" s="10" customFormat="1" hidden="1" x14ac:dyDescent="0.3">
      <c r="A2075" s="18" t="s">
        <v>3502</v>
      </c>
      <c r="B2075" s="18" t="s">
        <v>189</v>
      </c>
      <c r="C2075" s="18" t="s">
        <v>544</v>
      </c>
      <c r="D2075" s="14" t="s">
        <v>771</v>
      </c>
      <c r="E2075" s="18" t="s">
        <v>9</v>
      </c>
      <c r="F2075" s="14" t="s">
        <v>517</v>
      </c>
      <c r="G2075" s="14" t="s">
        <v>518</v>
      </c>
      <c r="H2075" s="18" t="s">
        <v>5</v>
      </c>
      <c r="I2075" s="14" t="s">
        <v>115</v>
      </c>
      <c r="J2075" s="18"/>
      <c r="K2075" s="18" t="s">
        <v>651</v>
      </c>
      <c r="L2075" s="18"/>
      <c r="M2075" s="14">
        <v>3</v>
      </c>
      <c r="N2075" s="15">
        <f>96000/1.18</f>
        <v>81355.932203389835</v>
      </c>
      <c r="O2075" s="15">
        <f t="shared" si="84"/>
        <v>244067.79661016952</v>
      </c>
      <c r="P2075" s="15"/>
      <c r="Q2075" s="14" t="s">
        <v>520</v>
      </c>
      <c r="R2075" s="25">
        <v>46112</v>
      </c>
      <c r="S2075" s="34" t="str">
        <f>TEXT(Table1[[#This Row],[End Date]],"MMMM")</f>
        <v>March</v>
      </c>
      <c r="T2075" s="34" t="str">
        <f>TEXT(Table1[[#This Row],[End Date]],"YYYY")</f>
        <v>2026</v>
      </c>
      <c r="U2075" s="24">
        <f t="shared" ca="1" si="82"/>
        <v>-979</v>
      </c>
      <c r="V2075" s="14" t="str" cm="1">
        <f t="array" aca="1" ref="V2075" ca="1">_xlfn.IFS(Table1[[#This Row],[Agreement Days]]&gt;=0,"Expired",Table1[[#This Row],[Agreement Days]]&gt;=-30,"Expires &lt; 30 Days",Table1[[#This Row],[Agreement Days]]&gt;=-60,"Expires &lt; 60 Days",Table1[[#This Row],[Agreement Days]]&lt;-60,"Valid Contract")</f>
        <v>Valid Contract</v>
      </c>
      <c r="W2075" s="18" t="s">
        <v>18</v>
      </c>
      <c r="X2075" s="18" t="s">
        <v>3504</v>
      </c>
      <c r="Y2075" s="35" t="s">
        <v>3505</v>
      </c>
      <c r="Z2075" s="36" t="s">
        <v>3506</v>
      </c>
      <c r="AA2075" s="27"/>
      <c r="AB2075" s="125"/>
      <c r="AC2075" s="125"/>
    </row>
    <row r="2076" spans="1:29" s="10" customFormat="1" hidden="1" x14ac:dyDescent="0.3">
      <c r="A2076" s="18" t="s">
        <v>3502</v>
      </c>
      <c r="B2076" s="18" t="s">
        <v>189</v>
      </c>
      <c r="C2076" s="18" t="s">
        <v>544</v>
      </c>
      <c r="D2076" s="14" t="s">
        <v>771</v>
      </c>
      <c r="E2076" s="18" t="s">
        <v>9</v>
      </c>
      <c r="F2076" s="14" t="s">
        <v>517</v>
      </c>
      <c r="G2076" s="14" t="s">
        <v>518</v>
      </c>
      <c r="H2076" s="18" t="s">
        <v>5</v>
      </c>
      <c r="I2076" s="14" t="s">
        <v>115</v>
      </c>
      <c r="J2076" s="18"/>
      <c r="K2076" s="18" t="s">
        <v>1245</v>
      </c>
      <c r="L2076" s="18"/>
      <c r="M2076" s="14">
        <v>9</v>
      </c>
      <c r="N2076" s="15">
        <f>53500/1.18</f>
        <v>45338.983050847462</v>
      </c>
      <c r="O2076" s="15">
        <f t="shared" si="84"/>
        <v>408050.84745762718</v>
      </c>
      <c r="P2076" s="15"/>
      <c r="Q2076" s="14" t="s">
        <v>520</v>
      </c>
      <c r="R2076" s="25">
        <v>46112</v>
      </c>
      <c r="S2076" s="34" t="str">
        <f>TEXT(Table1[[#This Row],[End Date]],"MMMM")</f>
        <v>March</v>
      </c>
      <c r="T2076" s="34" t="str">
        <f>TEXT(Table1[[#This Row],[End Date]],"YYYY")</f>
        <v>2026</v>
      </c>
      <c r="U2076" s="24">
        <f t="shared" ca="1" si="82"/>
        <v>-979</v>
      </c>
      <c r="V2076" s="14" t="str" cm="1">
        <f t="array" aca="1" ref="V2076" ca="1">_xlfn.IFS(Table1[[#This Row],[Agreement Days]]&gt;=0,"Expired",Table1[[#This Row],[Agreement Days]]&gt;=-30,"Expires &lt; 30 Days",Table1[[#This Row],[Agreement Days]]&gt;=-60,"Expires &lt; 60 Days",Table1[[#This Row],[Agreement Days]]&lt;-60,"Valid Contract")</f>
        <v>Valid Contract</v>
      </c>
      <c r="W2076" s="18" t="s">
        <v>18</v>
      </c>
      <c r="X2076" s="18" t="s">
        <v>3504</v>
      </c>
      <c r="Y2076" s="35" t="s">
        <v>3505</v>
      </c>
      <c r="Z2076" s="36" t="s">
        <v>3506</v>
      </c>
      <c r="AA2076" s="27"/>
      <c r="AB2076" s="125"/>
      <c r="AC2076" s="125"/>
    </row>
    <row r="2077" spans="1:29" s="10" customFormat="1" hidden="1" x14ac:dyDescent="0.3">
      <c r="A2077" s="18" t="s">
        <v>3502</v>
      </c>
      <c r="B2077" s="18" t="s">
        <v>189</v>
      </c>
      <c r="C2077" s="18" t="s">
        <v>544</v>
      </c>
      <c r="D2077" s="14" t="s">
        <v>771</v>
      </c>
      <c r="E2077" s="18" t="s">
        <v>9</v>
      </c>
      <c r="F2077" s="14" t="s">
        <v>517</v>
      </c>
      <c r="G2077" s="14" t="s">
        <v>518</v>
      </c>
      <c r="H2077" s="18" t="s">
        <v>5</v>
      </c>
      <c r="I2077" s="14" t="s">
        <v>115</v>
      </c>
      <c r="J2077" s="18"/>
      <c r="K2077" s="18" t="s">
        <v>573</v>
      </c>
      <c r="L2077" s="18"/>
      <c r="M2077" s="14">
        <v>16</v>
      </c>
      <c r="N2077" s="15">
        <v>19491.53</v>
      </c>
      <c r="O2077" s="15">
        <f t="shared" si="84"/>
        <v>311864.48</v>
      </c>
      <c r="P2077" s="15"/>
      <c r="Q2077" s="14" t="s">
        <v>520</v>
      </c>
      <c r="R2077" s="25">
        <v>46112</v>
      </c>
      <c r="S2077" s="34" t="str">
        <f>TEXT(Table1[[#This Row],[End Date]],"MMMM")</f>
        <v>March</v>
      </c>
      <c r="T2077" s="34" t="str">
        <f>TEXT(Table1[[#This Row],[End Date]],"YYYY")</f>
        <v>2026</v>
      </c>
      <c r="U2077" s="24">
        <f t="shared" ca="1" si="82"/>
        <v>-979</v>
      </c>
      <c r="V2077" s="14" t="str" cm="1">
        <f t="array" aca="1" ref="V2077" ca="1">_xlfn.IFS(Table1[[#This Row],[Agreement Days]]&gt;=0,"Expired",Table1[[#This Row],[Agreement Days]]&gt;=-30,"Expires &lt; 30 Days",Table1[[#This Row],[Agreement Days]]&gt;=-60,"Expires &lt; 60 Days",Table1[[#This Row],[Agreement Days]]&lt;-60,"Valid Contract")</f>
        <v>Valid Contract</v>
      </c>
      <c r="W2077" s="18" t="s">
        <v>18</v>
      </c>
      <c r="X2077" s="18" t="s">
        <v>3504</v>
      </c>
      <c r="Y2077" s="35" t="s">
        <v>3505</v>
      </c>
      <c r="Z2077" s="36" t="s">
        <v>3506</v>
      </c>
      <c r="AA2077" s="27"/>
      <c r="AB2077" s="125"/>
      <c r="AC2077" s="125"/>
    </row>
    <row r="2078" spans="1:29" s="10" customFormat="1" hidden="1" x14ac:dyDescent="0.3">
      <c r="A2078" s="18" t="s">
        <v>3502</v>
      </c>
      <c r="B2078" s="18" t="s">
        <v>189</v>
      </c>
      <c r="C2078" s="18" t="s">
        <v>544</v>
      </c>
      <c r="D2078" s="14" t="s">
        <v>771</v>
      </c>
      <c r="E2078" s="18" t="s">
        <v>9</v>
      </c>
      <c r="F2078" s="14" t="s">
        <v>517</v>
      </c>
      <c r="G2078" s="14" t="s">
        <v>518</v>
      </c>
      <c r="H2078" s="18" t="s">
        <v>5</v>
      </c>
      <c r="I2078" s="14" t="s">
        <v>115</v>
      </c>
      <c r="J2078" s="18"/>
      <c r="K2078" s="18" t="s">
        <v>643</v>
      </c>
      <c r="L2078" s="18"/>
      <c r="M2078" s="14">
        <v>60</v>
      </c>
      <c r="N2078" s="15">
        <v>28305.08</v>
      </c>
      <c r="O2078" s="15">
        <f t="shared" si="84"/>
        <v>1698304.8</v>
      </c>
      <c r="P2078" s="15"/>
      <c r="Q2078" s="14" t="s">
        <v>520</v>
      </c>
      <c r="R2078" s="25">
        <v>46112</v>
      </c>
      <c r="S2078" s="34" t="str">
        <f>TEXT(Table1[[#This Row],[End Date]],"MMMM")</f>
        <v>March</v>
      </c>
      <c r="T2078" s="34" t="str">
        <f>TEXT(Table1[[#This Row],[End Date]],"YYYY")</f>
        <v>2026</v>
      </c>
      <c r="U2078" s="24">
        <f t="shared" ca="1" si="82"/>
        <v>-979</v>
      </c>
      <c r="V2078" s="14" t="str" cm="1">
        <f t="array" aca="1" ref="V2078" ca="1">_xlfn.IFS(Table1[[#This Row],[Agreement Days]]&gt;=0,"Expired",Table1[[#This Row],[Agreement Days]]&gt;=-30,"Expires &lt; 30 Days",Table1[[#This Row],[Agreement Days]]&gt;=-60,"Expires &lt; 60 Days",Table1[[#This Row],[Agreement Days]]&lt;-60,"Valid Contract")</f>
        <v>Valid Contract</v>
      </c>
      <c r="W2078" s="18" t="s">
        <v>18</v>
      </c>
      <c r="X2078" s="18" t="s">
        <v>3504</v>
      </c>
      <c r="Y2078" s="35" t="s">
        <v>3505</v>
      </c>
      <c r="Z2078" s="36" t="s">
        <v>3506</v>
      </c>
      <c r="AA2078" s="27"/>
      <c r="AB2078" s="125"/>
      <c r="AC2078" s="125"/>
    </row>
    <row r="2079" spans="1:29" s="10" customFormat="1" hidden="1" x14ac:dyDescent="0.3">
      <c r="A2079" s="18" t="s">
        <v>3508</v>
      </c>
      <c r="B2079" s="18" t="s">
        <v>333</v>
      </c>
      <c r="C2079" s="18" t="s">
        <v>544</v>
      </c>
      <c r="D2079" s="14" t="s">
        <v>545</v>
      </c>
      <c r="E2079" s="18" t="s">
        <v>9</v>
      </c>
      <c r="F2079" s="14" t="s">
        <v>560</v>
      </c>
      <c r="G2079" s="14" t="s">
        <v>518</v>
      </c>
      <c r="H2079" s="18" t="s">
        <v>2</v>
      </c>
      <c r="I2079" s="14" t="s">
        <v>117</v>
      </c>
      <c r="J2079" s="19">
        <v>15</v>
      </c>
      <c r="K2079" s="26" t="s">
        <v>627</v>
      </c>
      <c r="L2079" s="26"/>
      <c r="M2079" s="19">
        <v>1</v>
      </c>
      <c r="N2079" s="15">
        <v>720000</v>
      </c>
      <c r="O2079" s="15">
        <f t="shared" si="84"/>
        <v>720000</v>
      </c>
      <c r="P2079" s="15"/>
      <c r="Q2079" s="14" t="s">
        <v>520</v>
      </c>
      <c r="R2079" s="25">
        <v>46112</v>
      </c>
      <c r="S2079" s="34" t="str">
        <f>TEXT(Table1[[#This Row],[End Date]],"MMMM")</f>
        <v>March</v>
      </c>
      <c r="T2079" s="34" t="str">
        <f>TEXT(Table1[[#This Row],[End Date]],"YYYY")</f>
        <v>2026</v>
      </c>
      <c r="U2079" s="24">
        <f t="shared" ca="1" si="82"/>
        <v>-979</v>
      </c>
      <c r="V2079" s="14" t="str" cm="1">
        <f t="array" aca="1" ref="V2079" ca="1">_xlfn.IFS(Table1[[#This Row],[Agreement Days]]&gt;=0,"Expired",Table1[[#This Row],[Agreement Days]]&gt;=-30,"Expires &lt; 30 Days",Table1[[#This Row],[Agreement Days]]&gt;=-60,"Expires &lt; 60 Days",Table1[[#This Row],[Agreement Days]]&lt;-60,"Valid Contract")</f>
        <v>Valid Contract</v>
      </c>
      <c r="W2079" s="26" t="s">
        <v>17</v>
      </c>
      <c r="X2079" s="26" t="s">
        <v>3509</v>
      </c>
      <c r="Y2079" s="35" t="s">
        <v>3510</v>
      </c>
      <c r="Z2079" s="27">
        <v>780334387</v>
      </c>
      <c r="AA2079" s="27"/>
      <c r="AB2079" s="125"/>
      <c r="AC2079" s="125"/>
    </row>
    <row r="2080" spans="1:29" s="10" customFormat="1" hidden="1" x14ac:dyDescent="0.3">
      <c r="A2080" s="18" t="s">
        <v>3511</v>
      </c>
      <c r="B2080" s="18" t="s">
        <v>354</v>
      </c>
      <c r="C2080" s="18" t="s">
        <v>544</v>
      </c>
      <c r="D2080" s="14" t="s">
        <v>545</v>
      </c>
      <c r="E2080" s="18" t="s">
        <v>10</v>
      </c>
      <c r="F2080" s="14" t="s">
        <v>729</v>
      </c>
      <c r="G2080" s="14" t="s">
        <v>518</v>
      </c>
      <c r="H2080" s="18" t="s">
        <v>2</v>
      </c>
      <c r="I2080" s="14" t="s">
        <v>134</v>
      </c>
      <c r="J2080" s="19">
        <v>10</v>
      </c>
      <c r="K2080" s="26" t="s">
        <v>1257</v>
      </c>
      <c r="L2080" s="26"/>
      <c r="M2080" s="19">
        <v>1</v>
      </c>
      <c r="N2080" s="15">
        <v>510000</v>
      </c>
      <c r="O2080" s="15">
        <f t="shared" si="84"/>
        <v>510000</v>
      </c>
      <c r="P2080" s="15"/>
      <c r="Q2080" s="14" t="s">
        <v>520</v>
      </c>
      <c r="R2080" s="25">
        <v>46128</v>
      </c>
      <c r="S2080" s="34" t="str">
        <f>TEXT(Table1[[#This Row],[End Date]],"MMMM")</f>
        <v>April</v>
      </c>
      <c r="T2080" s="34" t="str">
        <f>TEXT(Table1[[#This Row],[End Date]],"YYYY")</f>
        <v>2026</v>
      </c>
      <c r="U2080" s="24">
        <f t="shared" ca="1" si="82"/>
        <v>-995</v>
      </c>
      <c r="V2080" s="14" t="str" cm="1">
        <f t="array" aca="1" ref="V2080" ca="1">_xlfn.IFS(Table1[[#This Row],[Agreement Days]]&gt;=0,"Expired",Table1[[#This Row],[Agreement Days]]&gt;=-30,"Expires &lt; 30 Days",Table1[[#This Row],[Agreement Days]]&gt;=-60,"Expires &lt; 60 Days",Table1[[#This Row],[Agreement Days]]&lt;-60,"Valid Contract")</f>
        <v>Valid Contract</v>
      </c>
      <c r="W2080" s="26" t="s">
        <v>17</v>
      </c>
      <c r="X2080" s="26" t="s">
        <v>731</v>
      </c>
      <c r="Y2080" s="18" t="s">
        <v>732</v>
      </c>
      <c r="Z2080" s="27">
        <v>788639444</v>
      </c>
      <c r="AA2080" s="27"/>
      <c r="AB2080" s="125"/>
      <c r="AC2080" s="125"/>
    </row>
    <row r="2081" spans="1:29" s="10" customFormat="1" hidden="1" x14ac:dyDescent="0.3">
      <c r="A2081" s="18" t="s">
        <v>2323</v>
      </c>
      <c r="B2081" s="18" t="s">
        <v>327</v>
      </c>
      <c r="C2081" s="18" t="s">
        <v>2324</v>
      </c>
      <c r="D2081" s="14" t="s">
        <v>616</v>
      </c>
      <c r="E2081" s="18" t="s">
        <v>9</v>
      </c>
      <c r="F2081" s="14" t="s">
        <v>688</v>
      </c>
      <c r="G2081" s="14" t="s">
        <v>518</v>
      </c>
      <c r="H2081" s="18" t="s">
        <v>5</v>
      </c>
      <c r="I2081" s="14" t="s">
        <v>117</v>
      </c>
      <c r="J2081" s="14">
        <v>3</v>
      </c>
      <c r="K2081" s="18" t="s">
        <v>646</v>
      </c>
      <c r="L2081" s="18"/>
      <c r="M2081" s="14">
        <v>1</v>
      </c>
      <c r="N2081" s="15">
        <v>180000</v>
      </c>
      <c r="O2081" s="15">
        <f t="shared" si="84"/>
        <v>180000</v>
      </c>
      <c r="P2081" s="15"/>
      <c r="Q2081" s="14" t="s">
        <v>520</v>
      </c>
      <c r="R2081" s="25">
        <v>46131</v>
      </c>
      <c r="S2081" s="34" t="str">
        <f>TEXT(Table1[[#This Row],[End Date]],"MMMM")</f>
        <v>April</v>
      </c>
      <c r="T2081" s="34" t="str">
        <f>TEXT(Table1[[#This Row],[End Date]],"YYYY")</f>
        <v>2026</v>
      </c>
      <c r="U2081" s="24">
        <f t="shared" ca="1" si="82"/>
        <v>-998</v>
      </c>
      <c r="V2081" s="14" t="str" cm="1">
        <f t="array" aca="1" ref="V2081" ca="1">_xlfn.IFS(Table1[[#This Row],[Agreement Days]]&gt;=0,"Expired",Table1[[#This Row],[Agreement Days]]&gt;=-30,"Expires &lt; 30 Days",Table1[[#This Row],[Agreement Days]]&gt;=-60,"Expires &lt; 60 Days",Table1[[#This Row],[Agreement Days]]&lt;-60,"Valid Contract")</f>
        <v>Valid Contract</v>
      </c>
      <c r="W2081" s="18" t="s">
        <v>21</v>
      </c>
      <c r="X2081" s="18" t="s">
        <v>2325</v>
      </c>
      <c r="Y2081" s="42" t="s">
        <v>2326</v>
      </c>
      <c r="Z2081" s="27">
        <v>782165443</v>
      </c>
      <c r="AA2081" s="27"/>
      <c r="AB2081" s="125"/>
      <c r="AC2081" s="125"/>
    </row>
    <row r="2082" spans="1:29" s="10" customFormat="1" hidden="1" x14ac:dyDescent="0.3">
      <c r="A2082" s="18" t="s">
        <v>3512</v>
      </c>
      <c r="B2082" s="18" t="s">
        <v>70</v>
      </c>
      <c r="C2082" s="18" t="s">
        <v>70</v>
      </c>
      <c r="D2082" s="14" t="s">
        <v>630</v>
      </c>
      <c r="E2082" s="18" t="s">
        <v>9</v>
      </c>
      <c r="F2082" s="14" t="s">
        <v>631</v>
      </c>
      <c r="G2082" s="14" t="s">
        <v>518</v>
      </c>
      <c r="H2082" s="18" t="s">
        <v>5</v>
      </c>
      <c r="I2082" s="14" t="s">
        <v>117</v>
      </c>
      <c r="J2082" s="14">
        <v>3</v>
      </c>
      <c r="K2082" s="14" t="s">
        <v>632</v>
      </c>
      <c r="L2082" s="14"/>
      <c r="M2082" s="14">
        <v>1</v>
      </c>
      <c r="N2082" s="15">
        <v>180000</v>
      </c>
      <c r="O2082" s="15">
        <f t="shared" si="84"/>
        <v>180000</v>
      </c>
      <c r="P2082" s="15"/>
      <c r="Q2082" s="14" t="s">
        <v>520</v>
      </c>
      <c r="R2082" s="21">
        <v>46142</v>
      </c>
      <c r="S2082" s="22" t="str">
        <f>TEXT(Table1[[#This Row],[End Date]],"MMMM")</f>
        <v>April</v>
      </c>
      <c r="T2082" s="23"/>
      <c r="U2082" s="24">
        <f t="shared" ca="1" si="82"/>
        <v>-1009</v>
      </c>
      <c r="V2082" s="14" t="str" cm="1">
        <f t="array" aca="1" ref="V2082" ca="1">_xlfn.IFS(Table1[[#This Row],[Agreement Days]]&gt;=0,"Expired",Table1[[#This Row],[Agreement Days]]&gt;=-30,"Expires &lt; 30 Days",Table1[[#This Row],[Agreement Days]]&gt;=-60,"Expires &lt; 60 Days",Table1[[#This Row],[Agreement Days]]&lt;-60,"Valid Contract")</f>
        <v>Valid Contract</v>
      </c>
      <c r="W2082" s="14" t="s">
        <v>13</v>
      </c>
      <c r="X2082" s="14" t="s">
        <v>3513</v>
      </c>
      <c r="Y2082" s="43" t="s">
        <v>3514</v>
      </c>
      <c r="Z2082" s="17" t="s">
        <v>3515</v>
      </c>
      <c r="AA2082" s="17"/>
      <c r="AB2082" s="116"/>
      <c r="AC2082" s="116"/>
    </row>
    <row r="2083" spans="1:29" s="10" customFormat="1" hidden="1" x14ac:dyDescent="0.3">
      <c r="A2083" s="18" t="s">
        <v>3516</v>
      </c>
      <c r="B2083" s="18" t="s">
        <v>84</v>
      </c>
      <c r="C2083" s="18" t="s">
        <v>84</v>
      </c>
      <c r="D2083" s="14" t="s">
        <v>630</v>
      </c>
      <c r="E2083" s="18" t="s">
        <v>9</v>
      </c>
      <c r="F2083" s="14" t="s">
        <v>631</v>
      </c>
      <c r="G2083" s="14" t="s">
        <v>518</v>
      </c>
      <c r="H2083" s="18" t="s">
        <v>5</v>
      </c>
      <c r="I2083" s="14" t="s">
        <v>117</v>
      </c>
      <c r="J2083" s="14">
        <v>3</v>
      </c>
      <c r="K2083" s="14" t="s">
        <v>632</v>
      </c>
      <c r="L2083" s="14"/>
      <c r="M2083" s="14">
        <v>1</v>
      </c>
      <c r="N2083" s="15">
        <v>180000</v>
      </c>
      <c r="O2083" s="15">
        <f t="shared" si="84"/>
        <v>180000</v>
      </c>
      <c r="P2083" s="15"/>
      <c r="Q2083" s="14" t="s">
        <v>520</v>
      </c>
      <c r="R2083" s="21">
        <v>46142</v>
      </c>
      <c r="S2083" s="22" t="str">
        <f>TEXT(Table1[[#This Row],[End Date]],"MMMM")</f>
        <v>April</v>
      </c>
      <c r="T2083" s="23" t="str">
        <f>TEXT(Table1[[#This Row],[End Date]],"YYYY")</f>
        <v>2026</v>
      </c>
      <c r="U2083" s="24">
        <f t="shared" ca="1" si="82"/>
        <v>-1009</v>
      </c>
      <c r="V2083" s="14" t="str" cm="1">
        <f t="array" aca="1" ref="V2083" ca="1">_xlfn.IFS(Table1[[#This Row],[Agreement Days]]&gt;=0,"Expired",Table1[[#This Row],[Agreement Days]]&gt;=-30,"Expires &lt; 30 Days",Table1[[#This Row],[Agreement Days]]&gt;=-60,"Expires &lt; 60 Days",Table1[[#This Row],[Agreement Days]]&lt;-60,"Valid Contract")</f>
        <v>Valid Contract</v>
      </c>
      <c r="W2083" s="14" t="s">
        <v>13</v>
      </c>
      <c r="X2083" s="14" t="s">
        <v>3517</v>
      </c>
      <c r="Y2083" s="43" t="s">
        <v>3518</v>
      </c>
      <c r="Z2083" s="17">
        <v>788300888</v>
      </c>
      <c r="AA2083" s="17"/>
      <c r="AB2083" s="125"/>
      <c r="AC2083" s="125"/>
    </row>
    <row r="2084" spans="1:29" s="10" customFormat="1" hidden="1" x14ac:dyDescent="0.3">
      <c r="A2084" s="18" t="s">
        <v>3519</v>
      </c>
      <c r="B2084" s="18" t="s">
        <v>105</v>
      </c>
      <c r="C2084" s="18" t="s">
        <v>105</v>
      </c>
      <c r="D2084" s="14" t="s">
        <v>769</v>
      </c>
      <c r="E2084" s="18" t="s">
        <v>9</v>
      </c>
      <c r="F2084" s="14" t="s">
        <v>631</v>
      </c>
      <c r="G2084" s="14" t="s">
        <v>518</v>
      </c>
      <c r="H2084" s="18" t="s">
        <v>5</v>
      </c>
      <c r="I2084" s="14" t="s">
        <v>117</v>
      </c>
      <c r="J2084" s="14">
        <v>1</v>
      </c>
      <c r="K2084" s="14" t="s">
        <v>677</v>
      </c>
      <c r="L2084" s="14"/>
      <c r="M2084" s="14">
        <v>1</v>
      </c>
      <c r="N2084" s="15">
        <v>90000</v>
      </c>
      <c r="O2084" s="15">
        <f t="shared" si="84"/>
        <v>90000</v>
      </c>
      <c r="P2084" s="15"/>
      <c r="Q2084" s="14" t="s">
        <v>520</v>
      </c>
      <c r="R2084" s="21">
        <v>46142</v>
      </c>
      <c r="S2084" s="22" t="str">
        <f>TEXT(Table1[[#This Row],[End Date]],"MMMM")</f>
        <v>April</v>
      </c>
      <c r="T2084" s="23" t="str">
        <f>TEXT(Table1[[#This Row],[End Date]],"YYYY")</f>
        <v>2026</v>
      </c>
      <c r="U2084" s="24">
        <f t="shared" ca="1" si="82"/>
        <v>-1009</v>
      </c>
      <c r="V2084" s="14" t="str" cm="1">
        <f t="array" aca="1" ref="V2084" ca="1">_xlfn.IFS(Table1[[#This Row],[Agreement Days]]&gt;=0,"Expired",Table1[[#This Row],[Agreement Days]]&gt;=-30,"Expires &lt; 30 Days",Table1[[#This Row],[Agreement Days]]&gt;=-60,"Expires &lt; 60 Days",Table1[[#This Row],[Agreement Days]]&lt;-60,"Valid Contract")</f>
        <v>Valid Contract</v>
      </c>
      <c r="W2084" s="14" t="s">
        <v>13</v>
      </c>
      <c r="X2084" s="14" t="s">
        <v>3520</v>
      </c>
      <c r="Y2084" s="43" t="s">
        <v>3521</v>
      </c>
      <c r="Z2084" s="17" t="s">
        <v>3522</v>
      </c>
      <c r="AA2084" s="17"/>
      <c r="AB2084" s="125"/>
      <c r="AC2084" s="125"/>
    </row>
    <row r="2085" spans="1:29" s="10" customFormat="1" hidden="1" x14ac:dyDescent="0.3">
      <c r="A2085" s="18" t="s">
        <v>3523</v>
      </c>
      <c r="B2085" s="18" t="s">
        <v>87</v>
      </c>
      <c r="C2085" s="18" t="s">
        <v>87</v>
      </c>
      <c r="D2085" s="14" t="s">
        <v>929</v>
      </c>
      <c r="E2085" s="18" t="s">
        <v>9</v>
      </c>
      <c r="F2085" s="14" t="s">
        <v>631</v>
      </c>
      <c r="G2085" s="14" t="s">
        <v>518</v>
      </c>
      <c r="H2085" s="18" t="s">
        <v>5</v>
      </c>
      <c r="I2085" s="14" t="s">
        <v>117</v>
      </c>
      <c r="J2085" s="14">
        <v>3</v>
      </c>
      <c r="K2085" s="14" t="s">
        <v>632</v>
      </c>
      <c r="L2085" s="14"/>
      <c r="M2085" s="14">
        <v>1</v>
      </c>
      <c r="N2085" s="15">
        <v>180000</v>
      </c>
      <c r="O2085" s="15">
        <f t="shared" si="84"/>
        <v>180000</v>
      </c>
      <c r="P2085" s="15"/>
      <c r="Q2085" s="14" t="s">
        <v>520</v>
      </c>
      <c r="R2085" s="21">
        <v>46142</v>
      </c>
      <c r="S2085" s="22" t="str">
        <f>TEXT(Table1[[#This Row],[End Date]],"MMMM")</f>
        <v>April</v>
      </c>
      <c r="T2085" s="23"/>
      <c r="U2085" s="24">
        <f t="shared" ca="1" si="82"/>
        <v>-1009</v>
      </c>
      <c r="V2085" s="14" t="str" cm="1">
        <f t="array" aca="1" ref="V2085" ca="1">_xlfn.IFS(Table1[[#This Row],[Agreement Days]]&gt;=0,"Expired",Table1[[#This Row],[Agreement Days]]&gt;=-30,"Expires &lt; 30 Days",Table1[[#This Row],[Agreement Days]]&gt;=-60,"Expires &lt; 60 Days",Table1[[#This Row],[Agreement Days]]&lt;-60,"Valid Contract")</f>
        <v>Valid Contract</v>
      </c>
      <c r="W2085" s="14" t="s">
        <v>13</v>
      </c>
      <c r="X2085" s="14" t="s">
        <v>3524</v>
      </c>
      <c r="Y2085" s="43" t="s">
        <v>3525</v>
      </c>
      <c r="Z2085" s="17">
        <v>788748996</v>
      </c>
      <c r="AA2085" s="17"/>
      <c r="AB2085" s="125"/>
      <c r="AC2085" s="125"/>
    </row>
    <row r="2086" spans="1:29" s="10" customFormat="1" hidden="1" x14ac:dyDescent="0.3">
      <c r="A2086" s="18" t="s">
        <v>3526</v>
      </c>
      <c r="B2086" s="18" t="s">
        <v>31</v>
      </c>
      <c r="C2086" s="18" t="s">
        <v>31</v>
      </c>
      <c r="D2086" s="14" t="s">
        <v>735</v>
      </c>
      <c r="E2086" s="18" t="s">
        <v>9</v>
      </c>
      <c r="F2086" s="14" t="s">
        <v>631</v>
      </c>
      <c r="G2086" s="14" t="s">
        <v>518</v>
      </c>
      <c r="H2086" s="18" t="s">
        <v>2</v>
      </c>
      <c r="I2086" s="14" t="s">
        <v>117</v>
      </c>
      <c r="J2086" s="14">
        <v>60</v>
      </c>
      <c r="K2086" s="14" t="s">
        <v>2277</v>
      </c>
      <c r="L2086" s="14"/>
      <c r="M2086" s="14">
        <v>1</v>
      </c>
      <c r="N2086" s="15">
        <f>2708100/1.18</f>
        <v>2295000</v>
      </c>
      <c r="O2086" s="15">
        <f t="shared" si="84"/>
        <v>2295000</v>
      </c>
      <c r="P2086" s="15"/>
      <c r="Q2086" s="14" t="s">
        <v>520</v>
      </c>
      <c r="R2086" s="21">
        <v>46142</v>
      </c>
      <c r="S2086" s="22" t="str">
        <f>TEXT(Table1[[#This Row],[End Date]],"MMMM")</f>
        <v>April</v>
      </c>
      <c r="T2086" s="23" t="str">
        <f>TEXT(Table1[[#This Row],[End Date]],"YYYY")</f>
        <v>2026</v>
      </c>
      <c r="U2086" s="24">
        <f t="shared" ca="1" si="82"/>
        <v>-1009</v>
      </c>
      <c r="V2086" s="14" t="str" cm="1">
        <f t="array" aca="1" ref="V2086" ca="1">_xlfn.IFS(Table1[[#This Row],[Agreement Days]]&gt;=0,"Expired",Table1[[#This Row],[Agreement Days]]&gt;=-30,"Expires &lt; 30 Days",Table1[[#This Row],[Agreement Days]]&gt;=-60,"Expires &lt; 60 Days",Table1[[#This Row],[Agreement Days]]&lt;-60,"Valid Contract")</f>
        <v>Valid Contract</v>
      </c>
      <c r="W2086" s="14" t="s">
        <v>13</v>
      </c>
      <c r="X2086" s="14" t="s">
        <v>1566</v>
      </c>
      <c r="Y2086" s="49" t="s">
        <v>3527</v>
      </c>
      <c r="Z2086" s="17">
        <v>788689002</v>
      </c>
      <c r="AA2086" s="17" t="s">
        <v>3528</v>
      </c>
      <c r="AB2086" s="125"/>
      <c r="AC2086" s="125"/>
    </row>
    <row r="2087" spans="1:29" s="79" customFormat="1" hidden="1" x14ac:dyDescent="0.3">
      <c r="A2087" s="18" t="s">
        <v>3526</v>
      </c>
      <c r="B2087" s="18" t="s">
        <v>31</v>
      </c>
      <c r="C2087" s="18" t="s">
        <v>31</v>
      </c>
      <c r="D2087" s="14" t="s">
        <v>735</v>
      </c>
      <c r="E2087" s="18" t="s">
        <v>9</v>
      </c>
      <c r="F2087" s="14" t="s">
        <v>631</v>
      </c>
      <c r="G2087" s="14" t="s">
        <v>518</v>
      </c>
      <c r="H2087" s="18" t="s">
        <v>2</v>
      </c>
      <c r="I2087" s="14" t="s">
        <v>117</v>
      </c>
      <c r="J2087" s="14">
        <v>4</v>
      </c>
      <c r="K2087" s="18" t="s">
        <v>3529</v>
      </c>
      <c r="L2087" s="18"/>
      <c r="M2087" s="14">
        <v>4</v>
      </c>
      <c r="N2087" s="14">
        <v>77712</v>
      </c>
      <c r="O2087" s="15">
        <f t="shared" si="84"/>
        <v>310848</v>
      </c>
      <c r="P2087" s="15"/>
      <c r="Q2087" s="14" t="s">
        <v>520</v>
      </c>
      <c r="R2087" s="21">
        <v>46142</v>
      </c>
      <c r="S2087" s="34" t="str">
        <f>TEXT(Table1[[#This Row],[End Date]],"MMMM")</f>
        <v>April</v>
      </c>
      <c r="T2087" s="22" t="str">
        <f>TEXT(Table1[[#This Row],[End Date]],"YYYY")</f>
        <v>2026</v>
      </c>
      <c r="U2087" s="28">
        <f t="shared" ca="1" si="82"/>
        <v>-1009</v>
      </c>
      <c r="V2087" s="14" t="str" cm="1">
        <f t="array" aca="1" ref="V2087" ca="1">_xlfn.IFS(Table1[[#This Row],[Agreement Days]]&gt;=0,"Expired",Table1[[#This Row],[Agreement Days]]&gt;=-30,"Expires &lt; 30 Days",Table1[[#This Row],[Agreement Days]]&gt;=-60,"Expires &lt; 60 Days",Table1[[#This Row],[Agreement Days]]&lt;-60,"Valid Contract")</f>
        <v>Valid Contract</v>
      </c>
      <c r="W2087" s="14" t="s">
        <v>13</v>
      </c>
      <c r="X2087" s="14" t="s">
        <v>1566</v>
      </c>
      <c r="Y2087" s="33" t="s">
        <v>3527</v>
      </c>
      <c r="Z2087" s="17">
        <v>788689002</v>
      </c>
      <c r="AA2087" s="27"/>
      <c r="AB2087" s="125"/>
      <c r="AC2087" s="125"/>
    </row>
    <row r="2088" spans="1:29" s="10" customFormat="1" hidden="1" x14ac:dyDescent="0.3">
      <c r="A2088" s="18" t="s">
        <v>3377</v>
      </c>
      <c r="B2088" s="18" t="s">
        <v>282</v>
      </c>
      <c r="C2088" s="18" t="s">
        <v>3378</v>
      </c>
      <c r="D2088" s="14" t="s">
        <v>761</v>
      </c>
      <c r="E2088" s="18" t="s">
        <v>9</v>
      </c>
      <c r="F2088" s="14" t="s">
        <v>688</v>
      </c>
      <c r="G2088" s="14" t="s">
        <v>518</v>
      </c>
      <c r="H2088" s="18" t="s">
        <v>5</v>
      </c>
      <c r="I2088" s="14" t="s">
        <v>117</v>
      </c>
      <c r="J2088" s="14">
        <v>10</v>
      </c>
      <c r="K2088" s="18" t="s">
        <v>547</v>
      </c>
      <c r="L2088" s="18"/>
      <c r="M2088" s="14">
        <v>1</v>
      </c>
      <c r="N2088" s="15">
        <v>510000</v>
      </c>
      <c r="O2088" s="15">
        <f t="shared" si="84"/>
        <v>510000</v>
      </c>
      <c r="P2088" s="15"/>
      <c r="Q2088" s="14" t="s">
        <v>520</v>
      </c>
      <c r="R2088" s="25">
        <v>46142</v>
      </c>
      <c r="S2088" s="34" t="str">
        <f>TEXT(Table1[[#This Row],[End Date]],"MMMM")</f>
        <v>April</v>
      </c>
      <c r="T2088" s="34" t="str">
        <f>TEXT(Table1[[#This Row],[End Date]],"YYYY")</f>
        <v>2026</v>
      </c>
      <c r="U2088" s="24">
        <f t="shared" ca="1" si="82"/>
        <v>-1009</v>
      </c>
      <c r="V2088" s="14" t="str" cm="1">
        <f t="array" aca="1" ref="V2088" ca="1">_xlfn.IFS(Table1[[#This Row],[Agreement Days]]&gt;=0,"Expired",Table1[[#This Row],[Agreement Days]]&gt;=-30,"Expires &lt; 30 Days",Table1[[#This Row],[Agreement Days]]&gt;=-60,"Expires &lt; 60 Days",Table1[[#This Row],[Agreement Days]]&lt;-60,"Valid Contract")</f>
        <v>Valid Contract</v>
      </c>
      <c r="W2088" s="18" t="s">
        <v>21</v>
      </c>
      <c r="X2088" s="18" t="s">
        <v>3379</v>
      </c>
      <c r="Y2088" s="42" t="s">
        <v>3380</v>
      </c>
      <c r="Z2088" s="27">
        <v>788857767</v>
      </c>
      <c r="AA2088" s="27"/>
      <c r="AB2088" s="125"/>
      <c r="AC2088" s="125"/>
    </row>
    <row r="2089" spans="1:29" s="10" customFormat="1" hidden="1" x14ac:dyDescent="0.3">
      <c r="A2089" s="18" t="s">
        <v>3377</v>
      </c>
      <c r="B2089" s="18" t="s">
        <v>282</v>
      </c>
      <c r="C2089" s="18" t="s">
        <v>3378</v>
      </c>
      <c r="D2089" s="14" t="s">
        <v>761</v>
      </c>
      <c r="E2089" s="18" t="s">
        <v>9</v>
      </c>
      <c r="F2089" s="14" t="s">
        <v>688</v>
      </c>
      <c r="G2089" s="14" t="s">
        <v>518</v>
      </c>
      <c r="H2089" s="18" t="s">
        <v>4</v>
      </c>
      <c r="I2089" s="14" t="s">
        <v>118</v>
      </c>
      <c r="J2089" s="18"/>
      <c r="K2089" s="18" t="s">
        <v>650</v>
      </c>
      <c r="L2089" s="18"/>
      <c r="M2089" s="14">
        <v>1</v>
      </c>
      <c r="N2089" s="15">
        <v>369325</v>
      </c>
      <c r="O2089" s="15">
        <f t="shared" si="84"/>
        <v>369325</v>
      </c>
      <c r="P2089" s="15"/>
      <c r="Q2089" s="14" t="s">
        <v>520</v>
      </c>
      <c r="R2089" s="25">
        <v>46142</v>
      </c>
      <c r="S2089" s="34" t="str">
        <f>TEXT(Table1[[#This Row],[End Date]],"MMMM")</f>
        <v>April</v>
      </c>
      <c r="T2089" s="34" t="str">
        <f>TEXT(Table1[[#This Row],[End Date]],"YYYY")</f>
        <v>2026</v>
      </c>
      <c r="U2089" s="24">
        <f t="shared" ca="1" si="82"/>
        <v>-1009</v>
      </c>
      <c r="V2089" s="14" t="str" cm="1">
        <f t="array" aca="1" ref="V2089" ca="1">_xlfn.IFS(Table1[[#This Row],[Agreement Days]]&gt;=0,"Expired",Table1[[#This Row],[Agreement Days]]&gt;=-30,"Expires &lt; 30 Days",Table1[[#This Row],[Agreement Days]]&gt;=-60,"Expires &lt; 60 Days",Table1[[#This Row],[Agreement Days]]&lt;-60,"Valid Contract")</f>
        <v>Valid Contract</v>
      </c>
      <c r="W2089" s="18" t="s">
        <v>21</v>
      </c>
      <c r="X2089" s="18" t="s">
        <v>3379</v>
      </c>
      <c r="Y2089" s="42" t="s">
        <v>3380</v>
      </c>
      <c r="Z2089" s="27">
        <v>788857767</v>
      </c>
      <c r="AA2089" s="27"/>
      <c r="AB2089" s="125"/>
      <c r="AC2089" s="125"/>
    </row>
    <row r="2090" spans="1:29" s="10" customFormat="1" hidden="1" x14ac:dyDescent="0.3">
      <c r="A2090" s="18" t="s">
        <v>2341</v>
      </c>
      <c r="B2090" s="18" t="s">
        <v>278</v>
      </c>
      <c r="C2090" s="18" t="s">
        <v>278</v>
      </c>
      <c r="D2090" s="14" t="s">
        <v>653</v>
      </c>
      <c r="E2090" s="18" t="s">
        <v>9</v>
      </c>
      <c r="F2090" s="14" t="s">
        <v>517</v>
      </c>
      <c r="G2090" s="14" t="s">
        <v>518</v>
      </c>
      <c r="H2090" s="18" t="s">
        <v>5</v>
      </c>
      <c r="I2090" s="14" t="s">
        <v>115</v>
      </c>
      <c r="J2090" s="14"/>
      <c r="K2090" s="14" t="s">
        <v>3530</v>
      </c>
      <c r="L2090" s="14"/>
      <c r="M2090" s="14">
        <v>1</v>
      </c>
      <c r="N2090" s="2">
        <f>120000/1.18</f>
        <v>101694.91525423729</v>
      </c>
      <c r="O2090" s="2">
        <f t="shared" si="84"/>
        <v>101694.91525423729</v>
      </c>
      <c r="P2090" s="2"/>
      <c r="Q2090" s="14" t="s">
        <v>520</v>
      </c>
      <c r="R2090" s="25">
        <v>46143</v>
      </c>
      <c r="S2090" s="57" t="str">
        <f>TEXT(Table1[[#This Row],[End Date]],"MMMM")</f>
        <v>May</v>
      </c>
      <c r="T2090" s="57" t="str">
        <f>TEXT(Table1[[#This Row],[End Date]],"YYYY")</f>
        <v>2026</v>
      </c>
      <c r="U2090" s="58">
        <f t="shared" ca="1" si="82"/>
        <v>-1010</v>
      </c>
      <c r="V2090" s="14" t="str" cm="1">
        <f t="array" aca="1" ref="V2090" ca="1">_xlfn.IFS(Table1[[#This Row],[Agreement Days]]&gt;=0,"Expired",Table1[[#This Row],[Agreement Days]]&gt;=-30,"Expires &lt; 30 Days",Table1[[#This Row],[Agreement Days]]&gt;=-60,"Expires &lt; 60 Days",Table1[[#This Row],[Agreement Days]]&lt;-60,"Valid Contract")</f>
        <v>Valid Contract</v>
      </c>
      <c r="W2090" s="14" t="s">
        <v>19</v>
      </c>
      <c r="X2090" s="14" t="s">
        <v>2342</v>
      </c>
      <c r="Y2090" s="16" t="s">
        <v>2343</v>
      </c>
      <c r="Z2090" s="27">
        <v>788352491</v>
      </c>
      <c r="AA2090" s="17"/>
      <c r="AB2090" s="125"/>
      <c r="AC2090" s="125"/>
    </row>
    <row r="2091" spans="1:29" s="10" customFormat="1" hidden="1" x14ac:dyDescent="0.3">
      <c r="A2091" s="18" t="s">
        <v>3531</v>
      </c>
      <c r="B2091" s="18" t="s">
        <v>476</v>
      </c>
      <c r="C2091" s="18" t="s">
        <v>3532</v>
      </c>
      <c r="D2091" s="14" t="s">
        <v>545</v>
      </c>
      <c r="E2091" s="18" t="s">
        <v>10</v>
      </c>
      <c r="F2091" s="14" t="s">
        <v>560</v>
      </c>
      <c r="G2091" s="14" t="s">
        <v>518</v>
      </c>
      <c r="H2091" s="18" t="s">
        <v>2</v>
      </c>
      <c r="I2091" s="14" t="s">
        <v>123</v>
      </c>
      <c r="J2091" s="18"/>
      <c r="K2091" s="18" t="s">
        <v>3533</v>
      </c>
      <c r="L2091" s="18"/>
      <c r="M2091" s="14">
        <v>1</v>
      </c>
      <c r="N2091" s="15">
        <f>18232.18/1.18</f>
        <v>15451.000000000002</v>
      </c>
      <c r="O2091" s="15">
        <f t="shared" si="84"/>
        <v>15451.000000000002</v>
      </c>
      <c r="P2091" s="15"/>
      <c r="Q2091" s="14" t="s">
        <v>857</v>
      </c>
      <c r="R2091" s="25">
        <v>46149</v>
      </c>
      <c r="S2091" s="34" t="str">
        <f>TEXT(Table1[[#This Row],[End Date]],"MMMM")</f>
        <v>May</v>
      </c>
      <c r="T2091" s="34" t="str">
        <f>TEXT(Table1[[#This Row],[End Date]],"YYYY")</f>
        <v>2026</v>
      </c>
      <c r="U2091" s="24">
        <f t="shared" ca="1" si="82"/>
        <v>-1016</v>
      </c>
      <c r="V2091" s="14" t="str" cm="1">
        <f t="array" aca="1" ref="V2091" ca="1">_xlfn.IFS(Table1[[#This Row],[Agreement Days]]&gt;=0,"Expired",Table1[[#This Row],[Agreement Days]]&gt;=-30,"Expires &lt; 30 Days",Table1[[#This Row],[Agreement Days]]&gt;=-60,"Expires &lt; 60 Days",Table1[[#This Row],[Agreement Days]]&lt;-60,"Valid Contract")</f>
        <v>Valid Contract</v>
      </c>
      <c r="W2091" s="18" t="s">
        <v>21</v>
      </c>
      <c r="X2091" s="18" t="s">
        <v>3534</v>
      </c>
      <c r="Y2091" s="42" t="s">
        <v>3535</v>
      </c>
      <c r="Z2091" s="27">
        <v>784762982</v>
      </c>
      <c r="AA2091" s="27"/>
      <c r="AB2091" s="125"/>
      <c r="AC2091" s="125"/>
    </row>
    <row r="2092" spans="1:29" s="10" customFormat="1" hidden="1" x14ac:dyDescent="0.3">
      <c r="A2092" s="18" t="s">
        <v>3536</v>
      </c>
      <c r="B2092" s="18" t="s">
        <v>157</v>
      </c>
      <c r="C2092" s="18" t="s">
        <v>544</v>
      </c>
      <c r="D2092" s="14" t="s">
        <v>662</v>
      </c>
      <c r="E2092" s="18" t="s">
        <v>9</v>
      </c>
      <c r="F2092" s="14" t="s">
        <v>517</v>
      </c>
      <c r="G2092" s="14" t="s">
        <v>518</v>
      </c>
      <c r="H2092" s="18" t="s">
        <v>5</v>
      </c>
      <c r="I2092" s="14" t="s">
        <v>117</v>
      </c>
      <c r="J2092" s="14">
        <v>3</v>
      </c>
      <c r="K2092" s="14" t="s">
        <v>646</v>
      </c>
      <c r="L2092" s="14"/>
      <c r="M2092" s="14">
        <v>1</v>
      </c>
      <c r="N2092" s="15">
        <v>180000</v>
      </c>
      <c r="O2092" s="15">
        <f t="shared" si="84"/>
        <v>180000</v>
      </c>
      <c r="P2092" s="15"/>
      <c r="Q2092" s="14" t="s">
        <v>520</v>
      </c>
      <c r="R2092" s="21">
        <v>46159</v>
      </c>
      <c r="S2092" s="22" t="str">
        <f>TEXT(Table1[[#This Row],[End Date]],"MMMM")</f>
        <v>May</v>
      </c>
      <c r="T2092" s="23" t="str">
        <f>TEXT(Table1[[#This Row],[End Date]],"YYYY")</f>
        <v>2026</v>
      </c>
      <c r="U2092" s="24">
        <f t="shared" ca="1" si="82"/>
        <v>-1026</v>
      </c>
      <c r="V2092" s="14" t="str" cm="1">
        <f t="array" aca="1" ref="V2092" ca="1">_xlfn.IFS(Table1[[#This Row],[Agreement Days]]&gt;=0,"Expired",Table1[[#This Row],[Agreement Days]]&gt;=-30,"Expires &lt; 30 Days",Table1[[#This Row],[Agreement Days]]&gt;=-60,"Expires &lt; 60 Days",Table1[[#This Row],[Agreement Days]]&lt;-60,"Valid Contract")</f>
        <v>Valid Contract</v>
      </c>
      <c r="W2092" s="14" t="s">
        <v>19</v>
      </c>
      <c r="X2092" s="14" t="s">
        <v>3537</v>
      </c>
      <c r="Y2092" s="14" t="s">
        <v>3538</v>
      </c>
      <c r="Z2092" s="17">
        <v>788500943</v>
      </c>
      <c r="AA2092" s="17"/>
      <c r="AB2092" s="125"/>
      <c r="AC2092" s="125"/>
    </row>
    <row r="2093" spans="1:29" s="10" customFormat="1" hidden="1" x14ac:dyDescent="0.3">
      <c r="A2093" s="18" t="s">
        <v>3536</v>
      </c>
      <c r="B2093" s="18" t="s">
        <v>157</v>
      </c>
      <c r="C2093" s="18" t="s">
        <v>544</v>
      </c>
      <c r="D2093" s="14" t="s">
        <v>662</v>
      </c>
      <c r="E2093" s="18" t="s">
        <v>9</v>
      </c>
      <c r="F2093" s="14" t="s">
        <v>517</v>
      </c>
      <c r="G2093" s="14" t="s">
        <v>518</v>
      </c>
      <c r="H2093" s="18" t="s">
        <v>5</v>
      </c>
      <c r="I2093" s="14" t="s">
        <v>117</v>
      </c>
      <c r="J2093" s="14">
        <v>5</v>
      </c>
      <c r="K2093" s="14" t="s">
        <v>519</v>
      </c>
      <c r="L2093" s="14"/>
      <c r="M2093" s="14">
        <v>1</v>
      </c>
      <c r="N2093" s="15">
        <v>270000</v>
      </c>
      <c r="O2093" s="15">
        <f t="shared" si="84"/>
        <v>270000</v>
      </c>
      <c r="P2093" s="15"/>
      <c r="Q2093" s="14" t="s">
        <v>520</v>
      </c>
      <c r="R2093" s="21">
        <v>46159</v>
      </c>
      <c r="S2093" s="22" t="str">
        <f>TEXT(Table1[[#This Row],[End Date]],"MMMM")</f>
        <v>May</v>
      </c>
      <c r="T2093" s="23" t="str">
        <f>TEXT(Table1[[#This Row],[End Date]],"YYYY")</f>
        <v>2026</v>
      </c>
      <c r="U2093" s="24">
        <f t="shared" ca="1" si="82"/>
        <v>-1026</v>
      </c>
      <c r="V2093" s="14" t="str" cm="1">
        <f t="array" aca="1" ref="V2093" ca="1">_xlfn.IFS(Table1[[#This Row],[Agreement Days]]&gt;=0,"Expired",Table1[[#This Row],[Agreement Days]]&gt;=-30,"Expires &lt; 30 Days",Table1[[#This Row],[Agreement Days]]&gt;=-60,"Expires &lt; 60 Days",Table1[[#This Row],[Agreement Days]]&lt;-60,"Valid Contract")</f>
        <v>Valid Contract</v>
      </c>
      <c r="W2093" s="14" t="s">
        <v>19</v>
      </c>
      <c r="X2093" s="14" t="s">
        <v>3537</v>
      </c>
      <c r="Y2093" s="14" t="s">
        <v>3538</v>
      </c>
      <c r="Z2093" s="17">
        <v>788500943</v>
      </c>
      <c r="AA2093" s="17"/>
      <c r="AB2093" s="125"/>
      <c r="AC2093" s="125"/>
    </row>
    <row r="2094" spans="1:29" s="10" customFormat="1" hidden="1" x14ac:dyDescent="0.3">
      <c r="A2094" s="18" t="s">
        <v>3536</v>
      </c>
      <c r="B2094" s="18" t="s">
        <v>157</v>
      </c>
      <c r="C2094" s="18" t="s">
        <v>544</v>
      </c>
      <c r="D2094" s="14" t="s">
        <v>662</v>
      </c>
      <c r="E2094" s="18" t="s">
        <v>9</v>
      </c>
      <c r="F2094" s="14" t="s">
        <v>517</v>
      </c>
      <c r="G2094" s="14" t="s">
        <v>518</v>
      </c>
      <c r="H2094" s="18" t="s">
        <v>2</v>
      </c>
      <c r="I2094" s="14" t="s">
        <v>120</v>
      </c>
      <c r="J2094" s="14"/>
      <c r="K2094" s="14" t="s">
        <v>649</v>
      </c>
      <c r="L2094" s="14"/>
      <c r="M2094" s="14">
        <v>1</v>
      </c>
      <c r="N2094" s="15">
        <v>258044.92</v>
      </c>
      <c r="O2094" s="15">
        <f t="shared" si="84"/>
        <v>258044.92</v>
      </c>
      <c r="P2094" s="15"/>
      <c r="Q2094" s="14" t="s">
        <v>520</v>
      </c>
      <c r="R2094" s="21">
        <v>46159</v>
      </c>
      <c r="S2094" s="22" t="str">
        <f>TEXT(Table1[[#This Row],[End Date]],"MMMM")</f>
        <v>May</v>
      </c>
      <c r="T2094" s="23" t="str">
        <f>TEXT(Table1[[#This Row],[End Date]],"YYYY")</f>
        <v>2026</v>
      </c>
      <c r="U2094" s="24">
        <f t="shared" ca="1" si="82"/>
        <v>-1026</v>
      </c>
      <c r="V2094" s="14" t="str" cm="1">
        <f t="array" aca="1" ref="V2094" ca="1">_xlfn.IFS(Table1[[#This Row],[Agreement Days]]&gt;=0,"Expired",Table1[[#This Row],[Agreement Days]]&gt;=-30,"Expires &lt; 30 Days",Table1[[#This Row],[Agreement Days]]&gt;=-60,"Expires &lt; 60 Days",Table1[[#This Row],[Agreement Days]]&lt;-60,"Valid Contract")</f>
        <v>Valid Contract</v>
      </c>
      <c r="W2094" s="14" t="s">
        <v>19</v>
      </c>
      <c r="X2094" s="14" t="s">
        <v>3537</v>
      </c>
      <c r="Y2094" s="14" t="s">
        <v>3538</v>
      </c>
      <c r="Z2094" s="17">
        <v>788500943</v>
      </c>
      <c r="AA2094" s="17"/>
      <c r="AB2094" s="125"/>
      <c r="AC2094" s="125"/>
    </row>
    <row r="2095" spans="1:29" s="10" customFormat="1" hidden="1" x14ac:dyDescent="0.3">
      <c r="A2095" s="18" t="s">
        <v>3536</v>
      </c>
      <c r="B2095" s="18" t="s">
        <v>157</v>
      </c>
      <c r="C2095" s="18" t="s">
        <v>909</v>
      </c>
      <c r="D2095" s="14" t="s">
        <v>662</v>
      </c>
      <c r="E2095" s="18" t="s">
        <v>9</v>
      </c>
      <c r="F2095" s="14" t="s">
        <v>517</v>
      </c>
      <c r="G2095" s="14" t="s">
        <v>518</v>
      </c>
      <c r="H2095" s="18" t="s">
        <v>4</v>
      </c>
      <c r="I2095" s="14" t="s">
        <v>118</v>
      </c>
      <c r="J2095" s="14"/>
      <c r="K2095" s="14" t="s">
        <v>650</v>
      </c>
      <c r="L2095" s="14"/>
      <c r="M2095" s="14">
        <v>1</v>
      </c>
      <c r="N2095" s="15">
        <v>369325.42</v>
      </c>
      <c r="O2095" s="15">
        <f t="shared" si="84"/>
        <v>369325.42</v>
      </c>
      <c r="P2095" s="15"/>
      <c r="Q2095" s="14" t="s">
        <v>520</v>
      </c>
      <c r="R2095" s="21">
        <v>46159</v>
      </c>
      <c r="S2095" s="22" t="str">
        <f>TEXT(Table1[[#This Row],[End Date]],"MMMM")</f>
        <v>May</v>
      </c>
      <c r="T2095" s="23" t="str">
        <f>TEXT(Table1[[#This Row],[End Date]],"YYYY")</f>
        <v>2026</v>
      </c>
      <c r="U2095" s="24">
        <f t="shared" ca="1" si="82"/>
        <v>-1026</v>
      </c>
      <c r="V2095" s="14" t="str" cm="1">
        <f t="array" aca="1" ref="V2095" ca="1">_xlfn.IFS(Table1[[#This Row],[Agreement Days]]&gt;=0,"Expired",Table1[[#This Row],[Agreement Days]]&gt;=-30,"Expires &lt; 30 Days",Table1[[#This Row],[Agreement Days]]&gt;=-60,"Expires &lt; 60 Days",Table1[[#This Row],[Agreement Days]]&lt;-60,"Valid Contract")</f>
        <v>Valid Contract</v>
      </c>
      <c r="W2095" s="14" t="s">
        <v>19</v>
      </c>
      <c r="X2095" s="14" t="s">
        <v>3537</v>
      </c>
      <c r="Y2095" s="14" t="s">
        <v>3538</v>
      </c>
      <c r="Z2095" s="17">
        <v>788500943</v>
      </c>
      <c r="AA2095" s="17"/>
      <c r="AB2095" s="125"/>
      <c r="AC2095" s="125"/>
    </row>
    <row r="2096" spans="1:29" s="10" customFormat="1" hidden="1" x14ac:dyDescent="0.3">
      <c r="A2096" s="18" t="s">
        <v>3536</v>
      </c>
      <c r="B2096" s="18" t="s">
        <v>157</v>
      </c>
      <c r="C2096" s="18" t="s">
        <v>909</v>
      </c>
      <c r="D2096" s="14" t="s">
        <v>662</v>
      </c>
      <c r="E2096" s="18" t="s">
        <v>9</v>
      </c>
      <c r="F2096" s="14" t="s">
        <v>517</v>
      </c>
      <c r="G2096" s="14" t="s">
        <v>518</v>
      </c>
      <c r="H2096" s="18" t="s">
        <v>5</v>
      </c>
      <c r="I2096" s="14" t="s">
        <v>115</v>
      </c>
      <c r="J2096" s="14"/>
      <c r="K2096" s="18" t="s">
        <v>657</v>
      </c>
      <c r="L2096" s="14"/>
      <c r="M2096" s="14">
        <v>33</v>
      </c>
      <c r="N2096" s="15">
        <v>45338.98</v>
      </c>
      <c r="O2096" s="15">
        <f t="shared" si="84"/>
        <v>1496186.34</v>
      </c>
      <c r="P2096" s="15"/>
      <c r="Q2096" s="14" t="s">
        <v>520</v>
      </c>
      <c r="R2096" s="21">
        <v>46159</v>
      </c>
      <c r="S2096" s="22" t="str">
        <f>TEXT(Table1[[#This Row],[End Date]],"MMMM")</f>
        <v>May</v>
      </c>
      <c r="T2096" s="23" t="str">
        <f>TEXT(Table1[[#This Row],[End Date]],"YYYY")</f>
        <v>2026</v>
      </c>
      <c r="U2096" s="24">
        <f t="shared" ca="1" si="82"/>
        <v>-1026</v>
      </c>
      <c r="V2096" s="14" t="str" cm="1">
        <f t="array" aca="1" ref="V2096" ca="1">_xlfn.IFS(Table1[[#This Row],[Agreement Days]]&gt;=0,"Expired",Table1[[#This Row],[Agreement Days]]&gt;=-30,"Expires &lt; 30 Days",Table1[[#This Row],[Agreement Days]]&gt;=-60,"Expires &lt; 60 Days",Table1[[#This Row],[Agreement Days]]&lt;-60,"Valid Contract")</f>
        <v>Valid Contract</v>
      </c>
      <c r="W2096" s="14" t="s">
        <v>19</v>
      </c>
      <c r="X2096" s="14" t="s">
        <v>3537</v>
      </c>
      <c r="Y2096" s="14" t="s">
        <v>3538</v>
      </c>
      <c r="Z2096" s="17">
        <v>788500943</v>
      </c>
      <c r="AA2096" s="17"/>
      <c r="AB2096" s="125"/>
      <c r="AC2096" s="125"/>
    </row>
    <row r="2097" spans="1:29" s="10" customFormat="1" hidden="1" x14ac:dyDescent="0.3">
      <c r="A2097" s="18" t="s">
        <v>3536</v>
      </c>
      <c r="B2097" s="18" t="s">
        <v>157</v>
      </c>
      <c r="C2097" s="18" t="s">
        <v>909</v>
      </c>
      <c r="D2097" s="14" t="s">
        <v>662</v>
      </c>
      <c r="E2097" s="18" t="s">
        <v>9</v>
      </c>
      <c r="F2097" s="14" t="s">
        <v>517</v>
      </c>
      <c r="G2097" s="14" t="s">
        <v>518</v>
      </c>
      <c r="H2097" s="18" t="s">
        <v>5</v>
      </c>
      <c r="I2097" s="14" t="s">
        <v>115</v>
      </c>
      <c r="J2097" s="14"/>
      <c r="K2097" s="18" t="s">
        <v>643</v>
      </c>
      <c r="L2097" s="14"/>
      <c r="M2097" s="14">
        <v>68</v>
      </c>
      <c r="N2097" s="15">
        <v>28305.08</v>
      </c>
      <c r="O2097" s="15">
        <f t="shared" si="84"/>
        <v>1924745.4400000002</v>
      </c>
      <c r="P2097" s="15"/>
      <c r="Q2097" s="14" t="s">
        <v>520</v>
      </c>
      <c r="R2097" s="21">
        <v>46159</v>
      </c>
      <c r="S2097" s="22" t="str">
        <f>TEXT(Table1[[#This Row],[End Date]],"MMMM")</f>
        <v>May</v>
      </c>
      <c r="T2097" s="23" t="str">
        <f>TEXT(Table1[[#This Row],[End Date]],"YYYY")</f>
        <v>2026</v>
      </c>
      <c r="U2097" s="24">
        <f t="shared" ca="1" si="82"/>
        <v>-1026</v>
      </c>
      <c r="V2097" s="14" t="str" cm="1">
        <f t="array" aca="1" ref="V2097" ca="1">_xlfn.IFS(Table1[[#This Row],[Agreement Days]]&gt;=0,"Expired",Table1[[#This Row],[Agreement Days]]&gt;=-30,"Expires &lt; 30 Days",Table1[[#This Row],[Agreement Days]]&gt;=-60,"Expires &lt; 60 Days",Table1[[#This Row],[Agreement Days]]&lt;-60,"Valid Contract")</f>
        <v>Valid Contract</v>
      </c>
      <c r="W2097" s="14" t="s">
        <v>19</v>
      </c>
      <c r="X2097" s="14" t="s">
        <v>3537</v>
      </c>
      <c r="Y2097" s="14" t="s">
        <v>3538</v>
      </c>
      <c r="Z2097" s="17">
        <v>788500943</v>
      </c>
      <c r="AA2097" s="17"/>
      <c r="AB2097" s="125"/>
      <c r="AC2097" s="125"/>
    </row>
    <row r="2098" spans="1:29" s="10" customFormat="1" hidden="1" x14ac:dyDescent="0.3">
      <c r="A2098" s="18" t="s">
        <v>3539</v>
      </c>
      <c r="B2098" s="18" t="s">
        <v>469</v>
      </c>
      <c r="C2098" s="18" t="s">
        <v>469</v>
      </c>
      <c r="D2098" s="14" t="s">
        <v>653</v>
      </c>
      <c r="E2098" s="18" t="s">
        <v>10</v>
      </c>
      <c r="F2098" s="14" t="s">
        <v>560</v>
      </c>
      <c r="G2098" s="14" t="s">
        <v>518</v>
      </c>
      <c r="H2098" s="18" t="s">
        <v>2</v>
      </c>
      <c r="I2098" s="14" t="s">
        <v>123</v>
      </c>
      <c r="J2098" s="14"/>
      <c r="K2098" s="14" t="s">
        <v>3540</v>
      </c>
      <c r="L2098" s="14"/>
      <c r="M2098" s="14">
        <v>1</v>
      </c>
      <c r="N2098" s="15">
        <v>53563</v>
      </c>
      <c r="O2098" s="15">
        <f t="shared" si="84"/>
        <v>53563</v>
      </c>
      <c r="P2098" s="15"/>
      <c r="Q2098" s="14" t="s">
        <v>520</v>
      </c>
      <c r="R2098" s="25">
        <v>46173</v>
      </c>
      <c r="S2098" s="22" t="str">
        <f>TEXT(Table1[[#This Row],[End Date]],"MMMM")</f>
        <v>May</v>
      </c>
      <c r="T2098" s="23" t="str">
        <f>TEXT(Table1[[#This Row],[End Date]],"YYYY")</f>
        <v>2026</v>
      </c>
      <c r="U2098" s="24">
        <f t="shared" ca="1" si="82"/>
        <v>-1040</v>
      </c>
      <c r="V2098" s="14" t="str" cm="1">
        <f t="array" aca="1" ref="V2098" ca="1">_xlfn.IFS(Table1[[#This Row],[Agreement Days]]&gt;=0,"Expired",Table1[[#This Row],[Agreement Days]]&gt;=-30,"Expires &lt; 30 Days",Table1[[#This Row],[Agreement Days]]&gt;=-60,"Expires &lt; 60 Days",Table1[[#This Row],[Agreement Days]]&lt;-60,"Valid Contract")</f>
        <v>Valid Contract</v>
      </c>
      <c r="W2098" s="14" t="s">
        <v>19</v>
      </c>
      <c r="X2098" s="14" t="s">
        <v>3541</v>
      </c>
      <c r="Y2098" s="43" t="s">
        <v>3542</v>
      </c>
      <c r="Z2098" s="27">
        <v>785920129</v>
      </c>
      <c r="AA2098" s="17"/>
      <c r="AB2098" s="125"/>
      <c r="AC2098" s="125"/>
    </row>
    <row r="2099" spans="1:29" s="10" customFormat="1" hidden="1" x14ac:dyDescent="0.3">
      <c r="A2099" s="18" t="s">
        <v>3543</v>
      </c>
      <c r="B2099" s="18" t="s">
        <v>358</v>
      </c>
      <c r="C2099" s="18" t="s">
        <v>3544</v>
      </c>
      <c r="D2099" s="14" t="s">
        <v>540</v>
      </c>
      <c r="E2099" s="18" t="s">
        <v>10</v>
      </c>
      <c r="F2099" s="20" t="s">
        <v>560</v>
      </c>
      <c r="G2099" s="20" t="s">
        <v>518</v>
      </c>
      <c r="H2099" s="18" t="s">
        <v>2</v>
      </c>
      <c r="I2099" s="14" t="s">
        <v>134</v>
      </c>
      <c r="J2099" s="20">
        <v>10</v>
      </c>
      <c r="K2099" s="18" t="s">
        <v>1656</v>
      </c>
      <c r="L2099" s="18"/>
      <c r="M2099" s="20">
        <v>1</v>
      </c>
      <c r="N2099" s="15">
        <v>510000</v>
      </c>
      <c r="O2099" s="15">
        <f t="shared" si="84"/>
        <v>510000</v>
      </c>
      <c r="P2099" s="15"/>
      <c r="Q2099" s="14" t="s">
        <v>520</v>
      </c>
      <c r="R2099" s="25">
        <v>46173</v>
      </c>
      <c r="S2099" s="34" t="str">
        <f>TEXT(Table1[[#This Row],[End Date]],"MMMM")</f>
        <v>May</v>
      </c>
      <c r="T2099" s="34" t="str">
        <f>TEXT(Table1[[#This Row],[End Date]],"YYYY")</f>
        <v>2026</v>
      </c>
      <c r="U2099" s="24">
        <f t="shared" ca="1" si="82"/>
        <v>-1040</v>
      </c>
      <c r="V2099" s="14" t="str" cm="1">
        <f t="array" aca="1" ref="V2099" ca="1">_xlfn.IFS(Table1[[#This Row],[Agreement Days]]&gt;=0,"Expired",Table1[[#This Row],[Agreement Days]]&gt;=-30,"Expires &lt; 30 Days",Table1[[#This Row],[Agreement Days]]&gt;=-60,"Expires &lt; 60 Days",Table1[[#This Row],[Agreement Days]]&lt;-60,"Valid Contract")</f>
        <v>Valid Contract</v>
      </c>
      <c r="W2099" s="18" t="s">
        <v>18</v>
      </c>
      <c r="X2099" s="18" t="s">
        <v>3545</v>
      </c>
      <c r="Y2099" s="42" t="s">
        <v>3546</v>
      </c>
      <c r="Z2099" s="36" t="s">
        <v>3547</v>
      </c>
      <c r="AA2099" s="27"/>
      <c r="AB2099" s="125"/>
      <c r="AC2099" s="125"/>
    </row>
    <row r="2100" spans="1:29" s="10" customFormat="1" hidden="1" x14ac:dyDescent="0.3">
      <c r="A2100" s="18" t="s">
        <v>3548</v>
      </c>
      <c r="B2100" s="18" t="s">
        <v>421</v>
      </c>
      <c r="C2100" s="18" t="s">
        <v>544</v>
      </c>
      <c r="D2100" s="14" t="s">
        <v>545</v>
      </c>
      <c r="E2100" s="18" t="s">
        <v>9</v>
      </c>
      <c r="F2100" s="14" t="s">
        <v>729</v>
      </c>
      <c r="G2100" s="14" t="s">
        <v>518</v>
      </c>
      <c r="H2100" s="18" t="s">
        <v>5</v>
      </c>
      <c r="I2100" s="14" t="s">
        <v>134</v>
      </c>
      <c r="J2100" s="19">
        <v>3</v>
      </c>
      <c r="K2100" s="14" t="s">
        <v>580</v>
      </c>
      <c r="L2100" s="26"/>
      <c r="M2100" s="19">
        <v>1</v>
      </c>
      <c r="N2100" s="15">
        <v>180000</v>
      </c>
      <c r="O2100" s="15">
        <f t="shared" si="84"/>
        <v>180000</v>
      </c>
      <c r="P2100" s="15"/>
      <c r="Q2100" s="14" t="s">
        <v>520</v>
      </c>
      <c r="R2100" s="25">
        <v>46173</v>
      </c>
      <c r="S2100" s="34" t="str">
        <f>TEXT(Table1[[#This Row],[End Date]],"MMMM")</f>
        <v>May</v>
      </c>
      <c r="T2100" s="34" t="str">
        <f>TEXT(Table1[[#This Row],[End Date]],"YYYY")</f>
        <v>2026</v>
      </c>
      <c r="U2100" s="24">
        <f t="shared" ca="1" si="82"/>
        <v>-1040</v>
      </c>
      <c r="V2100" s="14" t="str" cm="1">
        <f t="array" aca="1" ref="V2100" ca="1">_xlfn.IFS(Table1[[#This Row],[Agreement Days]]&gt;=0,"Expired",Table1[[#This Row],[Agreement Days]]&gt;=-30,"Expires &lt; 30 Days",Table1[[#This Row],[Agreement Days]]&gt;=-60,"Expires &lt; 60 Days",Table1[[#This Row],[Agreement Days]]&lt;-60,"Valid Contract")</f>
        <v>Valid Contract</v>
      </c>
      <c r="W2100" s="26" t="s">
        <v>17</v>
      </c>
      <c r="X2100" s="26" t="s">
        <v>731</v>
      </c>
      <c r="Y2100" s="18" t="s">
        <v>732</v>
      </c>
      <c r="Z2100" s="27">
        <v>788639444</v>
      </c>
      <c r="AA2100" s="27"/>
      <c r="AB2100" s="125"/>
      <c r="AC2100" s="125"/>
    </row>
    <row r="2101" spans="1:29" s="10" customFormat="1" x14ac:dyDescent="0.3">
      <c r="A2101" s="18" t="s">
        <v>967</v>
      </c>
      <c r="B2101" s="18" t="s">
        <v>154</v>
      </c>
      <c r="C2101" s="18" t="s">
        <v>3549</v>
      </c>
      <c r="D2101" s="14" t="s">
        <v>545</v>
      </c>
      <c r="E2101" s="18" t="s">
        <v>9</v>
      </c>
      <c r="F2101" s="14" t="s">
        <v>969</v>
      </c>
      <c r="G2101" s="14" t="s">
        <v>518</v>
      </c>
      <c r="H2101" s="18" t="s">
        <v>5</v>
      </c>
      <c r="I2101" s="14" t="s">
        <v>117</v>
      </c>
      <c r="J2101" s="14">
        <v>1</v>
      </c>
      <c r="K2101" s="14" t="s">
        <v>1417</v>
      </c>
      <c r="L2101" s="14"/>
      <c r="M2101" s="14">
        <v>1</v>
      </c>
      <c r="N2101" s="15">
        <v>90000</v>
      </c>
      <c r="O2101" s="15">
        <f t="shared" si="84"/>
        <v>90000</v>
      </c>
      <c r="P2101" s="15"/>
      <c r="Q2101" s="14" t="s">
        <v>520</v>
      </c>
      <c r="R2101" s="21">
        <v>46173</v>
      </c>
      <c r="S2101" s="22" t="str">
        <f>TEXT(Table1[[#This Row],[End Date]],"MMMM")</f>
        <v>May</v>
      </c>
      <c r="T2101" s="23" t="str">
        <f>TEXT(Table1[[#This Row],[End Date]],"YYYY")</f>
        <v>2026</v>
      </c>
      <c r="U2101" s="24">
        <f t="shared" ca="1" si="82"/>
        <v>-1040</v>
      </c>
      <c r="V2101" s="14" t="str" cm="1">
        <f t="array" aca="1" ref="V2101" ca="1">_xlfn.IFS(Table1[[#This Row],[Agreement Days]]&gt;=0,"Expired",Table1[[#This Row],[Agreement Days]]&gt;=-30,"Expires &lt; 30 Days",Table1[[#This Row],[Agreement Days]]&gt;=-60,"Expires &lt; 60 Days",Table1[[#This Row],[Agreement Days]]&lt;-60,"Valid Contract")</f>
        <v>Valid Contract</v>
      </c>
      <c r="W2101" s="14" t="s">
        <v>12</v>
      </c>
      <c r="X2101" s="14" t="s">
        <v>971</v>
      </c>
      <c r="Y2101" s="16" t="s">
        <v>972</v>
      </c>
      <c r="Z2101" s="17" t="s">
        <v>973</v>
      </c>
      <c r="AA2101" s="17"/>
      <c r="AB2101" s="125"/>
      <c r="AC2101" s="125"/>
    </row>
    <row r="2102" spans="1:29" s="10" customFormat="1" x14ac:dyDescent="0.3">
      <c r="A2102" s="18" t="s">
        <v>967</v>
      </c>
      <c r="B2102" s="18" t="s">
        <v>154</v>
      </c>
      <c r="C2102" s="18" t="s">
        <v>3550</v>
      </c>
      <c r="D2102" s="14" t="s">
        <v>532</v>
      </c>
      <c r="E2102" s="18" t="s">
        <v>9</v>
      </c>
      <c r="F2102" s="14" t="s">
        <v>969</v>
      </c>
      <c r="G2102" s="14" t="s">
        <v>518</v>
      </c>
      <c r="H2102" s="18" t="s">
        <v>5</v>
      </c>
      <c r="I2102" s="14" t="s">
        <v>117</v>
      </c>
      <c r="J2102" s="14">
        <v>1</v>
      </c>
      <c r="K2102" s="14" t="s">
        <v>1417</v>
      </c>
      <c r="L2102" s="14"/>
      <c r="M2102" s="14">
        <v>1</v>
      </c>
      <c r="N2102" s="15">
        <v>90000</v>
      </c>
      <c r="O2102" s="15">
        <f t="shared" si="84"/>
        <v>90000</v>
      </c>
      <c r="P2102" s="15"/>
      <c r="Q2102" s="14" t="s">
        <v>520</v>
      </c>
      <c r="R2102" s="21">
        <v>46173</v>
      </c>
      <c r="S2102" s="22" t="str">
        <f>TEXT(Table1[[#This Row],[End Date]],"MMMM")</f>
        <v>May</v>
      </c>
      <c r="T2102" s="23" t="str">
        <f>TEXT(Table1[[#This Row],[End Date]],"YYYY")</f>
        <v>2026</v>
      </c>
      <c r="U2102" s="24">
        <f t="shared" ca="1" si="82"/>
        <v>-1040</v>
      </c>
      <c r="V2102" s="14" t="str" cm="1">
        <f t="array" aca="1" ref="V2102" ca="1">_xlfn.IFS(Table1[[#This Row],[Agreement Days]]&gt;=0,"Expired",Table1[[#This Row],[Agreement Days]]&gt;=-30,"Expires &lt; 30 Days",Table1[[#This Row],[Agreement Days]]&gt;=-60,"Expires &lt; 60 Days",Table1[[#This Row],[Agreement Days]]&lt;-60,"Valid Contract")</f>
        <v>Valid Contract</v>
      </c>
      <c r="W2102" s="14" t="s">
        <v>12</v>
      </c>
      <c r="X2102" s="14" t="s">
        <v>971</v>
      </c>
      <c r="Y2102" s="16" t="s">
        <v>972</v>
      </c>
      <c r="Z2102" s="17" t="s">
        <v>973</v>
      </c>
      <c r="AA2102" s="17"/>
      <c r="AB2102" s="125"/>
      <c r="AC2102" s="125"/>
    </row>
    <row r="2103" spans="1:29" s="10" customFormat="1" x14ac:dyDescent="0.3">
      <c r="A2103" s="18" t="s">
        <v>967</v>
      </c>
      <c r="B2103" s="18" t="s">
        <v>154</v>
      </c>
      <c r="C2103" s="18" t="s">
        <v>3551</v>
      </c>
      <c r="D2103" s="14" t="s">
        <v>808</v>
      </c>
      <c r="E2103" s="18" t="s">
        <v>9</v>
      </c>
      <c r="F2103" s="14" t="s">
        <v>969</v>
      </c>
      <c r="G2103" s="14" t="s">
        <v>518</v>
      </c>
      <c r="H2103" s="18" t="s">
        <v>5</v>
      </c>
      <c r="I2103" s="14" t="s">
        <v>117</v>
      </c>
      <c r="J2103" s="14">
        <v>1</v>
      </c>
      <c r="K2103" s="14" t="s">
        <v>1417</v>
      </c>
      <c r="L2103" s="14"/>
      <c r="M2103" s="14">
        <v>1</v>
      </c>
      <c r="N2103" s="15">
        <v>90000</v>
      </c>
      <c r="O2103" s="15">
        <f t="shared" si="84"/>
        <v>90000</v>
      </c>
      <c r="P2103" s="15"/>
      <c r="Q2103" s="14" t="s">
        <v>520</v>
      </c>
      <c r="R2103" s="21">
        <v>46173</v>
      </c>
      <c r="S2103" s="22" t="str">
        <f>TEXT(Table1[[#This Row],[End Date]],"MMMM")</f>
        <v>May</v>
      </c>
      <c r="T2103" s="23" t="str">
        <f>TEXT(Table1[[#This Row],[End Date]],"YYYY")</f>
        <v>2026</v>
      </c>
      <c r="U2103" s="24">
        <f t="shared" ca="1" si="82"/>
        <v>-1040</v>
      </c>
      <c r="V2103" s="14" t="str" cm="1">
        <f t="array" aca="1" ref="V2103" ca="1">_xlfn.IFS(Table1[[#This Row],[Agreement Days]]&gt;=0,"Expired",Table1[[#This Row],[Agreement Days]]&gt;=-30,"Expires &lt; 30 Days",Table1[[#This Row],[Agreement Days]]&gt;=-60,"Expires &lt; 60 Days",Table1[[#This Row],[Agreement Days]]&lt;-60,"Valid Contract")</f>
        <v>Valid Contract</v>
      </c>
      <c r="W2103" s="14" t="s">
        <v>12</v>
      </c>
      <c r="X2103" s="14" t="s">
        <v>971</v>
      </c>
      <c r="Y2103" s="16" t="s">
        <v>972</v>
      </c>
      <c r="Z2103" s="17" t="s">
        <v>973</v>
      </c>
      <c r="AA2103" s="17"/>
      <c r="AB2103" s="125"/>
      <c r="AC2103" s="125"/>
    </row>
    <row r="2104" spans="1:29" s="10" customFormat="1" x14ac:dyDescent="0.3">
      <c r="A2104" s="18" t="s">
        <v>967</v>
      </c>
      <c r="B2104" s="18" t="s">
        <v>154</v>
      </c>
      <c r="C2104" s="18" t="s">
        <v>3552</v>
      </c>
      <c r="D2104" s="14" t="s">
        <v>616</v>
      </c>
      <c r="E2104" s="18" t="s">
        <v>9</v>
      </c>
      <c r="F2104" s="14" t="s">
        <v>969</v>
      </c>
      <c r="G2104" s="14" t="s">
        <v>518</v>
      </c>
      <c r="H2104" s="18" t="s">
        <v>5</v>
      </c>
      <c r="I2104" s="14" t="s">
        <v>117</v>
      </c>
      <c r="J2104" s="14">
        <v>1</v>
      </c>
      <c r="K2104" s="14" t="s">
        <v>1417</v>
      </c>
      <c r="L2104" s="14"/>
      <c r="M2104" s="14">
        <v>1</v>
      </c>
      <c r="N2104" s="15">
        <v>90000</v>
      </c>
      <c r="O2104" s="15">
        <f t="shared" si="84"/>
        <v>90000</v>
      </c>
      <c r="P2104" s="15"/>
      <c r="Q2104" s="14" t="s">
        <v>520</v>
      </c>
      <c r="R2104" s="21">
        <v>46173</v>
      </c>
      <c r="S2104" s="22" t="str">
        <f>TEXT(Table1[[#This Row],[End Date]],"MMMM")</f>
        <v>May</v>
      </c>
      <c r="T2104" s="23" t="str">
        <f>TEXT(Table1[[#This Row],[End Date]],"YYYY")</f>
        <v>2026</v>
      </c>
      <c r="U2104" s="24">
        <f t="shared" ca="1" si="82"/>
        <v>-1040</v>
      </c>
      <c r="V2104" s="14" t="str" cm="1">
        <f t="array" aca="1" ref="V2104" ca="1">_xlfn.IFS(Table1[[#This Row],[Agreement Days]]&gt;=0,"Expired",Table1[[#This Row],[Agreement Days]]&gt;=-30,"Expires &lt; 30 Days",Table1[[#This Row],[Agreement Days]]&gt;=-60,"Expires &lt; 60 Days",Table1[[#This Row],[Agreement Days]]&lt;-60,"Valid Contract")</f>
        <v>Valid Contract</v>
      </c>
      <c r="W2104" s="14" t="s">
        <v>12</v>
      </c>
      <c r="X2104" s="14" t="s">
        <v>971</v>
      </c>
      <c r="Y2104" s="16" t="s">
        <v>972</v>
      </c>
      <c r="Z2104" s="17" t="s">
        <v>973</v>
      </c>
      <c r="AA2104" s="17"/>
      <c r="AB2104" s="125"/>
      <c r="AC2104" s="125"/>
    </row>
    <row r="2105" spans="1:29" s="10" customFormat="1" x14ac:dyDescent="0.3">
      <c r="A2105" s="18" t="s">
        <v>967</v>
      </c>
      <c r="B2105" s="18" t="s">
        <v>154</v>
      </c>
      <c r="C2105" s="18" t="s">
        <v>3553</v>
      </c>
      <c r="D2105" s="14" t="s">
        <v>761</v>
      </c>
      <c r="E2105" s="18" t="s">
        <v>9</v>
      </c>
      <c r="F2105" s="14" t="s">
        <v>969</v>
      </c>
      <c r="G2105" s="14" t="s">
        <v>518</v>
      </c>
      <c r="H2105" s="18" t="s">
        <v>5</v>
      </c>
      <c r="I2105" s="14" t="s">
        <v>117</v>
      </c>
      <c r="J2105" s="14">
        <v>1</v>
      </c>
      <c r="K2105" s="14" t="s">
        <v>1417</v>
      </c>
      <c r="L2105" s="14"/>
      <c r="M2105" s="14">
        <v>1</v>
      </c>
      <c r="N2105" s="15">
        <v>90000</v>
      </c>
      <c r="O2105" s="15">
        <f t="shared" si="84"/>
        <v>90000</v>
      </c>
      <c r="P2105" s="15"/>
      <c r="Q2105" s="14" t="s">
        <v>520</v>
      </c>
      <c r="R2105" s="21">
        <v>46173</v>
      </c>
      <c r="S2105" s="22" t="str">
        <f>TEXT(Table1[[#This Row],[End Date]],"MMMM")</f>
        <v>May</v>
      </c>
      <c r="T2105" s="23" t="str">
        <f>TEXT(Table1[[#This Row],[End Date]],"YYYY")</f>
        <v>2026</v>
      </c>
      <c r="U2105" s="24">
        <f t="shared" ca="1" si="82"/>
        <v>-1040</v>
      </c>
      <c r="V2105" s="14" t="str" cm="1">
        <f t="array" aca="1" ref="V2105" ca="1">_xlfn.IFS(Table1[[#This Row],[Agreement Days]]&gt;=0,"Expired",Table1[[#This Row],[Agreement Days]]&gt;=-30,"Expires &lt; 30 Days",Table1[[#This Row],[Agreement Days]]&gt;=-60,"Expires &lt; 60 Days",Table1[[#This Row],[Agreement Days]]&lt;-60,"Valid Contract")</f>
        <v>Valid Contract</v>
      </c>
      <c r="W2105" s="14" t="s">
        <v>12</v>
      </c>
      <c r="X2105" s="14" t="s">
        <v>971</v>
      </c>
      <c r="Y2105" s="16" t="s">
        <v>972</v>
      </c>
      <c r="Z2105" s="17" t="s">
        <v>973</v>
      </c>
      <c r="AA2105" s="17"/>
      <c r="AB2105" s="125"/>
      <c r="AC2105" s="125"/>
    </row>
    <row r="2106" spans="1:29" s="10" customFormat="1" x14ac:dyDescent="0.3">
      <c r="A2106" s="18" t="s">
        <v>967</v>
      </c>
      <c r="B2106" s="18" t="s">
        <v>154</v>
      </c>
      <c r="C2106" s="18" t="s">
        <v>3554</v>
      </c>
      <c r="D2106" s="14" t="s">
        <v>735</v>
      </c>
      <c r="E2106" s="18" t="s">
        <v>9</v>
      </c>
      <c r="F2106" s="14" t="s">
        <v>969</v>
      </c>
      <c r="G2106" s="14" t="s">
        <v>518</v>
      </c>
      <c r="H2106" s="18" t="s">
        <v>5</v>
      </c>
      <c r="I2106" s="14" t="s">
        <v>117</v>
      </c>
      <c r="J2106" s="14">
        <v>1</v>
      </c>
      <c r="K2106" s="14" t="s">
        <v>1417</v>
      </c>
      <c r="L2106" s="14"/>
      <c r="M2106" s="14">
        <v>1</v>
      </c>
      <c r="N2106" s="15">
        <v>90000</v>
      </c>
      <c r="O2106" s="15">
        <f t="shared" si="84"/>
        <v>90000</v>
      </c>
      <c r="P2106" s="15"/>
      <c r="Q2106" s="14" t="s">
        <v>520</v>
      </c>
      <c r="R2106" s="21">
        <v>46173</v>
      </c>
      <c r="S2106" s="22" t="str">
        <f>TEXT(Table1[[#This Row],[End Date]],"MMMM")</f>
        <v>May</v>
      </c>
      <c r="T2106" s="23" t="str">
        <f>TEXT(Table1[[#This Row],[End Date]],"YYYY")</f>
        <v>2026</v>
      </c>
      <c r="U2106" s="24">
        <f t="shared" ca="1" si="82"/>
        <v>-1040</v>
      </c>
      <c r="V2106" s="14" t="str" cm="1">
        <f t="array" aca="1" ref="V2106" ca="1">_xlfn.IFS(Table1[[#This Row],[Agreement Days]]&gt;=0,"Expired",Table1[[#This Row],[Agreement Days]]&gt;=-30,"Expires &lt; 30 Days",Table1[[#This Row],[Agreement Days]]&gt;=-60,"Expires &lt; 60 Days",Table1[[#This Row],[Agreement Days]]&lt;-60,"Valid Contract")</f>
        <v>Valid Contract</v>
      </c>
      <c r="W2106" s="14" t="s">
        <v>12</v>
      </c>
      <c r="X2106" s="14" t="s">
        <v>971</v>
      </c>
      <c r="Y2106" s="16" t="s">
        <v>972</v>
      </c>
      <c r="Z2106" s="17" t="s">
        <v>973</v>
      </c>
      <c r="AA2106" s="17"/>
      <c r="AB2106" s="125"/>
      <c r="AC2106" s="125"/>
    </row>
    <row r="2107" spans="1:29" s="10" customFormat="1" x14ac:dyDescent="0.3">
      <c r="A2107" s="18" t="s">
        <v>967</v>
      </c>
      <c r="B2107" s="18" t="s">
        <v>154</v>
      </c>
      <c r="C2107" s="18" t="s">
        <v>3555</v>
      </c>
      <c r="D2107" s="14" t="s">
        <v>735</v>
      </c>
      <c r="E2107" s="18" t="s">
        <v>9</v>
      </c>
      <c r="F2107" s="14" t="s">
        <v>969</v>
      </c>
      <c r="G2107" s="14" t="s">
        <v>518</v>
      </c>
      <c r="H2107" s="18" t="s">
        <v>5</v>
      </c>
      <c r="I2107" s="14" t="s">
        <v>117</v>
      </c>
      <c r="J2107" s="14">
        <v>1</v>
      </c>
      <c r="K2107" s="14" t="s">
        <v>1417</v>
      </c>
      <c r="L2107" s="14"/>
      <c r="M2107" s="14">
        <v>1</v>
      </c>
      <c r="N2107" s="15">
        <v>90000</v>
      </c>
      <c r="O2107" s="15">
        <f t="shared" si="84"/>
        <v>90000</v>
      </c>
      <c r="P2107" s="15"/>
      <c r="Q2107" s="14" t="s">
        <v>520</v>
      </c>
      <c r="R2107" s="21">
        <v>46173</v>
      </c>
      <c r="S2107" s="22" t="str">
        <f>TEXT(Table1[[#This Row],[End Date]],"MMMM")</f>
        <v>May</v>
      </c>
      <c r="T2107" s="23" t="str">
        <f>TEXT(Table1[[#This Row],[End Date]],"YYYY")</f>
        <v>2026</v>
      </c>
      <c r="U2107" s="24">
        <f t="shared" ca="1" si="82"/>
        <v>-1040</v>
      </c>
      <c r="V2107" s="14" t="str" cm="1">
        <f t="array" aca="1" ref="V2107" ca="1">_xlfn.IFS(Table1[[#This Row],[Agreement Days]]&gt;=0,"Expired",Table1[[#This Row],[Agreement Days]]&gt;=-30,"Expires &lt; 30 Days",Table1[[#This Row],[Agreement Days]]&gt;=-60,"Expires &lt; 60 Days",Table1[[#This Row],[Agreement Days]]&lt;-60,"Valid Contract")</f>
        <v>Valid Contract</v>
      </c>
      <c r="W2107" s="14" t="s">
        <v>12</v>
      </c>
      <c r="X2107" s="14" t="s">
        <v>971</v>
      </c>
      <c r="Y2107" s="16" t="s">
        <v>972</v>
      </c>
      <c r="Z2107" s="17" t="s">
        <v>973</v>
      </c>
      <c r="AA2107" s="17"/>
      <c r="AB2107" s="125"/>
      <c r="AC2107" s="125"/>
    </row>
    <row r="2108" spans="1:29" s="10" customFormat="1" x14ac:dyDescent="0.3">
      <c r="A2108" s="18" t="s">
        <v>967</v>
      </c>
      <c r="B2108" s="18" t="s">
        <v>154</v>
      </c>
      <c r="C2108" s="18" t="s">
        <v>3556</v>
      </c>
      <c r="D2108" s="14" t="s">
        <v>619</v>
      </c>
      <c r="E2108" s="18" t="s">
        <v>9</v>
      </c>
      <c r="F2108" s="14" t="s">
        <v>969</v>
      </c>
      <c r="G2108" s="14" t="s">
        <v>518</v>
      </c>
      <c r="H2108" s="18" t="s">
        <v>5</v>
      </c>
      <c r="I2108" s="14" t="s">
        <v>117</v>
      </c>
      <c r="J2108" s="14">
        <v>1</v>
      </c>
      <c r="K2108" s="14" t="s">
        <v>1417</v>
      </c>
      <c r="L2108" s="14"/>
      <c r="M2108" s="14">
        <v>1</v>
      </c>
      <c r="N2108" s="15">
        <v>90000</v>
      </c>
      <c r="O2108" s="15">
        <f t="shared" si="84"/>
        <v>90000</v>
      </c>
      <c r="P2108" s="15"/>
      <c r="Q2108" s="14" t="s">
        <v>520</v>
      </c>
      <c r="R2108" s="21">
        <v>46173</v>
      </c>
      <c r="S2108" s="22" t="str">
        <f>TEXT(Table1[[#This Row],[End Date]],"MMMM")</f>
        <v>May</v>
      </c>
      <c r="T2108" s="23" t="str">
        <f>TEXT(Table1[[#This Row],[End Date]],"YYYY")</f>
        <v>2026</v>
      </c>
      <c r="U2108" s="24">
        <f t="shared" ca="1" si="82"/>
        <v>-1040</v>
      </c>
      <c r="V2108" s="14" t="str" cm="1">
        <f t="array" aca="1" ref="V2108" ca="1">_xlfn.IFS(Table1[[#This Row],[Agreement Days]]&gt;=0,"Expired",Table1[[#This Row],[Agreement Days]]&gt;=-30,"Expires &lt; 30 Days",Table1[[#This Row],[Agreement Days]]&gt;=-60,"Expires &lt; 60 Days",Table1[[#This Row],[Agreement Days]]&lt;-60,"Valid Contract")</f>
        <v>Valid Contract</v>
      </c>
      <c r="W2108" s="14" t="s">
        <v>12</v>
      </c>
      <c r="X2108" s="14" t="s">
        <v>971</v>
      </c>
      <c r="Y2108" s="16" t="s">
        <v>972</v>
      </c>
      <c r="Z2108" s="17" t="s">
        <v>973</v>
      </c>
      <c r="AA2108" s="17"/>
      <c r="AB2108" s="125"/>
      <c r="AC2108" s="125"/>
    </row>
    <row r="2109" spans="1:29" s="10" customFormat="1" x14ac:dyDescent="0.3">
      <c r="A2109" s="18" t="s">
        <v>967</v>
      </c>
      <c r="B2109" s="18" t="s">
        <v>154</v>
      </c>
      <c r="C2109" s="18" t="s">
        <v>3557</v>
      </c>
      <c r="D2109" s="14" t="s">
        <v>875</v>
      </c>
      <c r="E2109" s="18" t="s">
        <v>9</v>
      </c>
      <c r="F2109" s="14" t="s">
        <v>969</v>
      </c>
      <c r="G2109" s="14" t="s">
        <v>518</v>
      </c>
      <c r="H2109" s="18" t="s">
        <v>5</v>
      </c>
      <c r="I2109" s="14" t="s">
        <v>117</v>
      </c>
      <c r="J2109" s="14">
        <v>1</v>
      </c>
      <c r="K2109" s="14" t="s">
        <v>1417</v>
      </c>
      <c r="L2109" s="14"/>
      <c r="M2109" s="14">
        <v>1</v>
      </c>
      <c r="N2109" s="15">
        <v>90000</v>
      </c>
      <c r="O2109" s="15">
        <f t="shared" si="84"/>
        <v>90000</v>
      </c>
      <c r="P2109" s="15"/>
      <c r="Q2109" s="14" t="s">
        <v>520</v>
      </c>
      <c r="R2109" s="21">
        <v>46173</v>
      </c>
      <c r="S2109" s="22" t="str">
        <f>TEXT(Table1[[#This Row],[End Date]],"MMMM")</f>
        <v>May</v>
      </c>
      <c r="T2109" s="23" t="str">
        <f>TEXT(Table1[[#This Row],[End Date]],"YYYY")</f>
        <v>2026</v>
      </c>
      <c r="U2109" s="24">
        <f t="shared" ca="1" si="82"/>
        <v>-1040</v>
      </c>
      <c r="V2109" s="14" t="str" cm="1">
        <f t="array" aca="1" ref="V2109" ca="1">_xlfn.IFS(Table1[[#This Row],[Agreement Days]]&gt;=0,"Expired",Table1[[#This Row],[Agreement Days]]&gt;=-30,"Expires &lt; 30 Days",Table1[[#This Row],[Agreement Days]]&gt;=-60,"Expires &lt; 60 Days",Table1[[#This Row],[Agreement Days]]&lt;-60,"Valid Contract")</f>
        <v>Valid Contract</v>
      </c>
      <c r="W2109" s="14" t="s">
        <v>12</v>
      </c>
      <c r="X2109" s="14" t="s">
        <v>971</v>
      </c>
      <c r="Y2109" s="16" t="s">
        <v>972</v>
      </c>
      <c r="Z2109" s="17" t="s">
        <v>973</v>
      </c>
      <c r="AA2109" s="17"/>
      <c r="AB2109" s="125"/>
      <c r="AC2109" s="125"/>
    </row>
    <row r="2110" spans="1:29" s="10" customFormat="1" x14ac:dyDescent="0.3">
      <c r="A2110" s="18" t="s">
        <v>967</v>
      </c>
      <c r="B2110" s="18" t="s">
        <v>154</v>
      </c>
      <c r="C2110" s="18" t="s">
        <v>3558</v>
      </c>
      <c r="D2110" s="14" t="s">
        <v>946</v>
      </c>
      <c r="E2110" s="18" t="s">
        <v>9</v>
      </c>
      <c r="F2110" s="14" t="s">
        <v>969</v>
      </c>
      <c r="G2110" s="14" t="s">
        <v>518</v>
      </c>
      <c r="H2110" s="18" t="s">
        <v>5</v>
      </c>
      <c r="I2110" s="14" t="s">
        <v>117</v>
      </c>
      <c r="J2110" s="14">
        <v>1</v>
      </c>
      <c r="K2110" s="14" t="s">
        <v>1417</v>
      </c>
      <c r="L2110" s="14"/>
      <c r="M2110" s="14">
        <v>1</v>
      </c>
      <c r="N2110" s="15">
        <v>90000</v>
      </c>
      <c r="O2110" s="15">
        <f t="shared" si="84"/>
        <v>90000</v>
      </c>
      <c r="P2110" s="15"/>
      <c r="Q2110" s="14" t="s">
        <v>520</v>
      </c>
      <c r="R2110" s="21">
        <v>46173</v>
      </c>
      <c r="S2110" s="22" t="str">
        <f>TEXT(Table1[[#This Row],[End Date]],"MMMM")</f>
        <v>May</v>
      </c>
      <c r="T2110" s="23" t="str">
        <f>TEXT(Table1[[#This Row],[End Date]],"YYYY")</f>
        <v>2026</v>
      </c>
      <c r="U2110" s="24">
        <f t="shared" ca="1" si="82"/>
        <v>-1040</v>
      </c>
      <c r="V2110" s="14" t="str" cm="1">
        <f t="array" aca="1" ref="V2110" ca="1">_xlfn.IFS(Table1[[#This Row],[Agreement Days]]&gt;=0,"Expired",Table1[[#This Row],[Agreement Days]]&gt;=-30,"Expires &lt; 30 Days",Table1[[#This Row],[Agreement Days]]&gt;=-60,"Expires &lt; 60 Days",Table1[[#This Row],[Agreement Days]]&lt;-60,"Valid Contract")</f>
        <v>Valid Contract</v>
      </c>
      <c r="W2110" s="14" t="s">
        <v>12</v>
      </c>
      <c r="X2110" s="14" t="s">
        <v>971</v>
      </c>
      <c r="Y2110" s="16" t="s">
        <v>972</v>
      </c>
      <c r="Z2110" s="17" t="s">
        <v>973</v>
      </c>
      <c r="AA2110" s="17"/>
      <c r="AB2110" s="125"/>
      <c r="AC2110" s="125"/>
    </row>
    <row r="2111" spans="1:29" s="10" customFormat="1" x14ac:dyDescent="0.3">
      <c r="A2111" s="18" t="s">
        <v>967</v>
      </c>
      <c r="B2111" s="18" t="s">
        <v>154</v>
      </c>
      <c r="C2111" s="18" t="s">
        <v>3559</v>
      </c>
      <c r="D2111" s="14" t="s">
        <v>653</v>
      </c>
      <c r="E2111" s="18" t="s">
        <v>9</v>
      </c>
      <c r="F2111" s="14" t="s">
        <v>969</v>
      </c>
      <c r="G2111" s="14" t="s">
        <v>518</v>
      </c>
      <c r="H2111" s="18" t="s">
        <v>5</v>
      </c>
      <c r="I2111" s="14" t="s">
        <v>117</v>
      </c>
      <c r="J2111" s="14">
        <v>1</v>
      </c>
      <c r="K2111" s="14" t="s">
        <v>1417</v>
      </c>
      <c r="L2111" s="14"/>
      <c r="M2111" s="14">
        <v>1</v>
      </c>
      <c r="N2111" s="15">
        <v>90000</v>
      </c>
      <c r="O2111" s="15">
        <f t="shared" si="84"/>
        <v>90000</v>
      </c>
      <c r="P2111" s="15"/>
      <c r="Q2111" s="14" t="s">
        <v>520</v>
      </c>
      <c r="R2111" s="21">
        <v>46173</v>
      </c>
      <c r="S2111" s="22" t="str">
        <f>TEXT(Table1[[#This Row],[End Date]],"MMMM")</f>
        <v>May</v>
      </c>
      <c r="T2111" s="23" t="str">
        <f>TEXT(Table1[[#This Row],[End Date]],"YYYY")</f>
        <v>2026</v>
      </c>
      <c r="U2111" s="24">
        <f t="shared" ca="1" si="82"/>
        <v>-1040</v>
      </c>
      <c r="V2111" s="14" t="str" cm="1">
        <f t="array" aca="1" ref="V2111" ca="1">_xlfn.IFS(Table1[[#This Row],[Agreement Days]]&gt;=0,"Expired",Table1[[#This Row],[Agreement Days]]&gt;=-30,"Expires &lt; 30 Days",Table1[[#This Row],[Agreement Days]]&gt;=-60,"Expires &lt; 60 Days",Table1[[#This Row],[Agreement Days]]&lt;-60,"Valid Contract")</f>
        <v>Valid Contract</v>
      </c>
      <c r="W2111" s="14" t="s">
        <v>12</v>
      </c>
      <c r="X2111" s="14" t="s">
        <v>971</v>
      </c>
      <c r="Y2111" s="16" t="s">
        <v>972</v>
      </c>
      <c r="Z2111" s="17" t="s">
        <v>973</v>
      </c>
      <c r="AA2111" s="17"/>
      <c r="AB2111" s="125"/>
      <c r="AC2111" s="125"/>
    </row>
    <row r="2112" spans="1:29" s="10" customFormat="1" x14ac:dyDescent="0.3">
      <c r="A2112" s="18" t="s">
        <v>967</v>
      </c>
      <c r="B2112" s="18" t="s">
        <v>154</v>
      </c>
      <c r="C2112" s="18" t="s">
        <v>3560</v>
      </c>
      <c r="D2112" s="14" t="s">
        <v>653</v>
      </c>
      <c r="E2112" s="18" t="s">
        <v>9</v>
      </c>
      <c r="F2112" s="14" t="s">
        <v>969</v>
      </c>
      <c r="G2112" s="14" t="s">
        <v>518</v>
      </c>
      <c r="H2112" s="18" t="s">
        <v>5</v>
      </c>
      <c r="I2112" s="14" t="s">
        <v>117</v>
      </c>
      <c r="J2112" s="14">
        <v>1</v>
      </c>
      <c r="K2112" s="14" t="s">
        <v>1417</v>
      </c>
      <c r="L2112" s="14"/>
      <c r="M2112" s="14">
        <v>1</v>
      </c>
      <c r="N2112" s="15">
        <v>90000</v>
      </c>
      <c r="O2112" s="15">
        <f t="shared" si="84"/>
        <v>90000</v>
      </c>
      <c r="P2112" s="15"/>
      <c r="Q2112" s="14" t="s">
        <v>520</v>
      </c>
      <c r="R2112" s="21">
        <v>46173</v>
      </c>
      <c r="S2112" s="22" t="str">
        <f>TEXT(Table1[[#This Row],[End Date]],"MMMM")</f>
        <v>May</v>
      </c>
      <c r="T2112" s="23" t="str">
        <f>TEXT(Table1[[#This Row],[End Date]],"YYYY")</f>
        <v>2026</v>
      </c>
      <c r="U2112" s="24">
        <f t="shared" ca="1" si="82"/>
        <v>-1040</v>
      </c>
      <c r="V2112" s="14" t="str" cm="1">
        <f t="array" aca="1" ref="V2112" ca="1">_xlfn.IFS(Table1[[#This Row],[Agreement Days]]&gt;=0,"Expired",Table1[[#This Row],[Agreement Days]]&gt;=-30,"Expires &lt; 30 Days",Table1[[#This Row],[Agreement Days]]&gt;=-60,"Expires &lt; 60 Days",Table1[[#This Row],[Agreement Days]]&lt;-60,"Valid Contract")</f>
        <v>Valid Contract</v>
      </c>
      <c r="W2112" s="14" t="s">
        <v>12</v>
      </c>
      <c r="X2112" s="14" t="s">
        <v>971</v>
      </c>
      <c r="Y2112" s="16" t="s">
        <v>972</v>
      </c>
      <c r="Z2112" s="17" t="s">
        <v>973</v>
      </c>
      <c r="AA2112" s="17"/>
      <c r="AB2112" s="125"/>
      <c r="AC2112" s="125"/>
    </row>
    <row r="2113" spans="1:29" s="10" customFormat="1" x14ac:dyDescent="0.3">
      <c r="A2113" s="18" t="s">
        <v>967</v>
      </c>
      <c r="B2113" s="18" t="s">
        <v>154</v>
      </c>
      <c r="C2113" s="18" t="s">
        <v>3561</v>
      </c>
      <c r="D2113" s="14" t="s">
        <v>769</v>
      </c>
      <c r="E2113" s="18" t="s">
        <v>9</v>
      </c>
      <c r="F2113" s="14" t="s">
        <v>969</v>
      </c>
      <c r="G2113" s="14" t="s">
        <v>518</v>
      </c>
      <c r="H2113" s="18" t="s">
        <v>5</v>
      </c>
      <c r="I2113" s="14" t="s">
        <v>117</v>
      </c>
      <c r="J2113" s="14">
        <v>1</v>
      </c>
      <c r="K2113" s="14" t="s">
        <v>1417</v>
      </c>
      <c r="L2113" s="14"/>
      <c r="M2113" s="14">
        <v>1</v>
      </c>
      <c r="N2113" s="15">
        <v>90000</v>
      </c>
      <c r="O2113" s="15">
        <f t="shared" si="84"/>
        <v>90000</v>
      </c>
      <c r="P2113" s="15"/>
      <c r="Q2113" s="14" t="s">
        <v>520</v>
      </c>
      <c r="R2113" s="21">
        <v>46173</v>
      </c>
      <c r="S2113" s="22" t="str">
        <f>TEXT(Table1[[#This Row],[End Date]],"MMMM")</f>
        <v>May</v>
      </c>
      <c r="T2113" s="23" t="str">
        <f>TEXT(Table1[[#This Row],[End Date]],"YYYY")</f>
        <v>2026</v>
      </c>
      <c r="U2113" s="24">
        <f t="shared" ca="1" si="82"/>
        <v>-1040</v>
      </c>
      <c r="V2113" s="14" t="str" cm="1">
        <f t="array" aca="1" ref="V2113" ca="1">_xlfn.IFS(Table1[[#This Row],[Agreement Days]]&gt;=0,"Expired",Table1[[#This Row],[Agreement Days]]&gt;=-30,"Expires &lt; 30 Days",Table1[[#This Row],[Agreement Days]]&gt;=-60,"Expires &lt; 60 Days",Table1[[#This Row],[Agreement Days]]&lt;-60,"Valid Contract")</f>
        <v>Valid Contract</v>
      </c>
      <c r="W2113" s="14" t="s">
        <v>12</v>
      </c>
      <c r="X2113" s="14" t="s">
        <v>971</v>
      </c>
      <c r="Y2113" s="16" t="s">
        <v>972</v>
      </c>
      <c r="Z2113" s="17" t="s">
        <v>973</v>
      </c>
      <c r="AA2113" s="17"/>
      <c r="AB2113" s="125"/>
      <c r="AC2113" s="125"/>
    </row>
    <row r="2114" spans="1:29" s="10" customFormat="1" x14ac:dyDescent="0.3">
      <c r="A2114" s="18" t="s">
        <v>967</v>
      </c>
      <c r="B2114" s="18" t="s">
        <v>154</v>
      </c>
      <c r="C2114" s="18" t="s">
        <v>3562</v>
      </c>
      <c r="D2114" s="14" t="s">
        <v>579</v>
      </c>
      <c r="E2114" s="18" t="s">
        <v>9</v>
      </c>
      <c r="F2114" s="14" t="s">
        <v>969</v>
      </c>
      <c r="G2114" s="14" t="s">
        <v>518</v>
      </c>
      <c r="H2114" s="18" t="s">
        <v>5</v>
      </c>
      <c r="I2114" s="14" t="s">
        <v>117</v>
      </c>
      <c r="J2114" s="14">
        <v>1</v>
      </c>
      <c r="K2114" s="14" t="s">
        <v>1417</v>
      </c>
      <c r="L2114" s="14"/>
      <c r="M2114" s="14">
        <v>1</v>
      </c>
      <c r="N2114" s="15">
        <v>90000</v>
      </c>
      <c r="O2114" s="15">
        <f t="shared" si="84"/>
        <v>90000</v>
      </c>
      <c r="P2114" s="15"/>
      <c r="Q2114" s="14" t="s">
        <v>520</v>
      </c>
      <c r="R2114" s="21">
        <v>46173</v>
      </c>
      <c r="S2114" s="22" t="str">
        <f>TEXT(Table1[[#This Row],[End Date]],"MMMM")</f>
        <v>May</v>
      </c>
      <c r="T2114" s="23" t="str">
        <f>TEXT(Table1[[#This Row],[End Date]],"YYYY")</f>
        <v>2026</v>
      </c>
      <c r="U2114" s="24">
        <f t="shared" ca="1" si="82"/>
        <v>-1040</v>
      </c>
      <c r="V2114" s="14" t="str" cm="1">
        <f t="array" aca="1" ref="V2114" ca="1">_xlfn.IFS(Table1[[#This Row],[Agreement Days]]&gt;=0,"Expired",Table1[[#This Row],[Agreement Days]]&gt;=-30,"Expires &lt; 30 Days",Table1[[#This Row],[Agreement Days]]&gt;=-60,"Expires &lt; 60 Days",Table1[[#This Row],[Agreement Days]]&lt;-60,"Valid Contract")</f>
        <v>Valid Contract</v>
      </c>
      <c r="W2114" s="14" t="s">
        <v>12</v>
      </c>
      <c r="X2114" s="14" t="s">
        <v>971</v>
      </c>
      <c r="Y2114" s="16" t="s">
        <v>972</v>
      </c>
      <c r="Z2114" s="17" t="s">
        <v>973</v>
      </c>
      <c r="AA2114" s="17"/>
      <c r="AB2114" s="125"/>
      <c r="AC2114" s="125"/>
    </row>
    <row r="2115" spans="1:29" s="10" customFormat="1" x14ac:dyDescent="0.3">
      <c r="A2115" s="18" t="s">
        <v>967</v>
      </c>
      <c r="B2115" s="18" t="s">
        <v>154</v>
      </c>
      <c r="C2115" s="18" t="s">
        <v>3563</v>
      </c>
      <c r="D2115" s="14" t="s">
        <v>545</v>
      </c>
      <c r="E2115" s="18" t="s">
        <v>9</v>
      </c>
      <c r="F2115" s="14" t="s">
        <v>969</v>
      </c>
      <c r="G2115" s="14" t="s">
        <v>518</v>
      </c>
      <c r="H2115" s="18" t="s">
        <v>5</v>
      </c>
      <c r="I2115" s="14" t="s">
        <v>117</v>
      </c>
      <c r="J2115" s="14">
        <v>3</v>
      </c>
      <c r="K2115" s="14" t="s">
        <v>580</v>
      </c>
      <c r="L2115" s="14"/>
      <c r="M2115" s="14">
        <v>1</v>
      </c>
      <c r="N2115" s="15">
        <v>180000</v>
      </c>
      <c r="O2115" s="15">
        <f t="shared" si="84"/>
        <v>180000</v>
      </c>
      <c r="P2115" s="15"/>
      <c r="Q2115" s="14" t="s">
        <v>520</v>
      </c>
      <c r="R2115" s="21">
        <v>46173</v>
      </c>
      <c r="S2115" s="22" t="str">
        <f>TEXT(Table1[[#This Row],[End Date]],"MMMM")</f>
        <v>May</v>
      </c>
      <c r="T2115" s="23" t="str">
        <f>TEXT(Table1[[#This Row],[End Date]],"YYYY")</f>
        <v>2026</v>
      </c>
      <c r="U2115" s="24">
        <f t="shared" ca="1" si="82"/>
        <v>-1040</v>
      </c>
      <c r="V2115" s="14" t="str" cm="1">
        <f t="array" aca="1" ref="V2115" ca="1">_xlfn.IFS(Table1[[#This Row],[Agreement Days]]&gt;=0,"Expired",Table1[[#This Row],[Agreement Days]]&gt;=-30,"Expires &lt; 30 Days",Table1[[#This Row],[Agreement Days]]&gt;=-60,"Expires &lt; 60 Days",Table1[[#This Row],[Agreement Days]]&lt;-60,"Valid Contract")</f>
        <v>Valid Contract</v>
      </c>
      <c r="W2115" s="14" t="s">
        <v>12</v>
      </c>
      <c r="X2115" s="14" t="s">
        <v>971</v>
      </c>
      <c r="Y2115" s="16" t="s">
        <v>972</v>
      </c>
      <c r="Z2115" s="17" t="s">
        <v>973</v>
      </c>
      <c r="AA2115" s="17"/>
      <c r="AB2115" s="125"/>
      <c r="AC2115" s="125"/>
    </row>
    <row r="2116" spans="1:29" s="10" customFormat="1" x14ac:dyDescent="0.3">
      <c r="A2116" s="18" t="s">
        <v>967</v>
      </c>
      <c r="B2116" s="18" t="s">
        <v>154</v>
      </c>
      <c r="C2116" s="18" t="s">
        <v>3564</v>
      </c>
      <c r="D2116" s="14" t="s">
        <v>532</v>
      </c>
      <c r="E2116" s="18" t="s">
        <v>9</v>
      </c>
      <c r="F2116" s="14" t="s">
        <v>969</v>
      </c>
      <c r="G2116" s="14" t="s">
        <v>518</v>
      </c>
      <c r="H2116" s="18" t="s">
        <v>5</v>
      </c>
      <c r="I2116" s="14" t="s">
        <v>117</v>
      </c>
      <c r="J2116" s="14">
        <v>3</v>
      </c>
      <c r="K2116" s="14" t="s">
        <v>580</v>
      </c>
      <c r="L2116" s="14"/>
      <c r="M2116" s="14">
        <v>1</v>
      </c>
      <c r="N2116" s="15">
        <v>180000</v>
      </c>
      <c r="O2116" s="15">
        <f t="shared" si="84"/>
        <v>180000</v>
      </c>
      <c r="P2116" s="15"/>
      <c r="Q2116" s="14" t="s">
        <v>520</v>
      </c>
      <c r="R2116" s="21">
        <v>46173</v>
      </c>
      <c r="S2116" s="22" t="str">
        <f>TEXT(Table1[[#This Row],[End Date]],"MMMM")</f>
        <v>May</v>
      </c>
      <c r="T2116" s="23" t="str">
        <f>TEXT(Table1[[#This Row],[End Date]],"YYYY")</f>
        <v>2026</v>
      </c>
      <c r="U2116" s="24">
        <f t="shared" ca="1" si="82"/>
        <v>-1040</v>
      </c>
      <c r="V2116" s="14" t="str" cm="1">
        <f t="array" aca="1" ref="V2116" ca="1">_xlfn.IFS(Table1[[#This Row],[Agreement Days]]&gt;=0,"Expired",Table1[[#This Row],[Agreement Days]]&gt;=-30,"Expires &lt; 30 Days",Table1[[#This Row],[Agreement Days]]&gt;=-60,"Expires &lt; 60 Days",Table1[[#This Row],[Agreement Days]]&lt;-60,"Valid Contract")</f>
        <v>Valid Contract</v>
      </c>
      <c r="W2116" s="14" t="s">
        <v>12</v>
      </c>
      <c r="X2116" s="14" t="s">
        <v>971</v>
      </c>
      <c r="Y2116" s="16" t="s">
        <v>972</v>
      </c>
      <c r="Z2116" s="17" t="s">
        <v>973</v>
      </c>
      <c r="AA2116" s="17"/>
      <c r="AB2116" s="125"/>
      <c r="AC2116" s="125"/>
    </row>
    <row r="2117" spans="1:29" s="10" customFormat="1" x14ac:dyDescent="0.3">
      <c r="A2117" s="18" t="s">
        <v>967</v>
      </c>
      <c r="B2117" s="18" t="s">
        <v>154</v>
      </c>
      <c r="C2117" s="18" t="s">
        <v>3565</v>
      </c>
      <c r="D2117" s="14" t="s">
        <v>808</v>
      </c>
      <c r="E2117" s="18" t="s">
        <v>9</v>
      </c>
      <c r="F2117" s="14" t="s">
        <v>969</v>
      </c>
      <c r="G2117" s="14" t="s">
        <v>518</v>
      </c>
      <c r="H2117" s="18" t="s">
        <v>5</v>
      </c>
      <c r="I2117" s="14" t="s">
        <v>117</v>
      </c>
      <c r="J2117" s="14">
        <v>3</v>
      </c>
      <c r="K2117" s="14" t="s">
        <v>580</v>
      </c>
      <c r="L2117" s="14"/>
      <c r="M2117" s="14">
        <v>1</v>
      </c>
      <c r="N2117" s="15">
        <v>180000</v>
      </c>
      <c r="O2117" s="15">
        <f t="shared" si="84"/>
        <v>180000</v>
      </c>
      <c r="P2117" s="15"/>
      <c r="Q2117" s="14" t="s">
        <v>520</v>
      </c>
      <c r="R2117" s="21">
        <v>46173</v>
      </c>
      <c r="S2117" s="22" t="str">
        <f>TEXT(Table1[[#This Row],[End Date]],"MMMM")</f>
        <v>May</v>
      </c>
      <c r="T2117" s="23" t="str">
        <f>TEXT(Table1[[#This Row],[End Date]],"YYYY")</f>
        <v>2026</v>
      </c>
      <c r="U2117" s="24">
        <f t="shared" ca="1" si="82"/>
        <v>-1040</v>
      </c>
      <c r="V2117" s="14" t="str" cm="1">
        <f t="array" aca="1" ref="V2117" ca="1">_xlfn.IFS(Table1[[#This Row],[Agreement Days]]&gt;=0,"Expired",Table1[[#This Row],[Agreement Days]]&gt;=-30,"Expires &lt; 30 Days",Table1[[#This Row],[Agreement Days]]&gt;=-60,"Expires &lt; 60 Days",Table1[[#This Row],[Agreement Days]]&lt;-60,"Valid Contract")</f>
        <v>Valid Contract</v>
      </c>
      <c r="W2117" s="14" t="s">
        <v>12</v>
      </c>
      <c r="X2117" s="14" t="s">
        <v>971</v>
      </c>
      <c r="Y2117" s="16" t="s">
        <v>972</v>
      </c>
      <c r="Z2117" s="17" t="s">
        <v>973</v>
      </c>
      <c r="AA2117" s="17"/>
      <c r="AB2117" s="125"/>
      <c r="AC2117" s="125"/>
    </row>
    <row r="2118" spans="1:29" s="10" customFormat="1" x14ac:dyDescent="0.3">
      <c r="A2118" s="18" t="s">
        <v>967</v>
      </c>
      <c r="B2118" s="18" t="s">
        <v>154</v>
      </c>
      <c r="C2118" s="18" t="s">
        <v>3566</v>
      </c>
      <c r="D2118" s="14" t="s">
        <v>616</v>
      </c>
      <c r="E2118" s="18" t="s">
        <v>9</v>
      </c>
      <c r="F2118" s="14" t="s">
        <v>969</v>
      </c>
      <c r="G2118" s="14" t="s">
        <v>518</v>
      </c>
      <c r="H2118" s="18" t="s">
        <v>5</v>
      </c>
      <c r="I2118" s="14" t="s">
        <v>117</v>
      </c>
      <c r="J2118" s="14">
        <v>3</v>
      </c>
      <c r="K2118" s="14" t="s">
        <v>580</v>
      </c>
      <c r="L2118" s="14"/>
      <c r="M2118" s="14">
        <v>1</v>
      </c>
      <c r="N2118" s="15">
        <v>180000</v>
      </c>
      <c r="O2118" s="15">
        <f t="shared" si="84"/>
        <v>180000</v>
      </c>
      <c r="P2118" s="15"/>
      <c r="Q2118" s="14" t="s">
        <v>520</v>
      </c>
      <c r="R2118" s="21">
        <v>46173</v>
      </c>
      <c r="S2118" s="22" t="str">
        <f>TEXT(Table1[[#This Row],[End Date]],"MMMM")</f>
        <v>May</v>
      </c>
      <c r="T2118" s="23" t="str">
        <f>TEXT(Table1[[#This Row],[End Date]],"YYYY")</f>
        <v>2026</v>
      </c>
      <c r="U2118" s="24">
        <f t="shared" ca="1" si="82"/>
        <v>-1040</v>
      </c>
      <c r="V2118" s="14" t="str" cm="1">
        <f t="array" aca="1" ref="V2118" ca="1">_xlfn.IFS(Table1[[#This Row],[Agreement Days]]&gt;=0,"Expired",Table1[[#This Row],[Agreement Days]]&gt;=-30,"Expires &lt; 30 Days",Table1[[#This Row],[Agreement Days]]&gt;=-60,"Expires &lt; 60 Days",Table1[[#This Row],[Agreement Days]]&lt;-60,"Valid Contract")</f>
        <v>Valid Contract</v>
      </c>
      <c r="W2118" s="14" t="s">
        <v>12</v>
      </c>
      <c r="X2118" s="14" t="s">
        <v>971</v>
      </c>
      <c r="Y2118" s="16" t="s">
        <v>972</v>
      </c>
      <c r="Z2118" s="17" t="s">
        <v>973</v>
      </c>
      <c r="AA2118" s="17"/>
      <c r="AB2118" s="125"/>
      <c r="AC2118" s="125"/>
    </row>
    <row r="2119" spans="1:29" s="10" customFormat="1" x14ac:dyDescent="0.3">
      <c r="A2119" s="18" t="s">
        <v>967</v>
      </c>
      <c r="B2119" s="18" t="s">
        <v>154</v>
      </c>
      <c r="C2119" s="18" t="s">
        <v>3567</v>
      </c>
      <c r="D2119" s="14" t="s">
        <v>540</v>
      </c>
      <c r="E2119" s="18" t="s">
        <v>9</v>
      </c>
      <c r="F2119" s="14" t="s">
        <v>969</v>
      </c>
      <c r="G2119" s="14" t="s">
        <v>518</v>
      </c>
      <c r="H2119" s="18" t="s">
        <v>5</v>
      </c>
      <c r="I2119" s="14" t="s">
        <v>117</v>
      </c>
      <c r="J2119" s="14">
        <v>3</v>
      </c>
      <c r="K2119" s="14" t="s">
        <v>580</v>
      </c>
      <c r="L2119" s="14"/>
      <c r="M2119" s="14">
        <v>1</v>
      </c>
      <c r="N2119" s="15">
        <v>180000</v>
      </c>
      <c r="O2119" s="15">
        <f t="shared" si="84"/>
        <v>180000</v>
      </c>
      <c r="P2119" s="15"/>
      <c r="Q2119" s="14" t="s">
        <v>520</v>
      </c>
      <c r="R2119" s="21">
        <v>46173</v>
      </c>
      <c r="S2119" s="22" t="str">
        <f>TEXT(Table1[[#This Row],[End Date]],"MMMM")</f>
        <v>May</v>
      </c>
      <c r="T2119" s="23" t="str">
        <f>TEXT(Table1[[#This Row],[End Date]],"YYYY")</f>
        <v>2026</v>
      </c>
      <c r="U2119" s="24">
        <f t="shared" ref="U2119:U2182" ca="1" si="85">TODAY()-R2119</f>
        <v>-1040</v>
      </c>
      <c r="V2119" s="14" t="str" cm="1">
        <f t="array" aca="1" ref="V2119" ca="1">_xlfn.IFS(Table1[[#This Row],[Agreement Days]]&gt;=0,"Expired",Table1[[#This Row],[Agreement Days]]&gt;=-30,"Expires &lt; 30 Days",Table1[[#This Row],[Agreement Days]]&gt;=-60,"Expires &lt; 60 Days",Table1[[#This Row],[Agreement Days]]&lt;-60,"Valid Contract")</f>
        <v>Valid Contract</v>
      </c>
      <c r="W2119" s="14" t="s">
        <v>12</v>
      </c>
      <c r="X2119" s="14" t="s">
        <v>971</v>
      </c>
      <c r="Y2119" s="16" t="s">
        <v>972</v>
      </c>
      <c r="Z2119" s="17" t="s">
        <v>973</v>
      </c>
      <c r="AA2119" s="17"/>
      <c r="AB2119" s="125"/>
      <c r="AC2119" s="125"/>
    </row>
    <row r="2120" spans="1:29" s="10" customFormat="1" x14ac:dyDescent="0.3">
      <c r="A2120" s="18" t="s">
        <v>967</v>
      </c>
      <c r="B2120" s="18" t="s">
        <v>154</v>
      </c>
      <c r="C2120" s="18" t="s">
        <v>3568</v>
      </c>
      <c r="D2120" s="14" t="s">
        <v>761</v>
      </c>
      <c r="E2120" s="18" t="s">
        <v>9</v>
      </c>
      <c r="F2120" s="14" t="s">
        <v>969</v>
      </c>
      <c r="G2120" s="14" t="s">
        <v>518</v>
      </c>
      <c r="H2120" s="18" t="s">
        <v>5</v>
      </c>
      <c r="I2120" s="14" t="s">
        <v>117</v>
      </c>
      <c r="J2120" s="14">
        <v>3</v>
      </c>
      <c r="K2120" s="14" t="s">
        <v>580</v>
      </c>
      <c r="L2120" s="14"/>
      <c r="M2120" s="14">
        <v>1</v>
      </c>
      <c r="N2120" s="15">
        <v>180000</v>
      </c>
      <c r="O2120" s="15">
        <f t="shared" si="84"/>
        <v>180000</v>
      </c>
      <c r="P2120" s="15"/>
      <c r="Q2120" s="14" t="s">
        <v>520</v>
      </c>
      <c r="R2120" s="21">
        <v>46173</v>
      </c>
      <c r="S2120" s="22" t="str">
        <f>TEXT(Table1[[#This Row],[End Date]],"MMMM")</f>
        <v>May</v>
      </c>
      <c r="T2120" s="23" t="str">
        <f>TEXT(Table1[[#This Row],[End Date]],"YYYY")</f>
        <v>2026</v>
      </c>
      <c r="U2120" s="24">
        <f t="shared" ca="1" si="85"/>
        <v>-1040</v>
      </c>
      <c r="V2120" s="14" t="str" cm="1">
        <f t="array" aca="1" ref="V2120" ca="1">_xlfn.IFS(Table1[[#This Row],[Agreement Days]]&gt;=0,"Expired",Table1[[#This Row],[Agreement Days]]&gt;=-30,"Expires &lt; 30 Days",Table1[[#This Row],[Agreement Days]]&gt;=-60,"Expires &lt; 60 Days",Table1[[#This Row],[Agreement Days]]&lt;-60,"Valid Contract")</f>
        <v>Valid Contract</v>
      </c>
      <c r="W2120" s="14" t="s">
        <v>12</v>
      </c>
      <c r="X2120" s="14" t="s">
        <v>971</v>
      </c>
      <c r="Y2120" s="16" t="s">
        <v>972</v>
      </c>
      <c r="Z2120" s="17" t="s">
        <v>973</v>
      </c>
      <c r="AA2120" s="17"/>
      <c r="AB2120" s="125"/>
      <c r="AC2120" s="125"/>
    </row>
    <row r="2121" spans="1:29" s="10" customFormat="1" x14ac:dyDescent="0.3">
      <c r="A2121" s="18" t="s">
        <v>967</v>
      </c>
      <c r="B2121" s="18" t="s">
        <v>154</v>
      </c>
      <c r="C2121" s="18" t="s">
        <v>3569</v>
      </c>
      <c r="D2121" s="14" t="s">
        <v>735</v>
      </c>
      <c r="E2121" s="18" t="s">
        <v>9</v>
      </c>
      <c r="F2121" s="14" t="s">
        <v>969</v>
      </c>
      <c r="G2121" s="14" t="s">
        <v>518</v>
      </c>
      <c r="H2121" s="18" t="s">
        <v>5</v>
      </c>
      <c r="I2121" s="14" t="s">
        <v>117</v>
      </c>
      <c r="J2121" s="14">
        <v>3</v>
      </c>
      <c r="K2121" s="14" t="s">
        <v>580</v>
      </c>
      <c r="L2121" s="14"/>
      <c r="M2121" s="14">
        <v>1</v>
      </c>
      <c r="N2121" s="15">
        <v>180000</v>
      </c>
      <c r="O2121" s="15">
        <f t="shared" si="84"/>
        <v>180000</v>
      </c>
      <c r="P2121" s="15"/>
      <c r="Q2121" s="14" t="s">
        <v>520</v>
      </c>
      <c r="R2121" s="21">
        <v>46173</v>
      </c>
      <c r="S2121" s="22" t="str">
        <f>TEXT(Table1[[#This Row],[End Date]],"MMMM")</f>
        <v>May</v>
      </c>
      <c r="T2121" s="23" t="str">
        <f>TEXT(Table1[[#This Row],[End Date]],"YYYY")</f>
        <v>2026</v>
      </c>
      <c r="U2121" s="24">
        <f t="shared" ca="1" si="85"/>
        <v>-1040</v>
      </c>
      <c r="V2121" s="14" t="str" cm="1">
        <f t="array" aca="1" ref="V2121" ca="1">_xlfn.IFS(Table1[[#This Row],[Agreement Days]]&gt;=0,"Expired",Table1[[#This Row],[Agreement Days]]&gt;=-30,"Expires &lt; 30 Days",Table1[[#This Row],[Agreement Days]]&gt;=-60,"Expires &lt; 60 Days",Table1[[#This Row],[Agreement Days]]&lt;-60,"Valid Contract")</f>
        <v>Valid Contract</v>
      </c>
      <c r="W2121" s="14" t="s">
        <v>12</v>
      </c>
      <c r="X2121" s="14" t="s">
        <v>971</v>
      </c>
      <c r="Y2121" s="16" t="s">
        <v>972</v>
      </c>
      <c r="Z2121" s="17" t="s">
        <v>973</v>
      </c>
      <c r="AA2121" s="17"/>
      <c r="AB2121" s="125"/>
      <c r="AC2121" s="125"/>
    </row>
    <row r="2122" spans="1:29" s="10" customFormat="1" x14ac:dyDescent="0.3">
      <c r="A2122" s="18" t="s">
        <v>967</v>
      </c>
      <c r="B2122" s="18" t="s">
        <v>154</v>
      </c>
      <c r="C2122" s="18" t="s">
        <v>3570</v>
      </c>
      <c r="D2122" s="14" t="s">
        <v>619</v>
      </c>
      <c r="E2122" s="18" t="s">
        <v>9</v>
      </c>
      <c r="F2122" s="14" t="s">
        <v>969</v>
      </c>
      <c r="G2122" s="14" t="s">
        <v>518</v>
      </c>
      <c r="H2122" s="18" t="s">
        <v>5</v>
      </c>
      <c r="I2122" s="14" t="s">
        <v>117</v>
      </c>
      <c r="J2122" s="14">
        <v>3</v>
      </c>
      <c r="K2122" s="14" t="s">
        <v>580</v>
      </c>
      <c r="L2122" s="14"/>
      <c r="M2122" s="14">
        <v>1</v>
      </c>
      <c r="N2122" s="15">
        <v>180000</v>
      </c>
      <c r="O2122" s="15">
        <f t="shared" si="84"/>
        <v>180000</v>
      </c>
      <c r="P2122" s="15"/>
      <c r="Q2122" s="14" t="s">
        <v>520</v>
      </c>
      <c r="R2122" s="21">
        <v>46173</v>
      </c>
      <c r="S2122" s="22" t="str">
        <f>TEXT(Table1[[#This Row],[End Date]],"MMMM")</f>
        <v>May</v>
      </c>
      <c r="T2122" s="23" t="str">
        <f>TEXT(Table1[[#This Row],[End Date]],"YYYY")</f>
        <v>2026</v>
      </c>
      <c r="U2122" s="24">
        <f t="shared" ca="1" si="85"/>
        <v>-1040</v>
      </c>
      <c r="V2122" s="14" t="str" cm="1">
        <f t="array" aca="1" ref="V2122" ca="1">_xlfn.IFS(Table1[[#This Row],[Agreement Days]]&gt;=0,"Expired",Table1[[#This Row],[Agreement Days]]&gt;=-30,"Expires &lt; 30 Days",Table1[[#This Row],[Agreement Days]]&gt;=-60,"Expires &lt; 60 Days",Table1[[#This Row],[Agreement Days]]&lt;-60,"Valid Contract")</f>
        <v>Valid Contract</v>
      </c>
      <c r="W2122" s="14" t="s">
        <v>12</v>
      </c>
      <c r="X2122" s="14" t="s">
        <v>971</v>
      </c>
      <c r="Y2122" s="16" t="s">
        <v>972</v>
      </c>
      <c r="Z2122" s="17" t="s">
        <v>973</v>
      </c>
      <c r="AA2122" s="17"/>
      <c r="AB2122" s="125"/>
      <c r="AC2122" s="125"/>
    </row>
    <row r="2123" spans="1:29" s="10" customFormat="1" x14ac:dyDescent="0.3">
      <c r="A2123" s="18" t="s">
        <v>967</v>
      </c>
      <c r="B2123" s="18" t="s">
        <v>154</v>
      </c>
      <c r="C2123" s="18" t="s">
        <v>3571</v>
      </c>
      <c r="D2123" s="14" t="s">
        <v>875</v>
      </c>
      <c r="E2123" s="18" t="s">
        <v>9</v>
      </c>
      <c r="F2123" s="14" t="s">
        <v>969</v>
      </c>
      <c r="G2123" s="14" t="s">
        <v>518</v>
      </c>
      <c r="H2123" s="18" t="s">
        <v>5</v>
      </c>
      <c r="I2123" s="14" t="s">
        <v>117</v>
      </c>
      <c r="J2123" s="14">
        <v>3</v>
      </c>
      <c r="K2123" s="14" t="s">
        <v>580</v>
      </c>
      <c r="L2123" s="14"/>
      <c r="M2123" s="14">
        <v>1</v>
      </c>
      <c r="N2123" s="15">
        <v>180000</v>
      </c>
      <c r="O2123" s="15">
        <f t="shared" si="84"/>
        <v>180000</v>
      </c>
      <c r="P2123" s="15"/>
      <c r="Q2123" s="14" t="s">
        <v>520</v>
      </c>
      <c r="R2123" s="21">
        <v>46173</v>
      </c>
      <c r="S2123" s="22" t="str">
        <f>TEXT(Table1[[#This Row],[End Date]],"MMMM")</f>
        <v>May</v>
      </c>
      <c r="T2123" s="23" t="str">
        <f>TEXT(Table1[[#This Row],[End Date]],"YYYY")</f>
        <v>2026</v>
      </c>
      <c r="U2123" s="24">
        <f t="shared" ca="1" si="85"/>
        <v>-1040</v>
      </c>
      <c r="V2123" s="14" t="str" cm="1">
        <f t="array" aca="1" ref="V2123" ca="1">_xlfn.IFS(Table1[[#This Row],[Agreement Days]]&gt;=0,"Expired",Table1[[#This Row],[Agreement Days]]&gt;=-30,"Expires &lt; 30 Days",Table1[[#This Row],[Agreement Days]]&gt;=-60,"Expires &lt; 60 Days",Table1[[#This Row],[Agreement Days]]&lt;-60,"Valid Contract")</f>
        <v>Valid Contract</v>
      </c>
      <c r="W2123" s="14" t="s">
        <v>12</v>
      </c>
      <c r="X2123" s="14" t="s">
        <v>971</v>
      </c>
      <c r="Y2123" s="16" t="s">
        <v>972</v>
      </c>
      <c r="Z2123" s="17" t="s">
        <v>973</v>
      </c>
      <c r="AA2123" s="17"/>
      <c r="AB2123" s="125"/>
      <c r="AC2123" s="125"/>
    </row>
    <row r="2124" spans="1:29" s="10" customFormat="1" x14ac:dyDescent="0.3">
      <c r="A2124" s="18" t="s">
        <v>967</v>
      </c>
      <c r="B2124" s="18" t="s">
        <v>154</v>
      </c>
      <c r="C2124" s="18" t="s">
        <v>3572</v>
      </c>
      <c r="D2124" s="14" t="s">
        <v>946</v>
      </c>
      <c r="E2124" s="18" t="s">
        <v>9</v>
      </c>
      <c r="F2124" s="14" t="s">
        <v>969</v>
      </c>
      <c r="G2124" s="14" t="s">
        <v>518</v>
      </c>
      <c r="H2124" s="18" t="s">
        <v>5</v>
      </c>
      <c r="I2124" s="14" t="s">
        <v>117</v>
      </c>
      <c r="J2124" s="14">
        <v>3</v>
      </c>
      <c r="K2124" s="14" t="s">
        <v>580</v>
      </c>
      <c r="L2124" s="14"/>
      <c r="M2124" s="14">
        <v>1</v>
      </c>
      <c r="N2124" s="15">
        <v>180000</v>
      </c>
      <c r="O2124" s="15">
        <f t="shared" si="84"/>
        <v>180000</v>
      </c>
      <c r="P2124" s="15"/>
      <c r="Q2124" s="14" t="s">
        <v>520</v>
      </c>
      <c r="R2124" s="21">
        <v>46173</v>
      </c>
      <c r="S2124" s="22" t="str">
        <f>TEXT(Table1[[#This Row],[End Date]],"MMMM")</f>
        <v>May</v>
      </c>
      <c r="T2124" s="23" t="str">
        <f>TEXT(Table1[[#This Row],[End Date]],"YYYY")</f>
        <v>2026</v>
      </c>
      <c r="U2124" s="24">
        <f t="shared" ca="1" si="85"/>
        <v>-1040</v>
      </c>
      <c r="V2124" s="14" t="str" cm="1">
        <f t="array" aca="1" ref="V2124" ca="1">_xlfn.IFS(Table1[[#This Row],[Agreement Days]]&gt;=0,"Expired",Table1[[#This Row],[Agreement Days]]&gt;=-30,"Expires &lt; 30 Days",Table1[[#This Row],[Agreement Days]]&gt;=-60,"Expires &lt; 60 Days",Table1[[#This Row],[Agreement Days]]&lt;-60,"Valid Contract")</f>
        <v>Valid Contract</v>
      </c>
      <c r="W2124" s="14" t="s">
        <v>12</v>
      </c>
      <c r="X2124" s="14" t="s">
        <v>971</v>
      </c>
      <c r="Y2124" s="16" t="s">
        <v>972</v>
      </c>
      <c r="Z2124" s="17" t="s">
        <v>973</v>
      </c>
      <c r="AA2124" s="17"/>
      <c r="AB2124" s="125"/>
      <c r="AC2124" s="125"/>
    </row>
    <row r="2125" spans="1:29" s="10" customFormat="1" x14ac:dyDescent="0.3">
      <c r="A2125" s="18" t="s">
        <v>967</v>
      </c>
      <c r="B2125" s="18" t="s">
        <v>154</v>
      </c>
      <c r="C2125" s="18" t="s">
        <v>3573</v>
      </c>
      <c r="D2125" s="14" t="s">
        <v>653</v>
      </c>
      <c r="E2125" s="18" t="s">
        <v>9</v>
      </c>
      <c r="F2125" s="14" t="s">
        <v>969</v>
      </c>
      <c r="G2125" s="14" t="s">
        <v>518</v>
      </c>
      <c r="H2125" s="18" t="s">
        <v>5</v>
      </c>
      <c r="I2125" s="14" t="s">
        <v>117</v>
      </c>
      <c r="J2125" s="14">
        <v>3</v>
      </c>
      <c r="K2125" s="14" t="s">
        <v>580</v>
      </c>
      <c r="L2125" s="14"/>
      <c r="M2125" s="14">
        <v>1</v>
      </c>
      <c r="N2125" s="15">
        <v>180000</v>
      </c>
      <c r="O2125" s="15">
        <f t="shared" si="84"/>
        <v>180000</v>
      </c>
      <c r="P2125" s="15"/>
      <c r="Q2125" s="14" t="s">
        <v>520</v>
      </c>
      <c r="R2125" s="21">
        <v>46173</v>
      </c>
      <c r="S2125" s="22" t="str">
        <f>TEXT(Table1[[#This Row],[End Date]],"MMMM")</f>
        <v>May</v>
      </c>
      <c r="T2125" s="23" t="str">
        <f>TEXT(Table1[[#This Row],[End Date]],"YYYY")</f>
        <v>2026</v>
      </c>
      <c r="U2125" s="24">
        <f t="shared" ca="1" si="85"/>
        <v>-1040</v>
      </c>
      <c r="V2125" s="14" t="str" cm="1">
        <f t="array" aca="1" ref="V2125" ca="1">_xlfn.IFS(Table1[[#This Row],[Agreement Days]]&gt;=0,"Expired",Table1[[#This Row],[Agreement Days]]&gt;=-30,"Expires &lt; 30 Days",Table1[[#This Row],[Agreement Days]]&gt;=-60,"Expires &lt; 60 Days",Table1[[#This Row],[Agreement Days]]&lt;-60,"Valid Contract")</f>
        <v>Valid Contract</v>
      </c>
      <c r="W2125" s="14" t="s">
        <v>12</v>
      </c>
      <c r="X2125" s="14" t="s">
        <v>971</v>
      </c>
      <c r="Y2125" s="16" t="s">
        <v>972</v>
      </c>
      <c r="Z2125" s="17" t="s">
        <v>973</v>
      </c>
      <c r="AA2125" s="17"/>
      <c r="AB2125" s="125"/>
      <c r="AC2125" s="125"/>
    </row>
    <row r="2126" spans="1:29" s="10" customFormat="1" x14ac:dyDescent="0.3">
      <c r="A2126" s="18" t="s">
        <v>967</v>
      </c>
      <c r="B2126" s="18" t="s">
        <v>154</v>
      </c>
      <c r="C2126" s="18" t="s">
        <v>3574</v>
      </c>
      <c r="D2126" s="14" t="s">
        <v>653</v>
      </c>
      <c r="E2126" s="18" t="s">
        <v>9</v>
      </c>
      <c r="F2126" s="14" t="s">
        <v>969</v>
      </c>
      <c r="G2126" s="14" t="s">
        <v>518</v>
      </c>
      <c r="H2126" s="18" t="s">
        <v>5</v>
      </c>
      <c r="I2126" s="14" t="s">
        <v>117</v>
      </c>
      <c r="J2126" s="14">
        <v>3</v>
      </c>
      <c r="K2126" s="14" t="s">
        <v>580</v>
      </c>
      <c r="L2126" s="14"/>
      <c r="M2126" s="14">
        <v>1</v>
      </c>
      <c r="N2126" s="15">
        <v>180000</v>
      </c>
      <c r="O2126" s="15">
        <f t="shared" si="84"/>
        <v>180000</v>
      </c>
      <c r="P2126" s="15"/>
      <c r="Q2126" s="14" t="s">
        <v>520</v>
      </c>
      <c r="R2126" s="21">
        <v>46173</v>
      </c>
      <c r="S2126" s="22" t="str">
        <f>TEXT(Table1[[#This Row],[End Date]],"MMMM")</f>
        <v>May</v>
      </c>
      <c r="T2126" s="23" t="str">
        <f>TEXT(Table1[[#This Row],[End Date]],"YYYY")</f>
        <v>2026</v>
      </c>
      <c r="U2126" s="24">
        <f t="shared" ca="1" si="85"/>
        <v>-1040</v>
      </c>
      <c r="V2126" s="14" t="str" cm="1">
        <f t="array" aca="1" ref="V2126" ca="1">_xlfn.IFS(Table1[[#This Row],[Agreement Days]]&gt;=0,"Expired",Table1[[#This Row],[Agreement Days]]&gt;=-30,"Expires &lt; 30 Days",Table1[[#This Row],[Agreement Days]]&gt;=-60,"Expires &lt; 60 Days",Table1[[#This Row],[Agreement Days]]&lt;-60,"Valid Contract")</f>
        <v>Valid Contract</v>
      </c>
      <c r="W2126" s="14" t="s">
        <v>12</v>
      </c>
      <c r="X2126" s="14" t="s">
        <v>971</v>
      </c>
      <c r="Y2126" s="16" t="s">
        <v>972</v>
      </c>
      <c r="Z2126" s="17" t="s">
        <v>973</v>
      </c>
      <c r="AA2126" s="17"/>
      <c r="AB2126" s="125"/>
      <c r="AC2126" s="125"/>
    </row>
    <row r="2127" spans="1:29" s="10" customFormat="1" x14ac:dyDescent="0.3">
      <c r="A2127" s="18" t="s">
        <v>967</v>
      </c>
      <c r="B2127" s="18" t="s">
        <v>154</v>
      </c>
      <c r="C2127" s="18" t="s">
        <v>3575</v>
      </c>
      <c r="D2127" s="14" t="s">
        <v>769</v>
      </c>
      <c r="E2127" s="18" t="s">
        <v>9</v>
      </c>
      <c r="F2127" s="14" t="s">
        <v>969</v>
      </c>
      <c r="G2127" s="14" t="s">
        <v>518</v>
      </c>
      <c r="H2127" s="18" t="s">
        <v>5</v>
      </c>
      <c r="I2127" s="14" t="s">
        <v>117</v>
      </c>
      <c r="J2127" s="14">
        <v>3</v>
      </c>
      <c r="K2127" s="14" t="s">
        <v>580</v>
      </c>
      <c r="L2127" s="14"/>
      <c r="M2127" s="14">
        <v>1</v>
      </c>
      <c r="N2127" s="15">
        <v>180000</v>
      </c>
      <c r="O2127" s="15">
        <f t="shared" si="84"/>
        <v>180000</v>
      </c>
      <c r="P2127" s="15"/>
      <c r="Q2127" s="14" t="s">
        <v>520</v>
      </c>
      <c r="R2127" s="21">
        <v>46173</v>
      </c>
      <c r="S2127" s="22" t="str">
        <f>TEXT(Table1[[#This Row],[End Date]],"MMMM")</f>
        <v>May</v>
      </c>
      <c r="T2127" s="23" t="str">
        <f>TEXT(Table1[[#This Row],[End Date]],"YYYY")</f>
        <v>2026</v>
      </c>
      <c r="U2127" s="24">
        <f t="shared" ca="1" si="85"/>
        <v>-1040</v>
      </c>
      <c r="V2127" s="14" t="str" cm="1">
        <f t="array" aca="1" ref="V2127" ca="1">_xlfn.IFS(Table1[[#This Row],[Agreement Days]]&gt;=0,"Expired",Table1[[#This Row],[Agreement Days]]&gt;=-30,"Expires &lt; 30 Days",Table1[[#This Row],[Agreement Days]]&gt;=-60,"Expires &lt; 60 Days",Table1[[#This Row],[Agreement Days]]&lt;-60,"Valid Contract")</f>
        <v>Valid Contract</v>
      </c>
      <c r="W2127" s="14" t="s">
        <v>12</v>
      </c>
      <c r="X2127" s="14" t="s">
        <v>971</v>
      </c>
      <c r="Y2127" s="16" t="s">
        <v>972</v>
      </c>
      <c r="Z2127" s="17" t="s">
        <v>973</v>
      </c>
      <c r="AA2127" s="17"/>
      <c r="AB2127" s="125"/>
      <c r="AC2127" s="125"/>
    </row>
    <row r="2128" spans="1:29" s="10" customFormat="1" x14ac:dyDescent="0.3">
      <c r="A2128" s="18" t="s">
        <v>967</v>
      </c>
      <c r="B2128" s="18" t="s">
        <v>154</v>
      </c>
      <c r="C2128" s="18" t="s">
        <v>3576</v>
      </c>
      <c r="D2128" s="14" t="s">
        <v>579</v>
      </c>
      <c r="E2128" s="18" t="s">
        <v>9</v>
      </c>
      <c r="F2128" s="14" t="s">
        <v>969</v>
      </c>
      <c r="G2128" s="14" t="s">
        <v>518</v>
      </c>
      <c r="H2128" s="18" t="s">
        <v>5</v>
      </c>
      <c r="I2128" s="14" t="s">
        <v>117</v>
      </c>
      <c r="J2128" s="14">
        <v>3</v>
      </c>
      <c r="K2128" s="14" t="s">
        <v>580</v>
      </c>
      <c r="L2128" s="14"/>
      <c r="M2128" s="14">
        <v>1</v>
      </c>
      <c r="N2128" s="15">
        <v>180000</v>
      </c>
      <c r="O2128" s="15">
        <f t="shared" si="84"/>
        <v>180000</v>
      </c>
      <c r="P2128" s="15"/>
      <c r="Q2128" s="14" t="s">
        <v>520</v>
      </c>
      <c r="R2128" s="21">
        <v>46173</v>
      </c>
      <c r="S2128" s="22" t="str">
        <f>TEXT(Table1[[#This Row],[End Date]],"MMMM")</f>
        <v>May</v>
      </c>
      <c r="T2128" s="23" t="str">
        <f>TEXT(Table1[[#This Row],[End Date]],"YYYY")</f>
        <v>2026</v>
      </c>
      <c r="U2128" s="24">
        <f t="shared" ca="1" si="85"/>
        <v>-1040</v>
      </c>
      <c r="V2128" s="14" t="str" cm="1">
        <f t="array" aca="1" ref="V2128" ca="1">_xlfn.IFS(Table1[[#This Row],[Agreement Days]]&gt;=0,"Expired",Table1[[#This Row],[Agreement Days]]&gt;=-30,"Expires &lt; 30 Days",Table1[[#This Row],[Agreement Days]]&gt;=-60,"Expires &lt; 60 Days",Table1[[#This Row],[Agreement Days]]&lt;-60,"Valid Contract")</f>
        <v>Valid Contract</v>
      </c>
      <c r="W2128" s="14" t="s">
        <v>12</v>
      </c>
      <c r="X2128" s="14" t="s">
        <v>971</v>
      </c>
      <c r="Y2128" s="16" t="s">
        <v>972</v>
      </c>
      <c r="Z2128" s="17" t="s">
        <v>973</v>
      </c>
      <c r="AA2128" s="17"/>
      <c r="AB2128" s="125"/>
      <c r="AC2128" s="125"/>
    </row>
    <row r="2129" spans="1:29" s="10" customFormat="1" x14ac:dyDescent="0.3">
      <c r="A2129" s="18" t="s">
        <v>967</v>
      </c>
      <c r="B2129" s="18" t="s">
        <v>154</v>
      </c>
      <c r="C2129" s="18" t="s">
        <v>3577</v>
      </c>
      <c r="D2129" s="14" t="s">
        <v>545</v>
      </c>
      <c r="E2129" s="18" t="s">
        <v>9</v>
      </c>
      <c r="F2129" s="14" t="s">
        <v>969</v>
      </c>
      <c r="G2129" s="14" t="s">
        <v>518</v>
      </c>
      <c r="H2129" s="18" t="s">
        <v>5</v>
      </c>
      <c r="I2129" s="14" t="s">
        <v>117</v>
      </c>
      <c r="J2129" s="14">
        <v>3</v>
      </c>
      <c r="K2129" s="14" t="s">
        <v>580</v>
      </c>
      <c r="L2129" s="14"/>
      <c r="M2129" s="14">
        <v>1</v>
      </c>
      <c r="N2129" s="15">
        <v>180000</v>
      </c>
      <c r="O2129" s="15">
        <f t="shared" si="84"/>
        <v>180000</v>
      </c>
      <c r="P2129" s="15"/>
      <c r="Q2129" s="14" t="s">
        <v>520</v>
      </c>
      <c r="R2129" s="21">
        <v>46173</v>
      </c>
      <c r="S2129" s="22" t="str">
        <f>TEXT(Table1[[#This Row],[End Date]],"MMMM")</f>
        <v>May</v>
      </c>
      <c r="T2129" s="23" t="str">
        <f>TEXT(Table1[[#This Row],[End Date]],"YYYY")</f>
        <v>2026</v>
      </c>
      <c r="U2129" s="24">
        <f t="shared" ca="1" si="85"/>
        <v>-1040</v>
      </c>
      <c r="V2129" s="14" t="str" cm="1">
        <f t="array" aca="1" ref="V2129" ca="1">_xlfn.IFS(Table1[[#This Row],[Agreement Days]]&gt;=0,"Expired",Table1[[#This Row],[Agreement Days]]&gt;=-30,"Expires &lt; 30 Days",Table1[[#This Row],[Agreement Days]]&gt;=-60,"Expires &lt; 60 Days",Table1[[#This Row],[Agreement Days]]&lt;-60,"Valid Contract")</f>
        <v>Valid Contract</v>
      </c>
      <c r="W2129" s="14" t="s">
        <v>12</v>
      </c>
      <c r="X2129" s="14" t="s">
        <v>971</v>
      </c>
      <c r="Y2129" s="16" t="s">
        <v>972</v>
      </c>
      <c r="Z2129" s="17" t="s">
        <v>973</v>
      </c>
      <c r="AA2129" s="17"/>
      <c r="AB2129" s="125"/>
      <c r="AC2129" s="125"/>
    </row>
    <row r="2130" spans="1:29" s="10" customFormat="1" x14ac:dyDescent="0.3">
      <c r="A2130" s="18" t="s">
        <v>967</v>
      </c>
      <c r="B2130" s="18" t="s">
        <v>154</v>
      </c>
      <c r="C2130" s="18" t="s">
        <v>3578</v>
      </c>
      <c r="D2130" s="14" t="s">
        <v>545</v>
      </c>
      <c r="E2130" s="18" t="s">
        <v>9</v>
      </c>
      <c r="F2130" s="14" t="s">
        <v>969</v>
      </c>
      <c r="G2130" s="14" t="s">
        <v>518</v>
      </c>
      <c r="H2130" s="18" t="s">
        <v>5</v>
      </c>
      <c r="I2130" s="14" t="s">
        <v>117</v>
      </c>
      <c r="J2130" s="14">
        <v>47</v>
      </c>
      <c r="K2130" s="14" t="s">
        <v>3579</v>
      </c>
      <c r="L2130" s="14"/>
      <c r="M2130" s="14">
        <v>1</v>
      </c>
      <c r="N2130" s="15">
        <f>1800000-180000</f>
        <v>1620000</v>
      </c>
      <c r="O2130" s="15">
        <f t="shared" si="84"/>
        <v>1620000</v>
      </c>
      <c r="P2130" s="15"/>
      <c r="Q2130" s="14" t="s">
        <v>520</v>
      </c>
      <c r="R2130" s="21">
        <v>46173</v>
      </c>
      <c r="S2130" s="22" t="str">
        <f>TEXT(Table1[[#This Row],[End Date]],"MMMM")</f>
        <v>May</v>
      </c>
      <c r="T2130" s="23" t="str">
        <f>TEXT(Table1[[#This Row],[End Date]],"YYYY")</f>
        <v>2026</v>
      </c>
      <c r="U2130" s="24">
        <f t="shared" ca="1" si="85"/>
        <v>-1040</v>
      </c>
      <c r="V2130" s="14" t="str" cm="1">
        <f t="array" aca="1" ref="V2130" ca="1">_xlfn.IFS(Table1[[#This Row],[Agreement Days]]&gt;=0,"Expired",Table1[[#This Row],[Agreement Days]]&gt;=-30,"Expires &lt; 30 Days",Table1[[#This Row],[Agreement Days]]&gt;=-60,"Expires &lt; 60 Days",Table1[[#This Row],[Agreement Days]]&lt;-60,"Valid Contract")</f>
        <v>Valid Contract</v>
      </c>
      <c r="W2130" s="14" t="s">
        <v>12</v>
      </c>
      <c r="X2130" s="14" t="s">
        <v>971</v>
      </c>
      <c r="Y2130" s="16" t="s">
        <v>972</v>
      </c>
      <c r="Z2130" s="17" t="s">
        <v>973</v>
      </c>
      <c r="AA2130" s="17"/>
      <c r="AB2130" s="125"/>
      <c r="AC2130" s="125"/>
    </row>
    <row r="2131" spans="1:29" s="10" customFormat="1" hidden="1" x14ac:dyDescent="0.3">
      <c r="A2131" s="18" t="s">
        <v>3580</v>
      </c>
      <c r="B2131" s="18" t="s">
        <v>207</v>
      </c>
      <c r="C2131" s="18" t="s">
        <v>544</v>
      </c>
      <c r="D2131" s="14" t="s">
        <v>586</v>
      </c>
      <c r="E2131" s="18" t="s">
        <v>9</v>
      </c>
      <c r="F2131" s="14" t="s">
        <v>517</v>
      </c>
      <c r="G2131" s="14" t="s">
        <v>518</v>
      </c>
      <c r="H2131" s="18" t="s">
        <v>5</v>
      </c>
      <c r="I2131" s="14" t="s">
        <v>117</v>
      </c>
      <c r="J2131" s="14">
        <v>3</v>
      </c>
      <c r="K2131" s="14" t="s">
        <v>646</v>
      </c>
      <c r="L2131" s="14"/>
      <c r="M2131" s="14">
        <v>1</v>
      </c>
      <c r="N2131" s="15">
        <v>180000</v>
      </c>
      <c r="O2131" s="15">
        <f t="shared" ref="O2131:O2194" si="86">N2131*M2131</f>
        <v>180000</v>
      </c>
      <c r="P2131" s="15"/>
      <c r="Q2131" s="14" t="s">
        <v>520</v>
      </c>
      <c r="R2131" s="21">
        <v>46203</v>
      </c>
      <c r="S2131" s="22" t="str">
        <f>TEXT(Table1[[#This Row],[End Date]],"MMMM")</f>
        <v>June</v>
      </c>
      <c r="T2131" s="23" t="str">
        <f>TEXT(Table1[[#This Row],[End Date]],"YYYY")</f>
        <v>2026</v>
      </c>
      <c r="U2131" s="24">
        <f t="shared" ca="1" si="85"/>
        <v>-1070</v>
      </c>
      <c r="V2131" s="14" t="str" cm="1">
        <f t="array" aca="1" ref="V2131" ca="1">_xlfn.IFS(Table1[[#This Row],[Agreement Days]]&gt;=0,"Expired",Table1[[#This Row],[Agreement Days]]&gt;=-30,"Expires &lt; 30 Days",Table1[[#This Row],[Agreement Days]]&gt;=-60,"Expires &lt; 60 Days",Table1[[#This Row],[Agreement Days]]&lt;-60,"Valid Contract")</f>
        <v>Valid Contract</v>
      </c>
      <c r="W2131" s="14" t="s">
        <v>19</v>
      </c>
      <c r="X2131" s="14" t="s">
        <v>3581</v>
      </c>
      <c r="Y2131" s="14" t="s">
        <v>3582</v>
      </c>
      <c r="Z2131" s="17">
        <v>728556003</v>
      </c>
      <c r="AA2131" s="17"/>
      <c r="AB2131" s="125"/>
      <c r="AC2131" s="125"/>
    </row>
    <row r="2132" spans="1:29" s="10" customFormat="1" hidden="1" x14ac:dyDescent="0.3">
      <c r="A2132" s="18" t="s">
        <v>3580</v>
      </c>
      <c r="B2132" s="18" t="s">
        <v>207</v>
      </c>
      <c r="C2132" s="18" t="s">
        <v>544</v>
      </c>
      <c r="D2132" s="14" t="s">
        <v>586</v>
      </c>
      <c r="E2132" s="18" t="s">
        <v>9</v>
      </c>
      <c r="F2132" s="14" t="s">
        <v>517</v>
      </c>
      <c r="G2132" s="14" t="s">
        <v>518</v>
      </c>
      <c r="H2132" s="18" t="s">
        <v>5</v>
      </c>
      <c r="I2132" s="14" t="s">
        <v>117</v>
      </c>
      <c r="J2132" s="14">
        <v>10</v>
      </c>
      <c r="K2132" s="14" t="s">
        <v>547</v>
      </c>
      <c r="L2132" s="14"/>
      <c r="M2132" s="14">
        <v>1</v>
      </c>
      <c r="N2132" s="15">
        <v>510000</v>
      </c>
      <c r="O2132" s="15">
        <f t="shared" si="86"/>
        <v>510000</v>
      </c>
      <c r="P2132" s="15"/>
      <c r="Q2132" s="14" t="s">
        <v>520</v>
      </c>
      <c r="R2132" s="21">
        <v>46203</v>
      </c>
      <c r="S2132" s="22" t="str">
        <f>TEXT(Table1[[#This Row],[End Date]],"MMMM")</f>
        <v>June</v>
      </c>
      <c r="T2132" s="23" t="str">
        <f>TEXT(Table1[[#This Row],[End Date]],"YYYY")</f>
        <v>2026</v>
      </c>
      <c r="U2132" s="24">
        <f t="shared" ca="1" si="85"/>
        <v>-1070</v>
      </c>
      <c r="V2132" s="14" t="str" cm="1">
        <f t="array" aca="1" ref="V2132" ca="1">_xlfn.IFS(Table1[[#This Row],[Agreement Days]]&gt;=0,"Expired",Table1[[#This Row],[Agreement Days]]&gt;=-30,"Expires &lt; 30 Days",Table1[[#This Row],[Agreement Days]]&gt;=-60,"Expires &lt; 60 Days",Table1[[#This Row],[Agreement Days]]&lt;-60,"Valid Contract")</f>
        <v>Valid Contract</v>
      </c>
      <c r="W2132" s="14" t="s">
        <v>19</v>
      </c>
      <c r="X2132" s="14" t="s">
        <v>3581</v>
      </c>
      <c r="Y2132" s="14" t="s">
        <v>3582</v>
      </c>
      <c r="Z2132" s="17">
        <v>728556003</v>
      </c>
      <c r="AA2132" s="17"/>
      <c r="AB2132" s="125"/>
      <c r="AC2132" s="125"/>
    </row>
    <row r="2133" spans="1:29" s="10" customFormat="1" hidden="1" x14ac:dyDescent="0.3">
      <c r="A2133" s="18" t="s">
        <v>3580</v>
      </c>
      <c r="B2133" s="18" t="s">
        <v>207</v>
      </c>
      <c r="C2133" s="18" t="s">
        <v>909</v>
      </c>
      <c r="D2133" s="14" t="s">
        <v>586</v>
      </c>
      <c r="E2133" s="18" t="s">
        <v>9</v>
      </c>
      <c r="F2133" s="14" t="s">
        <v>517</v>
      </c>
      <c r="G2133" s="14" t="s">
        <v>518</v>
      </c>
      <c r="H2133" s="18" t="s">
        <v>5</v>
      </c>
      <c r="I2133" s="14" t="s">
        <v>115</v>
      </c>
      <c r="J2133" s="14"/>
      <c r="K2133" s="18" t="s">
        <v>643</v>
      </c>
      <c r="L2133" s="14"/>
      <c r="M2133" s="14">
        <v>1</v>
      </c>
      <c r="N2133" s="15">
        <v>28305.08</v>
      </c>
      <c r="O2133" s="15">
        <f t="shared" si="86"/>
        <v>28305.08</v>
      </c>
      <c r="P2133" s="15"/>
      <c r="Q2133" s="14" t="s">
        <v>520</v>
      </c>
      <c r="R2133" s="21">
        <v>46203</v>
      </c>
      <c r="S2133" s="22" t="str">
        <f>TEXT(Table1[[#This Row],[End Date]],"MMMM")</f>
        <v>June</v>
      </c>
      <c r="T2133" s="23" t="str">
        <f>TEXT(Table1[[#This Row],[End Date]],"YYYY")</f>
        <v>2026</v>
      </c>
      <c r="U2133" s="24">
        <f t="shared" ca="1" si="85"/>
        <v>-1070</v>
      </c>
      <c r="V2133" s="14" t="str" cm="1">
        <f t="array" aca="1" ref="V2133" ca="1">_xlfn.IFS(Table1[[#This Row],[Agreement Days]]&gt;=0,"Expired",Table1[[#This Row],[Agreement Days]]&gt;=-30,"Expires &lt; 30 Days",Table1[[#This Row],[Agreement Days]]&gt;=-60,"Expires &lt; 60 Days",Table1[[#This Row],[Agreement Days]]&lt;-60,"Valid Contract")</f>
        <v>Valid Contract</v>
      </c>
      <c r="W2133" s="14" t="s">
        <v>19</v>
      </c>
      <c r="X2133" s="14" t="s">
        <v>3581</v>
      </c>
      <c r="Y2133" s="14" t="s">
        <v>3582</v>
      </c>
      <c r="Z2133" s="17">
        <v>728556003</v>
      </c>
      <c r="AA2133" s="17"/>
      <c r="AB2133" s="125"/>
      <c r="AC2133" s="125"/>
    </row>
    <row r="2134" spans="1:29" s="10" customFormat="1" hidden="1" x14ac:dyDescent="0.3">
      <c r="A2134" s="18" t="s">
        <v>3580</v>
      </c>
      <c r="B2134" s="18" t="s">
        <v>207</v>
      </c>
      <c r="C2134" s="18" t="s">
        <v>544</v>
      </c>
      <c r="D2134" s="14" t="s">
        <v>586</v>
      </c>
      <c r="E2134" s="18" t="s">
        <v>9</v>
      </c>
      <c r="F2134" s="14" t="s">
        <v>517</v>
      </c>
      <c r="G2134" s="14" t="s">
        <v>518</v>
      </c>
      <c r="H2134" s="18" t="s">
        <v>2</v>
      </c>
      <c r="I2134" s="14" t="s">
        <v>120</v>
      </c>
      <c r="J2134" s="14"/>
      <c r="K2134" s="14" t="s">
        <v>649</v>
      </c>
      <c r="L2134" s="14"/>
      <c r="M2134" s="14">
        <v>1</v>
      </c>
      <c r="N2134" s="15">
        <v>258044.92</v>
      </c>
      <c r="O2134" s="15">
        <f t="shared" si="86"/>
        <v>258044.92</v>
      </c>
      <c r="P2134" s="15"/>
      <c r="Q2134" s="14" t="s">
        <v>520</v>
      </c>
      <c r="R2134" s="21">
        <v>46203</v>
      </c>
      <c r="S2134" s="22" t="str">
        <f>TEXT(Table1[[#This Row],[End Date]],"MMMM")</f>
        <v>June</v>
      </c>
      <c r="T2134" s="23" t="str">
        <f>TEXT(Table1[[#This Row],[End Date]],"YYYY")</f>
        <v>2026</v>
      </c>
      <c r="U2134" s="24">
        <f t="shared" ca="1" si="85"/>
        <v>-1070</v>
      </c>
      <c r="V2134" s="14" t="str" cm="1">
        <f t="array" aca="1" ref="V2134" ca="1">_xlfn.IFS(Table1[[#This Row],[Agreement Days]]&gt;=0,"Expired",Table1[[#This Row],[Agreement Days]]&gt;=-30,"Expires &lt; 30 Days",Table1[[#This Row],[Agreement Days]]&gt;=-60,"Expires &lt; 60 Days",Table1[[#This Row],[Agreement Days]]&lt;-60,"Valid Contract")</f>
        <v>Valid Contract</v>
      </c>
      <c r="W2134" s="14" t="s">
        <v>19</v>
      </c>
      <c r="X2134" s="14" t="s">
        <v>3581</v>
      </c>
      <c r="Y2134" s="14" t="s">
        <v>3582</v>
      </c>
      <c r="Z2134" s="17">
        <v>728556003</v>
      </c>
      <c r="AA2134" s="17"/>
      <c r="AB2134" s="125"/>
      <c r="AC2134" s="125"/>
    </row>
    <row r="2135" spans="1:29" s="10" customFormat="1" hidden="1" x14ac:dyDescent="0.3">
      <c r="A2135" s="18" t="s">
        <v>3580</v>
      </c>
      <c r="B2135" s="18" t="s">
        <v>207</v>
      </c>
      <c r="C2135" s="18" t="s">
        <v>544</v>
      </c>
      <c r="D2135" s="14" t="s">
        <v>586</v>
      </c>
      <c r="E2135" s="18" t="s">
        <v>9</v>
      </c>
      <c r="F2135" s="14" t="s">
        <v>517</v>
      </c>
      <c r="G2135" s="14" t="s">
        <v>518</v>
      </c>
      <c r="H2135" s="18" t="s">
        <v>4</v>
      </c>
      <c r="I2135" s="14" t="s">
        <v>118</v>
      </c>
      <c r="J2135" s="14"/>
      <c r="K2135" s="14" t="s">
        <v>650</v>
      </c>
      <c r="L2135" s="14"/>
      <c r="M2135" s="14">
        <v>1</v>
      </c>
      <c r="N2135" s="15">
        <v>369325.42</v>
      </c>
      <c r="O2135" s="15">
        <f t="shared" si="86"/>
        <v>369325.42</v>
      </c>
      <c r="P2135" s="15"/>
      <c r="Q2135" s="14" t="s">
        <v>520</v>
      </c>
      <c r="R2135" s="21">
        <v>46203</v>
      </c>
      <c r="S2135" s="22" t="str">
        <f>TEXT(Table1[[#This Row],[End Date]],"MMMM")</f>
        <v>June</v>
      </c>
      <c r="T2135" s="23" t="str">
        <f>TEXT(Table1[[#This Row],[End Date]],"YYYY")</f>
        <v>2026</v>
      </c>
      <c r="U2135" s="24">
        <f t="shared" ca="1" si="85"/>
        <v>-1070</v>
      </c>
      <c r="V2135" s="14" t="str" cm="1">
        <f t="array" aca="1" ref="V2135" ca="1">_xlfn.IFS(Table1[[#This Row],[Agreement Days]]&gt;=0,"Expired",Table1[[#This Row],[Agreement Days]]&gt;=-30,"Expires &lt; 30 Days",Table1[[#This Row],[Agreement Days]]&gt;=-60,"Expires &lt; 60 Days",Table1[[#This Row],[Agreement Days]]&lt;-60,"Valid Contract")</f>
        <v>Valid Contract</v>
      </c>
      <c r="W2135" s="14" t="s">
        <v>19</v>
      </c>
      <c r="X2135" s="14" t="s">
        <v>3581</v>
      </c>
      <c r="Y2135" s="14" t="s">
        <v>3582</v>
      </c>
      <c r="Z2135" s="17">
        <v>728556003</v>
      </c>
      <c r="AA2135" s="17"/>
      <c r="AB2135" s="125"/>
      <c r="AC2135" s="125"/>
    </row>
    <row r="2136" spans="1:29" s="10" customFormat="1" hidden="1" x14ac:dyDescent="0.3">
      <c r="A2136" s="18" t="s">
        <v>3580</v>
      </c>
      <c r="B2136" s="18" t="s">
        <v>207</v>
      </c>
      <c r="C2136" s="18" t="s">
        <v>909</v>
      </c>
      <c r="D2136" s="14" t="s">
        <v>586</v>
      </c>
      <c r="E2136" s="18" t="s">
        <v>9</v>
      </c>
      <c r="F2136" s="14" t="s">
        <v>517</v>
      </c>
      <c r="G2136" s="14" t="s">
        <v>518</v>
      </c>
      <c r="H2136" s="18" t="s">
        <v>5</v>
      </c>
      <c r="I2136" s="14" t="s">
        <v>115</v>
      </c>
      <c r="J2136" s="14"/>
      <c r="K2136" s="18" t="s">
        <v>657</v>
      </c>
      <c r="L2136" s="14"/>
      <c r="M2136" s="14">
        <v>2</v>
      </c>
      <c r="N2136" s="15">
        <v>45338.98</v>
      </c>
      <c r="O2136" s="15">
        <f t="shared" si="86"/>
        <v>90677.96</v>
      </c>
      <c r="P2136" s="15"/>
      <c r="Q2136" s="14" t="s">
        <v>520</v>
      </c>
      <c r="R2136" s="21">
        <v>46203</v>
      </c>
      <c r="S2136" s="22" t="str">
        <f>TEXT(Table1[[#This Row],[End Date]],"MMMM")</f>
        <v>June</v>
      </c>
      <c r="T2136" s="23" t="str">
        <f>TEXT(Table1[[#This Row],[End Date]],"YYYY")</f>
        <v>2026</v>
      </c>
      <c r="U2136" s="24">
        <f t="shared" ca="1" si="85"/>
        <v>-1070</v>
      </c>
      <c r="V2136" s="14" t="str" cm="1">
        <f t="array" aca="1" ref="V2136" ca="1">_xlfn.IFS(Table1[[#This Row],[Agreement Days]]&gt;=0,"Expired",Table1[[#This Row],[Agreement Days]]&gt;=-30,"Expires &lt; 30 Days",Table1[[#This Row],[Agreement Days]]&gt;=-60,"Expires &lt; 60 Days",Table1[[#This Row],[Agreement Days]]&lt;-60,"Valid Contract")</f>
        <v>Valid Contract</v>
      </c>
      <c r="W2136" s="14" t="s">
        <v>19</v>
      </c>
      <c r="X2136" s="14" t="s">
        <v>3581</v>
      </c>
      <c r="Y2136" s="14" t="s">
        <v>3582</v>
      </c>
      <c r="Z2136" s="17">
        <v>728556003</v>
      </c>
      <c r="AA2136" s="17"/>
      <c r="AB2136" s="125"/>
      <c r="AC2136" s="125"/>
    </row>
    <row r="2137" spans="1:29" s="10" customFormat="1" hidden="1" x14ac:dyDescent="0.3">
      <c r="A2137" s="18" t="s">
        <v>3580</v>
      </c>
      <c r="B2137" s="18" t="s">
        <v>207</v>
      </c>
      <c r="C2137" s="18" t="s">
        <v>909</v>
      </c>
      <c r="D2137" s="14" t="s">
        <v>586</v>
      </c>
      <c r="E2137" s="18" t="s">
        <v>9</v>
      </c>
      <c r="F2137" s="14" t="s">
        <v>517</v>
      </c>
      <c r="G2137" s="14" t="s">
        <v>518</v>
      </c>
      <c r="H2137" s="18" t="s">
        <v>5</v>
      </c>
      <c r="I2137" s="14" t="s">
        <v>115</v>
      </c>
      <c r="J2137" s="14"/>
      <c r="K2137" s="18" t="s">
        <v>573</v>
      </c>
      <c r="L2137" s="14"/>
      <c r="M2137" s="14">
        <v>6</v>
      </c>
      <c r="N2137" s="15">
        <v>19491.53</v>
      </c>
      <c r="O2137" s="15">
        <f t="shared" si="86"/>
        <v>116949.18</v>
      </c>
      <c r="P2137" s="15"/>
      <c r="Q2137" s="14" t="s">
        <v>520</v>
      </c>
      <c r="R2137" s="21">
        <v>46203</v>
      </c>
      <c r="S2137" s="22" t="str">
        <f>TEXT(Table1[[#This Row],[End Date]],"MMMM")</f>
        <v>June</v>
      </c>
      <c r="T2137" s="23" t="str">
        <f>TEXT(Table1[[#This Row],[End Date]],"YYYY")</f>
        <v>2026</v>
      </c>
      <c r="U2137" s="24">
        <f t="shared" ca="1" si="85"/>
        <v>-1070</v>
      </c>
      <c r="V2137" s="14" t="str" cm="1">
        <f t="array" aca="1" ref="V2137" ca="1">_xlfn.IFS(Table1[[#This Row],[Agreement Days]]&gt;=0,"Expired",Table1[[#This Row],[Agreement Days]]&gt;=-30,"Expires &lt; 30 Days",Table1[[#This Row],[Agreement Days]]&gt;=-60,"Expires &lt; 60 Days",Table1[[#This Row],[Agreement Days]]&lt;-60,"Valid Contract")</f>
        <v>Valid Contract</v>
      </c>
      <c r="W2137" s="14" t="s">
        <v>19</v>
      </c>
      <c r="X2137" s="14" t="s">
        <v>3581</v>
      </c>
      <c r="Y2137" s="14" t="s">
        <v>3582</v>
      </c>
      <c r="Z2137" s="17">
        <v>728556003</v>
      </c>
      <c r="AA2137" s="17"/>
      <c r="AB2137" s="125"/>
      <c r="AC2137" s="125"/>
    </row>
    <row r="2138" spans="1:29" s="10" customFormat="1" hidden="1" x14ac:dyDescent="0.3">
      <c r="A2138" s="18" t="s">
        <v>3580</v>
      </c>
      <c r="B2138" s="18" t="s">
        <v>207</v>
      </c>
      <c r="C2138" s="18" t="s">
        <v>909</v>
      </c>
      <c r="D2138" s="14" t="s">
        <v>586</v>
      </c>
      <c r="E2138" s="18" t="s">
        <v>9</v>
      </c>
      <c r="F2138" s="14" t="s">
        <v>517</v>
      </c>
      <c r="G2138" s="14" t="s">
        <v>518</v>
      </c>
      <c r="H2138" s="18" t="s">
        <v>5</v>
      </c>
      <c r="I2138" s="14" t="s">
        <v>115</v>
      </c>
      <c r="J2138" s="14"/>
      <c r="K2138" s="18" t="s">
        <v>573</v>
      </c>
      <c r="L2138" s="14"/>
      <c r="M2138" s="14">
        <v>11</v>
      </c>
      <c r="N2138" s="15">
        <v>19491.53</v>
      </c>
      <c r="O2138" s="15">
        <f t="shared" si="86"/>
        <v>214406.83</v>
      </c>
      <c r="P2138" s="15"/>
      <c r="Q2138" s="14" t="s">
        <v>520</v>
      </c>
      <c r="R2138" s="21">
        <v>46203</v>
      </c>
      <c r="S2138" s="22" t="str">
        <f>TEXT(Table1[[#This Row],[End Date]],"MMMM")</f>
        <v>June</v>
      </c>
      <c r="T2138" s="23" t="str">
        <f>TEXT(Table1[[#This Row],[End Date]],"YYYY")</f>
        <v>2026</v>
      </c>
      <c r="U2138" s="24">
        <f t="shared" ca="1" si="85"/>
        <v>-1070</v>
      </c>
      <c r="V2138" s="14" t="str" cm="1">
        <f t="array" aca="1" ref="V2138" ca="1">_xlfn.IFS(Table1[[#This Row],[Agreement Days]]&gt;=0,"Expired",Table1[[#This Row],[Agreement Days]]&gt;=-30,"Expires &lt; 30 Days",Table1[[#This Row],[Agreement Days]]&gt;=-60,"Expires &lt; 60 Days",Table1[[#This Row],[Agreement Days]]&lt;-60,"Valid Contract")</f>
        <v>Valid Contract</v>
      </c>
      <c r="W2138" s="14" t="s">
        <v>19</v>
      </c>
      <c r="X2138" s="14" t="s">
        <v>3581</v>
      </c>
      <c r="Y2138" s="14" t="s">
        <v>3582</v>
      </c>
      <c r="Z2138" s="17">
        <v>728556003</v>
      </c>
      <c r="AA2138" s="17"/>
      <c r="AB2138" s="125"/>
      <c r="AC2138" s="125"/>
    </row>
    <row r="2139" spans="1:29" s="10" customFormat="1" hidden="1" x14ac:dyDescent="0.3">
      <c r="A2139" s="18" t="s">
        <v>3580</v>
      </c>
      <c r="B2139" s="18" t="s">
        <v>207</v>
      </c>
      <c r="C2139" s="18" t="s">
        <v>909</v>
      </c>
      <c r="D2139" s="14" t="s">
        <v>586</v>
      </c>
      <c r="E2139" s="18" t="s">
        <v>9</v>
      </c>
      <c r="F2139" s="14" t="s">
        <v>517</v>
      </c>
      <c r="G2139" s="14" t="s">
        <v>518</v>
      </c>
      <c r="H2139" s="18" t="s">
        <v>5</v>
      </c>
      <c r="I2139" s="14" t="s">
        <v>115</v>
      </c>
      <c r="J2139" s="14"/>
      <c r="K2139" s="18" t="s">
        <v>573</v>
      </c>
      <c r="L2139" s="14"/>
      <c r="M2139" s="14">
        <v>59</v>
      </c>
      <c r="N2139" s="15">
        <v>19491.53</v>
      </c>
      <c r="O2139" s="15">
        <f t="shared" si="86"/>
        <v>1150000.27</v>
      </c>
      <c r="P2139" s="15"/>
      <c r="Q2139" s="14" t="s">
        <v>520</v>
      </c>
      <c r="R2139" s="21">
        <v>46203</v>
      </c>
      <c r="S2139" s="22" t="str">
        <f>TEXT(Table1[[#This Row],[End Date]],"MMMM")</f>
        <v>June</v>
      </c>
      <c r="T2139" s="23" t="str">
        <f>TEXT(Table1[[#This Row],[End Date]],"YYYY")</f>
        <v>2026</v>
      </c>
      <c r="U2139" s="24">
        <f t="shared" ca="1" si="85"/>
        <v>-1070</v>
      </c>
      <c r="V2139" s="14" t="str" cm="1">
        <f t="array" aca="1" ref="V2139" ca="1">_xlfn.IFS(Table1[[#This Row],[Agreement Days]]&gt;=0,"Expired",Table1[[#This Row],[Agreement Days]]&gt;=-30,"Expires &lt; 30 Days",Table1[[#This Row],[Agreement Days]]&gt;=-60,"Expires &lt; 60 Days",Table1[[#This Row],[Agreement Days]]&lt;-60,"Valid Contract")</f>
        <v>Valid Contract</v>
      </c>
      <c r="W2139" s="14" t="s">
        <v>19</v>
      </c>
      <c r="X2139" s="14" t="s">
        <v>3581</v>
      </c>
      <c r="Y2139" s="14" t="s">
        <v>3582</v>
      </c>
      <c r="Z2139" s="17">
        <v>728556003</v>
      </c>
      <c r="AA2139" s="17"/>
      <c r="AB2139" s="125"/>
      <c r="AC2139" s="125"/>
    </row>
    <row r="2140" spans="1:29" s="10" customFormat="1" hidden="1" x14ac:dyDescent="0.3">
      <c r="A2140" s="18" t="s">
        <v>3583</v>
      </c>
      <c r="B2140" s="18" t="s">
        <v>255</v>
      </c>
      <c r="C2140" s="18" t="s">
        <v>3584</v>
      </c>
      <c r="D2140" s="14" t="s">
        <v>929</v>
      </c>
      <c r="E2140" s="18" t="s">
        <v>9</v>
      </c>
      <c r="F2140" s="14" t="s">
        <v>517</v>
      </c>
      <c r="G2140" s="14" t="s">
        <v>518</v>
      </c>
      <c r="H2140" s="18" t="s">
        <v>5</v>
      </c>
      <c r="I2140" s="14" t="s">
        <v>117</v>
      </c>
      <c r="J2140" s="14">
        <v>3</v>
      </c>
      <c r="K2140" s="14" t="s">
        <v>646</v>
      </c>
      <c r="L2140" s="14"/>
      <c r="M2140" s="14">
        <v>1</v>
      </c>
      <c r="N2140" s="15">
        <v>180000</v>
      </c>
      <c r="O2140" s="15">
        <f t="shared" si="86"/>
        <v>180000</v>
      </c>
      <c r="P2140" s="15"/>
      <c r="Q2140" s="14" t="s">
        <v>520</v>
      </c>
      <c r="R2140" s="21">
        <v>46203</v>
      </c>
      <c r="S2140" s="22" t="str">
        <f>TEXT(Table1[[#This Row],[End Date]],"MMMM")</f>
        <v>June</v>
      </c>
      <c r="T2140" s="23" t="str">
        <f>TEXT(Table1[[#This Row],[End Date]],"YYYY")</f>
        <v>2026</v>
      </c>
      <c r="U2140" s="24">
        <f t="shared" ca="1" si="85"/>
        <v>-1070</v>
      </c>
      <c r="V2140" s="14" t="str" cm="1">
        <f t="array" aca="1" ref="V2140" ca="1">_xlfn.IFS(Table1[[#This Row],[Agreement Days]]&gt;=0,"Expired",Table1[[#This Row],[Agreement Days]]&gt;=-30,"Expires &lt; 30 Days",Table1[[#This Row],[Agreement Days]]&gt;=-60,"Expires &lt; 60 Days",Table1[[#This Row],[Agreement Days]]&lt;-60,"Valid Contract")</f>
        <v>Valid Contract</v>
      </c>
      <c r="W2140" s="14" t="s">
        <v>20</v>
      </c>
      <c r="X2140" s="14" t="s">
        <v>3585</v>
      </c>
      <c r="Y2140" s="16" t="s">
        <v>3586</v>
      </c>
      <c r="Z2140" s="17" t="s">
        <v>1143</v>
      </c>
      <c r="AA2140" s="19"/>
      <c r="AB2140" s="125"/>
      <c r="AC2140" s="125"/>
    </row>
    <row r="2141" spans="1:29" s="10" customFormat="1" hidden="1" x14ac:dyDescent="0.3">
      <c r="A2141" s="18" t="s">
        <v>3583</v>
      </c>
      <c r="B2141" s="18" t="s">
        <v>255</v>
      </c>
      <c r="C2141" s="18" t="s">
        <v>3587</v>
      </c>
      <c r="D2141" s="14" t="s">
        <v>929</v>
      </c>
      <c r="E2141" s="18" t="s">
        <v>9</v>
      </c>
      <c r="F2141" s="14" t="s">
        <v>517</v>
      </c>
      <c r="G2141" s="14" t="s">
        <v>518</v>
      </c>
      <c r="H2141" s="18" t="s">
        <v>5</v>
      </c>
      <c r="I2141" s="14" t="s">
        <v>117</v>
      </c>
      <c r="J2141" s="14">
        <v>20</v>
      </c>
      <c r="K2141" s="14" t="s">
        <v>689</v>
      </c>
      <c r="L2141" s="14"/>
      <c r="M2141" s="14">
        <v>1</v>
      </c>
      <c r="N2141" s="15">
        <v>900000</v>
      </c>
      <c r="O2141" s="15">
        <f t="shared" si="86"/>
        <v>900000</v>
      </c>
      <c r="P2141" s="15"/>
      <c r="Q2141" s="14" t="s">
        <v>520</v>
      </c>
      <c r="R2141" s="21">
        <v>46203</v>
      </c>
      <c r="S2141" s="22" t="str">
        <f>TEXT(Table1[[#This Row],[End Date]],"MMMM")</f>
        <v>June</v>
      </c>
      <c r="T2141" s="23" t="str">
        <f>TEXT(Table1[[#This Row],[End Date]],"YYYY")</f>
        <v>2026</v>
      </c>
      <c r="U2141" s="24">
        <f t="shared" ca="1" si="85"/>
        <v>-1070</v>
      </c>
      <c r="V2141" s="14" t="str" cm="1">
        <f t="array" aca="1" ref="V2141" ca="1">_xlfn.IFS(Table1[[#This Row],[Agreement Days]]&gt;=0,"Expired",Table1[[#This Row],[Agreement Days]]&gt;=-30,"Expires &lt; 30 Days",Table1[[#This Row],[Agreement Days]]&gt;=-60,"Expires &lt; 60 Days",Table1[[#This Row],[Agreement Days]]&lt;-60,"Valid Contract")</f>
        <v>Valid Contract</v>
      </c>
      <c r="W2141" s="14" t="s">
        <v>20</v>
      </c>
      <c r="X2141" s="14" t="s">
        <v>3585</v>
      </c>
      <c r="Y2141" s="16" t="s">
        <v>3586</v>
      </c>
      <c r="Z2141" s="17" t="s">
        <v>1143</v>
      </c>
      <c r="AA2141" s="19"/>
      <c r="AB2141" s="125"/>
      <c r="AC2141" s="125"/>
    </row>
    <row r="2142" spans="1:29" s="10" customFormat="1" hidden="1" x14ac:dyDescent="0.3">
      <c r="A2142" s="18" t="s">
        <v>3583</v>
      </c>
      <c r="B2142" s="18" t="s">
        <v>255</v>
      </c>
      <c r="C2142" s="18" t="s">
        <v>3587</v>
      </c>
      <c r="D2142" s="14" t="s">
        <v>929</v>
      </c>
      <c r="E2142" s="18" t="s">
        <v>9</v>
      </c>
      <c r="F2142" s="14" t="s">
        <v>517</v>
      </c>
      <c r="G2142" s="14" t="s">
        <v>518</v>
      </c>
      <c r="H2142" s="18" t="s">
        <v>2</v>
      </c>
      <c r="I2142" s="14" t="s">
        <v>120</v>
      </c>
      <c r="J2142" s="14"/>
      <c r="K2142" s="14" t="s">
        <v>649</v>
      </c>
      <c r="L2142" s="14"/>
      <c r="M2142" s="14">
        <v>1</v>
      </c>
      <c r="N2142" s="15">
        <v>258044.92</v>
      </c>
      <c r="O2142" s="15">
        <f t="shared" si="86"/>
        <v>258044.92</v>
      </c>
      <c r="P2142" s="15"/>
      <c r="Q2142" s="14" t="s">
        <v>520</v>
      </c>
      <c r="R2142" s="21">
        <v>46203</v>
      </c>
      <c r="S2142" s="22" t="str">
        <f>TEXT(Table1[[#This Row],[End Date]],"MMMM")</f>
        <v>June</v>
      </c>
      <c r="T2142" s="23" t="str">
        <f>TEXT(Table1[[#This Row],[End Date]],"YYYY")</f>
        <v>2026</v>
      </c>
      <c r="U2142" s="24">
        <f t="shared" ca="1" si="85"/>
        <v>-1070</v>
      </c>
      <c r="V2142" s="14" t="str" cm="1">
        <f t="array" aca="1" ref="V2142" ca="1">_xlfn.IFS(Table1[[#This Row],[Agreement Days]]&gt;=0,"Expired",Table1[[#This Row],[Agreement Days]]&gt;=-30,"Expires &lt; 30 Days",Table1[[#This Row],[Agreement Days]]&gt;=-60,"Expires &lt; 60 Days",Table1[[#This Row],[Agreement Days]]&lt;-60,"Valid Contract")</f>
        <v>Valid Contract</v>
      </c>
      <c r="W2142" s="14" t="s">
        <v>20</v>
      </c>
      <c r="X2142" s="14" t="s">
        <v>3585</v>
      </c>
      <c r="Y2142" s="16" t="s">
        <v>3586</v>
      </c>
      <c r="Z2142" s="17" t="s">
        <v>1143</v>
      </c>
      <c r="AA2142" s="19"/>
      <c r="AB2142" s="125"/>
      <c r="AC2142" s="125"/>
    </row>
    <row r="2143" spans="1:29" s="10" customFormat="1" hidden="1" x14ac:dyDescent="0.3">
      <c r="A2143" s="18" t="s">
        <v>3583</v>
      </c>
      <c r="B2143" s="18" t="s">
        <v>255</v>
      </c>
      <c r="C2143" s="18" t="s">
        <v>3587</v>
      </c>
      <c r="D2143" s="14" t="s">
        <v>929</v>
      </c>
      <c r="E2143" s="18" t="s">
        <v>9</v>
      </c>
      <c r="F2143" s="14" t="s">
        <v>517</v>
      </c>
      <c r="G2143" s="14" t="s">
        <v>518</v>
      </c>
      <c r="H2143" s="18" t="s">
        <v>4</v>
      </c>
      <c r="I2143" s="14" t="s">
        <v>118</v>
      </c>
      <c r="J2143" s="14"/>
      <c r="K2143" s="14" t="s">
        <v>650</v>
      </c>
      <c r="L2143" s="14"/>
      <c r="M2143" s="14">
        <v>1</v>
      </c>
      <c r="N2143" s="15">
        <v>369324.58</v>
      </c>
      <c r="O2143" s="15">
        <f t="shared" si="86"/>
        <v>369324.58</v>
      </c>
      <c r="P2143" s="15"/>
      <c r="Q2143" s="14" t="s">
        <v>520</v>
      </c>
      <c r="R2143" s="21">
        <v>46203</v>
      </c>
      <c r="S2143" s="22" t="str">
        <f>TEXT(Table1[[#This Row],[End Date]],"MMMM")</f>
        <v>June</v>
      </c>
      <c r="T2143" s="23" t="str">
        <f>TEXT(Table1[[#This Row],[End Date]],"YYYY")</f>
        <v>2026</v>
      </c>
      <c r="U2143" s="24">
        <f t="shared" ca="1" si="85"/>
        <v>-1070</v>
      </c>
      <c r="V2143" s="14" t="str" cm="1">
        <f t="array" aca="1" ref="V2143" ca="1">_xlfn.IFS(Table1[[#This Row],[Agreement Days]]&gt;=0,"Expired",Table1[[#This Row],[Agreement Days]]&gt;=-30,"Expires &lt; 30 Days",Table1[[#This Row],[Agreement Days]]&gt;=-60,"Expires &lt; 60 Days",Table1[[#This Row],[Agreement Days]]&lt;-60,"Valid Contract")</f>
        <v>Valid Contract</v>
      </c>
      <c r="W2143" s="14" t="s">
        <v>20</v>
      </c>
      <c r="X2143" s="14" t="s">
        <v>3585</v>
      </c>
      <c r="Y2143" s="16" t="s">
        <v>3586</v>
      </c>
      <c r="Z2143" s="17" t="s">
        <v>1143</v>
      </c>
      <c r="AA2143" s="19"/>
      <c r="AB2143" s="125"/>
      <c r="AC2143" s="125"/>
    </row>
    <row r="2144" spans="1:29" s="10" customFormat="1" hidden="1" x14ac:dyDescent="0.3">
      <c r="A2144" s="18" t="s">
        <v>2785</v>
      </c>
      <c r="B2144" s="18" t="s">
        <v>128</v>
      </c>
      <c r="C2144" s="18" t="s">
        <v>3588</v>
      </c>
      <c r="D2144" s="14" t="s">
        <v>739</v>
      </c>
      <c r="E2144" s="18" t="s">
        <v>9</v>
      </c>
      <c r="F2144" s="14" t="s">
        <v>601</v>
      </c>
      <c r="G2144" s="14" t="s">
        <v>546</v>
      </c>
      <c r="H2144" s="18" t="s">
        <v>5</v>
      </c>
      <c r="I2144" s="14" t="s">
        <v>117</v>
      </c>
      <c r="J2144" s="14">
        <v>1</v>
      </c>
      <c r="K2144" s="14" t="s">
        <v>816</v>
      </c>
      <c r="L2144" s="14"/>
      <c r="M2144" s="14">
        <v>1</v>
      </c>
      <c r="N2144" s="15">
        <v>90000</v>
      </c>
      <c r="O2144" s="15">
        <f t="shared" si="86"/>
        <v>90000</v>
      </c>
      <c r="P2144" s="15"/>
      <c r="Q2144" s="14" t="s">
        <v>520</v>
      </c>
      <c r="R2144" s="21">
        <v>46203</v>
      </c>
      <c r="S2144" s="22" t="str">
        <f>TEXT(Table1[[#This Row],[End Date]],"MMMM")</f>
        <v>June</v>
      </c>
      <c r="T2144" s="23" t="str">
        <f>TEXT(Table1[[#This Row],[End Date]],"YYYY")</f>
        <v>2026</v>
      </c>
      <c r="U2144" s="24">
        <f t="shared" ca="1" si="85"/>
        <v>-1070</v>
      </c>
      <c r="V2144" s="14" t="str" cm="1">
        <f t="array" aca="1" ref="V2144" ca="1">_xlfn.IFS(Table1[[#This Row],[Agreement Days]]&gt;=0,"Expired",Table1[[#This Row],[Agreement Days]]&gt;=-30,"Expires &lt; 30 Days",Table1[[#This Row],[Agreement Days]]&gt;=-60,"Expires &lt; 60 Days",Table1[[#This Row],[Agreement Days]]&lt;-60,"Valid Contract")</f>
        <v>Valid Contract</v>
      </c>
      <c r="W2144" s="14" t="s">
        <v>13</v>
      </c>
      <c r="X2144" s="14" t="s">
        <v>2787</v>
      </c>
      <c r="Y2144" s="16" t="s">
        <v>2788</v>
      </c>
      <c r="Z2144" s="17" t="s">
        <v>2789</v>
      </c>
      <c r="AA2144" s="17"/>
      <c r="AB2144" s="125"/>
      <c r="AC2144" s="125"/>
    </row>
    <row r="2145" spans="1:29" s="10" customFormat="1" hidden="1" x14ac:dyDescent="0.3">
      <c r="A2145" s="18" t="s">
        <v>2785</v>
      </c>
      <c r="B2145" s="18" t="s">
        <v>128</v>
      </c>
      <c r="C2145" s="18" t="s">
        <v>3589</v>
      </c>
      <c r="D2145" s="14" t="s">
        <v>526</v>
      </c>
      <c r="E2145" s="18" t="s">
        <v>9</v>
      </c>
      <c r="F2145" s="14" t="s">
        <v>601</v>
      </c>
      <c r="G2145" s="14" t="s">
        <v>546</v>
      </c>
      <c r="H2145" s="18" t="s">
        <v>5</v>
      </c>
      <c r="I2145" s="14" t="s">
        <v>117</v>
      </c>
      <c r="J2145" s="14">
        <v>1</v>
      </c>
      <c r="K2145" s="14" t="s">
        <v>816</v>
      </c>
      <c r="L2145" s="14"/>
      <c r="M2145" s="14">
        <v>1</v>
      </c>
      <c r="N2145" s="15">
        <v>90000</v>
      </c>
      <c r="O2145" s="15">
        <f t="shared" si="86"/>
        <v>90000</v>
      </c>
      <c r="P2145" s="15"/>
      <c r="Q2145" s="14" t="s">
        <v>520</v>
      </c>
      <c r="R2145" s="21">
        <v>46203</v>
      </c>
      <c r="S2145" s="22" t="str">
        <f>TEXT(Table1[[#This Row],[End Date]],"MMMM")</f>
        <v>June</v>
      </c>
      <c r="T2145" s="23" t="str">
        <f>TEXT(Table1[[#This Row],[End Date]],"YYYY")</f>
        <v>2026</v>
      </c>
      <c r="U2145" s="24">
        <f t="shared" ca="1" si="85"/>
        <v>-1070</v>
      </c>
      <c r="V2145" s="14" t="str" cm="1">
        <f t="array" aca="1" ref="V2145" ca="1">_xlfn.IFS(Table1[[#This Row],[Agreement Days]]&gt;=0,"Expired",Table1[[#This Row],[Agreement Days]]&gt;=-30,"Expires &lt; 30 Days",Table1[[#This Row],[Agreement Days]]&gt;=-60,"Expires &lt; 60 Days",Table1[[#This Row],[Agreement Days]]&lt;-60,"Valid Contract")</f>
        <v>Valid Contract</v>
      </c>
      <c r="W2145" s="14" t="s">
        <v>13</v>
      </c>
      <c r="X2145" s="14" t="s">
        <v>2787</v>
      </c>
      <c r="Y2145" s="16" t="s">
        <v>2788</v>
      </c>
      <c r="Z2145" s="17" t="s">
        <v>2789</v>
      </c>
      <c r="AA2145" s="17"/>
      <c r="AB2145" s="125"/>
      <c r="AC2145" s="125"/>
    </row>
    <row r="2146" spans="1:29" s="10" customFormat="1" hidden="1" x14ac:dyDescent="0.3">
      <c r="A2146" s="18" t="s">
        <v>2785</v>
      </c>
      <c r="B2146" s="18" t="s">
        <v>128</v>
      </c>
      <c r="C2146" s="18" t="s">
        <v>3590</v>
      </c>
      <c r="D2146" s="14" t="s">
        <v>1140</v>
      </c>
      <c r="E2146" s="18" t="s">
        <v>9</v>
      </c>
      <c r="F2146" s="14" t="s">
        <v>601</v>
      </c>
      <c r="G2146" s="14" t="s">
        <v>546</v>
      </c>
      <c r="H2146" s="18" t="s">
        <v>5</v>
      </c>
      <c r="I2146" s="14" t="s">
        <v>117</v>
      </c>
      <c r="J2146" s="14">
        <v>1</v>
      </c>
      <c r="K2146" s="14" t="s">
        <v>816</v>
      </c>
      <c r="L2146" s="14"/>
      <c r="M2146" s="14">
        <v>1</v>
      </c>
      <c r="N2146" s="15">
        <v>90000</v>
      </c>
      <c r="O2146" s="15">
        <f t="shared" si="86"/>
        <v>90000</v>
      </c>
      <c r="P2146" s="15"/>
      <c r="Q2146" s="14" t="s">
        <v>520</v>
      </c>
      <c r="R2146" s="21">
        <v>46203</v>
      </c>
      <c r="S2146" s="22" t="str">
        <f>TEXT(Table1[[#This Row],[End Date]],"MMMM")</f>
        <v>June</v>
      </c>
      <c r="T2146" s="23" t="str">
        <f>TEXT(Table1[[#This Row],[End Date]],"YYYY")</f>
        <v>2026</v>
      </c>
      <c r="U2146" s="24">
        <f t="shared" ca="1" si="85"/>
        <v>-1070</v>
      </c>
      <c r="V2146" s="14" t="str" cm="1">
        <f t="array" aca="1" ref="V2146" ca="1">_xlfn.IFS(Table1[[#This Row],[Agreement Days]]&gt;=0,"Expired",Table1[[#This Row],[Agreement Days]]&gt;=-30,"Expires &lt; 30 Days",Table1[[#This Row],[Agreement Days]]&gt;=-60,"Expires &lt; 60 Days",Table1[[#This Row],[Agreement Days]]&lt;-60,"Valid Contract")</f>
        <v>Valid Contract</v>
      </c>
      <c r="W2146" s="14" t="s">
        <v>13</v>
      </c>
      <c r="X2146" s="14" t="s">
        <v>2787</v>
      </c>
      <c r="Y2146" s="16" t="s">
        <v>2788</v>
      </c>
      <c r="Z2146" s="17" t="s">
        <v>2789</v>
      </c>
      <c r="AA2146" s="17"/>
      <c r="AB2146" s="125"/>
      <c r="AC2146" s="125"/>
    </row>
    <row r="2147" spans="1:29" s="10" customFormat="1" hidden="1" x14ac:dyDescent="0.3">
      <c r="A2147" s="18" t="s">
        <v>2785</v>
      </c>
      <c r="B2147" s="18" t="s">
        <v>128</v>
      </c>
      <c r="C2147" s="18" t="s">
        <v>3591</v>
      </c>
      <c r="D2147" s="14" t="s">
        <v>545</v>
      </c>
      <c r="E2147" s="18" t="s">
        <v>9</v>
      </c>
      <c r="F2147" s="14" t="s">
        <v>601</v>
      </c>
      <c r="G2147" s="14" t="s">
        <v>546</v>
      </c>
      <c r="H2147" s="18" t="s">
        <v>5</v>
      </c>
      <c r="I2147" s="14" t="s">
        <v>117</v>
      </c>
      <c r="J2147" s="14">
        <v>1</v>
      </c>
      <c r="K2147" s="14" t="s">
        <v>816</v>
      </c>
      <c r="L2147" s="14"/>
      <c r="M2147" s="14">
        <v>1</v>
      </c>
      <c r="N2147" s="15">
        <v>90000</v>
      </c>
      <c r="O2147" s="15">
        <f t="shared" si="86"/>
        <v>90000</v>
      </c>
      <c r="P2147" s="15"/>
      <c r="Q2147" s="14" t="s">
        <v>520</v>
      </c>
      <c r="R2147" s="21">
        <v>46203</v>
      </c>
      <c r="S2147" s="22" t="str">
        <f>TEXT(Table1[[#This Row],[End Date]],"MMMM")</f>
        <v>June</v>
      </c>
      <c r="T2147" s="23" t="str">
        <f>TEXT(Table1[[#This Row],[End Date]],"YYYY")</f>
        <v>2026</v>
      </c>
      <c r="U2147" s="24">
        <f t="shared" ca="1" si="85"/>
        <v>-1070</v>
      </c>
      <c r="V2147" s="14" t="str" cm="1">
        <f t="array" aca="1" ref="V2147" ca="1">_xlfn.IFS(Table1[[#This Row],[Agreement Days]]&gt;=0,"Expired",Table1[[#This Row],[Agreement Days]]&gt;=-30,"Expires &lt; 30 Days",Table1[[#This Row],[Agreement Days]]&gt;=-60,"Expires &lt; 60 Days",Table1[[#This Row],[Agreement Days]]&lt;-60,"Valid Contract")</f>
        <v>Valid Contract</v>
      </c>
      <c r="W2147" s="14" t="s">
        <v>13</v>
      </c>
      <c r="X2147" s="14" t="s">
        <v>2787</v>
      </c>
      <c r="Y2147" s="16" t="s">
        <v>2788</v>
      </c>
      <c r="Z2147" s="17" t="s">
        <v>2789</v>
      </c>
      <c r="AA2147" s="17"/>
      <c r="AB2147" s="125"/>
      <c r="AC2147" s="125"/>
    </row>
    <row r="2148" spans="1:29" s="10" customFormat="1" hidden="1" x14ac:dyDescent="0.3">
      <c r="A2148" s="18" t="s">
        <v>2785</v>
      </c>
      <c r="B2148" s="18" t="s">
        <v>128</v>
      </c>
      <c r="C2148" s="18" t="s">
        <v>3592</v>
      </c>
      <c r="D2148" s="14" t="s">
        <v>545</v>
      </c>
      <c r="E2148" s="18" t="s">
        <v>9</v>
      </c>
      <c r="F2148" s="14" t="s">
        <v>601</v>
      </c>
      <c r="G2148" s="14" t="s">
        <v>546</v>
      </c>
      <c r="H2148" s="18" t="s">
        <v>5</v>
      </c>
      <c r="I2148" s="14" t="s">
        <v>117</v>
      </c>
      <c r="J2148" s="14">
        <v>1</v>
      </c>
      <c r="K2148" s="14" t="s">
        <v>2087</v>
      </c>
      <c r="L2148" s="14"/>
      <c r="M2148" s="14">
        <v>1</v>
      </c>
      <c r="N2148" s="15">
        <v>90000</v>
      </c>
      <c r="O2148" s="15">
        <f t="shared" si="86"/>
        <v>90000</v>
      </c>
      <c r="P2148" s="15"/>
      <c r="Q2148" s="14" t="s">
        <v>520</v>
      </c>
      <c r="R2148" s="21">
        <v>46203</v>
      </c>
      <c r="S2148" s="22" t="str">
        <f>TEXT(Table1[[#This Row],[End Date]],"MMMM")</f>
        <v>June</v>
      </c>
      <c r="T2148" s="23" t="str">
        <f>TEXT(Table1[[#This Row],[End Date]],"YYYY")</f>
        <v>2026</v>
      </c>
      <c r="U2148" s="24">
        <f t="shared" ca="1" si="85"/>
        <v>-1070</v>
      </c>
      <c r="V2148" s="14" t="str" cm="1">
        <f t="array" aca="1" ref="V2148" ca="1">_xlfn.IFS(Table1[[#This Row],[Agreement Days]]&gt;=0,"Expired",Table1[[#This Row],[Agreement Days]]&gt;=-30,"Expires &lt; 30 Days",Table1[[#This Row],[Agreement Days]]&gt;=-60,"Expires &lt; 60 Days",Table1[[#This Row],[Agreement Days]]&lt;-60,"Valid Contract")</f>
        <v>Valid Contract</v>
      </c>
      <c r="W2148" s="14" t="s">
        <v>13</v>
      </c>
      <c r="X2148" s="14" t="s">
        <v>2787</v>
      </c>
      <c r="Y2148" s="16" t="s">
        <v>2788</v>
      </c>
      <c r="Z2148" s="17" t="s">
        <v>2789</v>
      </c>
      <c r="AA2148" s="17"/>
      <c r="AB2148" s="125"/>
      <c r="AC2148" s="125"/>
    </row>
    <row r="2149" spans="1:29" s="10" customFormat="1" hidden="1" x14ac:dyDescent="0.3">
      <c r="A2149" s="18" t="s">
        <v>2785</v>
      </c>
      <c r="B2149" s="18" t="s">
        <v>128</v>
      </c>
      <c r="C2149" s="18" t="s">
        <v>3593</v>
      </c>
      <c r="D2149" s="14" t="s">
        <v>532</v>
      </c>
      <c r="E2149" s="18" t="s">
        <v>9</v>
      </c>
      <c r="F2149" s="14" t="s">
        <v>601</v>
      </c>
      <c r="G2149" s="14" t="s">
        <v>546</v>
      </c>
      <c r="H2149" s="18" t="s">
        <v>5</v>
      </c>
      <c r="I2149" s="14" t="s">
        <v>117</v>
      </c>
      <c r="J2149" s="14">
        <v>1</v>
      </c>
      <c r="K2149" s="14" t="s">
        <v>816</v>
      </c>
      <c r="L2149" s="14"/>
      <c r="M2149" s="14">
        <v>1</v>
      </c>
      <c r="N2149" s="15">
        <v>90000</v>
      </c>
      <c r="O2149" s="15">
        <f t="shared" si="86"/>
        <v>90000</v>
      </c>
      <c r="P2149" s="15"/>
      <c r="Q2149" s="14" t="s">
        <v>520</v>
      </c>
      <c r="R2149" s="21">
        <v>46203</v>
      </c>
      <c r="S2149" s="22" t="str">
        <f>TEXT(Table1[[#This Row],[End Date]],"MMMM")</f>
        <v>June</v>
      </c>
      <c r="T2149" s="23" t="str">
        <f>TEXT(Table1[[#This Row],[End Date]],"YYYY")</f>
        <v>2026</v>
      </c>
      <c r="U2149" s="24">
        <f t="shared" ca="1" si="85"/>
        <v>-1070</v>
      </c>
      <c r="V2149" s="14" t="str" cm="1">
        <f t="array" aca="1" ref="V2149" ca="1">_xlfn.IFS(Table1[[#This Row],[Agreement Days]]&gt;=0,"Expired",Table1[[#This Row],[Agreement Days]]&gt;=-30,"Expires &lt; 30 Days",Table1[[#This Row],[Agreement Days]]&gt;=-60,"Expires &lt; 60 Days",Table1[[#This Row],[Agreement Days]]&lt;-60,"Valid Contract")</f>
        <v>Valid Contract</v>
      </c>
      <c r="W2149" s="14" t="s">
        <v>13</v>
      </c>
      <c r="X2149" s="14" t="s">
        <v>2787</v>
      </c>
      <c r="Y2149" s="16" t="s">
        <v>2788</v>
      </c>
      <c r="Z2149" s="17" t="s">
        <v>2789</v>
      </c>
      <c r="AA2149" s="17"/>
      <c r="AB2149" s="125"/>
      <c r="AC2149" s="125"/>
    </row>
    <row r="2150" spans="1:29" s="10" customFormat="1" hidden="1" x14ac:dyDescent="0.3">
      <c r="A2150" s="18" t="s">
        <v>2785</v>
      </c>
      <c r="B2150" s="18" t="s">
        <v>128</v>
      </c>
      <c r="C2150" s="18" t="s">
        <v>3594</v>
      </c>
      <c r="D2150" s="14" t="s">
        <v>1280</v>
      </c>
      <c r="E2150" s="18" t="s">
        <v>9</v>
      </c>
      <c r="F2150" s="14" t="s">
        <v>601</v>
      </c>
      <c r="G2150" s="14" t="s">
        <v>546</v>
      </c>
      <c r="H2150" s="18" t="s">
        <v>5</v>
      </c>
      <c r="I2150" s="14" t="s">
        <v>117</v>
      </c>
      <c r="J2150" s="14">
        <v>1</v>
      </c>
      <c r="K2150" s="14" t="s">
        <v>816</v>
      </c>
      <c r="L2150" s="14"/>
      <c r="M2150" s="14">
        <v>1</v>
      </c>
      <c r="N2150" s="15">
        <v>90000</v>
      </c>
      <c r="O2150" s="15">
        <f t="shared" si="86"/>
        <v>90000</v>
      </c>
      <c r="P2150" s="15"/>
      <c r="Q2150" s="14" t="s">
        <v>520</v>
      </c>
      <c r="R2150" s="21">
        <v>46203</v>
      </c>
      <c r="S2150" s="22" t="str">
        <f>TEXT(Table1[[#This Row],[End Date]],"MMMM")</f>
        <v>June</v>
      </c>
      <c r="T2150" s="23" t="str">
        <f>TEXT(Table1[[#This Row],[End Date]],"YYYY")</f>
        <v>2026</v>
      </c>
      <c r="U2150" s="24">
        <f t="shared" ca="1" si="85"/>
        <v>-1070</v>
      </c>
      <c r="V2150" s="14" t="str" cm="1">
        <f t="array" aca="1" ref="V2150" ca="1">_xlfn.IFS(Table1[[#This Row],[Agreement Days]]&gt;=0,"Expired",Table1[[#This Row],[Agreement Days]]&gt;=-30,"Expires &lt; 30 Days",Table1[[#This Row],[Agreement Days]]&gt;=-60,"Expires &lt; 60 Days",Table1[[#This Row],[Agreement Days]]&lt;-60,"Valid Contract")</f>
        <v>Valid Contract</v>
      </c>
      <c r="W2150" s="14" t="s">
        <v>13</v>
      </c>
      <c r="X2150" s="14" t="s">
        <v>2787</v>
      </c>
      <c r="Y2150" s="16" t="s">
        <v>2788</v>
      </c>
      <c r="Z2150" s="17" t="s">
        <v>2789</v>
      </c>
      <c r="AA2150" s="17"/>
      <c r="AB2150" s="125"/>
      <c r="AC2150" s="125"/>
    </row>
    <row r="2151" spans="1:29" s="10" customFormat="1" hidden="1" x14ac:dyDescent="0.3">
      <c r="A2151" s="18" t="s">
        <v>2785</v>
      </c>
      <c r="B2151" s="18" t="s">
        <v>128</v>
      </c>
      <c r="C2151" s="18" t="s">
        <v>3595</v>
      </c>
      <c r="D2151" s="14" t="s">
        <v>540</v>
      </c>
      <c r="E2151" s="18" t="s">
        <v>9</v>
      </c>
      <c r="F2151" s="14" t="s">
        <v>601</v>
      </c>
      <c r="G2151" s="14" t="s">
        <v>546</v>
      </c>
      <c r="H2151" s="18" t="s">
        <v>5</v>
      </c>
      <c r="I2151" s="14" t="s">
        <v>117</v>
      </c>
      <c r="J2151" s="14">
        <v>1</v>
      </c>
      <c r="K2151" s="14" t="s">
        <v>816</v>
      </c>
      <c r="L2151" s="14"/>
      <c r="M2151" s="14">
        <v>1</v>
      </c>
      <c r="N2151" s="15">
        <v>90000</v>
      </c>
      <c r="O2151" s="15">
        <f t="shared" si="86"/>
        <v>90000</v>
      </c>
      <c r="P2151" s="15"/>
      <c r="Q2151" s="14" t="s">
        <v>520</v>
      </c>
      <c r="R2151" s="21">
        <v>46203</v>
      </c>
      <c r="S2151" s="22" t="str">
        <f>TEXT(Table1[[#This Row],[End Date]],"MMMM")</f>
        <v>June</v>
      </c>
      <c r="T2151" s="23" t="str">
        <f>TEXT(Table1[[#This Row],[End Date]],"YYYY")</f>
        <v>2026</v>
      </c>
      <c r="U2151" s="24">
        <f t="shared" ca="1" si="85"/>
        <v>-1070</v>
      </c>
      <c r="V2151" s="14" t="str" cm="1">
        <f t="array" aca="1" ref="V2151" ca="1">_xlfn.IFS(Table1[[#This Row],[Agreement Days]]&gt;=0,"Expired",Table1[[#This Row],[Agreement Days]]&gt;=-30,"Expires &lt; 30 Days",Table1[[#This Row],[Agreement Days]]&gt;=-60,"Expires &lt; 60 Days",Table1[[#This Row],[Agreement Days]]&lt;-60,"Valid Contract")</f>
        <v>Valid Contract</v>
      </c>
      <c r="W2151" s="14" t="s">
        <v>13</v>
      </c>
      <c r="X2151" s="14" t="s">
        <v>2787</v>
      </c>
      <c r="Y2151" s="16" t="s">
        <v>2788</v>
      </c>
      <c r="Z2151" s="17" t="s">
        <v>2789</v>
      </c>
      <c r="AA2151" s="17"/>
      <c r="AB2151" s="125"/>
      <c r="AC2151" s="125"/>
    </row>
    <row r="2152" spans="1:29" s="10" customFormat="1" hidden="1" x14ac:dyDescent="0.3">
      <c r="A2152" s="18" t="s">
        <v>2785</v>
      </c>
      <c r="B2152" s="18" t="s">
        <v>128</v>
      </c>
      <c r="C2152" s="18" t="s">
        <v>3596</v>
      </c>
      <c r="D2152" s="14" t="s">
        <v>761</v>
      </c>
      <c r="E2152" s="18" t="s">
        <v>9</v>
      </c>
      <c r="F2152" s="14" t="s">
        <v>601</v>
      </c>
      <c r="G2152" s="14" t="s">
        <v>546</v>
      </c>
      <c r="H2152" s="18" t="s">
        <v>5</v>
      </c>
      <c r="I2152" s="14" t="s">
        <v>117</v>
      </c>
      <c r="J2152" s="14">
        <v>1</v>
      </c>
      <c r="K2152" s="14" t="s">
        <v>816</v>
      </c>
      <c r="L2152" s="14"/>
      <c r="M2152" s="14">
        <v>1</v>
      </c>
      <c r="N2152" s="15">
        <v>90000</v>
      </c>
      <c r="O2152" s="15">
        <f t="shared" si="86"/>
        <v>90000</v>
      </c>
      <c r="P2152" s="15"/>
      <c r="Q2152" s="14" t="s">
        <v>520</v>
      </c>
      <c r="R2152" s="21">
        <v>46203</v>
      </c>
      <c r="S2152" s="22" t="str">
        <f>TEXT(Table1[[#This Row],[End Date]],"MMMM")</f>
        <v>June</v>
      </c>
      <c r="T2152" s="23" t="str">
        <f>TEXT(Table1[[#This Row],[End Date]],"YYYY")</f>
        <v>2026</v>
      </c>
      <c r="U2152" s="24">
        <f t="shared" ca="1" si="85"/>
        <v>-1070</v>
      </c>
      <c r="V2152" s="14" t="str" cm="1">
        <f t="array" aca="1" ref="V2152" ca="1">_xlfn.IFS(Table1[[#This Row],[Agreement Days]]&gt;=0,"Expired",Table1[[#This Row],[Agreement Days]]&gt;=-30,"Expires &lt; 30 Days",Table1[[#This Row],[Agreement Days]]&gt;=-60,"Expires &lt; 60 Days",Table1[[#This Row],[Agreement Days]]&lt;-60,"Valid Contract")</f>
        <v>Valid Contract</v>
      </c>
      <c r="W2152" s="14" t="s">
        <v>13</v>
      </c>
      <c r="X2152" s="14" t="s">
        <v>2787</v>
      </c>
      <c r="Y2152" s="16" t="s">
        <v>2788</v>
      </c>
      <c r="Z2152" s="17" t="s">
        <v>2789</v>
      </c>
      <c r="AA2152" s="17"/>
      <c r="AB2152" s="125"/>
      <c r="AC2152" s="125"/>
    </row>
    <row r="2153" spans="1:29" s="10" customFormat="1" hidden="1" x14ac:dyDescent="0.3">
      <c r="A2153" s="18" t="s">
        <v>2785</v>
      </c>
      <c r="B2153" s="18" t="s">
        <v>128</v>
      </c>
      <c r="C2153" s="18" t="s">
        <v>3597</v>
      </c>
      <c r="D2153" s="14" t="s">
        <v>735</v>
      </c>
      <c r="E2153" s="18" t="s">
        <v>9</v>
      </c>
      <c r="F2153" s="14" t="s">
        <v>601</v>
      </c>
      <c r="G2153" s="14" t="s">
        <v>546</v>
      </c>
      <c r="H2153" s="18" t="s">
        <v>5</v>
      </c>
      <c r="I2153" s="14" t="s">
        <v>117</v>
      </c>
      <c r="J2153" s="14">
        <v>1</v>
      </c>
      <c r="K2153" s="14" t="s">
        <v>816</v>
      </c>
      <c r="L2153" s="14"/>
      <c r="M2153" s="14">
        <v>1</v>
      </c>
      <c r="N2153" s="15">
        <v>90000</v>
      </c>
      <c r="O2153" s="15">
        <f t="shared" si="86"/>
        <v>90000</v>
      </c>
      <c r="P2153" s="15"/>
      <c r="Q2153" s="14" t="s">
        <v>520</v>
      </c>
      <c r="R2153" s="21">
        <v>46203</v>
      </c>
      <c r="S2153" s="22" t="str">
        <f>TEXT(Table1[[#This Row],[End Date]],"MMMM")</f>
        <v>June</v>
      </c>
      <c r="T2153" s="23" t="str">
        <f>TEXT(Table1[[#This Row],[End Date]],"YYYY")</f>
        <v>2026</v>
      </c>
      <c r="U2153" s="24">
        <f t="shared" ca="1" si="85"/>
        <v>-1070</v>
      </c>
      <c r="V2153" s="14" t="str" cm="1">
        <f t="array" aca="1" ref="V2153" ca="1">_xlfn.IFS(Table1[[#This Row],[Agreement Days]]&gt;=0,"Expired",Table1[[#This Row],[Agreement Days]]&gt;=-30,"Expires &lt; 30 Days",Table1[[#This Row],[Agreement Days]]&gt;=-60,"Expires &lt; 60 Days",Table1[[#This Row],[Agreement Days]]&lt;-60,"Valid Contract")</f>
        <v>Valid Contract</v>
      </c>
      <c r="W2153" s="14" t="s">
        <v>13</v>
      </c>
      <c r="X2153" s="14" t="s">
        <v>2787</v>
      </c>
      <c r="Y2153" s="16" t="s">
        <v>2788</v>
      </c>
      <c r="Z2153" s="17" t="s">
        <v>2789</v>
      </c>
      <c r="AA2153" s="17"/>
      <c r="AB2153" s="125"/>
      <c r="AC2153" s="125"/>
    </row>
    <row r="2154" spans="1:29" s="10" customFormat="1" hidden="1" x14ac:dyDescent="0.3">
      <c r="A2154" s="18" t="s">
        <v>2785</v>
      </c>
      <c r="B2154" s="18" t="s">
        <v>128</v>
      </c>
      <c r="C2154" s="18" t="s">
        <v>3598</v>
      </c>
      <c r="D2154" s="14" t="s">
        <v>735</v>
      </c>
      <c r="E2154" s="18" t="s">
        <v>9</v>
      </c>
      <c r="F2154" s="14" t="s">
        <v>601</v>
      </c>
      <c r="G2154" s="14" t="s">
        <v>546</v>
      </c>
      <c r="H2154" s="18" t="s">
        <v>5</v>
      </c>
      <c r="I2154" s="14" t="s">
        <v>117</v>
      </c>
      <c r="J2154" s="14">
        <v>1</v>
      </c>
      <c r="K2154" s="14" t="s">
        <v>816</v>
      </c>
      <c r="L2154" s="14"/>
      <c r="M2154" s="14">
        <v>1</v>
      </c>
      <c r="N2154" s="15">
        <v>90000</v>
      </c>
      <c r="O2154" s="15">
        <f t="shared" si="86"/>
        <v>90000</v>
      </c>
      <c r="P2154" s="15"/>
      <c r="Q2154" s="14" t="s">
        <v>520</v>
      </c>
      <c r="R2154" s="21">
        <v>46203</v>
      </c>
      <c r="S2154" s="22" t="str">
        <f>TEXT(Table1[[#This Row],[End Date]],"MMMM")</f>
        <v>June</v>
      </c>
      <c r="T2154" s="23" t="str">
        <f>TEXT(Table1[[#This Row],[End Date]],"YYYY")</f>
        <v>2026</v>
      </c>
      <c r="U2154" s="24">
        <f t="shared" ca="1" si="85"/>
        <v>-1070</v>
      </c>
      <c r="V2154" s="14" t="str" cm="1">
        <f t="array" aca="1" ref="V2154" ca="1">_xlfn.IFS(Table1[[#This Row],[Agreement Days]]&gt;=0,"Expired",Table1[[#This Row],[Agreement Days]]&gt;=-30,"Expires &lt; 30 Days",Table1[[#This Row],[Agreement Days]]&gt;=-60,"Expires &lt; 60 Days",Table1[[#This Row],[Agreement Days]]&lt;-60,"Valid Contract")</f>
        <v>Valid Contract</v>
      </c>
      <c r="W2154" s="14" t="s">
        <v>13</v>
      </c>
      <c r="X2154" s="14" t="s">
        <v>2787</v>
      </c>
      <c r="Y2154" s="16" t="s">
        <v>2788</v>
      </c>
      <c r="Z2154" s="17" t="s">
        <v>2789</v>
      </c>
      <c r="AA2154" s="17"/>
      <c r="AB2154" s="125"/>
      <c r="AC2154" s="125"/>
    </row>
    <row r="2155" spans="1:29" s="10" customFormat="1" hidden="1" x14ac:dyDescent="0.3">
      <c r="A2155" s="18" t="s">
        <v>2785</v>
      </c>
      <c r="B2155" s="18" t="s">
        <v>128</v>
      </c>
      <c r="C2155" s="18" t="s">
        <v>3599</v>
      </c>
      <c r="D2155" s="14" t="s">
        <v>619</v>
      </c>
      <c r="E2155" s="18" t="s">
        <v>9</v>
      </c>
      <c r="F2155" s="14" t="s">
        <v>601</v>
      </c>
      <c r="G2155" s="14" t="s">
        <v>546</v>
      </c>
      <c r="H2155" s="18" t="s">
        <v>5</v>
      </c>
      <c r="I2155" s="14" t="s">
        <v>117</v>
      </c>
      <c r="J2155" s="14">
        <v>1</v>
      </c>
      <c r="K2155" s="14" t="s">
        <v>816</v>
      </c>
      <c r="L2155" s="14"/>
      <c r="M2155" s="14">
        <v>1</v>
      </c>
      <c r="N2155" s="15">
        <v>83700</v>
      </c>
      <c r="O2155" s="15">
        <f t="shared" si="86"/>
        <v>83700</v>
      </c>
      <c r="P2155" s="15"/>
      <c r="Q2155" s="14" t="s">
        <v>520</v>
      </c>
      <c r="R2155" s="21">
        <v>46203</v>
      </c>
      <c r="S2155" s="22" t="str">
        <f>TEXT(Table1[[#This Row],[End Date]],"MMMM")</f>
        <v>June</v>
      </c>
      <c r="T2155" s="23" t="str">
        <f>TEXT(Table1[[#This Row],[End Date]],"YYYY")</f>
        <v>2026</v>
      </c>
      <c r="U2155" s="24">
        <f t="shared" ca="1" si="85"/>
        <v>-1070</v>
      </c>
      <c r="V2155" s="14" t="str" cm="1">
        <f t="array" aca="1" ref="V2155" ca="1">_xlfn.IFS(Table1[[#This Row],[Agreement Days]]&gt;=0,"Expired",Table1[[#This Row],[Agreement Days]]&gt;=-30,"Expires &lt; 30 Days",Table1[[#This Row],[Agreement Days]]&gt;=-60,"Expires &lt; 60 Days",Table1[[#This Row],[Agreement Days]]&lt;-60,"Valid Contract")</f>
        <v>Valid Contract</v>
      </c>
      <c r="W2155" s="14" t="s">
        <v>13</v>
      </c>
      <c r="X2155" s="14" t="s">
        <v>2787</v>
      </c>
      <c r="Y2155" s="16" t="s">
        <v>2788</v>
      </c>
      <c r="Z2155" s="17" t="s">
        <v>2789</v>
      </c>
      <c r="AA2155" s="17"/>
      <c r="AB2155" s="125"/>
      <c r="AC2155" s="125"/>
    </row>
    <row r="2156" spans="1:29" s="10" customFormat="1" hidden="1" x14ac:dyDescent="0.3">
      <c r="A2156" s="18" t="s">
        <v>2785</v>
      </c>
      <c r="B2156" s="18" t="s">
        <v>128</v>
      </c>
      <c r="C2156" s="18" t="s">
        <v>3600</v>
      </c>
      <c r="D2156" s="14" t="s">
        <v>875</v>
      </c>
      <c r="E2156" s="18" t="s">
        <v>9</v>
      </c>
      <c r="F2156" s="14" t="s">
        <v>601</v>
      </c>
      <c r="G2156" s="14" t="s">
        <v>546</v>
      </c>
      <c r="H2156" s="18" t="s">
        <v>5</v>
      </c>
      <c r="I2156" s="14" t="s">
        <v>117</v>
      </c>
      <c r="J2156" s="14">
        <v>1</v>
      </c>
      <c r="K2156" s="14" t="s">
        <v>816</v>
      </c>
      <c r="L2156" s="14"/>
      <c r="M2156" s="14">
        <v>1</v>
      </c>
      <c r="N2156" s="15">
        <v>90000</v>
      </c>
      <c r="O2156" s="15">
        <f t="shared" si="86"/>
        <v>90000</v>
      </c>
      <c r="P2156" s="15"/>
      <c r="Q2156" s="14" t="s">
        <v>520</v>
      </c>
      <c r="R2156" s="21">
        <v>46203</v>
      </c>
      <c r="S2156" s="22" t="str">
        <f>TEXT(Table1[[#This Row],[End Date]],"MMMM")</f>
        <v>June</v>
      </c>
      <c r="T2156" s="23" t="str">
        <f>TEXT(Table1[[#This Row],[End Date]],"YYYY")</f>
        <v>2026</v>
      </c>
      <c r="U2156" s="24">
        <f t="shared" ca="1" si="85"/>
        <v>-1070</v>
      </c>
      <c r="V2156" s="14" t="str" cm="1">
        <f t="array" aca="1" ref="V2156" ca="1">_xlfn.IFS(Table1[[#This Row],[Agreement Days]]&gt;=0,"Expired",Table1[[#This Row],[Agreement Days]]&gt;=-30,"Expires &lt; 30 Days",Table1[[#This Row],[Agreement Days]]&gt;=-60,"Expires &lt; 60 Days",Table1[[#This Row],[Agreement Days]]&lt;-60,"Valid Contract")</f>
        <v>Valid Contract</v>
      </c>
      <c r="W2156" s="14" t="s">
        <v>13</v>
      </c>
      <c r="X2156" s="14" t="s">
        <v>2787</v>
      </c>
      <c r="Y2156" s="16" t="s">
        <v>2788</v>
      </c>
      <c r="Z2156" s="17" t="s">
        <v>2789</v>
      </c>
      <c r="AA2156" s="17"/>
      <c r="AB2156" s="125"/>
      <c r="AC2156" s="125"/>
    </row>
    <row r="2157" spans="1:29" s="10" customFormat="1" hidden="1" x14ac:dyDescent="0.3">
      <c r="A2157" s="18" t="s">
        <v>2785</v>
      </c>
      <c r="B2157" s="18" t="s">
        <v>128</v>
      </c>
      <c r="C2157" s="18" t="s">
        <v>3601</v>
      </c>
      <c r="D2157" s="14" t="s">
        <v>662</v>
      </c>
      <c r="E2157" s="18" t="s">
        <v>9</v>
      </c>
      <c r="F2157" s="14" t="s">
        <v>601</v>
      </c>
      <c r="G2157" s="14" t="s">
        <v>546</v>
      </c>
      <c r="H2157" s="18" t="s">
        <v>5</v>
      </c>
      <c r="I2157" s="14" t="s">
        <v>117</v>
      </c>
      <c r="J2157" s="14">
        <v>1</v>
      </c>
      <c r="K2157" s="14" t="s">
        <v>816</v>
      </c>
      <c r="L2157" s="14"/>
      <c r="M2157" s="14">
        <v>1</v>
      </c>
      <c r="N2157" s="15">
        <v>90000</v>
      </c>
      <c r="O2157" s="15">
        <f t="shared" si="86"/>
        <v>90000</v>
      </c>
      <c r="P2157" s="15"/>
      <c r="Q2157" s="14" t="s">
        <v>520</v>
      </c>
      <c r="R2157" s="21">
        <v>46203</v>
      </c>
      <c r="S2157" s="22" t="str">
        <f>TEXT(Table1[[#This Row],[End Date]],"MMMM")</f>
        <v>June</v>
      </c>
      <c r="T2157" s="23" t="str">
        <f>TEXT(Table1[[#This Row],[End Date]],"YYYY")</f>
        <v>2026</v>
      </c>
      <c r="U2157" s="24">
        <f t="shared" ca="1" si="85"/>
        <v>-1070</v>
      </c>
      <c r="V2157" s="14" t="str" cm="1">
        <f t="array" aca="1" ref="V2157" ca="1">_xlfn.IFS(Table1[[#This Row],[Agreement Days]]&gt;=0,"Expired",Table1[[#This Row],[Agreement Days]]&gt;=-30,"Expires &lt; 30 Days",Table1[[#This Row],[Agreement Days]]&gt;=-60,"Expires &lt; 60 Days",Table1[[#This Row],[Agreement Days]]&lt;-60,"Valid Contract")</f>
        <v>Valid Contract</v>
      </c>
      <c r="W2157" s="14" t="s">
        <v>13</v>
      </c>
      <c r="X2157" s="14" t="s">
        <v>2787</v>
      </c>
      <c r="Y2157" s="16" t="s">
        <v>2788</v>
      </c>
      <c r="Z2157" s="17" t="s">
        <v>2789</v>
      </c>
      <c r="AA2157" s="17"/>
      <c r="AB2157" s="125"/>
      <c r="AC2157" s="125"/>
    </row>
    <row r="2158" spans="1:29" s="10" customFormat="1" hidden="1" x14ac:dyDescent="0.3">
      <c r="A2158" s="18" t="s">
        <v>2785</v>
      </c>
      <c r="B2158" s="18" t="s">
        <v>128</v>
      </c>
      <c r="C2158" s="18" t="s">
        <v>3602</v>
      </c>
      <c r="D2158" s="14" t="s">
        <v>630</v>
      </c>
      <c r="E2158" s="18" t="s">
        <v>9</v>
      </c>
      <c r="F2158" s="14" t="s">
        <v>601</v>
      </c>
      <c r="G2158" s="14" t="s">
        <v>546</v>
      </c>
      <c r="H2158" s="18" t="s">
        <v>5</v>
      </c>
      <c r="I2158" s="14" t="s">
        <v>117</v>
      </c>
      <c r="J2158" s="14">
        <v>1</v>
      </c>
      <c r="K2158" s="14" t="s">
        <v>2087</v>
      </c>
      <c r="L2158" s="14"/>
      <c r="M2158" s="14">
        <v>1</v>
      </c>
      <c r="N2158" s="15">
        <v>90000</v>
      </c>
      <c r="O2158" s="15">
        <f t="shared" si="86"/>
        <v>90000</v>
      </c>
      <c r="P2158" s="15"/>
      <c r="Q2158" s="14" t="s">
        <v>520</v>
      </c>
      <c r="R2158" s="21">
        <v>46203</v>
      </c>
      <c r="S2158" s="22" t="str">
        <f>TEXT(Table1[[#This Row],[End Date]],"MMMM")</f>
        <v>June</v>
      </c>
      <c r="T2158" s="23" t="str">
        <f>TEXT(Table1[[#This Row],[End Date]],"YYYY")</f>
        <v>2026</v>
      </c>
      <c r="U2158" s="24">
        <f t="shared" ca="1" si="85"/>
        <v>-1070</v>
      </c>
      <c r="V2158" s="14" t="str" cm="1">
        <f t="array" aca="1" ref="V2158" ca="1">_xlfn.IFS(Table1[[#This Row],[Agreement Days]]&gt;=0,"Expired",Table1[[#This Row],[Agreement Days]]&gt;=-30,"Expires &lt; 30 Days",Table1[[#This Row],[Agreement Days]]&gt;=-60,"Expires &lt; 60 Days",Table1[[#This Row],[Agreement Days]]&lt;-60,"Valid Contract")</f>
        <v>Valid Contract</v>
      </c>
      <c r="W2158" s="14" t="s">
        <v>13</v>
      </c>
      <c r="X2158" s="14" t="s">
        <v>2787</v>
      </c>
      <c r="Y2158" s="16" t="s">
        <v>2788</v>
      </c>
      <c r="Z2158" s="17" t="s">
        <v>2789</v>
      </c>
      <c r="AA2158" s="17"/>
      <c r="AB2158" s="125"/>
      <c r="AC2158" s="125"/>
    </row>
    <row r="2159" spans="1:29" s="10" customFormat="1" hidden="1" x14ac:dyDescent="0.3">
      <c r="A2159" s="18" t="s">
        <v>2785</v>
      </c>
      <c r="B2159" s="18" t="s">
        <v>128</v>
      </c>
      <c r="C2159" s="18" t="s">
        <v>3603</v>
      </c>
      <c r="D2159" s="14" t="s">
        <v>769</v>
      </c>
      <c r="E2159" s="18" t="s">
        <v>9</v>
      </c>
      <c r="F2159" s="14" t="s">
        <v>601</v>
      </c>
      <c r="G2159" s="14" t="s">
        <v>546</v>
      </c>
      <c r="H2159" s="18" t="s">
        <v>5</v>
      </c>
      <c r="I2159" s="14" t="s">
        <v>117</v>
      </c>
      <c r="J2159" s="14">
        <v>1</v>
      </c>
      <c r="K2159" s="14" t="s">
        <v>816</v>
      </c>
      <c r="L2159" s="14"/>
      <c r="M2159" s="14">
        <v>1</v>
      </c>
      <c r="N2159" s="15">
        <v>90000</v>
      </c>
      <c r="O2159" s="15">
        <f t="shared" si="86"/>
        <v>90000</v>
      </c>
      <c r="P2159" s="15"/>
      <c r="Q2159" s="14" t="s">
        <v>520</v>
      </c>
      <c r="R2159" s="21">
        <v>46203</v>
      </c>
      <c r="S2159" s="22" t="str">
        <f>TEXT(Table1[[#This Row],[End Date]],"MMMM")</f>
        <v>June</v>
      </c>
      <c r="T2159" s="23" t="str">
        <f>TEXT(Table1[[#This Row],[End Date]],"YYYY")</f>
        <v>2026</v>
      </c>
      <c r="U2159" s="24">
        <f t="shared" ca="1" si="85"/>
        <v>-1070</v>
      </c>
      <c r="V2159" s="14" t="str" cm="1">
        <f t="array" aca="1" ref="V2159" ca="1">_xlfn.IFS(Table1[[#This Row],[Agreement Days]]&gt;=0,"Expired",Table1[[#This Row],[Agreement Days]]&gt;=-30,"Expires &lt; 30 Days",Table1[[#This Row],[Agreement Days]]&gt;=-60,"Expires &lt; 60 Days",Table1[[#This Row],[Agreement Days]]&lt;-60,"Valid Contract")</f>
        <v>Valid Contract</v>
      </c>
      <c r="W2159" s="14" t="s">
        <v>13</v>
      </c>
      <c r="X2159" s="14" t="s">
        <v>2787</v>
      </c>
      <c r="Y2159" s="16" t="s">
        <v>2788</v>
      </c>
      <c r="Z2159" s="17" t="s">
        <v>2789</v>
      </c>
      <c r="AA2159" s="17"/>
      <c r="AB2159" s="125"/>
      <c r="AC2159" s="125"/>
    </row>
    <row r="2160" spans="1:29" s="10" customFormat="1" hidden="1" x14ac:dyDescent="0.3">
      <c r="A2160" s="18" t="s">
        <v>2785</v>
      </c>
      <c r="B2160" s="18" t="s">
        <v>128</v>
      </c>
      <c r="C2160" s="18" t="s">
        <v>3604</v>
      </c>
      <c r="D2160" s="14" t="s">
        <v>542</v>
      </c>
      <c r="E2160" s="18" t="s">
        <v>9</v>
      </c>
      <c r="F2160" s="14" t="s">
        <v>601</v>
      </c>
      <c r="G2160" s="14" t="s">
        <v>546</v>
      </c>
      <c r="H2160" s="18" t="s">
        <v>5</v>
      </c>
      <c r="I2160" s="14" t="s">
        <v>117</v>
      </c>
      <c r="J2160" s="14">
        <v>1</v>
      </c>
      <c r="K2160" s="14" t="s">
        <v>816</v>
      </c>
      <c r="L2160" s="14"/>
      <c r="M2160" s="14">
        <v>1</v>
      </c>
      <c r="N2160" s="15">
        <v>90000</v>
      </c>
      <c r="O2160" s="15">
        <f t="shared" si="86"/>
        <v>90000</v>
      </c>
      <c r="P2160" s="15"/>
      <c r="Q2160" s="14" t="s">
        <v>520</v>
      </c>
      <c r="R2160" s="21">
        <v>46203</v>
      </c>
      <c r="S2160" s="22" t="str">
        <f>TEXT(Table1[[#This Row],[End Date]],"MMMM")</f>
        <v>June</v>
      </c>
      <c r="T2160" s="23" t="str">
        <f>TEXT(Table1[[#This Row],[End Date]],"YYYY")</f>
        <v>2026</v>
      </c>
      <c r="U2160" s="24">
        <f t="shared" ca="1" si="85"/>
        <v>-1070</v>
      </c>
      <c r="V2160" s="14" t="str" cm="1">
        <f t="array" aca="1" ref="V2160" ca="1">_xlfn.IFS(Table1[[#This Row],[Agreement Days]]&gt;=0,"Expired",Table1[[#This Row],[Agreement Days]]&gt;=-30,"Expires &lt; 30 Days",Table1[[#This Row],[Agreement Days]]&gt;=-60,"Expires &lt; 60 Days",Table1[[#This Row],[Agreement Days]]&lt;-60,"Valid Contract")</f>
        <v>Valid Contract</v>
      </c>
      <c r="W2160" s="14" t="s">
        <v>13</v>
      </c>
      <c r="X2160" s="14" t="s">
        <v>2787</v>
      </c>
      <c r="Y2160" s="16" t="s">
        <v>2788</v>
      </c>
      <c r="Z2160" s="17" t="s">
        <v>2789</v>
      </c>
      <c r="AA2160" s="17"/>
      <c r="AB2160" s="125"/>
      <c r="AC2160" s="125"/>
    </row>
    <row r="2161" spans="1:29" s="10" customFormat="1" hidden="1" x14ac:dyDescent="0.3">
      <c r="A2161" s="18" t="s">
        <v>2785</v>
      </c>
      <c r="B2161" s="18" t="s">
        <v>128</v>
      </c>
      <c r="C2161" s="18" t="s">
        <v>3605</v>
      </c>
      <c r="D2161" s="14" t="s">
        <v>2427</v>
      </c>
      <c r="E2161" s="18" t="s">
        <v>9</v>
      </c>
      <c r="F2161" s="14" t="s">
        <v>601</v>
      </c>
      <c r="G2161" s="14" t="s">
        <v>546</v>
      </c>
      <c r="H2161" s="18" t="s">
        <v>2</v>
      </c>
      <c r="I2161" s="14" t="s">
        <v>121</v>
      </c>
      <c r="J2161" s="20">
        <v>3</v>
      </c>
      <c r="K2161" s="14" t="s">
        <v>2419</v>
      </c>
      <c r="L2161" s="14"/>
      <c r="M2161" s="14">
        <v>1</v>
      </c>
      <c r="N2161" s="15">
        <v>2947241</v>
      </c>
      <c r="O2161" s="15">
        <f t="shared" si="86"/>
        <v>2947241</v>
      </c>
      <c r="P2161" s="15"/>
      <c r="Q2161" s="14" t="s">
        <v>520</v>
      </c>
      <c r="R2161" s="21">
        <v>46203</v>
      </c>
      <c r="S2161" s="22" t="str">
        <f>TEXT(Table1[[#This Row],[End Date]],"MMMM")</f>
        <v>June</v>
      </c>
      <c r="T2161" s="23" t="str">
        <f>TEXT(Table1[[#This Row],[End Date]],"YYYY")</f>
        <v>2026</v>
      </c>
      <c r="U2161" s="24">
        <f t="shared" ca="1" si="85"/>
        <v>-1070</v>
      </c>
      <c r="V2161" s="14" t="str" cm="1">
        <f t="array" aca="1" ref="V2161" ca="1">_xlfn.IFS(Table1[[#This Row],[Agreement Days]]&gt;=0,"Expired",Table1[[#This Row],[Agreement Days]]&gt;=-30,"Expires &lt; 30 Days",Table1[[#This Row],[Agreement Days]]&gt;=-60,"Expires &lt; 60 Days",Table1[[#This Row],[Agreement Days]]&lt;-60,"Valid Contract")</f>
        <v>Valid Contract</v>
      </c>
      <c r="W2161" s="14" t="s">
        <v>13</v>
      </c>
      <c r="X2161" s="14" t="s">
        <v>2787</v>
      </c>
      <c r="Y2161" s="16" t="s">
        <v>2788</v>
      </c>
      <c r="Z2161" s="17" t="s">
        <v>2789</v>
      </c>
      <c r="AA2161" s="17"/>
      <c r="AB2161" s="125"/>
      <c r="AC2161" s="125"/>
    </row>
    <row r="2162" spans="1:29" s="10" customFormat="1" hidden="1" x14ac:dyDescent="0.3">
      <c r="A2162" s="18" t="s">
        <v>2785</v>
      </c>
      <c r="B2162" s="18" t="s">
        <v>128</v>
      </c>
      <c r="C2162" s="18" t="s">
        <v>3606</v>
      </c>
      <c r="D2162" s="14" t="s">
        <v>545</v>
      </c>
      <c r="E2162" s="18" t="s">
        <v>9</v>
      </c>
      <c r="F2162" s="14" t="s">
        <v>601</v>
      </c>
      <c r="G2162" s="14" t="s">
        <v>546</v>
      </c>
      <c r="H2162" s="18" t="s">
        <v>5</v>
      </c>
      <c r="I2162" s="14" t="s">
        <v>117</v>
      </c>
      <c r="J2162" s="14">
        <v>3</v>
      </c>
      <c r="K2162" s="14" t="s">
        <v>646</v>
      </c>
      <c r="L2162" s="14"/>
      <c r="M2162" s="14">
        <v>1</v>
      </c>
      <c r="N2162" s="15">
        <v>180000</v>
      </c>
      <c r="O2162" s="15">
        <f t="shared" si="86"/>
        <v>180000</v>
      </c>
      <c r="P2162" s="15"/>
      <c r="Q2162" s="14" t="s">
        <v>520</v>
      </c>
      <c r="R2162" s="21">
        <v>46203</v>
      </c>
      <c r="S2162" s="22" t="str">
        <f>TEXT(Table1[[#This Row],[End Date]],"MMMM")</f>
        <v>June</v>
      </c>
      <c r="T2162" s="23" t="str">
        <f>TEXT(Table1[[#This Row],[End Date]],"YYYY")</f>
        <v>2026</v>
      </c>
      <c r="U2162" s="24">
        <f t="shared" ca="1" si="85"/>
        <v>-1070</v>
      </c>
      <c r="V2162" s="14" t="str" cm="1">
        <f t="array" aca="1" ref="V2162" ca="1">_xlfn.IFS(Table1[[#This Row],[Agreement Days]]&gt;=0,"Expired",Table1[[#This Row],[Agreement Days]]&gt;=-30,"Expires &lt; 30 Days",Table1[[#This Row],[Agreement Days]]&gt;=-60,"Expires &lt; 60 Days",Table1[[#This Row],[Agreement Days]]&lt;-60,"Valid Contract")</f>
        <v>Valid Contract</v>
      </c>
      <c r="W2162" s="14" t="s">
        <v>13</v>
      </c>
      <c r="X2162" s="14" t="s">
        <v>2787</v>
      </c>
      <c r="Y2162" s="16" t="s">
        <v>2788</v>
      </c>
      <c r="Z2162" s="17" t="s">
        <v>2789</v>
      </c>
      <c r="AA2162" s="17"/>
      <c r="AB2162" s="125"/>
      <c r="AC2162" s="125"/>
    </row>
    <row r="2163" spans="1:29" s="10" customFormat="1" hidden="1" x14ac:dyDescent="0.3">
      <c r="A2163" s="18" t="s">
        <v>2785</v>
      </c>
      <c r="B2163" s="18" t="s">
        <v>128</v>
      </c>
      <c r="C2163" s="18" t="s">
        <v>3607</v>
      </c>
      <c r="D2163" s="14" t="s">
        <v>808</v>
      </c>
      <c r="E2163" s="18" t="s">
        <v>9</v>
      </c>
      <c r="F2163" s="14" t="s">
        <v>601</v>
      </c>
      <c r="G2163" s="14" t="s">
        <v>546</v>
      </c>
      <c r="H2163" s="18" t="s">
        <v>5</v>
      </c>
      <c r="I2163" s="14" t="s">
        <v>117</v>
      </c>
      <c r="J2163" s="14">
        <v>3</v>
      </c>
      <c r="K2163" s="14" t="s">
        <v>646</v>
      </c>
      <c r="L2163" s="14"/>
      <c r="M2163" s="14">
        <v>1</v>
      </c>
      <c r="N2163" s="15">
        <v>180000</v>
      </c>
      <c r="O2163" s="15">
        <f t="shared" si="86"/>
        <v>180000</v>
      </c>
      <c r="P2163" s="15"/>
      <c r="Q2163" s="14" t="s">
        <v>520</v>
      </c>
      <c r="R2163" s="21">
        <v>46203</v>
      </c>
      <c r="S2163" s="22" t="str">
        <f>TEXT(Table1[[#This Row],[End Date]],"MMMM")</f>
        <v>June</v>
      </c>
      <c r="T2163" s="23" t="str">
        <f>TEXT(Table1[[#This Row],[End Date]],"YYYY")</f>
        <v>2026</v>
      </c>
      <c r="U2163" s="24">
        <f t="shared" ca="1" si="85"/>
        <v>-1070</v>
      </c>
      <c r="V2163" s="14" t="str" cm="1">
        <f t="array" aca="1" ref="V2163" ca="1">_xlfn.IFS(Table1[[#This Row],[Agreement Days]]&gt;=0,"Expired",Table1[[#This Row],[Agreement Days]]&gt;=-30,"Expires &lt; 30 Days",Table1[[#This Row],[Agreement Days]]&gt;=-60,"Expires &lt; 60 Days",Table1[[#This Row],[Agreement Days]]&lt;-60,"Valid Contract")</f>
        <v>Valid Contract</v>
      </c>
      <c r="W2163" s="14" t="s">
        <v>13</v>
      </c>
      <c r="X2163" s="14" t="s">
        <v>2787</v>
      </c>
      <c r="Y2163" s="16" t="s">
        <v>2788</v>
      </c>
      <c r="Z2163" s="17" t="s">
        <v>2789</v>
      </c>
      <c r="AA2163" s="17"/>
      <c r="AB2163" s="125"/>
      <c r="AC2163" s="125"/>
    </row>
    <row r="2164" spans="1:29" s="10" customFormat="1" hidden="1" x14ac:dyDescent="0.3">
      <c r="A2164" s="18" t="s">
        <v>2785</v>
      </c>
      <c r="B2164" s="18" t="s">
        <v>128</v>
      </c>
      <c r="C2164" s="18" t="s">
        <v>3608</v>
      </c>
      <c r="D2164" s="14" t="s">
        <v>808</v>
      </c>
      <c r="E2164" s="18" t="s">
        <v>9</v>
      </c>
      <c r="F2164" s="14" t="s">
        <v>601</v>
      </c>
      <c r="G2164" s="14" t="s">
        <v>546</v>
      </c>
      <c r="H2164" s="18" t="s">
        <v>5</v>
      </c>
      <c r="I2164" s="14" t="s">
        <v>117</v>
      </c>
      <c r="J2164" s="14">
        <v>3</v>
      </c>
      <c r="K2164" s="14" t="s">
        <v>646</v>
      </c>
      <c r="L2164" s="14"/>
      <c r="M2164" s="14">
        <v>1</v>
      </c>
      <c r="N2164" s="15">
        <v>180000</v>
      </c>
      <c r="O2164" s="15">
        <f t="shared" si="86"/>
        <v>180000</v>
      </c>
      <c r="P2164" s="15"/>
      <c r="Q2164" s="14" t="s">
        <v>520</v>
      </c>
      <c r="R2164" s="21">
        <v>46203</v>
      </c>
      <c r="S2164" s="22" t="str">
        <f>TEXT(Table1[[#This Row],[End Date]],"MMMM")</f>
        <v>June</v>
      </c>
      <c r="T2164" s="23" t="str">
        <f>TEXT(Table1[[#This Row],[End Date]],"YYYY")</f>
        <v>2026</v>
      </c>
      <c r="U2164" s="24">
        <f t="shared" ca="1" si="85"/>
        <v>-1070</v>
      </c>
      <c r="V2164" s="14" t="str" cm="1">
        <f t="array" aca="1" ref="V2164" ca="1">_xlfn.IFS(Table1[[#This Row],[Agreement Days]]&gt;=0,"Expired",Table1[[#This Row],[Agreement Days]]&gt;=-30,"Expires &lt; 30 Days",Table1[[#This Row],[Agreement Days]]&gt;=-60,"Expires &lt; 60 Days",Table1[[#This Row],[Agreement Days]]&lt;-60,"Valid Contract")</f>
        <v>Valid Contract</v>
      </c>
      <c r="W2164" s="14" t="s">
        <v>13</v>
      </c>
      <c r="X2164" s="14" t="s">
        <v>2787</v>
      </c>
      <c r="Y2164" s="16" t="s">
        <v>2788</v>
      </c>
      <c r="Z2164" s="17" t="s">
        <v>2789</v>
      </c>
      <c r="AA2164" s="17"/>
      <c r="AB2164" s="125"/>
      <c r="AC2164" s="125"/>
    </row>
    <row r="2165" spans="1:29" s="10" customFormat="1" hidden="1" x14ac:dyDescent="0.3">
      <c r="A2165" s="18" t="s">
        <v>2785</v>
      </c>
      <c r="B2165" s="18" t="s">
        <v>128</v>
      </c>
      <c r="C2165" s="18" t="s">
        <v>3609</v>
      </c>
      <c r="D2165" s="14" t="s">
        <v>735</v>
      </c>
      <c r="E2165" s="18" t="s">
        <v>9</v>
      </c>
      <c r="F2165" s="14" t="s">
        <v>601</v>
      </c>
      <c r="G2165" s="14" t="s">
        <v>546</v>
      </c>
      <c r="H2165" s="18" t="s">
        <v>5</v>
      </c>
      <c r="I2165" s="14" t="s">
        <v>117</v>
      </c>
      <c r="J2165" s="14">
        <v>3</v>
      </c>
      <c r="K2165" s="14" t="s">
        <v>646</v>
      </c>
      <c r="L2165" s="14"/>
      <c r="M2165" s="14">
        <v>1</v>
      </c>
      <c r="N2165" s="15">
        <v>180000</v>
      </c>
      <c r="O2165" s="15">
        <f t="shared" si="86"/>
        <v>180000</v>
      </c>
      <c r="P2165" s="15"/>
      <c r="Q2165" s="14" t="s">
        <v>520</v>
      </c>
      <c r="R2165" s="21">
        <v>46203</v>
      </c>
      <c r="S2165" s="22" t="str">
        <f>TEXT(Table1[[#This Row],[End Date]],"MMMM")</f>
        <v>June</v>
      </c>
      <c r="T2165" s="23" t="str">
        <f>TEXT(Table1[[#This Row],[End Date]],"YYYY")</f>
        <v>2026</v>
      </c>
      <c r="U2165" s="24">
        <f t="shared" ca="1" si="85"/>
        <v>-1070</v>
      </c>
      <c r="V2165" s="14" t="str" cm="1">
        <f t="array" aca="1" ref="V2165" ca="1">_xlfn.IFS(Table1[[#This Row],[Agreement Days]]&gt;=0,"Expired",Table1[[#This Row],[Agreement Days]]&gt;=-30,"Expires &lt; 30 Days",Table1[[#This Row],[Agreement Days]]&gt;=-60,"Expires &lt; 60 Days",Table1[[#This Row],[Agreement Days]]&lt;-60,"Valid Contract")</f>
        <v>Valid Contract</v>
      </c>
      <c r="W2165" s="14" t="s">
        <v>13</v>
      </c>
      <c r="X2165" s="14" t="s">
        <v>2787</v>
      </c>
      <c r="Y2165" s="16" t="s">
        <v>2788</v>
      </c>
      <c r="Z2165" s="17" t="s">
        <v>2789</v>
      </c>
      <c r="AA2165" s="17"/>
      <c r="AB2165" s="125"/>
      <c r="AC2165" s="125"/>
    </row>
    <row r="2166" spans="1:29" s="10" customFormat="1" hidden="1" x14ac:dyDescent="0.3">
      <c r="A2166" s="18" t="s">
        <v>2785</v>
      </c>
      <c r="B2166" s="18" t="s">
        <v>128</v>
      </c>
      <c r="C2166" s="18" t="s">
        <v>3610</v>
      </c>
      <c r="D2166" s="14" t="s">
        <v>735</v>
      </c>
      <c r="E2166" s="18" t="s">
        <v>9</v>
      </c>
      <c r="F2166" s="14" t="s">
        <v>601</v>
      </c>
      <c r="G2166" s="14" t="s">
        <v>546</v>
      </c>
      <c r="H2166" s="18" t="s">
        <v>5</v>
      </c>
      <c r="I2166" s="14" t="s">
        <v>117</v>
      </c>
      <c r="J2166" s="14">
        <v>3</v>
      </c>
      <c r="K2166" s="14" t="s">
        <v>646</v>
      </c>
      <c r="L2166" s="14"/>
      <c r="M2166" s="14">
        <v>1</v>
      </c>
      <c r="N2166" s="15">
        <v>180000</v>
      </c>
      <c r="O2166" s="15">
        <f t="shared" si="86"/>
        <v>180000</v>
      </c>
      <c r="P2166" s="15"/>
      <c r="Q2166" s="14" t="s">
        <v>520</v>
      </c>
      <c r="R2166" s="21">
        <v>46203</v>
      </c>
      <c r="S2166" s="22" t="str">
        <f>TEXT(Table1[[#This Row],[End Date]],"MMMM")</f>
        <v>June</v>
      </c>
      <c r="T2166" s="23" t="str">
        <f>TEXT(Table1[[#This Row],[End Date]],"YYYY")</f>
        <v>2026</v>
      </c>
      <c r="U2166" s="24">
        <f t="shared" ca="1" si="85"/>
        <v>-1070</v>
      </c>
      <c r="V2166" s="14" t="str" cm="1">
        <f t="array" aca="1" ref="V2166" ca="1">_xlfn.IFS(Table1[[#This Row],[Agreement Days]]&gt;=0,"Expired",Table1[[#This Row],[Agreement Days]]&gt;=-30,"Expires &lt; 30 Days",Table1[[#This Row],[Agreement Days]]&gt;=-60,"Expires &lt; 60 Days",Table1[[#This Row],[Agreement Days]]&lt;-60,"Valid Contract")</f>
        <v>Valid Contract</v>
      </c>
      <c r="W2166" s="14" t="s">
        <v>13</v>
      </c>
      <c r="X2166" s="14" t="s">
        <v>2787</v>
      </c>
      <c r="Y2166" s="16" t="s">
        <v>2788</v>
      </c>
      <c r="Z2166" s="17" t="s">
        <v>2789</v>
      </c>
      <c r="AA2166" s="17"/>
      <c r="AB2166" s="125"/>
      <c r="AC2166" s="125"/>
    </row>
    <row r="2167" spans="1:29" s="10" customFormat="1" hidden="1" x14ac:dyDescent="0.3">
      <c r="A2167" s="18" t="s">
        <v>2785</v>
      </c>
      <c r="B2167" s="18" t="s">
        <v>128</v>
      </c>
      <c r="C2167" s="18" t="s">
        <v>3611</v>
      </c>
      <c r="D2167" s="14" t="s">
        <v>516</v>
      </c>
      <c r="E2167" s="18" t="s">
        <v>9</v>
      </c>
      <c r="F2167" s="14" t="s">
        <v>601</v>
      </c>
      <c r="G2167" s="14" t="s">
        <v>546</v>
      </c>
      <c r="H2167" s="18" t="s">
        <v>5</v>
      </c>
      <c r="I2167" s="14" t="s">
        <v>117</v>
      </c>
      <c r="J2167" s="14">
        <v>3</v>
      </c>
      <c r="K2167" s="14" t="s">
        <v>646</v>
      </c>
      <c r="L2167" s="14"/>
      <c r="M2167" s="14">
        <v>1</v>
      </c>
      <c r="N2167" s="15">
        <v>180000</v>
      </c>
      <c r="O2167" s="15">
        <f t="shared" si="86"/>
        <v>180000</v>
      </c>
      <c r="P2167" s="15"/>
      <c r="Q2167" s="14" t="s">
        <v>520</v>
      </c>
      <c r="R2167" s="21">
        <v>46203</v>
      </c>
      <c r="S2167" s="22" t="str">
        <f>TEXT(Table1[[#This Row],[End Date]],"MMMM")</f>
        <v>June</v>
      </c>
      <c r="T2167" s="23" t="str">
        <f>TEXT(Table1[[#This Row],[End Date]],"YYYY")</f>
        <v>2026</v>
      </c>
      <c r="U2167" s="24">
        <f t="shared" ca="1" si="85"/>
        <v>-1070</v>
      </c>
      <c r="V2167" s="14" t="str" cm="1">
        <f t="array" aca="1" ref="V2167" ca="1">_xlfn.IFS(Table1[[#This Row],[Agreement Days]]&gt;=0,"Expired",Table1[[#This Row],[Agreement Days]]&gt;=-30,"Expires &lt; 30 Days",Table1[[#This Row],[Agreement Days]]&gt;=-60,"Expires &lt; 60 Days",Table1[[#This Row],[Agreement Days]]&lt;-60,"Valid Contract")</f>
        <v>Valid Contract</v>
      </c>
      <c r="W2167" s="14" t="s">
        <v>13</v>
      </c>
      <c r="X2167" s="14" t="s">
        <v>2787</v>
      </c>
      <c r="Y2167" s="16" t="s">
        <v>2788</v>
      </c>
      <c r="Z2167" s="17" t="s">
        <v>2789</v>
      </c>
      <c r="AA2167" s="17"/>
      <c r="AB2167" s="125"/>
      <c r="AC2167" s="125"/>
    </row>
    <row r="2168" spans="1:29" s="10" customFormat="1" hidden="1" x14ac:dyDescent="0.3">
      <c r="A2168" s="18" t="s">
        <v>2785</v>
      </c>
      <c r="B2168" s="18" t="s">
        <v>128</v>
      </c>
      <c r="C2168" s="18" t="s">
        <v>3612</v>
      </c>
      <c r="D2168" s="14" t="s">
        <v>516</v>
      </c>
      <c r="E2168" s="18" t="s">
        <v>9</v>
      </c>
      <c r="F2168" s="14" t="s">
        <v>601</v>
      </c>
      <c r="G2168" s="14" t="s">
        <v>546</v>
      </c>
      <c r="H2168" s="18" t="s">
        <v>5</v>
      </c>
      <c r="I2168" s="14" t="s">
        <v>117</v>
      </c>
      <c r="J2168" s="14">
        <v>3</v>
      </c>
      <c r="K2168" s="14" t="s">
        <v>646</v>
      </c>
      <c r="L2168" s="14"/>
      <c r="M2168" s="14">
        <v>1</v>
      </c>
      <c r="N2168" s="15">
        <v>180000</v>
      </c>
      <c r="O2168" s="15">
        <f t="shared" si="86"/>
        <v>180000</v>
      </c>
      <c r="P2168" s="15"/>
      <c r="Q2168" s="14" t="s">
        <v>520</v>
      </c>
      <c r="R2168" s="21">
        <v>46203</v>
      </c>
      <c r="S2168" s="22" t="str">
        <f>TEXT(Table1[[#This Row],[End Date]],"MMMM")</f>
        <v>June</v>
      </c>
      <c r="T2168" s="23" t="str">
        <f>TEXT(Table1[[#This Row],[End Date]],"YYYY")</f>
        <v>2026</v>
      </c>
      <c r="U2168" s="24">
        <f t="shared" ca="1" si="85"/>
        <v>-1070</v>
      </c>
      <c r="V2168" s="14" t="str" cm="1">
        <f t="array" aca="1" ref="V2168" ca="1">_xlfn.IFS(Table1[[#This Row],[Agreement Days]]&gt;=0,"Expired",Table1[[#This Row],[Agreement Days]]&gt;=-30,"Expires &lt; 30 Days",Table1[[#This Row],[Agreement Days]]&gt;=-60,"Expires &lt; 60 Days",Table1[[#This Row],[Agreement Days]]&lt;-60,"Valid Contract")</f>
        <v>Valid Contract</v>
      </c>
      <c r="W2168" s="14" t="s">
        <v>13</v>
      </c>
      <c r="X2168" s="14" t="s">
        <v>2787</v>
      </c>
      <c r="Y2168" s="16" t="s">
        <v>2788</v>
      </c>
      <c r="Z2168" s="17" t="s">
        <v>2789</v>
      </c>
      <c r="AA2168" s="17"/>
      <c r="AB2168" s="125"/>
      <c r="AC2168" s="125"/>
    </row>
    <row r="2169" spans="1:29" s="10" customFormat="1" hidden="1" x14ac:dyDescent="0.3">
      <c r="A2169" s="18" t="s">
        <v>2785</v>
      </c>
      <c r="B2169" s="18" t="s">
        <v>128</v>
      </c>
      <c r="C2169" s="18" t="s">
        <v>3613</v>
      </c>
      <c r="D2169" s="14" t="s">
        <v>516</v>
      </c>
      <c r="E2169" s="18" t="s">
        <v>9</v>
      </c>
      <c r="F2169" s="14" t="s">
        <v>601</v>
      </c>
      <c r="G2169" s="14" t="s">
        <v>546</v>
      </c>
      <c r="H2169" s="18" t="s">
        <v>5</v>
      </c>
      <c r="I2169" s="14" t="s">
        <v>117</v>
      </c>
      <c r="J2169" s="14">
        <v>3</v>
      </c>
      <c r="K2169" s="14" t="s">
        <v>646</v>
      </c>
      <c r="L2169" s="14"/>
      <c r="M2169" s="14">
        <v>1</v>
      </c>
      <c r="N2169" s="15">
        <v>180000</v>
      </c>
      <c r="O2169" s="15">
        <f t="shared" si="86"/>
        <v>180000</v>
      </c>
      <c r="P2169" s="15"/>
      <c r="Q2169" s="14" t="s">
        <v>520</v>
      </c>
      <c r="R2169" s="21">
        <v>46203</v>
      </c>
      <c r="S2169" s="22" t="str">
        <f>TEXT(Table1[[#This Row],[End Date]],"MMMM")</f>
        <v>June</v>
      </c>
      <c r="T2169" s="23" t="str">
        <f>TEXT(Table1[[#This Row],[End Date]],"YYYY")</f>
        <v>2026</v>
      </c>
      <c r="U2169" s="24">
        <f t="shared" ca="1" si="85"/>
        <v>-1070</v>
      </c>
      <c r="V2169" s="14" t="str" cm="1">
        <f t="array" aca="1" ref="V2169" ca="1">_xlfn.IFS(Table1[[#This Row],[Agreement Days]]&gt;=0,"Expired",Table1[[#This Row],[Agreement Days]]&gt;=-30,"Expires &lt; 30 Days",Table1[[#This Row],[Agreement Days]]&gt;=-60,"Expires &lt; 60 Days",Table1[[#This Row],[Agreement Days]]&lt;-60,"Valid Contract")</f>
        <v>Valid Contract</v>
      </c>
      <c r="W2169" s="14" t="s">
        <v>13</v>
      </c>
      <c r="X2169" s="14" t="s">
        <v>2787</v>
      </c>
      <c r="Y2169" s="16" t="s">
        <v>2788</v>
      </c>
      <c r="Z2169" s="17" t="s">
        <v>2789</v>
      </c>
      <c r="AA2169" s="17"/>
      <c r="AB2169" s="125"/>
      <c r="AC2169" s="125"/>
    </row>
    <row r="2170" spans="1:29" s="10" customFormat="1" hidden="1" x14ac:dyDescent="0.3">
      <c r="A2170" s="18" t="s">
        <v>2785</v>
      </c>
      <c r="B2170" s="18" t="s">
        <v>128</v>
      </c>
      <c r="C2170" s="18" t="s">
        <v>3614</v>
      </c>
      <c r="D2170" s="14" t="s">
        <v>653</v>
      </c>
      <c r="E2170" s="18" t="s">
        <v>9</v>
      </c>
      <c r="F2170" s="14" t="s">
        <v>601</v>
      </c>
      <c r="G2170" s="14" t="s">
        <v>546</v>
      </c>
      <c r="H2170" s="18" t="s">
        <v>5</v>
      </c>
      <c r="I2170" s="14" t="s">
        <v>117</v>
      </c>
      <c r="J2170" s="14">
        <v>5</v>
      </c>
      <c r="K2170" s="14" t="s">
        <v>519</v>
      </c>
      <c r="L2170" s="14"/>
      <c r="M2170" s="14">
        <v>1</v>
      </c>
      <c r="N2170" s="15">
        <v>270000</v>
      </c>
      <c r="O2170" s="15">
        <f t="shared" si="86"/>
        <v>270000</v>
      </c>
      <c r="P2170" s="15"/>
      <c r="Q2170" s="14" t="s">
        <v>520</v>
      </c>
      <c r="R2170" s="21">
        <v>46203</v>
      </c>
      <c r="S2170" s="22" t="str">
        <f>TEXT(Table1[[#This Row],[End Date]],"MMMM")</f>
        <v>June</v>
      </c>
      <c r="T2170" s="23" t="str">
        <f>TEXT(Table1[[#This Row],[End Date]],"YYYY")</f>
        <v>2026</v>
      </c>
      <c r="U2170" s="24">
        <f t="shared" ca="1" si="85"/>
        <v>-1070</v>
      </c>
      <c r="V2170" s="14" t="str" cm="1">
        <f t="array" aca="1" ref="V2170" ca="1">_xlfn.IFS(Table1[[#This Row],[Agreement Days]]&gt;=0,"Expired",Table1[[#This Row],[Agreement Days]]&gt;=-30,"Expires &lt; 30 Days",Table1[[#This Row],[Agreement Days]]&gt;=-60,"Expires &lt; 60 Days",Table1[[#This Row],[Agreement Days]]&lt;-60,"Valid Contract")</f>
        <v>Valid Contract</v>
      </c>
      <c r="W2170" s="14" t="s">
        <v>13</v>
      </c>
      <c r="X2170" s="14" t="s">
        <v>2787</v>
      </c>
      <c r="Y2170" s="16" t="s">
        <v>2788</v>
      </c>
      <c r="Z2170" s="17" t="s">
        <v>2789</v>
      </c>
      <c r="AA2170" s="17"/>
      <c r="AB2170" s="125"/>
      <c r="AC2170" s="125"/>
    </row>
    <row r="2171" spans="1:29" s="10" customFormat="1" hidden="1" x14ac:dyDescent="0.3">
      <c r="A2171" s="18" t="s">
        <v>2785</v>
      </c>
      <c r="B2171" s="18" t="s">
        <v>128</v>
      </c>
      <c r="C2171" s="18" t="s">
        <v>3615</v>
      </c>
      <c r="D2171" s="14" t="s">
        <v>516</v>
      </c>
      <c r="E2171" s="18" t="s">
        <v>9</v>
      </c>
      <c r="F2171" s="14" t="s">
        <v>601</v>
      </c>
      <c r="G2171" s="14" t="s">
        <v>546</v>
      </c>
      <c r="H2171" s="18" t="s">
        <v>5</v>
      </c>
      <c r="I2171" s="14" t="s">
        <v>117</v>
      </c>
      <c r="J2171" s="14">
        <v>5</v>
      </c>
      <c r="K2171" s="14" t="s">
        <v>519</v>
      </c>
      <c r="L2171" s="14"/>
      <c r="M2171" s="14">
        <v>1</v>
      </c>
      <c r="N2171" s="15">
        <v>270000</v>
      </c>
      <c r="O2171" s="15">
        <f t="shared" si="86"/>
        <v>270000</v>
      </c>
      <c r="P2171" s="15"/>
      <c r="Q2171" s="14" t="s">
        <v>520</v>
      </c>
      <c r="R2171" s="21">
        <v>46203</v>
      </c>
      <c r="S2171" s="22" t="str">
        <f>TEXT(Table1[[#This Row],[End Date]],"MMMM")</f>
        <v>June</v>
      </c>
      <c r="T2171" s="23" t="str">
        <f>TEXT(Table1[[#This Row],[End Date]],"YYYY")</f>
        <v>2026</v>
      </c>
      <c r="U2171" s="24">
        <f t="shared" ca="1" si="85"/>
        <v>-1070</v>
      </c>
      <c r="V2171" s="14" t="str" cm="1">
        <f t="array" aca="1" ref="V2171" ca="1">_xlfn.IFS(Table1[[#This Row],[Agreement Days]]&gt;=0,"Expired",Table1[[#This Row],[Agreement Days]]&gt;=-30,"Expires &lt; 30 Days",Table1[[#This Row],[Agreement Days]]&gt;=-60,"Expires &lt; 60 Days",Table1[[#This Row],[Agreement Days]]&lt;-60,"Valid Contract")</f>
        <v>Valid Contract</v>
      </c>
      <c r="W2171" s="14" t="s">
        <v>13</v>
      </c>
      <c r="X2171" s="14" t="s">
        <v>2787</v>
      </c>
      <c r="Y2171" s="16" t="s">
        <v>2788</v>
      </c>
      <c r="Z2171" s="17" t="s">
        <v>2789</v>
      </c>
      <c r="AA2171" s="17"/>
      <c r="AB2171" s="125"/>
      <c r="AC2171" s="125"/>
    </row>
    <row r="2172" spans="1:29" s="10" customFormat="1" hidden="1" x14ac:dyDescent="0.3">
      <c r="A2172" s="18" t="s">
        <v>2785</v>
      </c>
      <c r="B2172" s="18" t="s">
        <v>128</v>
      </c>
      <c r="C2172" s="18" t="s">
        <v>3616</v>
      </c>
      <c r="D2172" s="14" t="s">
        <v>545</v>
      </c>
      <c r="E2172" s="18" t="s">
        <v>9</v>
      </c>
      <c r="F2172" s="14" t="s">
        <v>601</v>
      </c>
      <c r="G2172" s="14" t="s">
        <v>546</v>
      </c>
      <c r="H2172" s="18" t="s">
        <v>5</v>
      </c>
      <c r="I2172" s="14" t="s">
        <v>117</v>
      </c>
      <c r="J2172" s="14">
        <v>10</v>
      </c>
      <c r="K2172" s="14" t="s">
        <v>547</v>
      </c>
      <c r="L2172" s="14"/>
      <c r="M2172" s="14">
        <v>1</v>
      </c>
      <c r="N2172" s="15">
        <v>510000</v>
      </c>
      <c r="O2172" s="15">
        <f t="shared" si="86"/>
        <v>510000</v>
      </c>
      <c r="P2172" s="15"/>
      <c r="Q2172" s="14" t="s">
        <v>520</v>
      </c>
      <c r="R2172" s="21">
        <v>46203</v>
      </c>
      <c r="S2172" s="22" t="str">
        <f>TEXT(Table1[[#This Row],[End Date]],"MMMM")</f>
        <v>June</v>
      </c>
      <c r="T2172" s="23" t="str">
        <f>TEXT(Table1[[#This Row],[End Date]],"YYYY")</f>
        <v>2026</v>
      </c>
      <c r="U2172" s="24">
        <f t="shared" ca="1" si="85"/>
        <v>-1070</v>
      </c>
      <c r="V2172" s="14" t="str" cm="1">
        <f t="array" aca="1" ref="V2172" ca="1">_xlfn.IFS(Table1[[#This Row],[Agreement Days]]&gt;=0,"Expired",Table1[[#This Row],[Agreement Days]]&gt;=-30,"Expires &lt; 30 Days",Table1[[#This Row],[Agreement Days]]&gt;=-60,"Expires &lt; 60 Days",Table1[[#This Row],[Agreement Days]]&lt;-60,"Valid Contract")</f>
        <v>Valid Contract</v>
      </c>
      <c r="W2172" s="14" t="s">
        <v>13</v>
      </c>
      <c r="X2172" s="14" t="s">
        <v>2787</v>
      </c>
      <c r="Y2172" s="16" t="s">
        <v>2788</v>
      </c>
      <c r="Z2172" s="17" t="s">
        <v>2789</v>
      </c>
      <c r="AA2172" s="17"/>
      <c r="AB2172" s="125"/>
      <c r="AC2172" s="125"/>
    </row>
    <row r="2173" spans="1:29" s="10" customFormat="1" hidden="1" x14ac:dyDescent="0.3">
      <c r="A2173" s="18" t="s">
        <v>2785</v>
      </c>
      <c r="B2173" s="18" t="s">
        <v>128</v>
      </c>
      <c r="C2173" s="18" t="s">
        <v>3617</v>
      </c>
      <c r="D2173" s="14" t="s">
        <v>653</v>
      </c>
      <c r="E2173" s="18" t="s">
        <v>9</v>
      </c>
      <c r="F2173" s="14" t="s">
        <v>601</v>
      </c>
      <c r="G2173" s="14" t="s">
        <v>546</v>
      </c>
      <c r="H2173" s="18" t="s">
        <v>2</v>
      </c>
      <c r="I2173" s="14" t="s">
        <v>117</v>
      </c>
      <c r="J2173" s="14">
        <v>10</v>
      </c>
      <c r="K2173" s="14" t="s">
        <v>547</v>
      </c>
      <c r="L2173" s="14"/>
      <c r="M2173" s="14">
        <v>1</v>
      </c>
      <c r="N2173" s="15">
        <v>510000</v>
      </c>
      <c r="O2173" s="15">
        <f t="shared" si="86"/>
        <v>510000</v>
      </c>
      <c r="P2173" s="15"/>
      <c r="Q2173" s="14" t="s">
        <v>520</v>
      </c>
      <c r="R2173" s="21">
        <v>46203</v>
      </c>
      <c r="S2173" s="22" t="str">
        <f>TEXT(Table1[[#This Row],[End Date]],"MMMM")</f>
        <v>June</v>
      </c>
      <c r="T2173" s="23" t="str">
        <f>TEXT(Table1[[#This Row],[End Date]],"YYYY")</f>
        <v>2026</v>
      </c>
      <c r="U2173" s="24">
        <f t="shared" ca="1" si="85"/>
        <v>-1070</v>
      </c>
      <c r="V2173" s="14" t="str" cm="1">
        <f t="array" aca="1" ref="V2173" ca="1">_xlfn.IFS(Table1[[#This Row],[Agreement Days]]&gt;=0,"Expired",Table1[[#This Row],[Agreement Days]]&gt;=-30,"Expires &lt; 30 Days",Table1[[#This Row],[Agreement Days]]&gt;=-60,"Expires &lt; 60 Days",Table1[[#This Row],[Agreement Days]]&lt;-60,"Valid Contract")</f>
        <v>Valid Contract</v>
      </c>
      <c r="W2173" s="14" t="s">
        <v>13</v>
      </c>
      <c r="X2173" s="14" t="s">
        <v>2787</v>
      </c>
      <c r="Y2173" s="16" t="s">
        <v>2788</v>
      </c>
      <c r="Z2173" s="17" t="s">
        <v>2789</v>
      </c>
      <c r="AA2173" s="17"/>
      <c r="AB2173" s="125"/>
      <c r="AC2173" s="125"/>
    </row>
    <row r="2174" spans="1:29" s="10" customFormat="1" hidden="1" x14ac:dyDescent="0.3">
      <c r="A2174" s="18" t="s">
        <v>2785</v>
      </c>
      <c r="B2174" s="18" t="s">
        <v>128</v>
      </c>
      <c r="C2174" s="18" t="s">
        <v>3618</v>
      </c>
      <c r="D2174" s="14" t="s">
        <v>545</v>
      </c>
      <c r="E2174" s="18" t="s">
        <v>9</v>
      </c>
      <c r="F2174" s="14" t="s">
        <v>601</v>
      </c>
      <c r="G2174" s="14" t="s">
        <v>546</v>
      </c>
      <c r="H2174" s="18" t="s">
        <v>5</v>
      </c>
      <c r="I2174" s="14" t="s">
        <v>117</v>
      </c>
      <c r="J2174" s="14">
        <v>25</v>
      </c>
      <c r="K2174" s="14" t="s">
        <v>3394</v>
      </c>
      <c r="L2174" s="14"/>
      <c r="M2174" s="14">
        <v>1</v>
      </c>
      <c r="N2174" s="15">
        <v>1080000</v>
      </c>
      <c r="O2174" s="15">
        <f t="shared" si="86"/>
        <v>1080000</v>
      </c>
      <c r="P2174" s="15"/>
      <c r="Q2174" s="14" t="s">
        <v>520</v>
      </c>
      <c r="R2174" s="21">
        <v>46203</v>
      </c>
      <c r="S2174" s="22" t="str">
        <f>TEXT(Table1[[#This Row],[End Date]],"MMMM")</f>
        <v>June</v>
      </c>
      <c r="T2174" s="23" t="str">
        <f>TEXT(Table1[[#This Row],[End Date]],"YYYY")</f>
        <v>2026</v>
      </c>
      <c r="U2174" s="24">
        <f t="shared" ca="1" si="85"/>
        <v>-1070</v>
      </c>
      <c r="V2174" s="14" t="str" cm="1">
        <f t="array" aca="1" ref="V2174" ca="1">_xlfn.IFS(Table1[[#This Row],[Agreement Days]]&gt;=0,"Expired",Table1[[#This Row],[Agreement Days]]&gt;=-30,"Expires &lt; 30 Days",Table1[[#This Row],[Agreement Days]]&gt;=-60,"Expires &lt; 60 Days",Table1[[#This Row],[Agreement Days]]&lt;-60,"Valid Contract")</f>
        <v>Valid Contract</v>
      </c>
      <c r="W2174" s="14" t="s">
        <v>13</v>
      </c>
      <c r="X2174" s="14" t="s">
        <v>2787</v>
      </c>
      <c r="Y2174" s="16" t="s">
        <v>2788</v>
      </c>
      <c r="Z2174" s="17" t="s">
        <v>2789</v>
      </c>
      <c r="AA2174" s="17"/>
      <c r="AB2174" s="125"/>
      <c r="AC2174" s="125"/>
    </row>
    <row r="2175" spans="1:29" s="10" customFormat="1" hidden="1" x14ac:dyDescent="0.3">
      <c r="A2175" s="18" t="s">
        <v>2785</v>
      </c>
      <c r="B2175" s="18" t="s">
        <v>128</v>
      </c>
      <c r="C2175" s="18" t="s">
        <v>3619</v>
      </c>
      <c r="D2175" s="14" t="s">
        <v>545</v>
      </c>
      <c r="E2175" s="18" t="s">
        <v>9</v>
      </c>
      <c r="F2175" s="14" t="s">
        <v>601</v>
      </c>
      <c r="G2175" s="14" t="s">
        <v>546</v>
      </c>
      <c r="H2175" s="18" t="s">
        <v>2</v>
      </c>
      <c r="I2175" s="14" t="s">
        <v>126</v>
      </c>
      <c r="J2175" s="14">
        <v>25</v>
      </c>
      <c r="K2175" s="14" t="s">
        <v>3620</v>
      </c>
      <c r="L2175" s="14"/>
      <c r="M2175" s="14">
        <v>1</v>
      </c>
      <c r="N2175" s="15">
        <v>750000</v>
      </c>
      <c r="O2175" s="15">
        <f t="shared" si="86"/>
        <v>750000</v>
      </c>
      <c r="P2175" s="15"/>
      <c r="Q2175" s="14" t="s">
        <v>520</v>
      </c>
      <c r="R2175" s="21">
        <v>46203</v>
      </c>
      <c r="S2175" s="22" t="str">
        <f>TEXT(Table1[[#This Row],[End Date]],"MMMM")</f>
        <v>June</v>
      </c>
      <c r="T2175" s="23" t="str">
        <f>TEXT(Table1[[#This Row],[End Date]],"YYYY")</f>
        <v>2026</v>
      </c>
      <c r="U2175" s="24">
        <f t="shared" ca="1" si="85"/>
        <v>-1070</v>
      </c>
      <c r="V2175" s="14" t="str" cm="1">
        <f t="array" aca="1" ref="V2175" ca="1">_xlfn.IFS(Table1[[#This Row],[Agreement Days]]&gt;=0,"Expired",Table1[[#This Row],[Agreement Days]]&gt;=-30,"Expires &lt; 30 Days",Table1[[#This Row],[Agreement Days]]&gt;=-60,"Expires &lt; 60 Days",Table1[[#This Row],[Agreement Days]]&lt;-60,"Valid Contract")</f>
        <v>Valid Contract</v>
      </c>
      <c r="W2175" s="14" t="s">
        <v>13</v>
      </c>
      <c r="X2175" s="14" t="s">
        <v>2787</v>
      </c>
      <c r="Y2175" s="16" t="s">
        <v>2788</v>
      </c>
      <c r="Z2175" s="17" t="s">
        <v>2789</v>
      </c>
      <c r="AA2175" s="17"/>
      <c r="AB2175" s="125"/>
      <c r="AC2175" s="125"/>
    </row>
    <row r="2176" spans="1:29" s="10" customFormat="1" hidden="1" x14ac:dyDescent="0.3">
      <c r="A2176" s="18" t="s">
        <v>2785</v>
      </c>
      <c r="B2176" s="18" t="s">
        <v>128</v>
      </c>
      <c r="C2176" s="18" t="s">
        <v>3621</v>
      </c>
      <c r="D2176" s="14" t="s">
        <v>540</v>
      </c>
      <c r="E2176" s="18" t="s">
        <v>9</v>
      </c>
      <c r="F2176" s="14" t="s">
        <v>601</v>
      </c>
      <c r="G2176" s="14" t="s">
        <v>546</v>
      </c>
      <c r="H2176" s="18" t="s">
        <v>5</v>
      </c>
      <c r="I2176" s="14" t="s">
        <v>117</v>
      </c>
      <c r="J2176" s="14">
        <v>25</v>
      </c>
      <c r="K2176" s="14" t="s">
        <v>3394</v>
      </c>
      <c r="L2176" s="14"/>
      <c r="M2176" s="14">
        <v>1</v>
      </c>
      <c r="N2176" s="15">
        <v>1080000</v>
      </c>
      <c r="O2176" s="15">
        <f t="shared" si="86"/>
        <v>1080000</v>
      </c>
      <c r="P2176" s="15"/>
      <c r="Q2176" s="14" t="s">
        <v>520</v>
      </c>
      <c r="R2176" s="21">
        <v>46203</v>
      </c>
      <c r="S2176" s="22" t="s">
        <v>1645</v>
      </c>
      <c r="T2176" s="23" t="str">
        <f>TEXT(Table1[[#This Row],[End Date]],"YYYY")</f>
        <v>2026</v>
      </c>
      <c r="U2176" s="24">
        <f t="shared" ca="1" si="85"/>
        <v>-1070</v>
      </c>
      <c r="V2176" s="14" t="str" cm="1">
        <f t="array" aca="1" ref="V2176" ca="1">_xlfn.IFS(Table1[[#This Row],[Agreement Days]]&gt;=0,"Expired",Table1[[#This Row],[Agreement Days]]&gt;=-30,"Expires &lt; 30 Days",Table1[[#This Row],[Agreement Days]]&gt;=-60,"Expires &lt; 60 Days",Table1[[#This Row],[Agreement Days]]&lt;-60,"Valid Contract")</f>
        <v>Valid Contract</v>
      </c>
      <c r="W2176" s="14" t="s">
        <v>13</v>
      </c>
      <c r="X2176" s="14" t="s">
        <v>2787</v>
      </c>
      <c r="Y2176" s="16" t="s">
        <v>2788</v>
      </c>
      <c r="Z2176" s="17" t="s">
        <v>2789</v>
      </c>
      <c r="AA2176" s="17"/>
      <c r="AB2176" s="125"/>
      <c r="AC2176" s="125"/>
    </row>
    <row r="2177" spans="1:29" s="10" customFormat="1" hidden="1" x14ac:dyDescent="0.3">
      <c r="A2177" s="18" t="s">
        <v>2785</v>
      </c>
      <c r="B2177" s="18" t="s">
        <v>128</v>
      </c>
      <c r="C2177" s="18" t="s">
        <v>3622</v>
      </c>
      <c r="D2177" s="14" t="s">
        <v>540</v>
      </c>
      <c r="E2177" s="18" t="s">
        <v>9</v>
      </c>
      <c r="F2177" s="14" t="s">
        <v>601</v>
      </c>
      <c r="G2177" s="14" t="s">
        <v>546</v>
      </c>
      <c r="H2177" s="18" t="s">
        <v>5</v>
      </c>
      <c r="I2177" s="14" t="s">
        <v>117</v>
      </c>
      <c r="J2177" s="14">
        <v>25</v>
      </c>
      <c r="K2177" s="14" t="s">
        <v>3394</v>
      </c>
      <c r="L2177" s="14"/>
      <c r="M2177" s="14">
        <v>1</v>
      </c>
      <c r="N2177" s="15">
        <v>1080000</v>
      </c>
      <c r="O2177" s="15">
        <f t="shared" si="86"/>
        <v>1080000</v>
      </c>
      <c r="P2177" s="15"/>
      <c r="Q2177" s="14" t="s">
        <v>520</v>
      </c>
      <c r="R2177" s="21">
        <v>46203</v>
      </c>
      <c r="S2177" s="22" t="str">
        <f>TEXT(Table1[[#This Row],[End Date]],"MMMM")</f>
        <v>June</v>
      </c>
      <c r="T2177" s="23" t="str">
        <f>TEXT(Table1[[#This Row],[End Date]],"YYYY")</f>
        <v>2026</v>
      </c>
      <c r="U2177" s="24">
        <f t="shared" ca="1" si="85"/>
        <v>-1070</v>
      </c>
      <c r="V2177" s="14" t="str" cm="1">
        <f t="array" aca="1" ref="V2177" ca="1">_xlfn.IFS(Table1[[#This Row],[Agreement Days]]&gt;=0,"Expired",Table1[[#This Row],[Agreement Days]]&gt;=-30,"Expires &lt; 30 Days",Table1[[#This Row],[Agreement Days]]&gt;=-60,"Expires &lt; 60 Days",Table1[[#This Row],[Agreement Days]]&lt;-60,"Valid Contract")</f>
        <v>Valid Contract</v>
      </c>
      <c r="W2177" s="14" t="s">
        <v>13</v>
      </c>
      <c r="X2177" s="14" t="s">
        <v>2787</v>
      </c>
      <c r="Y2177" s="16" t="s">
        <v>2788</v>
      </c>
      <c r="Z2177" s="17" t="s">
        <v>2789</v>
      </c>
      <c r="AA2177" s="17"/>
      <c r="AB2177" s="125"/>
      <c r="AC2177" s="125"/>
    </row>
    <row r="2178" spans="1:29" s="10" customFormat="1" hidden="1" x14ac:dyDescent="0.3">
      <c r="A2178" s="18" t="s">
        <v>2785</v>
      </c>
      <c r="B2178" s="18" t="s">
        <v>128</v>
      </c>
      <c r="C2178" s="18" t="s">
        <v>3623</v>
      </c>
      <c r="D2178" s="14" t="s">
        <v>545</v>
      </c>
      <c r="E2178" s="18" t="s">
        <v>9</v>
      </c>
      <c r="F2178" s="14" t="s">
        <v>601</v>
      </c>
      <c r="G2178" s="14" t="s">
        <v>546</v>
      </c>
      <c r="H2178" s="18" t="s">
        <v>5</v>
      </c>
      <c r="I2178" s="14" t="s">
        <v>117</v>
      </c>
      <c r="J2178" s="14">
        <v>35</v>
      </c>
      <c r="K2178" s="14" t="s">
        <v>3103</v>
      </c>
      <c r="L2178" s="14"/>
      <c r="M2178" s="14">
        <v>1</v>
      </c>
      <c r="N2178" s="15">
        <v>1500000</v>
      </c>
      <c r="O2178" s="15">
        <f t="shared" si="86"/>
        <v>1500000</v>
      </c>
      <c r="P2178" s="15"/>
      <c r="Q2178" s="14" t="s">
        <v>520</v>
      </c>
      <c r="R2178" s="21">
        <v>46203</v>
      </c>
      <c r="S2178" s="22" t="str">
        <f>TEXT(Table1[[#This Row],[End Date]],"MMMM")</f>
        <v>June</v>
      </c>
      <c r="T2178" s="23" t="str">
        <f>TEXT(Table1[[#This Row],[End Date]],"YYYY")</f>
        <v>2026</v>
      </c>
      <c r="U2178" s="24">
        <f t="shared" ca="1" si="85"/>
        <v>-1070</v>
      </c>
      <c r="V2178" s="14" t="str" cm="1">
        <f t="array" aca="1" ref="V2178" ca="1">_xlfn.IFS(Table1[[#This Row],[Agreement Days]]&gt;=0,"Expired",Table1[[#This Row],[Agreement Days]]&gt;=-30,"Expires &lt; 30 Days",Table1[[#This Row],[Agreement Days]]&gt;=-60,"Expires &lt; 60 Days",Table1[[#This Row],[Agreement Days]]&lt;-60,"Valid Contract")</f>
        <v>Valid Contract</v>
      </c>
      <c r="W2178" s="14" t="s">
        <v>13</v>
      </c>
      <c r="X2178" s="14" t="s">
        <v>2787</v>
      </c>
      <c r="Y2178" s="16" t="s">
        <v>2788</v>
      </c>
      <c r="Z2178" s="17" t="s">
        <v>2789</v>
      </c>
      <c r="AA2178" s="17"/>
      <c r="AB2178" s="125"/>
      <c r="AC2178" s="125"/>
    </row>
    <row r="2179" spans="1:29" s="10" customFormat="1" hidden="1" x14ac:dyDescent="0.3">
      <c r="A2179" s="18" t="s">
        <v>2785</v>
      </c>
      <c r="B2179" s="18" t="s">
        <v>128</v>
      </c>
      <c r="C2179" s="18" t="s">
        <v>3624</v>
      </c>
      <c r="D2179" s="14" t="s">
        <v>735</v>
      </c>
      <c r="E2179" s="18" t="s">
        <v>9</v>
      </c>
      <c r="F2179" s="14" t="s">
        <v>601</v>
      </c>
      <c r="G2179" s="14" t="s">
        <v>546</v>
      </c>
      <c r="H2179" s="18" t="s">
        <v>5</v>
      </c>
      <c r="I2179" s="14" t="s">
        <v>117</v>
      </c>
      <c r="J2179" s="14">
        <v>60</v>
      </c>
      <c r="K2179" s="14" t="s">
        <v>2404</v>
      </c>
      <c r="L2179" s="14"/>
      <c r="M2179" s="14">
        <v>1</v>
      </c>
      <c r="N2179" s="15">
        <v>2088000</v>
      </c>
      <c r="O2179" s="15">
        <f t="shared" si="86"/>
        <v>2088000</v>
      </c>
      <c r="P2179" s="15"/>
      <c r="Q2179" s="14" t="s">
        <v>520</v>
      </c>
      <c r="R2179" s="21">
        <v>46203</v>
      </c>
      <c r="S2179" s="22" t="str">
        <f>TEXT(Table1[[#This Row],[End Date]],"MMMM")</f>
        <v>June</v>
      </c>
      <c r="T2179" s="23" t="str">
        <f>TEXT(Table1[[#This Row],[End Date]],"YYYY")</f>
        <v>2026</v>
      </c>
      <c r="U2179" s="24">
        <f t="shared" ca="1" si="85"/>
        <v>-1070</v>
      </c>
      <c r="V2179" s="14" t="str" cm="1">
        <f t="array" aca="1" ref="V2179" ca="1">_xlfn.IFS(Table1[[#This Row],[Agreement Days]]&gt;=0,"Expired",Table1[[#This Row],[Agreement Days]]&gt;=-30,"Expires &lt; 30 Days",Table1[[#This Row],[Agreement Days]]&gt;=-60,"Expires &lt; 60 Days",Table1[[#This Row],[Agreement Days]]&lt;-60,"Valid Contract")</f>
        <v>Valid Contract</v>
      </c>
      <c r="W2179" s="14" t="s">
        <v>13</v>
      </c>
      <c r="X2179" s="14" t="s">
        <v>2787</v>
      </c>
      <c r="Y2179" s="16" t="s">
        <v>2788</v>
      </c>
      <c r="Z2179" s="17" t="s">
        <v>2789</v>
      </c>
      <c r="AA2179" s="17"/>
      <c r="AB2179" s="125"/>
      <c r="AC2179" s="125"/>
    </row>
    <row r="2180" spans="1:29" s="10" customFormat="1" hidden="1" x14ac:dyDescent="0.3">
      <c r="A2180" s="18" t="s">
        <v>2785</v>
      </c>
      <c r="B2180" s="18" t="s">
        <v>128</v>
      </c>
      <c r="C2180" s="18" t="s">
        <v>3623</v>
      </c>
      <c r="D2180" s="14" t="s">
        <v>545</v>
      </c>
      <c r="E2180" s="18" t="s">
        <v>9</v>
      </c>
      <c r="F2180" s="14" t="s">
        <v>601</v>
      </c>
      <c r="G2180" s="14" t="s">
        <v>546</v>
      </c>
      <c r="H2180" s="18" t="s">
        <v>5</v>
      </c>
      <c r="I2180" s="14" t="s">
        <v>115</v>
      </c>
      <c r="J2180" s="14"/>
      <c r="K2180" s="18" t="s">
        <v>3625</v>
      </c>
      <c r="L2180" s="14"/>
      <c r="M2180" s="14">
        <v>1</v>
      </c>
      <c r="N2180" s="15">
        <v>100424</v>
      </c>
      <c r="O2180" s="15">
        <f t="shared" si="86"/>
        <v>100424</v>
      </c>
      <c r="P2180" s="15"/>
      <c r="Q2180" s="14" t="s">
        <v>520</v>
      </c>
      <c r="R2180" s="21">
        <v>46203</v>
      </c>
      <c r="S2180" s="22" t="str">
        <f>TEXT(Table1[[#This Row],[End Date]],"MMMM")</f>
        <v>June</v>
      </c>
      <c r="T2180" s="23" t="str">
        <f>TEXT(Table1[[#This Row],[End Date]],"YYYY")</f>
        <v>2026</v>
      </c>
      <c r="U2180" s="24">
        <f t="shared" ca="1" si="85"/>
        <v>-1070</v>
      </c>
      <c r="V2180" s="14" t="str" cm="1">
        <f t="array" aca="1" ref="V2180" ca="1">_xlfn.IFS(Table1[[#This Row],[Agreement Days]]&gt;=0,"Expired",Table1[[#This Row],[Agreement Days]]&gt;=-30,"Expires &lt; 30 Days",Table1[[#This Row],[Agreement Days]]&gt;=-60,"Expires &lt; 60 Days",Table1[[#This Row],[Agreement Days]]&lt;-60,"Valid Contract")</f>
        <v>Valid Contract</v>
      </c>
      <c r="W2180" s="14" t="s">
        <v>13</v>
      </c>
      <c r="X2180" s="14" t="s">
        <v>2787</v>
      </c>
      <c r="Y2180" s="16" t="s">
        <v>2788</v>
      </c>
      <c r="Z2180" s="17" t="s">
        <v>3626</v>
      </c>
      <c r="AA2180" s="17"/>
      <c r="AB2180" s="125"/>
      <c r="AC2180" s="125"/>
    </row>
    <row r="2181" spans="1:29" s="10" customFormat="1" hidden="1" x14ac:dyDescent="0.3">
      <c r="A2181" s="18" t="s">
        <v>2785</v>
      </c>
      <c r="B2181" s="18" t="s">
        <v>128</v>
      </c>
      <c r="C2181" s="18" t="s">
        <v>3623</v>
      </c>
      <c r="D2181" s="14" t="s">
        <v>545</v>
      </c>
      <c r="E2181" s="18" t="s">
        <v>9</v>
      </c>
      <c r="F2181" s="14" t="s">
        <v>601</v>
      </c>
      <c r="G2181" s="14" t="s">
        <v>546</v>
      </c>
      <c r="H2181" s="18" t="s">
        <v>5</v>
      </c>
      <c r="I2181" s="14" t="s">
        <v>115</v>
      </c>
      <c r="J2181" s="14"/>
      <c r="K2181" s="14" t="s">
        <v>3627</v>
      </c>
      <c r="L2181" s="14"/>
      <c r="M2181" s="14">
        <v>1</v>
      </c>
      <c r="N2181" s="15">
        <v>81356</v>
      </c>
      <c r="O2181" s="15">
        <f t="shared" si="86"/>
        <v>81356</v>
      </c>
      <c r="P2181" s="15"/>
      <c r="Q2181" s="14" t="s">
        <v>520</v>
      </c>
      <c r="R2181" s="21">
        <v>46203</v>
      </c>
      <c r="S2181" s="22" t="str">
        <f>TEXT(Table1[[#This Row],[End Date]],"MMMM")</f>
        <v>June</v>
      </c>
      <c r="T2181" s="23" t="str">
        <f>TEXT(Table1[[#This Row],[End Date]],"YYYY")</f>
        <v>2026</v>
      </c>
      <c r="U2181" s="24">
        <f t="shared" ca="1" si="85"/>
        <v>-1070</v>
      </c>
      <c r="V2181" s="14" t="str" cm="1">
        <f t="array" aca="1" ref="V2181" ca="1">_xlfn.IFS(Table1[[#This Row],[Agreement Days]]&gt;=0,"Expired",Table1[[#This Row],[Agreement Days]]&gt;=-30,"Expires &lt; 30 Days",Table1[[#This Row],[Agreement Days]]&gt;=-60,"Expires &lt; 60 Days",Table1[[#This Row],[Agreement Days]]&lt;-60,"Valid Contract")</f>
        <v>Valid Contract</v>
      </c>
      <c r="W2181" s="14" t="s">
        <v>13</v>
      </c>
      <c r="X2181" s="14" t="s">
        <v>2787</v>
      </c>
      <c r="Y2181" s="16" t="s">
        <v>2788</v>
      </c>
      <c r="Z2181" s="17" t="s">
        <v>2789</v>
      </c>
      <c r="AA2181" s="17"/>
      <c r="AB2181" s="125"/>
      <c r="AC2181" s="125"/>
    </row>
    <row r="2182" spans="1:29" s="10" customFormat="1" hidden="1" x14ac:dyDescent="0.3">
      <c r="A2182" s="18" t="s">
        <v>3628</v>
      </c>
      <c r="B2182" s="18" t="s">
        <v>128</v>
      </c>
      <c r="C2182" s="18" t="s">
        <v>3629</v>
      </c>
      <c r="D2182" s="14" t="s">
        <v>545</v>
      </c>
      <c r="E2182" s="18" t="s">
        <v>9</v>
      </c>
      <c r="F2182" s="70" t="s">
        <v>601</v>
      </c>
      <c r="G2182" s="70" t="s">
        <v>546</v>
      </c>
      <c r="H2182" s="18" t="s">
        <v>5</v>
      </c>
      <c r="I2182" s="14" t="s">
        <v>115</v>
      </c>
      <c r="J2182" s="20"/>
      <c r="K2182" s="20" t="s">
        <v>3630</v>
      </c>
      <c r="L2182" s="94"/>
      <c r="M2182" s="14">
        <v>4</v>
      </c>
      <c r="N2182" s="14">
        <v>101094</v>
      </c>
      <c r="O2182" s="15">
        <f t="shared" si="86"/>
        <v>404376</v>
      </c>
      <c r="P2182" s="15"/>
      <c r="Q2182" s="14" t="s">
        <v>520</v>
      </c>
      <c r="R2182" s="21">
        <v>46203</v>
      </c>
      <c r="S2182" s="22" t="str">
        <f>TEXT(Table1[[#This Row],[End Date]],"MMMM")</f>
        <v>June</v>
      </c>
      <c r="T2182" s="22" t="str">
        <f>TEXT(Table1[[#This Row],[End Date]],"YYYY")</f>
        <v>2026</v>
      </c>
      <c r="U2182" s="28">
        <f t="shared" ca="1" si="85"/>
        <v>-1070</v>
      </c>
      <c r="V2182" s="14" t="str" cm="1">
        <f t="array" aca="1" ref="V2182" ca="1">_xlfn.IFS(Table1[[#This Row],[Agreement Days]]&gt;=0,"Expired",Table1[[#This Row],[Agreement Days]]&gt;=-30,"Expires &lt; 30 Days",Table1[[#This Row],[Agreement Days]]&gt;=-60,"Expires &lt; 60 Days",Table1[[#This Row],[Agreement Days]]&lt;-60,"Valid Contract")</f>
        <v>Valid Contract</v>
      </c>
      <c r="W2182" s="14" t="s">
        <v>13</v>
      </c>
      <c r="X2182" s="20" t="s">
        <v>3631</v>
      </c>
      <c r="Y2182" s="95" t="s">
        <v>3632</v>
      </c>
      <c r="Z2182" s="17" t="s">
        <v>3633</v>
      </c>
      <c r="AA2182" s="14"/>
      <c r="AB2182" s="125"/>
      <c r="AC2182" s="125"/>
    </row>
    <row r="2183" spans="1:29" s="10" customFormat="1" hidden="1" x14ac:dyDescent="0.3">
      <c r="A2183" s="18" t="s">
        <v>2785</v>
      </c>
      <c r="B2183" s="18" t="s">
        <v>128</v>
      </c>
      <c r="C2183" s="18" t="s">
        <v>3623</v>
      </c>
      <c r="D2183" s="14" t="s">
        <v>545</v>
      </c>
      <c r="E2183" s="18" t="s">
        <v>9</v>
      </c>
      <c r="F2183" s="14" t="s">
        <v>601</v>
      </c>
      <c r="G2183" s="14" t="s">
        <v>546</v>
      </c>
      <c r="H2183" s="18" t="s">
        <v>5</v>
      </c>
      <c r="I2183" s="14" t="s">
        <v>115</v>
      </c>
      <c r="J2183" s="14"/>
      <c r="K2183" s="18" t="s">
        <v>936</v>
      </c>
      <c r="L2183" s="14"/>
      <c r="M2183" s="14">
        <v>14</v>
      </c>
      <c r="N2183" s="15">
        <v>77711.86</v>
      </c>
      <c r="O2183" s="15">
        <f t="shared" si="86"/>
        <v>1087966.04</v>
      </c>
      <c r="P2183" s="15"/>
      <c r="Q2183" s="14" t="s">
        <v>520</v>
      </c>
      <c r="R2183" s="21">
        <v>46203</v>
      </c>
      <c r="S2183" s="22" t="str">
        <f>TEXT(Table1[[#This Row],[End Date]],"MMMM")</f>
        <v>June</v>
      </c>
      <c r="T2183" s="23" t="str">
        <f>TEXT(Table1[[#This Row],[End Date]],"YYYY")</f>
        <v>2026</v>
      </c>
      <c r="U2183" s="24">
        <f t="shared" ref="U2183:U2188" ca="1" si="87">TODAY()-R2183</f>
        <v>-1070</v>
      </c>
      <c r="V2183" s="14" t="str" cm="1">
        <f t="array" aca="1" ref="V2183" ca="1">_xlfn.IFS(Table1[[#This Row],[Agreement Days]]&gt;=0,"Expired",Table1[[#This Row],[Agreement Days]]&gt;=-30,"Expires &lt; 30 Days",Table1[[#This Row],[Agreement Days]]&gt;=-60,"Expires &lt; 60 Days",Table1[[#This Row],[Agreement Days]]&lt;-60,"Valid Contract")</f>
        <v>Valid Contract</v>
      </c>
      <c r="W2183" s="14" t="s">
        <v>13</v>
      </c>
      <c r="X2183" s="14" t="s">
        <v>2787</v>
      </c>
      <c r="Y2183" s="16" t="s">
        <v>2788</v>
      </c>
      <c r="Z2183" s="17" t="s">
        <v>2789</v>
      </c>
      <c r="AA2183" s="17"/>
      <c r="AB2183" s="125"/>
      <c r="AC2183" s="125"/>
    </row>
    <row r="2184" spans="1:29" s="10" customFormat="1" hidden="1" x14ac:dyDescent="0.3">
      <c r="A2184" s="18" t="s">
        <v>2785</v>
      </c>
      <c r="B2184" s="18" t="s">
        <v>128</v>
      </c>
      <c r="C2184" s="18" t="s">
        <v>3623</v>
      </c>
      <c r="D2184" s="14" t="s">
        <v>545</v>
      </c>
      <c r="E2184" s="18" t="s">
        <v>9</v>
      </c>
      <c r="F2184" s="14" t="s">
        <v>601</v>
      </c>
      <c r="G2184" s="14" t="s">
        <v>546</v>
      </c>
      <c r="H2184" s="18" t="s">
        <v>5</v>
      </c>
      <c r="I2184" s="14" t="s">
        <v>115</v>
      </c>
      <c r="J2184" s="14"/>
      <c r="K2184" s="18" t="s">
        <v>643</v>
      </c>
      <c r="L2184" s="14"/>
      <c r="M2184" s="14">
        <v>36</v>
      </c>
      <c r="N2184" s="15">
        <v>28305.08</v>
      </c>
      <c r="O2184" s="15">
        <f t="shared" si="86"/>
        <v>1018982.8800000001</v>
      </c>
      <c r="P2184" s="15"/>
      <c r="Q2184" s="14" t="s">
        <v>520</v>
      </c>
      <c r="R2184" s="21">
        <v>46203</v>
      </c>
      <c r="S2184" s="22" t="str">
        <f>TEXT(Table1[[#This Row],[End Date]],"MMMM")</f>
        <v>June</v>
      </c>
      <c r="T2184" s="23" t="str">
        <f>TEXT(Table1[[#This Row],[End Date]],"YYYY")</f>
        <v>2026</v>
      </c>
      <c r="U2184" s="24">
        <f t="shared" ca="1" si="87"/>
        <v>-1070</v>
      </c>
      <c r="V2184" s="14" t="str" cm="1">
        <f t="array" aca="1" ref="V2184" ca="1">_xlfn.IFS(Table1[[#This Row],[Agreement Days]]&gt;=0,"Expired",Table1[[#This Row],[Agreement Days]]&gt;=-30,"Expires &lt; 30 Days",Table1[[#This Row],[Agreement Days]]&gt;=-60,"Expires &lt; 60 Days",Table1[[#This Row],[Agreement Days]]&lt;-60,"Valid Contract")</f>
        <v>Valid Contract</v>
      </c>
      <c r="W2184" s="14" t="s">
        <v>13</v>
      </c>
      <c r="X2184" s="14" t="s">
        <v>2787</v>
      </c>
      <c r="Y2184" s="16" t="s">
        <v>2788</v>
      </c>
      <c r="Z2184" s="17" t="s">
        <v>2789</v>
      </c>
      <c r="AA2184" s="17"/>
      <c r="AB2184" s="125"/>
      <c r="AC2184" s="125"/>
    </row>
    <row r="2185" spans="1:29" s="10" customFormat="1" hidden="1" x14ac:dyDescent="0.3">
      <c r="A2185" s="18" t="s">
        <v>2785</v>
      </c>
      <c r="B2185" s="18" t="s">
        <v>128</v>
      </c>
      <c r="C2185" s="18" t="s">
        <v>3623</v>
      </c>
      <c r="D2185" s="14" t="s">
        <v>545</v>
      </c>
      <c r="E2185" s="18" t="s">
        <v>9</v>
      </c>
      <c r="F2185" s="14" t="s">
        <v>601</v>
      </c>
      <c r="G2185" s="14" t="s">
        <v>546</v>
      </c>
      <c r="H2185" s="18" t="s">
        <v>5</v>
      </c>
      <c r="I2185" s="14" t="s">
        <v>115</v>
      </c>
      <c r="J2185" s="14"/>
      <c r="K2185" s="18" t="s">
        <v>657</v>
      </c>
      <c r="L2185" s="14"/>
      <c r="M2185" s="14">
        <v>73</v>
      </c>
      <c r="N2185" s="15">
        <v>45338.98</v>
      </c>
      <c r="O2185" s="15">
        <f t="shared" si="86"/>
        <v>3309745.54</v>
      </c>
      <c r="P2185" s="15"/>
      <c r="Q2185" s="14" t="s">
        <v>520</v>
      </c>
      <c r="R2185" s="21">
        <v>46203</v>
      </c>
      <c r="S2185" s="22" t="str">
        <f>TEXT(Table1[[#This Row],[End Date]],"MMMM")</f>
        <v>June</v>
      </c>
      <c r="T2185" s="23" t="str">
        <f>TEXT(Table1[[#This Row],[End Date]],"YYYY")</f>
        <v>2026</v>
      </c>
      <c r="U2185" s="24">
        <f t="shared" ca="1" si="87"/>
        <v>-1070</v>
      </c>
      <c r="V2185" s="14" t="str" cm="1">
        <f t="array" aca="1" ref="V2185" ca="1">_xlfn.IFS(Table1[[#This Row],[Agreement Days]]&gt;=0,"Expired",Table1[[#This Row],[Agreement Days]]&gt;=-30,"Expires &lt; 30 Days",Table1[[#This Row],[Agreement Days]]&gt;=-60,"Expires &lt; 60 Days",Table1[[#This Row],[Agreement Days]]&lt;-60,"Valid Contract")</f>
        <v>Valid Contract</v>
      </c>
      <c r="W2185" s="14" t="s">
        <v>13</v>
      </c>
      <c r="X2185" s="14" t="s">
        <v>2787</v>
      </c>
      <c r="Y2185" s="16" t="s">
        <v>2788</v>
      </c>
      <c r="Z2185" s="17" t="s">
        <v>2789</v>
      </c>
      <c r="AA2185" s="17"/>
      <c r="AB2185" s="125"/>
      <c r="AC2185" s="125"/>
    </row>
    <row r="2186" spans="1:29" s="10" customFormat="1" hidden="1" x14ac:dyDescent="0.3">
      <c r="A2186" s="18" t="s">
        <v>3634</v>
      </c>
      <c r="B2186" s="18" t="s">
        <v>272</v>
      </c>
      <c r="C2186" s="18" t="s">
        <v>544</v>
      </c>
      <c r="D2186" s="14" t="s">
        <v>579</v>
      </c>
      <c r="E2186" s="18" t="s">
        <v>10</v>
      </c>
      <c r="F2186" s="14" t="s">
        <v>693</v>
      </c>
      <c r="G2186" s="14" t="s">
        <v>518</v>
      </c>
      <c r="H2186" s="18" t="s">
        <v>2</v>
      </c>
      <c r="I2186" s="20" t="s">
        <v>134</v>
      </c>
      <c r="J2186" s="20">
        <v>20</v>
      </c>
      <c r="K2186" s="20" t="s">
        <v>3635</v>
      </c>
      <c r="L2186" s="20"/>
      <c r="M2186" s="20">
        <v>1</v>
      </c>
      <c r="N2186" s="15">
        <v>1045000</v>
      </c>
      <c r="O2186" s="15">
        <f t="shared" si="86"/>
        <v>1045000</v>
      </c>
      <c r="P2186" s="15"/>
      <c r="Q2186" s="14" t="s">
        <v>520</v>
      </c>
      <c r="R2186" s="25">
        <v>46220</v>
      </c>
      <c r="S2186" s="34" t="str">
        <f>TEXT(Table1[[#This Row],[End Date]],"MMMM")</f>
        <v>July</v>
      </c>
      <c r="T2186" s="34" t="str">
        <f>TEXT(Table1[[#This Row],[End Date]],"YYYY")</f>
        <v>2026</v>
      </c>
      <c r="U2186" s="24">
        <f t="shared" ca="1" si="87"/>
        <v>-1087</v>
      </c>
      <c r="V2186" s="14" t="str" cm="1">
        <f t="array" aca="1" ref="V2186" ca="1">_xlfn.IFS(Table1[[#This Row],[Agreement Days]]&gt;=0,"Expired",Table1[[#This Row],[Agreement Days]]&gt;=-30,"Expires &lt; 30 Days",Table1[[#This Row],[Agreement Days]]&gt;=-60,"Expires &lt; 60 Days",Table1[[#This Row],[Agreement Days]]&lt;-60,"Valid Contract")</f>
        <v>Valid Contract</v>
      </c>
      <c r="W2186" s="26" t="s">
        <v>17</v>
      </c>
      <c r="X2186" s="20" t="s">
        <v>3636</v>
      </c>
      <c r="Y2186" s="51" t="s">
        <v>3637</v>
      </c>
      <c r="Z2186" s="27">
        <v>788216866</v>
      </c>
      <c r="AA2186" s="27"/>
      <c r="AB2186" s="125"/>
      <c r="AC2186" s="125"/>
    </row>
    <row r="2187" spans="1:29" s="10" customFormat="1" hidden="1" x14ac:dyDescent="0.3">
      <c r="A2187" s="18" t="s">
        <v>3634</v>
      </c>
      <c r="B2187" s="18" t="s">
        <v>272</v>
      </c>
      <c r="C2187" s="18" t="s">
        <v>544</v>
      </c>
      <c r="D2187" s="14" t="s">
        <v>579</v>
      </c>
      <c r="E2187" s="18" t="s">
        <v>10</v>
      </c>
      <c r="F2187" s="14" t="s">
        <v>693</v>
      </c>
      <c r="G2187" s="14" t="s">
        <v>518</v>
      </c>
      <c r="H2187" s="18" t="s">
        <v>3</v>
      </c>
      <c r="I2187" s="20" t="s">
        <v>3638</v>
      </c>
      <c r="J2187" s="20"/>
      <c r="K2187" s="20" t="s">
        <v>3639</v>
      </c>
      <c r="L2187" s="20">
        <v>8</v>
      </c>
      <c r="M2187" s="20">
        <v>1</v>
      </c>
      <c r="N2187" s="15">
        <v>220000</v>
      </c>
      <c r="O2187" s="15">
        <f t="shared" si="86"/>
        <v>220000</v>
      </c>
      <c r="P2187" s="15"/>
      <c r="Q2187" s="14" t="s">
        <v>520</v>
      </c>
      <c r="R2187" s="25">
        <v>46220</v>
      </c>
      <c r="S2187" s="34" t="str">
        <f>TEXT(Table1[[#This Row],[End Date]],"MMMM")</f>
        <v>July</v>
      </c>
      <c r="T2187" s="34" t="str">
        <f>TEXT(Table1[[#This Row],[End Date]],"YYYY")</f>
        <v>2026</v>
      </c>
      <c r="U2187" s="24">
        <f t="shared" ca="1" si="87"/>
        <v>-1087</v>
      </c>
      <c r="V2187" s="14" t="str" cm="1">
        <f t="array" aca="1" ref="V2187" ca="1">_xlfn.IFS(Table1[[#This Row],[Agreement Days]]&gt;=0,"Expired",Table1[[#This Row],[Agreement Days]]&gt;=-30,"Expires &lt; 30 Days",Table1[[#This Row],[Agreement Days]]&gt;=-60,"Expires &lt; 60 Days",Table1[[#This Row],[Agreement Days]]&lt;-60,"Valid Contract")</f>
        <v>Valid Contract</v>
      </c>
      <c r="W2187" s="26" t="s">
        <v>17</v>
      </c>
      <c r="X2187" s="20" t="s">
        <v>3636</v>
      </c>
      <c r="Y2187" s="51" t="s">
        <v>3637</v>
      </c>
      <c r="Z2187" s="27">
        <v>788216866</v>
      </c>
      <c r="AA2187" s="27"/>
      <c r="AB2187" s="125"/>
      <c r="AC2187" s="125"/>
    </row>
    <row r="2188" spans="1:29" s="10" customFormat="1" hidden="1" x14ac:dyDescent="0.3">
      <c r="A2188" s="18" t="s">
        <v>1053</v>
      </c>
      <c r="B2188" s="18" t="s">
        <v>277</v>
      </c>
      <c r="C2188" s="18" t="s">
        <v>1054</v>
      </c>
      <c r="D2188" s="14" t="s">
        <v>545</v>
      </c>
      <c r="E2188" s="18" t="s">
        <v>9</v>
      </c>
      <c r="F2188" s="14" t="s">
        <v>688</v>
      </c>
      <c r="G2188" s="14" t="s">
        <v>518</v>
      </c>
      <c r="H2188" s="18" t="s">
        <v>5</v>
      </c>
      <c r="I2188" s="14" t="s">
        <v>115</v>
      </c>
      <c r="J2188" s="18"/>
      <c r="K2188" s="18" t="s">
        <v>657</v>
      </c>
      <c r="L2188" s="18"/>
      <c r="M2188" s="14">
        <v>2</v>
      </c>
      <c r="N2188" s="15">
        <v>45338.98</v>
      </c>
      <c r="O2188" s="15">
        <f t="shared" si="86"/>
        <v>90677.96</v>
      </c>
      <c r="P2188" s="15"/>
      <c r="Q2188" s="14" t="s">
        <v>520</v>
      </c>
      <c r="R2188" s="25">
        <v>46222</v>
      </c>
      <c r="S2188" s="34" t="str">
        <f>TEXT(Table1[[#This Row],[End Date]],"MMMM")</f>
        <v>July</v>
      </c>
      <c r="T2188" s="34" t="str">
        <f>TEXT(Table1[[#This Row],[End Date]],"YYYY")</f>
        <v>2026</v>
      </c>
      <c r="U2188" s="24">
        <f t="shared" ca="1" si="87"/>
        <v>-1089</v>
      </c>
      <c r="V2188" s="14" t="str" cm="1">
        <f t="array" aca="1" ref="V2188" ca="1">_xlfn.IFS(Table1[[#This Row],[Agreement Days]]&gt;=0,"Expired",Table1[[#This Row],[Agreement Days]]&gt;=-30,"Expires &lt; 30 Days",Table1[[#This Row],[Agreement Days]]&gt;=-60,"Expires &lt; 60 Days",Table1[[#This Row],[Agreement Days]]&lt;-60,"Valid Contract")</f>
        <v>Valid Contract</v>
      </c>
      <c r="W2188" s="18" t="s">
        <v>21</v>
      </c>
      <c r="X2188" s="18" t="s">
        <v>1055</v>
      </c>
      <c r="Y2188" s="42" t="s">
        <v>1056</v>
      </c>
      <c r="Z2188" s="27">
        <v>788989730</v>
      </c>
      <c r="AA2188" s="27"/>
      <c r="AB2188" s="125"/>
      <c r="AC2188" s="125"/>
    </row>
    <row r="2189" spans="1:29" s="10" customFormat="1" hidden="1" x14ac:dyDescent="0.3">
      <c r="A2189" s="18" t="s">
        <v>3536</v>
      </c>
      <c r="B2189" s="18" t="s">
        <v>157</v>
      </c>
      <c r="C2189" s="18" t="s">
        <v>909</v>
      </c>
      <c r="D2189" s="14" t="s">
        <v>662</v>
      </c>
      <c r="E2189" s="18" t="s">
        <v>9</v>
      </c>
      <c r="F2189" s="70" t="s">
        <v>517</v>
      </c>
      <c r="G2189" s="70" t="s">
        <v>518</v>
      </c>
      <c r="H2189" s="18" t="s">
        <v>5</v>
      </c>
      <c r="I2189" s="14" t="s">
        <v>115</v>
      </c>
      <c r="J2189" s="14"/>
      <c r="K2189" s="14" t="s">
        <v>651</v>
      </c>
      <c r="L2189" s="14"/>
      <c r="M2189" s="14">
        <v>23</v>
      </c>
      <c r="N2189" s="15">
        <v>81355.932203000004</v>
      </c>
      <c r="O2189" s="2">
        <f t="shared" si="86"/>
        <v>1871186.4406690001</v>
      </c>
      <c r="P2189" s="2"/>
      <c r="Q2189" s="14" t="s">
        <v>520</v>
      </c>
      <c r="R2189" s="21">
        <v>46159</v>
      </c>
      <c r="S2189" s="57" t="s">
        <v>3640</v>
      </c>
      <c r="T2189" s="57" t="s">
        <v>3641</v>
      </c>
      <c r="U2189" s="58">
        <v>-1146</v>
      </c>
      <c r="V2189" s="14" t="s">
        <v>3642</v>
      </c>
      <c r="W2189" s="14" t="s">
        <v>19</v>
      </c>
      <c r="X2189" s="14" t="s">
        <v>3537</v>
      </c>
      <c r="Y2189" s="45" t="s">
        <v>3538</v>
      </c>
      <c r="Z2189" s="17">
        <v>788500943</v>
      </c>
      <c r="AA2189" s="17"/>
      <c r="AB2189" s="125"/>
      <c r="AC2189" s="125"/>
    </row>
    <row r="2190" spans="1:29" s="10" customFormat="1" hidden="1" x14ac:dyDescent="0.3">
      <c r="A2190" s="18" t="s">
        <v>2555</v>
      </c>
      <c r="B2190" s="18" t="s">
        <v>301</v>
      </c>
      <c r="C2190" s="18" t="s">
        <v>2556</v>
      </c>
      <c r="D2190" s="14" t="s">
        <v>532</v>
      </c>
      <c r="E2190" s="18" t="s">
        <v>9</v>
      </c>
      <c r="F2190" s="14" t="s">
        <v>688</v>
      </c>
      <c r="G2190" s="14" t="s">
        <v>518</v>
      </c>
      <c r="H2190" s="18" t="s">
        <v>2</v>
      </c>
      <c r="I2190" s="14" t="s">
        <v>131</v>
      </c>
      <c r="J2190" s="18"/>
      <c r="K2190" s="26" t="s">
        <v>720</v>
      </c>
      <c r="L2190" s="18"/>
      <c r="M2190" s="14">
        <v>1</v>
      </c>
      <c r="N2190" s="15">
        <f>70800/1.18</f>
        <v>60000</v>
      </c>
      <c r="O2190" s="15">
        <f t="shared" si="86"/>
        <v>60000</v>
      </c>
      <c r="P2190" s="15"/>
      <c r="Q2190" s="14" t="s">
        <v>520</v>
      </c>
      <c r="R2190" s="25">
        <v>46233</v>
      </c>
      <c r="S2190" s="34" t="str">
        <f>TEXT(Table1[[#This Row],[End Date]],"MMMM")</f>
        <v>July</v>
      </c>
      <c r="T2190" s="34" t="str">
        <f>TEXT(Table1[[#This Row],[End Date]],"YYYY")</f>
        <v>2026</v>
      </c>
      <c r="U2190" s="24">
        <f t="shared" ref="U2190:U2221" ca="1" si="88">TODAY()-R2190</f>
        <v>-1100</v>
      </c>
      <c r="V2190" s="14" t="str" cm="1">
        <f t="array" aca="1" ref="V2190" ca="1">_xlfn.IFS(Table1[[#This Row],[Agreement Days]]&gt;=0,"Expired",Table1[[#This Row],[Agreement Days]]&gt;=-30,"Expires &lt; 30 Days",Table1[[#This Row],[Agreement Days]]&gt;=-60,"Expires &lt; 60 Days",Table1[[#This Row],[Agreement Days]]&lt;-60,"Valid Contract")</f>
        <v>Valid Contract</v>
      </c>
      <c r="W2190" s="18" t="s">
        <v>21</v>
      </c>
      <c r="X2190" s="18" t="s">
        <v>2557</v>
      </c>
      <c r="Y2190" s="42" t="s">
        <v>2558</v>
      </c>
      <c r="Z2190" s="27">
        <v>788464399</v>
      </c>
      <c r="AA2190" s="27"/>
      <c r="AB2190" s="125"/>
      <c r="AC2190" s="125"/>
    </row>
    <row r="2191" spans="1:29" s="10" customFormat="1" hidden="1" x14ac:dyDescent="0.3">
      <c r="A2191" s="18" t="s">
        <v>1070</v>
      </c>
      <c r="B2191" s="18" t="s">
        <v>219</v>
      </c>
      <c r="C2191" s="18" t="s">
        <v>1071</v>
      </c>
      <c r="D2191" s="14" t="s">
        <v>808</v>
      </c>
      <c r="E2191" s="18" t="s">
        <v>9</v>
      </c>
      <c r="F2191" s="14" t="s">
        <v>688</v>
      </c>
      <c r="G2191" s="14" t="s">
        <v>518</v>
      </c>
      <c r="H2191" s="18" t="s">
        <v>5</v>
      </c>
      <c r="I2191" s="14" t="s">
        <v>115</v>
      </c>
      <c r="J2191" s="18"/>
      <c r="K2191" s="14" t="s">
        <v>722</v>
      </c>
      <c r="L2191" s="18"/>
      <c r="M2191" s="14">
        <v>1</v>
      </c>
      <c r="N2191" s="15">
        <v>77711.86</v>
      </c>
      <c r="O2191" s="15">
        <f t="shared" si="86"/>
        <v>77711.86</v>
      </c>
      <c r="P2191" s="15"/>
      <c r="Q2191" s="14" t="s">
        <v>520</v>
      </c>
      <c r="R2191" s="25">
        <v>46234</v>
      </c>
      <c r="S2191" s="34" t="str">
        <f>TEXT(Table1[[#This Row],[End Date]],"MMMM")</f>
        <v>July</v>
      </c>
      <c r="T2191" s="34" t="str">
        <f>TEXT(Table1[[#This Row],[End Date]],"YYYY")</f>
        <v>2026</v>
      </c>
      <c r="U2191" s="24">
        <f t="shared" ca="1" si="88"/>
        <v>-1101</v>
      </c>
      <c r="V2191" s="14" t="str" cm="1">
        <f t="array" aca="1" ref="V2191" ca="1">_xlfn.IFS(Table1[[#This Row],[Agreement Days]]&gt;=0,"Expired",Table1[[#This Row],[Agreement Days]]&gt;=-30,"Expires &lt; 30 Days",Table1[[#This Row],[Agreement Days]]&gt;=-60,"Expires &lt; 60 Days",Table1[[#This Row],[Agreement Days]]&lt;-60,"Valid Contract")</f>
        <v>Valid Contract</v>
      </c>
      <c r="W2191" s="18" t="s">
        <v>21</v>
      </c>
      <c r="X2191" s="18" t="s">
        <v>1072</v>
      </c>
      <c r="Y2191" s="42" t="s">
        <v>1073</v>
      </c>
      <c r="Z2191" s="27">
        <v>788553158</v>
      </c>
      <c r="AA2191" s="27"/>
      <c r="AB2191" s="125"/>
      <c r="AC2191" s="125"/>
    </row>
    <row r="2192" spans="1:29" s="10" customFormat="1" hidden="1" x14ac:dyDescent="0.3">
      <c r="A2192" s="18" t="s">
        <v>1070</v>
      </c>
      <c r="B2192" s="18" t="s">
        <v>219</v>
      </c>
      <c r="C2192" s="18" t="s">
        <v>1071</v>
      </c>
      <c r="D2192" s="14" t="s">
        <v>808</v>
      </c>
      <c r="E2192" s="18" t="s">
        <v>9</v>
      </c>
      <c r="F2192" s="14" t="s">
        <v>688</v>
      </c>
      <c r="G2192" s="14" t="s">
        <v>518</v>
      </c>
      <c r="H2192" s="18" t="s">
        <v>5</v>
      </c>
      <c r="I2192" s="14" t="s">
        <v>115</v>
      </c>
      <c r="J2192" s="18"/>
      <c r="K2192" s="18" t="s">
        <v>573</v>
      </c>
      <c r="L2192" s="18"/>
      <c r="M2192" s="14">
        <v>3</v>
      </c>
      <c r="N2192" s="15">
        <v>19491.53</v>
      </c>
      <c r="O2192" s="15">
        <f t="shared" si="86"/>
        <v>58474.59</v>
      </c>
      <c r="P2192" s="15"/>
      <c r="Q2192" s="14" t="s">
        <v>520</v>
      </c>
      <c r="R2192" s="25">
        <v>46234</v>
      </c>
      <c r="S2192" s="34" t="str">
        <f>TEXT(Table1[[#This Row],[End Date]],"MMMM")</f>
        <v>July</v>
      </c>
      <c r="T2192" s="34" t="str">
        <f>TEXT(Table1[[#This Row],[End Date]],"YYYY")</f>
        <v>2026</v>
      </c>
      <c r="U2192" s="24">
        <f t="shared" ca="1" si="88"/>
        <v>-1101</v>
      </c>
      <c r="V2192" s="14" t="str" cm="1">
        <f t="array" aca="1" ref="V2192" ca="1">_xlfn.IFS(Table1[[#This Row],[Agreement Days]]&gt;=0,"Expired",Table1[[#This Row],[Agreement Days]]&gt;=-30,"Expires &lt; 30 Days",Table1[[#This Row],[Agreement Days]]&gt;=-60,"Expires &lt; 60 Days",Table1[[#This Row],[Agreement Days]]&lt;-60,"Valid Contract")</f>
        <v>Valid Contract</v>
      </c>
      <c r="W2192" s="18" t="s">
        <v>21</v>
      </c>
      <c r="X2192" s="18" t="s">
        <v>1072</v>
      </c>
      <c r="Y2192" s="42" t="s">
        <v>1073</v>
      </c>
      <c r="Z2192" s="27">
        <v>788553158</v>
      </c>
      <c r="AA2192" s="27"/>
      <c r="AB2192" s="125"/>
      <c r="AC2192" s="125"/>
    </row>
    <row r="2193" spans="1:29" hidden="1" x14ac:dyDescent="0.3">
      <c r="A2193" s="18" t="s">
        <v>814</v>
      </c>
      <c r="B2193" s="18" t="s">
        <v>214</v>
      </c>
      <c r="C2193" s="18" t="s">
        <v>2715</v>
      </c>
      <c r="D2193" s="14" t="s">
        <v>545</v>
      </c>
      <c r="E2193" s="18" t="s">
        <v>9</v>
      </c>
      <c r="F2193" s="14" t="s">
        <v>601</v>
      </c>
      <c r="G2193" s="14" t="s">
        <v>518</v>
      </c>
      <c r="H2193" s="18" t="s">
        <v>5</v>
      </c>
      <c r="I2193" s="14" t="s">
        <v>117</v>
      </c>
      <c r="J2193" s="14">
        <v>20</v>
      </c>
      <c r="K2193" s="14" t="s">
        <v>689</v>
      </c>
      <c r="L2193" s="14"/>
      <c r="M2193" s="14">
        <v>1</v>
      </c>
      <c r="N2193" s="15">
        <v>900000</v>
      </c>
      <c r="O2193" s="15">
        <f t="shared" si="86"/>
        <v>900000</v>
      </c>
      <c r="P2193" s="15"/>
      <c r="Q2193" s="14" t="s">
        <v>520</v>
      </c>
      <c r="R2193" s="21">
        <v>46234</v>
      </c>
      <c r="S2193" s="22" t="str">
        <f>TEXT(Table1[[#This Row],[End Date]],"MMMM")</f>
        <v>July</v>
      </c>
      <c r="T2193" s="23" t="str">
        <f>TEXT(Table1[[#This Row],[End Date]],"YYYY")</f>
        <v>2026</v>
      </c>
      <c r="U2193" s="24">
        <f t="shared" ca="1" si="88"/>
        <v>-1101</v>
      </c>
      <c r="V2193" s="14" t="str" cm="1">
        <f t="array" aca="1" ref="V2193" ca="1">_xlfn.IFS(Table1[[#This Row],[Agreement Days]]&gt;=0,"Expired",Table1[[#This Row],[Agreement Days]]&gt;=-30,"Expires &lt; 30 Days",Table1[[#This Row],[Agreement Days]]&gt;=-60,"Expires &lt; 60 Days",Table1[[#This Row],[Agreement Days]]&lt;-60,"Valid Contract")</f>
        <v>Valid Contract</v>
      </c>
      <c r="W2193" s="14" t="s">
        <v>20</v>
      </c>
      <c r="X2193" s="26" t="s">
        <v>817</v>
      </c>
      <c r="Y2193" s="16" t="s">
        <v>818</v>
      </c>
      <c r="Z2193" s="17" t="s">
        <v>819</v>
      </c>
      <c r="AA2193" s="19"/>
      <c r="AB2193" s="125"/>
      <c r="AC2193" s="125"/>
    </row>
    <row r="2194" spans="1:29" hidden="1" x14ac:dyDescent="0.3">
      <c r="A2194" s="18" t="s">
        <v>3643</v>
      </c>
      <c r="B2194" s="18" t="s">
        <v>429</v>
      </c>
      <c r="C2194" s="18" t="s">
        <v>3644</v>
      </c>
      <c r="D2194" s="14" t="s">
        <v>761</v>
      </c>
      <c r="E2194" s="18" t="s">
        <v>9</v>
      </c>
      <c r="F2194" s="14" t="s">
        <v>688</v>
      </c>
      <c r="G2194" s="14" t="s">
        <v>518</v>
      </c>
      <c r="H2194" s="18" t="s">
        <v>5</v>
      </c>
      <c r="I2194" s="14" t="s">
        <v>115</v>
      </c>
      <c r="J2194" s="18"/>
      <c r="K2194" s="18" t="s">
        <v>642</v>
      </c>
      <c r="L2194" s="18"/>
      <c r="M2194" s="14">
        <v>1</v>
      </c>
      <c r="N2194" s="15">
        <v>101694.92</v>
      </c>
      <c r="O2194" s="15">
        <f t="shared" si="86"/>
        <v>101694.92</v>
      </c>
      <c r="P2194" s="15"/>
      <c r="Q2194" s="14" t="s">
        <v>520</v>
      </c>
      <c r="R2194" s="25">
        <v>46265</v>
      </c>
      <c r="S2194" s="34" t="str">
        <f>TEXT(Table1[[#This Row],[End Date]],"MMMM")</f>
        <v>August</v>
      </c>
      <c r="T2194" s="34" t="str">
        <f>TEXT(Table1[[#This Row],[End Date]],"YYYY")</f>
        <v>2026</v>
      </c>
      <c r="U2194" s="24">
        <f t="shared" ca="1" si="88"/>
        <v>-1132</v>
      </c>
      <c r="V2194" s="14" t="str" cm="1">
        <f t="array" aca="1" ref="V2194" ca="1">_xlfn.IFS(Table1[[#This Row],[Agreement Days]]&gt;=0,"Expired",Table1[[#This Row],[Agreement Days]]&gt;=-30,"Expires &lt; 30 Days",Table1[[#This Row],[Agreement Days]]&gt;=-60,"Expires &lt; 60 Days",Table1[[#This Row],[Agreement Days]]&lt;-60,"Valid Contract")</f>
        <v>Valid Contract</v>
      </c>
      <c r="W2194" s="18" t="s">
        <v>21</v>
      </c>
      <c r="X2194" s="18" t="s">
        <v>3645</v>
      </c>
      <c r="Y2194" s="42" t="s">
        <v>3646</v>
      </c>
      <c r="Z2194" s="27">
        <v>788583716</v>
      </c>
      <c r="AA2194" s="27"/>
      <c r="AB2194" s="125"/>
      <c r="AC2194" s="125"/>
    </row>
    <row r="2195" spans="1:29" hidden="1" x14ac:dyDescent="0.3">
      <c r="A2195" s="18" t="s">
        <v>3643</v>
      </c>
      <c r="B2195" s="18" t="s">
        <v>429</v>
      </c>
      <c r="C2195" s="18" t="s">
        <v>3644</v>
      </c>
      <c r="D2195" s="14" t="s">
        <v>761</v>
      </c>
      <c r="E2195" s="18" t="s">
        <v>9</v>
      </c>
      <c r="F2195" s="14" t="s">
        <v>688</v>
      </c>
      <c r="G2195" s="14" t="s">
        <v>518</v>
      </c>
      <c r="H2195" s="18" t="s">
        <v>5</v>
      </c>
      <c r="I2195" s="14" t="s">
        <v>115</v>
      </c>
      <c r="J2195" s="18"/>
      <c r="K2195" s="18" t="s">
        <v>643</v>
      </c>
      <c r="L2195" s="18"/>
      <c r="M2195" s="14">
        <v>2</v>
      </c>
      <c r="N2195" s="15">
        <v>28305.08</v>
      </c>
      <c r="O2195" s="15">
        <f t="shared" ref="O2195:O2258" si="89">N2195*M2195</f>
        <v>56610.16</v>
      </c>
      <c r="P2195" s="15"/>
      <c r="Q2195" s="14" t="s">
        <v>520</v>
      </c>
      <c r="R2195" s="25">
        <v>46265</v>
      </c>
      <c r="S2195" s="34" t="str">
        <f>TEXT(Table1[[#This Row],[End Date]],"MMMM")</f>
        <v>August</v>
      </c>
      <c r="T2195" s="34" t="str">
        <f>TEXT(Table1[[#This Row],[End Date]],"YYYY")</f>
        <v>2026</v>
      </c>
      <c r="U2195" s="24">
        <f t="shared" ca="1" si="88"/>
        <v>-1132</v>
      </c>
      <c r="V2195" s="14" t="str" cm="1">
        <f t="array" aca="1" ref="V2195" ca="1">_xlfn.IFS(Table1[[#This Row],[Agreement Days]]&gt;=0,"Expired",Table1[[#This Row],[Agreement Days]]&gt;=-30,"Expires &lt; 30 Days",Table1[[#This Row],[Agreement Days]]&gt;=-60,"Expires &lt; 60 Days",Table1[[#This Row],[Agreement Days]]&lt;-60,"Valid Contract")</f>
        <v>Valid Contract</v>
      </c>
      <c r="W2195" s="18" t="s">
        <v>21</v>
      </c>
      <c r="X2195" s="18" t="s">
        <v>3645</v>
      </c>
      <c r="Y2195" s="42" t="s">
        <v>3646</v>
      </c>
      <c r="Z2195" s="27">
        <v>788583716</v>
      </c>
      <c r="AA2195" s="27"/>
      <c r="AB2195" s="125"/>
      <c r="AC2195" s="125"/>
    </row>
    <row r="2196" spans="1:29" hidden="1" x14ac:dyDescent="0.3">
      <c r="A2196" s="18" t="s">
        <v>3647</v>
      </c>
      <c r="B2196" s="18" t="s">
        <v>394</v>
      </c>
      <c r="C2196" s="18" t="s">
        <v>3648</v>
      </c>
      <c r="D2196" s="14" t="s">
        <v>810</v>
      </c>
      <c r="E2196" s="18" t="s">
        <v>10</v>
      </c>
      <c r="F2196" s="14" t="s">
        <v>560</v>
      </c>
      <c r="G2196" s="14" t="s">
        <v>518</v>
      </c>
      <c r="H2196" s="18" t="s">
        <v>5</v>
      </c>
      <c r="I2196" s="14" t="s">
        <v>134</v>
      </c>
      <c r="J2196" s="14">
        <v>3</v>
      </c>
      <c r="K2196" s="14" t="s">
        <v>1025</v>
      </c>
      <c r="L2196" s="14"/>
      <c r="M2196" s="14">
        <v>1</v>
      </c>
      <c r="N2196" s="15">
        <v>282915</v>
      </c>
      <c r="O2196" s="15">
        <f t="shared" si="89"/>
        <v>282915</v>
      </c>
      <c r="P2196" s="15"/>
      <c r="Q2196" s="14" t="s">
        <v>520</v>
      </c>
      <c r="R2196" s="21">
        <v>46265</v>
      </c>
      <c r="S2196" s="22" t="str">
        <f>TEXT(Table1[[#This Row],[End Date]],"MMMM")</f>
        <v>August</v>
      </c>
      <c r="T2196" s="23" t="str">
        <f>TEXT(Table1[[#This Row],[End Date]],"YYYY")</f>
        <v>2026</v>
      </c>
      <c r="U2196" s="24">
        <f t="shared" ca="1" si="88"/>
        <v>-1132</v>
      </c>
      <c r="V2196" s="14" t="str" cm="1">
        <f t="array" aca="1" ref="V2196" ca="1">_xlfn.IFS(Table1[[#This Row],[Agreement Days]]&gt;=0,"Expired",Table1[[#This Row],[Agreement Days]]&gt;=-30,"Expires &lt; 30 Days",Table1[[#This Row],[Agreement Days]]&gt;=-60,"Expires &lt; 60 Days",Table1[[#This Row],[Agreement Days]]&lt;-60,"Valid Contract")</f>
        <v>Valid Contract</v>
      </c>
      <c r="W2196" s="14" t="s">
        <v>20</v>
      </c>
      <c r="X2196" s="26" t="s">
        <v>3649</v>
      </c>
      <c r="Y2196" s="45" t="s">
        <v>3650</v>
      </c>
      <c r="Z2196" s="17" t="s">
        <v>3651</v>
      </c>
      <c r="AA2196" s="19"/>
      <c r="AB2196" s="125"/>
      <c r="AC2196" s="125"/>
    </row>
    <row r="2197" spans="1:29" hidden="1" x14ac:dyDescent="0.3">
      <c r="A2197" s="18" t="s">
        <v>2547</v>
      </c>
      <c r="B2197" s="18" t="s">
        <v>230</v>
      </c>
      <c r="C2197" s="18" t="s">
        <v>3652</v>
      </c>
      <c r="D2197" s="14" t="s">
        <v>808</v>
      </c>
      <c r="E2197" s="18" t="s">
        <v>9</v>
      </c>
      <c r="F2197" s="14" t="s">
        <v>688</v>
      </c>
      <c r="G2197" s="14" t="s">
        <v>518</v>
      </c>
      <c r="H2197" s="18" t="s">
        <v>5</v>
      </c>
      <c r="I2197" s="14" t="s">
        <v>117</v>
      </c>
      <c r="J2197" s="14">
        <v>5</v>
      </c>
      <c r="K2197" s="18" t="s">
        <v>519</v>
      </c>
      <c r="L2197" s="18"/>
      <c r="M2197" s="14">
        <v>1</v>
      </c>
      <c r="N2197" s="15">
        <v>270000</v>
      </c>
      <c r="O2197" s="15">
        <f t="shared" si="89"/>
        <v>270000</v>
      </c>
      <c r="P2197" s="15"/>
      <c r="Q2197" s="14" t="s">
        <v>520</v>
      </c>
      <c r="R2197" s="25">
        <v>46274</v>
      </c>
      <c r="S2197" s="34" t="str">
        <f>TEXT(Table1[[#This Row],[End Date]],"MMMM")</f>
        <v>September</v>
      </c>
      <c r="T2197" s="34" t="str">
        <f>TEXT(Table1[[#This Row],[End Date]],"YYYY")</f>
        <v>2026</v>
      </c>
      <c r="U2197" s="24">
        <f t="shared" ca="1" si="88"/>
        <v>-1141</v>
      </c>
      <c r="V2197" s="14" t="str" cm="1">
        <f t="array" aca="1" ref="V2197" ca="1">_xlfn.IFS(Table1[[#This Row],[Agreement Days]]&gt;=0,"Expired",Table1[[#This Row],[Agreement Days]]&gt;=-30,"Expires &lt; 30 Days",Table1[[#This Row],[Agreement Days]]&gt;=-60,"Expires &lt; 60 Days",Table1[[#This Row],[Agreement Days]]&lt;-60,"Valid Contract")</f>
        <v>Valid Contract</v>
      </c>
      <c r="W2197" s="18" t="s">
        <v>21</v>
      </c>
      <c r="X2197" s="18" t="s">
        <v>2548</v>
      </c>
      <c r="Y2197" s="42" t="s">
        <v>2549</v>
      </c>
      <c r="Z2197" s="27">
        <v>788827364</v>
      </c>
      <c r="AA2197" s="27"/>
      <c r="AB2197" s="125"/>
      <c r="AC2197" s="125"/>
    </row>
    <row r="2198" spans="1:29" hidden="1" x14ac:dyDescent="0.3">
      <c r="A2198" s="18" t="s">
        <v>3653</v>
      </c>
      <c r="B2198" s="18" t="s">
        <v>187</v>
      </c>
      <c r="C2198" s="18" t="s">
        <v>739</v>
      </c>
      <c r="D2198" s="14" t="s">
        <v>739</v>
      </c>
      <c r="E2198" s="18" t="s">
        <v>9</v>
      </c>
      <c r="F2198" s="14" t="s">
        <v>1203</v>
      </c>
      <c r="G2198" s="14" t="s">
        <v>518</v>
      </c>
      <c r="H2198" s="18" t="s">
        <v>5</v>
      </c>
      <c r="I2198" s="14" t="s">
        <v>117</v>
      </c>
      <c r="J2198" s="14">
        <v>3</v>
      </c>
      <c r="K2198" s="14" t="s">
        <v>646</v>
      </c>
      <c r="L2198" s="14"/>
      <c r="M2198" s="14">
        <v>1</v>
      </c>
      <c r="N2198" s="15">
        <v>180000</v>
      </c>
      <c r="O2198" s="15">
        <f t="shared" si="89"/>
        <v>180000</v>
      </c>
      <c r="P2198" s="15"/>
      <c r="Q2198" s="14" t="s">
        <v>520</v>
      </c>
      <c r="R2198" s="21">
        <v>46293</v>
      </c>
      <c r="S2198" s="22" t="str">
        <f>TEXT(Table1[[#This Row],[End Date]],"MMMM")</f>
        <v>September</v>
      </c>
      <c r="T2198" s="23" t="str">
        <f>TEXT(Table1[[#This Row],[End Date]],"YYYY")</f>
        <v>2026</v>
      </c>
      <c r="U2198" s="24">
        <f t="shared" ca="1" si="88"/>
        <v>-1160</v>
      </c>
      <c r="V2198" s="14" t="str" cm="1">
        <f t="array" aca="1" ref="V2198" ca="1">_xlfn.IFS(Table1[[#This Row],[Agreement Days]]&gt;=0,"Expired",Table1[[#This Row],[Agreement Days]]&gt;=-30,"Expires &lt; 30 Days",Table1[[#This Row],[Agreement Days]]&gt;=-60,"Expires &lt; 60 Days",Table1[[#This Row],[Agreement Days]]&lt;-60,"Valid Contract")</f>
        <v>Valid Contract</v>
      </c>
      <c r="W2198" s="14" t="s">
        <v>19</v>
      </c>
      <c r="X2198" s="14" t="s">
        <v>3654</v>
      </c>
      <c r="Y2198" s="43" t="s">
        <v>3655</v>
      </c>
      <c r="Z2198" s="17">
        <v>788212672</v>
      </c>
      <c r="AA2198" s="17"/>
      <c r="AB2198" s="125"/>
      <c r="AC2198" s="125"/>
    </row>
    <row r="2199" spans="1:29" hidden="1" x14ac:dyDescent="0.3">
      <c r="A2199" s="18" t="s">
        <v>3653</v>
      </c>
      <c r="B2199" s="18" t="s">
        <v>187</v>
      </c>
      <c r="C2199" s="18" t="s">
        <v>526</v>
      </c>
      <c r="D2199" s="14" t="s">
        <v>526</v>
      </c>
      <c r="E2199" s="18" t="s">
        <v>9</v>
      </c>
      <c r="F2199" s="14" t="s">
        <v>1203</v>
      </c>
      <c r="G2199" s="14" t="s">
        <v>518</v>
      </c>
      <c r="H2199" s="18" t="s">
        <v>5</v>
      </c>
      <c r="I2199" s="14" t="s">
        <v>117</v>
      </c>
      <c r="J2199" s="14">
        <v>3</v>
      </c>
      <c r="K2199" s="14" t="s">
        <v>646</v>
      </c>
      <c r="L2199" s="14"/>
      <c r="M2199" s="14">
        <v>1</v>
      </c>
      <c r="N2199" s="15">
        <v>180000</v>
      </c>
      <c r="O2199" s="15">
        <f t="shared" si="89"/>
        <v>180000</v>
      </c>
      <c r="P2199" s="15"/>
      <c r="Q2199" s="14" t="s">
        <v>520</v>
      </c>
      <c r="R2199" s="21">
        <v>46293</v>
      </c>
      <c r="S2199" s="22" t="str">
        <f>TEXT(Table1[[#This Row],[End Date]],"MMMM")</f>
        <v>September</v>
      </c>
      <c r="T2199" s="23" t="str">
        <f>TEXT(Table1[[#This Row],[End Date]],"YYYY")</f>
        <v>2026</v>
      </c>
      <c r="U2199" s="24">
        <f t="shared" ca="1" si="88"/>
        <v>-1160</v>
      </c>
      <c r="V2199" s="14" t="str" cm="1">
        <f t="array" aca="1" ref="V2199" ca="1">_xlfn.IFS(Table1[[#This Row],[Agreement Days]]&gt;=0,"Expired",Table1[[#This Row],[Agreement Days]]&gt;=-30,"Expires &lt; 30 Days",Table1[[#This Row],[Agreement Days]]&gt;=-60,"Expires &lt; 60 Days",Table1[[#This Row],[Agreement Days]]&lt;-60,"Valid Contract")</f>
        <v>Valid Contract</v>
      </c>
      <c r="W2199" s="14" t="s">
        <v>19</v>
      </c>
      <c r="X2199" s="14" t="s">
        <v>3654</v>
      </c>
      <c r="Y2199" s="43" t="s">
        <v>3655</v>
      </c>
      <c r="Z2199" s="17">
        <v>788212672</v>
      </c>
      <c r="AA2199" s="17"/>
      <c r="AB2199" s="125"/>
      <c r="AC2199" s="125"/>
    </row>
    <row r="2200" spans="1:29" hidden="1" x14ac:dyDescent="0.3">
      <c r="A2200" s="18" t="s">
        <v>3653</v>
      </c>
      <c r="B2200" s="18" t="s">
        <v>187</v>
      </c>
      <c r="C2200" s="18" t="s">
        <v>532</v>
      </c>
      <c r="D2200" s="14" t="s">
        <v>532</v>
      </c>
      <c r="E2200" s="18" t="s">
        <v>9</v>
      </c>
      <c r="F2200" s="14" t="s">
        <v>1203</v>
      </c>
      <c r="G2200" s="14" t="s">
        <v>518</v>
      </c>
      <c r="H2200" s="18" t="s">
        <v>5</v>
      </c>
      <c r="I2200" s="14" t="s">
        <v>117</v>
      </c>
      <c r="J2200" s="14">
        <v>3</v>
      </c>
      <c r="K2200" s="14" t="s">
        <v>646</v>
      </c>
      <c r="L2200" s="14"/>
      <c r="M2200" s="14">
        <v>1</v>
      </c>
      <c r="N2200" s="15">
        <v>180000</v>
      </c>
      <c r="O2200" s="15">
        <f t="shared" si="89"/>
        <v>180000</v>
      </c>
      <c r="P2200" s="15"/>
      <c r="Q2200" s="14" t="s">
        <v>520</v>
      </c>
      <c r="R2200" s="21">
        <v>46293</v>
      </c>
      <c r="S2200" s="22" t="str">
        <f>TEXT(Table1[[#This Row],[End Date]],"MMMM")</f>
        <v>September</v>
      </c>
      <c r="T2200" s="23" t="str">
        <f>TEXT(Table1[[#This Row],[End Date]],"YYYY")</f>
        <v>2026</v>
      </c>
      <c r="U2200" s="24">
        <f t="shared" ca="1" si="88"/>
        <v>-1160</v>
      </c>
      <c r="V2200" s="14" t="str" cm="1">
        <f t="array" aca="1" ref="V2200" ca="1">_xlfn.IFS(Table1[[#This Row],[Agreement Days]]&gt;=0,"Expired",Table1[[#This Row],[Agreement Days]]&gt;=-30,"Expires &lt; 30 Days",Table1[[#This Row],[Agreement Days]]&gt;=-60,"Expires &lt; 60 Days",Table1[[#This Row],[Agreement Days]]&lt;-60,"Valid Contract")</f>
        <v>Valid Contract</v>
      </c>
      <c r="W2200" s="14" t="s">
        <v>19</v>
      </c>
      <c r="X2200" s="14" t="s">
        <v>3654</v>
      </c>
      <c r="Y2200" s="43" t="s">
        <v>3655</v>
      </c>
      <c r="Z2200" s="17">
        <v>788212672</v>
      </c>
      <c r="AA2200" s="17"/>
      <c r="AB2200" s="116"/>
      <c r="AC2200" s="116"/>
    </row>
    <row r="2201" spans="1:29" hidden="1" x14ac:dyDescent="0.3">
      <c r="A2201" s="18" t="s">
        <v>3653</v>
      </c>
      <c r="B2201" s="18" t="s">
        <v>187</v>
      </c>
      <c r="C2201" s="18" t="s">
        <v>808</v>
      </c>
      <c r="D2201" s="14" t="s">
        <v>808</v>
      </c>
      <c r="E2201" s="18" t="s">
        <v>9</v>
      </c>
      <c r="F2201" s="14" t="s">
        <v>1203</v>
      </c>
      <c r="G2201" s="14" t="s">
        <v>518</v>
      </c>
      <c r="H2201" s="18" t="s">
        <v>5</v>
      </c>
      <c r="I2201" s="14" t="s">
        <v>117</v>
      </c>
      <c r="J2201" s="14">
        <v>3</v>
      </c>
      <c r="K2201" s="14" t="s">
        <v>646</v>
      </c>
      <c r="L2201" s="14"/>
      <c r="M2201" s="14">
        <v>1</v>
      </c>
      <c r="N2201" s="15">
        <v>180000</v>
      </c>
      <c r="O2201" s="15">
        <f t="shared" si="89"/>
        <v>180000</v>
      </c>
      <c r="P2201" s="15"/>
      <c r="Q2201" s="14" t="s">
        <v>520</v>
      </c>
      <c r="R2201" s="21">
        <v>46293</v>
      </c>
      <c r="S2201" s="22" t="str">
        <f>TEXT(Table1[[#This Row],[End Date]],"MMMM")</f>
        <v>September</v>
      </c>
      <c r="T2201" s="23" t="str">
        <f>TEXT(Table1[[#This Row],[End Date]],"YYYY")</f>
        <v>2026</v>
      </c>
      <c r="U2201" s="24">
        <f t="shared" ca="1" si="88"/>
        <v>-1160</v>
      </c>
      <c r="V2201" s="14" t="str" cm="1">
        <f t="array" aca="1" ref="V2201" ca="1">_xlfn.IFS(Table1[[#This Row],[Agreement Days]]&gt;=0,"Expired",Table1[[#This Row],[Agreement Days]]&gt;=-30,"Expires &lt; 30 Days",Table1[[#This Row],[Agreement Days]]&gt;=-60,"Expires &lt; 60 Days",Table1[[#This Row],[Agreement Days]]&lt;-60,"Valid Contract")</f>
        <v>Valid Contract</v>
      </c>
      <c r="W2201" s="14" t="s">
        <v>19</v>
      </c>
      <c r="X2201" s="14" t="s">
        <v>3654</v>
      </c>
      <c r="Y2201" s="43" t="s">
        <v>3655</v>
      </c>
      <c r="Z2201" s="17">
        <v>788212672</v>
      </c>
      <c r="AA2201" s="17"/>
      <c r="AB2201" s="116"/>
      <c r="AC2201" s="116"/>
    </row>
    <row r="2202" spans="1:29" hidden="1" x14ac:dyDescent="0.3">
      <c r="A2202" s="18" t="s">
        <v>3653</v>
      </c>
      <c r="B2202" s="18" t="s">
        <v>187</v>
      </c>
      <c r="C2202" s="18" t="s">
        <v>3656</v>
      </c>
      <c r="D2202" s="14" t="s">
        <v>616</v>
      </c>
      <c r="E2202" s="18" t="s">
        <v>9</v>
      </c>
      <c r="F2202" s="14" t="s">
        <v>1203</v>
      </c>
      <c r="G2202" s="14" t="s">
        <v>518</v>
      </c>
      <c r="H2202" s="18" t="s">
        <v>5</v>
      </c>
      <c r="I2202" s="14" t="s">
        <v>117</v>
      </c>
      <c r="J2202" s="14">
        <v>3</v>
      </c>
      <c r="K2202" s="14" t="s">
        <v>646</v>
      </c>
      <c r="L2202" s="14"/>
      <c r="M2202" s="14">
        <v>1</v>
      </c>
      <c r="N2202" s="15">
        <v>180000</v>
      </c>
      <c r="O2202" s="15">
        <f t="shared" si="89"/>
        <v>180000</v>
      </c>
      <c r="P2202" s="15"/>
      <c r="Q2202" s="14" t="s">
        <v>520</v>
      </c>
      <c r="R2202" s="21">
        <v>46293</v>
      </c>
      <c r="S2202" s="22" t="str">
        <f>TEXT(Table1[[#This Row],[End Date]],"MMMM")</f>
        <v>September</v>
      </c>
      <c r="T2202" s="23" t="str">
        <f>TEXT(Table1[[#This Row],[End Date]],"YYYY")</f>
        <v>2026</v>
      </c>
      <c r="U2202" s="24">
        <f t="shared" ca="1" si="88"/>
        <v>-1160</v>
      </c>
      <c r="V2202" s="14" t="str" cm="1">
        <f t="array" aca="1" ref="V2202" ca="1">_xlfn.IFS(Table1[[#This Row],[Agreement Days]]&gt;=0,"Expired",Table1[[#This Row],[Agreement Days]]&gt;=-30,"Expires &lt; 30 Days",Table1[[#This Row],[Agreement Days]]&gt;=-60,"Expires &lt; 60 Days",Table1[[#This Row],[Agreement Days]]&lt;-60,"Valid Contract")</f>
        <v>Valid Contract</v>
      </c>
      <c r="W2202" s="14" t="s">
        <v>19</v>
      </c>
      <c r="X2202" s="14" t="s">
        <v>3654</v>
      </c>
      <c r="Y2202" s="43" t="s">
        <v>3655</v>
      </c>
      <c r="Z2202" s="17">
        <v>788212672</v>
      </c>
      <c r="AA2202" s="17"/>
      <c r="AB2202" s="116"/>
      <c r="AC2202" s="116"/>
    </row>
    <row r="2203" spans="1:29" hidden="1" x14ac:dyDescent="0.3">
      <c r="A2203" s="18" t="s">
        <v>3653</v>
      </c>
      <c r="B2203" s="18" t="s">
        <v>187</v>
      </c>
      <c r="C2203" s="18" t="s">
        <v>3657</v>
      </c>
      <c r="D2203" s="14" t="s">
        <v>848</v>
      </c>
      <c r="E2203" s="18" t="s">
        <v>9</v>
      </c>
      <c r="F2203" s="14" t="s">
        <v>1203</v>
      </c>
      <c r="G2203" s="14" t="s">
        <v>518</v>
      </c>
      <c r="H2203" s="18" t="s">
        <v>5</v>
      </c>
      <c r="I2203" s="14" t="s">
        <v>117</v>
      </c>
      <c r="J2203" s="14">
        <v>3</v>
      </c>
      <c r="K2203" s="14" t="s">
        <v>646</v>
      </c>
      <c r="L2203" s="14"/>
      <c r="M2203" s="14">
        <v>1</v>
      </c>
      <c r="N2203" s="15">
        <v>180000</v>
      </c>
      <c r="O2203" s="15">
        <f t="shared" si="89"/>
        <v>180000</v>
      </c>
      <c r="P2203" s="15"/>
      <c r="Q2203" s="14" t="s">
        <v>520</v>
      </c>
      <c r="R2203" s="21">
        <v>46293</v>
      </c>
      <c r="S2203" s="22" t="str">
        <f>TEXT(Table1[[#This Row],[End Date]],"MMMM")</f>
        <v>September</v>
      </c>
      <c r="T2203" s="23" t="str">
        <f>TEXT(Table1[[#This Row],[End Date]],"YYYY")</f>
        <v>2026</v>
      </c>
      <c r="U2203" s="24">
        <f t="shared" ca="1" si="88"/>
        <v>-1160</v>
      </c>
      <c r="V2203" s="14" t="str" cm="1">
        <f t="array" aca="1" ref="V2203" ca="1">_xlfn.IFS(Table1[[#This Row],[Agreement Days]]&gt;=0,"Expired",Table1[[#This Row],[Agreement Days]]&gt;=-30,"Expires &lt; 30 Days",Table1[[#This Row],[Agreement Days]]&gt;=-60,"Expires &lt; 60 Days",Table1[[#This Row],[Agreement Days]]&lt;-60,"Valid Contract")</f>
        <v>Valid Contract</v>
      </c>
      <c r="W2203" s="14" t="s">
        <v>19</v>
      </c>
      <c r="X2203" s="14" t="s">
        <v>3654</v>
      </c>
      <c r="Y2203" s="43" t="s">
        <v>3655</v>
      </c>
      <c r="Z2203" s="17">
        <v>788212672</v>
      </c>
      <c r="AA2203" s="17"/>
      <c r="AB2203" s="116"/>
      <c r="AC2203" s="116"/>
    </row>
    <row r="2204" spans="1:29" hidden="1" x14ac:dyDescent="0.3">
      <c r="A2204" s="18" t="s">
        <v>3653</v>
      </c>
      <c r="B2204" s="18" t="s">
        <v>187</v>
      </c>
      <c r="C2204" s="18" t="s">
        <v>759</v>
      </c>
      <c r="D2204" s="14" t="s">
        <v>759</v>
      </c>
      <c r="E2204" s="18" t="s">
        <v>9</v>
      </c>
      <c r="F2204" s="14" t="s">
        <v>1203</v>
      </c>
      <c r="G2204" s="14" t="s">
        <v>518</v>
      </c>
      <c r="H2204" s="18" t="s">
        <v>5</v>
      </c>
      <c r="I2204" s="14" t="s">
        <v>117</v>
      </c>
      <c r="J2204" s="14">
        <v>3</v>
      </c>
      <c r="K2204" s="14" t="s">
        <v>646</v>
      </c>
      <c r="L2204" s="14"/>
      <c r="M2204" s="14">
        <v>1</v>
      </c>
      <c r="N2204" s="15">
        <v>180000</v>
      </c>
      <c r="O2204" s="15">
        <f t="shared" si="89"/>
        <v>180000</v>
      </c>
      <c r="P2204" s="15"/>
      <c r="Q2204" s="14" t="s">
        <v>520</v>
      </c>
      <c r="R2204" s="21">
        <v>46293</v>
      </c>
      <c r="S2204" s="22" t="str">
        <f>TEXT(Table1[[#This Row],[End Date]],"MMMM")</f>
        <v>September</v>
      </c>
      <c r="T2204" s="23" t="str">
        <f>TEXT(Table1[[#This Row],[End Date]],"YYYY")</f>
        <v>2026</v>
      </c>
      <c r="U2204" s="24">
        <f t="shared" ca="1" si="88"/>
        <v>-1160</v>
      </c>
      <c r="V2204" s="14" t="str" cm="1">
        <f t="array" aca="1" ref="V2204" ca="1">_xlfn.IFS(Table1[[#This Row],[Agreement Days]]&gt;=0,"Expired",Table1[[#This Row],[Agreement Days]]&gt;=-30,"Expires &lt; 30 Days",Table1[[#This Row],[Agreement Days]]&gt;=-60,"Expires &lt; 60 Days",Table1[[#This Row],[Agreement Days]]&lt;-60,"Valid Contract")</f>
        <v>Valid Contract</v>
      </c>
      <c r="W2204" s="14" t="s">
        <v>19</v>
      </c>
      <c r="X2204" s="14" t="s">
        <v>3654</v>
      </c>
      <c r="Y2204" s="43" t="s">
        <v>3655</v>
      </c>
      <c r="Z2204" s="17">
        <v>788212672</v>
      </c>
      <c r="AA2204" s="17"/>
      <c r="AB2204" s="116"/>
      <c r="AC2204" s="116"/>
    </row>
    <row r="2205" spans="1:29" hidden="1" x14ac:dyDescent="0.3">
      <c r="A2205" s="18" t="s">
        <v>3653</v>
      </c>
      <c r="B2205" s="18" t="s">
        <v>187</v>
      </c>
      <c r="C2205" s="18" t="s">
        <v>735</v>
      </c>
      <c r="D2205" s="14" t="s">
        <v>735</v>
      </c>
      <c r="E2205" s="18" t="s">
        <v>9</v>
      </c>
      <c r="F2205" s="14" t="s">
        <v>1203</v>
      </c>
      <c r="G2205" s="14" t="s">
        <v>518</v>
      </c>
      <c r="H2205" s="18" t="s">
        <v>5</v>
      </c>
      <c r="I2205" s="14" t="s">
        <v>117</v>
      </c>
      <c r="J2205" s="14">
        <v>3</v>
      </c>
      <c r="K2205" s="14" t="s">
        <v>646</v>
      </c>
      <c r="L2205" s="14"/>
      <c r="M2205" s="14">
        <v>1</v>
      </c>
      <c r="N2205" s="15">
        <v>180000</v>
      </c>
      <c r="O2205" s="15">
        <f t="shared" si="89"/>
        <v>180000</v>
      </c>
      <c r="P2205" s="15"/>
      <c r="Q2205" s="14" t="s">
        <v>520</v>
      </c>
      <c r="R2205" s="21">
        <v>46293</v>
      </c>
      <c r="S2205" s="22" t="str">
        <f>TEXT(Table1[[#This Row],[End Date]],"MMMM")</f>
        <v>September</v>
      </c>
      <c r="T2205" s="23" t="str">
        <f>TEXT(Table1[[#This Row],[End Date]],"YYYY")</f>
        <v>2026</v>
      </c>
      <c r="U2205" s="24">
        <f t="shared" ca="1" si="88"/>
        <v>-1160</v>
      </c>
      <c r="V2205" s="14" t="str" cm="1">
        <f t="array" aca="1" ref="V2205" ca="1">_xlfn.IFS(Table1[[#This Row],[Agreement Days]]&gt;=0,"Expired",Table1[[#This Row],[Agreement Days]]&gt;=-30,"Expires &lt; 30 Days",Table1[[#This Row],[Agreement Days]]&gt;=-60,"Expires &lt; 60 Days",Table1[[#This Row],[Agreement Days]]&lt;-60,"Valid Contract")</f>
        <v>Valid Contract</v>
      </c>
      <c r="W2205" s="14" t="s">
        <v>19</v>
      </c>
      <c r="X2205" s="14" t="s">
        <v>3654</v>
      </c>
      <c r="Y2205" s="43" t="s">
        <v>3655</v>
      </c>
      <c r="Z2205" s="17">
        <v>788212672</v>
      </c>
      <c r="AA2205" s="17"/>
      <c r="AB2205" s="116"/>
      <c r="AC2205" s="116"/>
    </row>
    <row r="2206" spans="1:29" hidden="1" x14ac:dyDescent="0.3">
      <c r="A2206" s="18" t="s">
        <v>3653</v>
      </c>
      <c r="B2206" s="18" t="s">
        <v>187</v>
      </c>
      <c r="C2206" s="18" t="s">
        <v>544</v>
      </c>
      <c r="D2206" s="14" t="s">
        <v>810</v>
      </c>
      <c r="E2206" s="18" t="s">
        <v>9</v>
      </c>
      <c r="F2206" s="14" t="s">
        <v>1203</v>
      </c>
      <c r="G2206" s="14" t="s">
        <v>518</v>
      </c>
      <c r="H2206" s="18" t="s">
        <v>5</v>
      </c>
      <c r="I2206" s="14" t="s">
        <v>117</v>
      </c>
      <c r="J2206" s="14">
        <v>3</v>
      </c>
      <c r="K2206" s="14" t="s">
        <v>646</v>
      </c>
      <c r="L2206" s="14"/>
      <c r="M2206" s="14">
        <v>1</v>
      </c>
      <c r="N2206" s="15">
        <v>180000</v>
      </c>
      <c r="O2206" s="15">
        <f t="shared" si="89"/>
        <v>180000</v>
      </c>
      <c r="P2206" s="15"/>
      <c r="Q2206" s="14" t="s">
        <v>520</v>
      </c>
      <c r="R2206" s="21">
        <v>46293</v>
      </c>
      <c r="S2206" s="22" t="str">
        <f>TEXT(Table1[[#This Row],[End Date]],"MMMM")</f>
        <v>September</v>
      </c>
      <c r="T2206" s="23" t="str">
        <f>TEXT(Table1[[#This Row],[End Date]],"YYYY")</f>
        <v>2026</v>
      </c>
      <c r="U2206" s="24">
        <f t="shared" ca="1" si="88"/>
        <v>-1160</v>
      </c>
      <c r="V2206" s="14" t="str" cm="1">
        <f t="array" aca="1" ref="V2206" ca="1">_xlfn.IFS(Table1[[#This Row],[Agreement Days]]&gt;=0,"Expired",Table1[[#This Row],[Agreement Days]]&gt;=-30,"Expires &lt; 30 Days",Table1[[#This Row],[Agreement Days]]&gt;=-60,"Expires &lt; 60 Days",Table1[[#This Row],[Agreement Days]]&lt;-60,"Valid Contract")</f>
        <v>Valid Contract</v>
      </c>
      <c r="W2206" s="14" t="s">
        <v>19</v>
      </c>
      <c r="X2206" s="14" t="s">
        <v>3654</v>
      </c>
      <c r="Y2206" s="43" t="s">
        <v>3655</v>
      </c>
      <c r="Z2206" s="17">
        <v>788212672</v>
      </c>
      <c r="AA2206" s="17"/>
      <c r="AB2206" s="116"/>
      <c r="AC2206" s="116"/>
    </row>
    <row r="2207" spans="1:29" hidden="1" x14ac:dyDescent="0.3">
      <c r="A2207" s="18" t="s">
        <v>3653</v>
      </c>
      <c r="B2207" s="18" t="s">
        <v>187</v>
      </c>
      <c r="C2207" s="18" t="s">
        <v>810</v>
      </c>
      <c r="D2207" s="14" t="s">
        <v>810</v>
      </c>
      <c r="E2207" s="18" t="s">
        <v>9</v>
      </c>
      <c r="F2207" s="14" t="s">
        <v>1203</v>
      </c>
      <c r="G2207" s="14" t="s">
        <v>518</v>
      </c>
      <c r="H2207" s="18" t="s">
        <v>5</v>
      </c>
      <c r="I2207" s="14" t="s">
        <v>117</v>
      </c>
      <c r="J2207" s="14">
        <v>3</v>
      </c>
      <c r="K2207" s="14" t="s">
        <v>646</v>
      </c>
      <c r="L2207" s="14"/>
      <c r="M2207" s="14">
        <v>1</v>
      </c>
      <c r="N2207" s="15">
        <v>180000</v>
      </c>
      <c r="O2207" s="15">
        <f t="shared" si="89"/>
        <v>180000</v>
      </c>
      <c r="P2207" s="15"/>
      <c r="Q2207" s="14" t="s">
        <v>520</v>
      </c>
      <c r="R2207" s="21">
        <v>46293</v>
      </c>
      <c r="S2207" s="22" t="str">
        <f>TEXT(Table1[[#This Row],[End Date]],"MMMM")</f>
        <v>September</v>
      </c>
      <c r="T2207" s="23" t="str">
        <f>TEXT(Table1[[#This Row],[End Date]],"YYYY")</f>
        <v>2026</v>
      </c>
      <c r="U2207" s="24">
        <f t="shared" ca="1" si="88"/>
        <v>-1160</v>
      </c>
      <c r="V2207" s="14" t="str" cm="1">
        <f t="array" aca="1" ref="V2207" ca="1">_xlfn.IFS(Table1[[#This Row],[Agreement Days]]&gt;=0,"Expired",Table1[[#This Row],[Agreement Days]]&gt;=-30,"Expires &lt; 30 Days",Table1[[#This Row],[Agreement Days]]&gt;=-60,"Expires &lt; 60 Days",Table1[[#This Row],[Agreement Days]]&lt;-60,"Valid Contract")</f>
        <v>Valid Contract</v>
      </c>
      <c r="W2207" s="14" t="s">
        <v>19</v>
      </c>
      <c r="X2207" s="14" t="s">
        <v>3654</v>
      </c>
      <c r="Y2207" s="43" t="s">
        <v>3655</v>
      </c>
      <c r="Z2207" s="17">
        <v>788212672</v>
      </c>
      <c r="AA2207" s="17"/>
      <c r="AB2207" s="116"/>
      <c r="AC2207" s="116"/>
    </row>
    <row r="2208" spans="1:29" hidden="1" x14ac:dyDescent="0.3">
      <c r="A2208" s="18" t="s">
        <v>3653</v>
      </c>
      <c r="B2208" s="18" t="s">
        <v>187</v>
      </c>
      <c r="C2208" s="18" t="s">
        <v>653</v>
      </c>
      <c r="D2208" s="14" t="s">
        <v>653</v>
      </c>
      <c r="E2208" s="18" t="s">
        <v>9</v>
      </c>
      <c r="F2208" s="14" t="s">
        <v>1203</v>
      </c>
      <c r="G2208" s="14" t="s">
        <v>518</v>
      </c>
      <c r="H2208" s="18" t="s">
        <v>2</v>
      </c>
      <c r="I2208" s="14" t="s">
        <v>117</v>
      </c>
      <c r="J2208" s="14">
        <v>3</v>
      </c>
      <c r="K2208" s="14" t="s">
        <v>901</v>
      </c>
      <c r="L2208" s="14"/>
      <c r="M2208" s="14">
        <v>1</v>
      </c>
      <c r="N2208" s="15">
        <v>308000</v>
      </c>
      <c r="O2208" s="15">
        <f t="shared" si="89"/>
        <v>308000</v>
      </c>
      <c r="P2208" s="15"/>
      <c r="Q2208" s="14" t="s">
        <v>520</v>
      </c>
      <c r="R2208" s="21">
        <v>46293</v>
      </c>
      <c r="S2208" s="22" t="str">
        <f>TEXT(Table1[[#This Row],[End Date]],"MMMM")</f>
        <v>September</v>
      </c>
      <c r="T2208" s="23" t="str">
        <f>TEXT(Table1[[#This Row],[End Date]],"YYYY")</f>
        <v>2026</v>
      </c>
      <c r="U2208" s="24">
        <f t="shared" ca="1" si="88"/>
        <v>-1160</v>
      </c>
      <c r="V2208" s="14" t="str" cm="1">
        <f t="array" aca="1" ref="V2208" ca="1">_xlfn.IFS(Table1[[#This Row],[Agreement Days]]&gt;=0,"Expired",Table1[[#This Row],[Agreement Days]]&gt;=-30,"Expires &lt; 30 Days",Table1[[#This Row],[Agreement Days]]&gt;=-60,"Expires &lt; 60 Days",Table1[[#This Row],[Agreement Days]]&lt;-60,"Valid Contract")</f>
        <v>Valid Contract</v>
      </c>
      <c r="W2208" s="14" t="s">
        <v>19</v>
      </c>
      <c r="X2208" s="14" t="s">
        <v>3654</v>
      </c>
      <c r="Y2208" s="43" t="s">
        <v>3655</v>
      </c>
      <c r="Z2208" s="17">
        <v>788212672</v>
      </c>
      <c r="AA2208" s="17"/>
      <c r="AB2208" s="116"/>
      <c r="AC2208" s="116"/>
    </row>
    <row r="2209" spans="1:29" hidden="1" x14ac:dyDescent="0.3">
      <c r="A2209" s="18" t="s">
        <v>3653</v>
      </c>
      <c r="B2209" s="18" t="s">
        <v>187</v>
      </c>
      <c r="C2209" s="18" t="s">
        <v>771</v>
      </c>
      <c r="D2209" s="14" t="s">
        <v>771</v>
      </c>
      <c r="E2209" s="18" t="s">
        <v>9</v>
      </c>
      <c r="F2209" s="14" t="s">
        <v>1203</v>
      </c>
      <c r="G2209" s="14" t="s">
        <v>518</v>
      </c>
      <c r="H2209" s="18" t="s">
        <v>5</v>
      </c>
      <c r="I2209" s="14" t="s">
        <v>117</v>
      </c>
      <c r="J2209" s="14">
        <v>3</v>
      </c>
      <c r="K2209" s="14" t="s">
        <v>646</v>
      </c>
      <c r="L2209" s="14"/>
      <c r="M2209" s="14">
        <v>1</v>
      </c>
      <c r="N2209" s="15">
        <v>180000</v>
      </c>
      <c r="O2209" s="15">
        <f t="shared" si="89"/>
        <v>180000</v>
      </c>
      <c r="P2209" s="15"/>
      <c r="Q2209" s="14" t="s">
        <v>520</v>
      </c>
      <c r="R2209" s="21">
        <v>46293</v>
      </c>
      <c r="S2209" s="22" t="str">
        <f>TEXT(Table1[[#This Row],[End Date]],"MMMM")</f>
        <v>September</v>
      </c>
      <c r="T2209" s="23" t="str">
        <f>TEXT(Table1[[#This Row],[End Date]],"YYYY")</f>
        <v>2026</v>
      </c>
      <c r="U2209" s="24">
        <f t="shared" ca="1" si="88"/>
        <v>-1160</v>
      </c>
      <c r="V2209" s="14" t="str" cm="1">
        <f t="array" aca="1" ref="V2209" ca="1">_xlfn.IFS(Table1[[#This Row],[Agreement Days]]&gt;=0,"Expired",Table1[[#This Row],[Agreement Days]]&gt;=-30,"Expires &lt; 30 Days",Table1[[#This Row],[Agreement Days]]&gt;=-60,"Expires &lt; 60 Days",Table1[[#This Row],[Agreement Days]]&lt;-60,"Valid Contract")</f>
        <v>Valid Contract</v>
      </c>
      <c r="W2209" s="14" t="s">
        <v>19</v>
      </c>
      <c r="X2209" s="14" t="s">
        <v>3654</v>
      </c>
      <c r="Y2209" s="43" t="s">
        <v>3655</v>
      </c>
      <c r="Z2209" s="17">
        <v>788212672</v>
      </c>
      <c r="AA2209" s="17"/>
      <c r="AB2209" s="116"/>
      <c r="AC2209" s="116"/>
    </row>
    <row r="2210" spans="1:29" hidden="1" x14ac:dyDescent="0.3">
      <c r="A2210" s="18" t="s">
        <v>3653</v>
      </c>
      <c r="B2210" s="18" t="s">
        <v>187</v>
      </c>
      <c r="C2210" s="18" t="s">
        <v>2635</v>
      </c>
      <c r="D2210" s="14" t="s">
        <v>516</v>
      </c>
      <c r="E2210" s="18" t="s">
        <v>9</v>
      </c>
      <c r="F2210" s="14" t="s">
        <v>1203</v>
      </c>
      <c r="G2210" s="14" t="s">
        <v>518</v>
      </c>
      <c r="H2210" s="18" t="s">
        <v>5</v>
      </c>
      <c r="I2210" s="14" t="s">
        <v>117</v>
      </c>
      <c r="J2210" s="14">
        <v>3</v>
      </c>
      <c r="K2210" s="14" t="s">
        <v>646</v>
      </c>
      <c r="L2210" s="14"/>
      <c r="M2210" s="14">
        <v>1</v>
      </c>
      <c r="N2210" s="15">
        <v>180000</v>
      </c>
      <c r="O2210" s="15">
        <f t="shared" si="89"/>
        <v>180000</v>
      </c>
      <c r="P2210" s="15"/>
      <c r="Q2210" s="14" t="s">
        <v>520</v>
      </c>
      <c r="R2210" s="21">
        <v>46293</v>
      </c>
      <c r="S2210" s="22" t="str">
        <f>TEXT(Table1[[#This Row],[End Date]],"MMMM")</f>
        <v>September</v>
      </c>
      <c r="T2210" s="23" t="str">
        <f>TEXT(Table1[[#This Row],[End Date]],"YYYY")</f>
        <v>2026</v>
      </c>
      <c r="U2210" s="24">
        <f t="shared" ca="1" si="88"/>
        <v>-1160</v>
      </c>
      <c r="V2210" s="14" t="str" cm="1">
        <f t="array" aca="1" ref="V2210" ca="1">_xlfn.IFS(Table1[[#This Row],[Agreement Days]]&gt;=0,"Expired",Table1[[#This Row],[Agreement Days]]&gt;=-30,"Expires &lt; 30 Days",Table1[[#This Row],[Agreement Days]]&gt;=-60,"Expires &lt; 60 Days",Table1[[#This Row],[Agreement Days]]&lt;-60,"Valid Contract")</f>
        <v>Valid Contract</v>
      </c>
      <c r="W2210" s="14" t="s">
        <v>19</v>
      </c>
      <c r="X2210" s="14" t="s">
        <v>3654</v>
      </c>
      <c r="Y2210" s="43" t="s">
        <v>3655</v>
      </c>
      <c r="Z2210" s="17">
        <v>788212672</v>
      </c>
      <c r="AA2210" s="17"/>
      <c r="AB2210" s="116"/>
      <c r="AC2210" s="116"/>
    </row>
    <row r="2211" spans="1:29" hidden="1" x14ac:dyDescent="0.3">
      <c r="A2211" s="18" t="s">
        <v>3653</v>
      </c>
      <c r="B2211" s="18" t="s">
        <v>187</v>
      </c>
      <c r="C2211" s="18" t="s">
        <v>3658</v>
      </c>
      <c r="D2211" s="14" t="s">
        <v>545</v>
      </c>
      <c r="E2211" s="18" t="s">
        <v>9</v>
      </c>
      <c r="F2211" s="14" t="s">
        <v>1203</v>
      </c>
      <c r="G2211" s="14" t="s">
        <v>518</v>
      </c>
      <c r="H2211" s="18" t="s">
        <v>5</v>
      </c>
      <c r="I2211" s="14" t="s">
        <v>117</v>
      </c>
      <c r="J2211" s="14">
        <v>10</v>
      </c>
      <c r="K2211" s="14" t="s">
        <v>3659</v>
      </c>
      <c r="L2211" s="14"/>
      <c r="M2211" s="14">
        <v>1</v>
      </c>
      <c r="N2211" s="15">
        <v>510000</v>
      </c>
      <c r="O2211" s="15">
        <f t="shared" si="89"/>
        <v>510000</v>
      </c>
      <c r="P2211" s="15"/>
      <c r="Q2211" s="14" t="s">
        <v>520</v>
      </c>
      <c r="R2211" s="21">
        <v>46293</v>
      </c>
      <c r="S2211" s="22" t="str">
        <f>TEXT(Table1[[#This Row],[End Date]],"MMMM")</f>
        <v>September</v>
      </c>
      <c r="T2211" s="23" t="str">
        <f>TEXT(Table1[[#This Row],[End Date]],"YYYY")</f>
        <v>2026</v>
      </c>
      <c r="U2211" s="24">
        <f t="shared" ca="1" si="88"/>
        <v>-1160</v>
      </c>
      <c r="V2211" s="14" t="str" cm="1">
        <f t="array" aca="1" ref="V2211" ca="1">_xlfn.IFS(Table1[[#This Row],[Agreement Days]]&gt;=0,"Expired",Table1[[#This Row],[Agreement Days]]&gt;=-30,"Expires &lt; 30 Days",Table1[[#This Row],[Agreement Days]]&gt;=-60,"Expires &lt; 60 Days",Table1[[#This Row],[Agreement Days]]&lt;-60,"Valid Contract")</f>
        <v>Valid Contract</v>
      </c>
      <c r="W2211" s="14" t="s">
        <v>19</v>
      </c>
      <c r="X2211" s="14" t="s">
        <v>3654</v>
      </c>
      <c r="Y2211" s="43" t="s">
        <v>3655</v>
      </c>
      <c r="Z2211" s="17">
        <v>788212672</v>
      </c>
      <c r="AA2211" s="17"/>
      <c r="AB2211" s="116"/>
      <c r="AC2211" s="116"/>
    </row>
    <row r="2212" spans="1:29" hidden="1" x14ac:dyDescent="0.3">
      <c r="A2212" s="18" t="s">
        <v>3653</v>
      </c>
      <c r="B2212" s="18" t="s">
        <v>187</v>
      </c>
      <c r="C2212" s="18" t="s">
        <v>662</v>
      </c>
      <c r="D2212" s="14" t="s">
        <v>662</v>
      </c>
      <c r="E2212" s="18" t="s">
        <v>9</v>
      </c>
      <c r="F2212" s="14" t="s">
        <v>1203</v>
      </c>
      <c r="G2212" s="14" t="s">
        <v>518</v>
      </c>
      <c r="H2212" s="18" t="s">
        <v>5</v>
      </c>
      <c r="I2212" s="14" t="s">
        <v>117</v>
      </c>
      <c r="J2212" s="14">
        <v>30</v>
      </c>
      <c r="K2212" s="14" t="s">
        <v>1617</v>
      </c>
      <c r="L2212" s="14"/>
      <c r="M2212" s="14">
        <v>1</v>
      </c>
      <c r="N2212" s="15">
        <v>1260000</v>
      </c>
      <c r="O2212" s="15">
        <f t="shared" si="89"/>
        <v>1260000</v>
      </c>
      <c r="P2212" s="15"/>
      <c r="Q2212" s="14" t="s">
        <v>520</v>
      </c>
      <c r="R2212" s="21">
        <v>46293</v>
      </c>
      <c r="S2212" s="22" t="str">
        <f>TEXT(Table1[[#This Row],[End Date]],"MMMM")</f>
        <v>September</v>
      </c>
      <c r="T2212" s="23" t="str">
        <f>TEXT(Table1[[#This Row],[End Date]],"YYYY")</f>
        <v>2026</v>
      </c>
      <c r="U2212" s="24">
        <f t="shared" ca="1" si="88"/>
        <v>-1160</v>
      </c>
      <c r="V2212" s="14" t="str" cm="1">
        <f t="array" aca="1" ref="V2212" ca="1">_xlfn.IFS(Table1[[#This Row],[Agreement Days]]&gt;=0,"Expired",Table1[[#This Row],[Agreement Days]]&gt;=-30,"Expires &lt; 30 Days",Table1[[#This Row],[Agreement Days]]&gt;=-60,"Expires &lt; 60 Days",Table1[[#This Row],[Agreement Days]]&lt;-60,"Valid Contract")</f>
        <v>Valid Contract</v>
      </c>
      <c r="W2212" s="14" t="s">
        <v>19</v>
      </c>
      <c r="X2212" s="14" t="s">
        <v>3654</v>
      </c>
      <c r="Y2212" s="43" t="s">
        <v>3655</v>
      </c>
      <c r="Z2212" s="17">
        <v>788212672</v>
      </c>
      <c r="AA2212" s="17"/>
      <c r="AB2212" s="116"/>
      <c r="AC2212" s="116"/>
    </row>
    <row r="2213" spans="1:29" hidden="1" x14ac:dyDescent="0.3">
      <c r="A2213" s="18" t="s">
        <v>3660</v>
      </c>
      <c r="B2213" s="18" t="s">
        <v>388</v>
      </c>
      <c r="C2213" s="18" t="s">
        <v>3661</v>
      </c>
      <c r="D2213" s="14" t="s">
        <v>761</v>
      </c>
      <c r="E2213" s="18" t="s">
        <v>9</v>
      </c>
      <c r="F2213" s="14" t="s">
        <v>688</v>
      </c>
      <c r="G2213" s="14" t="s">
        <v>518</v>
      </c>
      <c r="H2213" s="18" t="s">
        <v>5</v>
      </c>
      <c r="I2213" s="14" t="s">
        <v>115</v>
      </c>
      <c r="J2213" s="18"/>
      <c r="K2213" s="18" t="s">
        <v>642</v>
      </c>
      <c r="L2213" s="18"/>
      <c r="M2213" s="14">
        <v>3</v>
      </c>
      <c r="N2213" s="15">
        <v>101694.92</v>
      </c>
      <c r="O2213" s="15">
        <f t="shared" si="89"/>
        <v>305084.76</v>
      </c>
      <c r="P2213" s="15"/>
      <c r="Q2213" s="14" t="s">
        <v>520</v>
      </c>
      <c r="R2213" s="25">
        <v>46294</v>
      </c>
      <c r="S2213" s="34" t="str">
        <f>TEXT(Table1[[#This Row],[End Date]],"MMMM")</f>
        <v>September</v>
      </c>
      <c r="T2213" s="34" t="str">
        <f>TEXT(Table1[[#This Row],[End Date]],"YYYY")</f>
        <v>2026</v>
      </c>
      <c r="U2213" s="24">
        <f t="shared" ca="1" si="88"/>
        <v>-1161</v>
      </c>
      <c r="V2213" s="14" t="str" cm="1">
        <f t="array" aca="1" ref="V2213" ca="1">_xlfn.IFS(Table1[[#This Row],[Agreement Days]]&gt;=0,"Expired",Table1[[#This Row],[Agreement Days]]&gt;=-30,"Expires &lt; 30 Days",Table1[[#This Row],[Agreement Days]]&gt;=-60,"Expires &lt; 60 Days",Table1[[#This Row],[Agreement Days]]&lt;-60,"Valid Contract")</f>
        <v>Valid Contract</v>
      </c>
      <c r="W2213" s="18" t="s">
        <v>21</v>
      </c>
      <c r="X2213" s="18" t="s">
        <v>3662</v>
      </c>
      <c r="Y2213" s="42" t="s">
        <v>3663</v>
      </c>
      <c r="Z2213" s="27">
        <v>782570906</v>
      </c>
      <c r="AA2213" s="27"/>
      <c r="AB2213" s="116"/>
      <c r="AC2213" s="116"/>
    </row>
    <row r="2214" spans="1:29" hidden="1" x14ac:dyDescent="0.3">
      <c r="A2214" s="18" t="s">
        <v>2547</v>
      </c>
      <c r="B2214" s="18" t="s">
        <v>230</v>
      </c>
      <c r="C2214" s="18" t="s">
        <v>3664</v>
      </c>
      <c r="D2214" s="14" t="s">
        <v>540</v>
      </c>
      <c r="E2214" s="18" t="s">
        <v>9</v>
      </c>
      <c r="F2214" s="14" t="s">
        <v>688</v>
      </c>
      <c r="G2214" s="14" t="s">
        <v>518</v>
      </c>
      <c r="H2214" s="18" t="s">
        <v>5</v>
      </c>
      <c r="I2214" s="14" t="s">
        <v>117</v>
      </c>
      <c r="J2214" s="14">
        <v>5</v>
      </c>
      <c r="K2214" s="18" t="s">
        <v>519</v>
      </c>
      <c r="L2214" s="18"/>
      <c r="M2214" s="14">
        <v>1</v>
      </c>
      <c r="N2214" s="15">
        <v>270000</v>
      </c>
      <c r="O2214" s="15">
        <f t="shared" si="89"/>
        <v>270000</v>
      </c>
      <c r="P2214" s="15"/>
      <c r="Q2214" s="14" t="s">
        <v>520</v>
      </c>
      <c r="R2214" s="25">
        <v>46295</v>
      </c>
      <c r="S2214" s="34" t="str">
        <f>TEXT(Table1[[#This Row],[End Date]],"MMMM")</f>
        <v>September</v>
      </c>
      <c r="T2214" s="34" t="str">
        <f>TEXT(Table1[[#This Row],[End Date]],"YYYY")</f>
        <v>2026</v>
      </c>
      <c r="U2214" s="24">
        <f t="shared" ca="1" si="88"/>
        <v>-1162</v>
      </c>
      <c r="V2214" s="14" t="str" cm="1">
        <f t="array" aca="1" ref="V2214" ca="1">_xlfn.IFS(Table1[[#This Row],[Agreement Days]]&gt;=0,"Expired",Table1[[#This Row],[Agreement Days]]&gt;=-30,"Expires &lt; 30 Days",Table1[[#This Row],[Agreement Days]]&gt;=-60,"Expires &lt; 60 Days",Table1[[#This Row],[Agreement Days]]&lt;-60,"Valid Contract")</f>
        <v>Valid Contract</v>
      </c>
      <c r="W2214" s="18" t="s">
        <v>21</v>
      </c>
      <c r="X2214" s="18" t="s">
        <v>2548</v>
      </c>
      <c r="Y2214" s="42" t="s">
        <v>2549</v>
      </c>
      <c r="Z2214" s="27">
        <v>788827364</v>
      </c>
      <c r="AA2214" s="27"/>
      <c r="AB2214" s="116"/>
      <c r="AC2214" s="116"/>
    </row>
    <row r="2215" spans="1:29" hidden="1" x14ac:dyDescent="0.3">
      <c r="A2215" s="18" t="s">
        <v>2547</v>
      </c>
      <c r="B2215" s="18" t="s">
        <v>230</v>
      </c>
      <c r="C2215" s="18" t="s">
        <v>230</v>
      </c>
      <c r="D2215" s="14" t="s">
        <v>545</v>
      </c>
      <c r="E2215" s="18" t="s">
        <v>9</v>
      </c>
      <c r="F2215" s="14" t="s">
        <v>688</v>
      </c>
      <c r="G2215" s="14" t="s">
        <v>518</v>
      </c>
      <c r="H2215" s="18" t="s">
        <v>5</v>
      </c>
      <c r="I2215" s="14" t="s">
        <v>117</v>
      </c>
      <c r="J2215" s="14">
        <v>50</v>
      </c>
      <c r="K2215" s="18" t="s">
        <v>673</v>
      </c>
      <c r="L2215" s="18"/>
      <c r="M2215" s="14">
        <v>1</v>
      </c>
      <c r="N2215" s="15">
        <v>1800000</v>
      </c>
      <c r="O2215" s="15">
        <f t="shared" si="89"/>
        <v>1800000</v>
      </c>
      <c r="P2215" s="15"/>
      <c r="Q2215" s="14" t="s">
        <v>520</v>
      </c>
      <c r="R2215" s="25">
        <v>46295</v>
      </c>
      <c r="S2215" s="34" t="str">
        <f>TEXT(Table1[[#This Row],[End Date]],"MMMM")</f>
        <v>September</v>
      </c>
      <c r="T2215" s="34" t="str">
        <f>TEXT(Table1[[#This Row],[End Date]],"YYYY")</f>
        <v>2026</v>
      </c>
      <c r="U2215" s="24">
        <f t="shared" ca="1" si="88"/>
        <v>-1162</v>
      </c>
      <c r="V2215" s="14" t="str" cm="1">
        <f t="array" aca="1" ref="V2215" ca="1">_xlfn.IFS(Table1[[#This Row],[Agreement Days]]&gt;=0,"Expired",Table1[[#This Row],[Agreement Days]]&gt;=-30,"Expires &lt; 30 Days",Table1[[#This Row],[Agreement Days]]&gt;=-60,"Expires &lt; 60 Days",Table1[[#This Row],[Agreement Days]]&lt;-60,"Valid Contract")</f>
        <v>Valid Contract</v>
      </c>
      <c r="W2215" s="18" t="s">
        <v>21</v>
      </c>
      <c r="X2215" s="18" t="s">
        <v>2548</v>
      </c>
      <c r="Y2215" s="42" t="s">
        <v>2549</v>
      </c>
      <c r="Z2215" s="27">
        <v>788827364</v>
      </c>
      <c r="AA2215" s="27"/>
      <c r="AB2215" s="116"/>
      <c r="AC2215" s="116"/>
    </row>
    <row r="2216" spans="1:29" hidden="1" x14ac:dyDescent="0.3">
      <c r="A2216" s="18" t="s">
        <v>851</v>
      </c>
      <c r="B2216" s="18" t="s">
        <v>260</v>
      </c>
      <c r="C2216" s="18" t="s">
        <v>852</v>
      </c>
      <c r="D2216" s="14" t="s">
        <v>769</v>
      </c>
      <c r="E2216" s="18" t="s">
        <v>9</v>
      </c>
      <c r="F2216" s="14" t="s">
        <v>688</v>
      </c>
      <c r="G2216" s="14" t="s">
        <v>518</v>
      </c>
      <c r="H2216" s="18" t="s">
        <v>4</v>
      </c>
      <c r="I2216" s="14" t="s">
        <v>118</v>
      </c>
      <c r="J2216" s="18"/>
      <c r="K2216" s="18" t="s">
        <v>650</v>
      </c>
      <c r="L2216" s="18"/>
      <c r="M2216" s="14">
        <v>1</v>
      </c>
      <c r="N2216" s="15">
        <v>369325</v>
      </c>
      <c r="O2216" s="15">
        <f t="shared" si="89"/>
        <v>369325</v>
      </c>
      <c r="P2216" s="15"/>
      <c r="Q2216" s="14" t="s">
        <v>520</v>
      </c>
      <c r="R2216" s="25">
        <v>46295</v>
      </c>
      <c r="S2216" s="34" t="str">
        <f>TEXT(Table1[[#This Row],[End Date]],"MMMM")</f>
        <v>September</v>
      </c>
      <c r="T2216" s="34" t="str">
        <f>TEXT(Table1[[#This Row],[End Date]],"YYYY")</f>
        <v>2026</v>
      </c>
      <c r="U2216" s="24">
        <f t="shared" ca="1" si="88"/>
        <v>-1162</v>
      </c>
      <c r="V2216" s="14" t="str" cm="1">
        <f t="array" aca="1" ref="V2216" ca="1">_xlfn.IFS(Table1[[#This Row],[Agreement Days]]&gt;=0,"Expired",Table1[[#This Row],[Agreement Days]]&gt;=-30,"Expires &lt; 30 Days",Table1[[#This Row],[Agreement Days]]&gt;=-60,"Expires &lt; 60 Days",Table1[[#This Row],[Agreement Days]]&lt;-60,"Valid Contract")</f>
        <v>Valid Contract</v>
      </c>
      <c r="W2216" s="18" t="s">
        <v>21</v>
      </c>
      <c r="X2216" s="18" t="s">
        <v>853</v>
      </c>
      <c r="Y2216" s="42" t="s">
        <v>854</v>
      </c>
      <c r="Z2216" s="27">
        <v>788823232</v>
      </c>
      <c r="AA2216" s="27"/>
      <c r="AB2216" s="116"/>
      <c r="AC2216" s="116"/>
    </row>
    <row r="2217" spans="1:29" hidden="1" x14ac:dyDescent="0.3">
      <c r="A2217" s="18" t="s">
        <v>851</v>
      </c>
      <c r="B2217" s="18" t="s">
        <v>260</v>
      </c>
      <c r="C2217" s="18" t="s">
        <v>852</v>
      </c>
      <c r="D2217" s="14" t="s">
        <v>769</v>
      </c>
      <c r="E2217" s="18" t="s">
        <v>9</v>
      </c>
      <c r="F2217" s="14" t="s">
        <v>688</v>
      </c>
      <c r="G2217" s="14" t="s">
        <v>518</v>
      </c>
      <c r="H2217" s="18" t="s">
        <v>5</v>
      </c>
      <c r="I2217" s="14" t="s">
        <v>115</v>
      </c>
      <c r="J2217" s="18"/>
      <c r="K2217" s="18" t="s">
        <v>651</v>
      </c>
      <c r="L2217" s="18"/>
      <c r="M2217" s="14">
        <v>3</v>
      </c>
      <c r="N2217" s="15">
        <f>96000/1.18</f>
        <v>81355.932203389835</v>
      </c>
      <c r="O2217" s="15">
        <f t="shared" si="89"/>
        <v>244067.79661016952</v>
      </c>
      <c r="P2217" s="15"/>
      <c r="Q2217" s="14" t="s">
        <v>520</v>
      </c>
      <c r="R2217" s="25">
        <v>46295</v>
      </c>
      <c r="S2217" s="34" t="str">
        <f>TEXT(Table1[[#This Row],[End Date]],"MMMM")</f>
        <v>September</v>
      </c>
      <c r="T2217" s="34" t="str">
        <f>TEXT(Table1[[#This Row],[End Date]],"YYYY")</f>
        <v>2026</v>
      </c>
      <c r="U2217" s="24">
        <f t="shared" ca="1" si="88"/>
        <v>-1162</v>
      </c>
      <c r="V2217" s="14" t="str" cm="1">
        <f t="array" aca="1" ref="V2217" ca="1">_xlfn.IFS(Table1[[#This Row],[Agreement Days]]&gt;=0,"Expired",Table1[[#This Row],[Agreement Days]]&gt;=-30,"Expires &lt; 30 Days",Table1[[#This Row],[Agreement Days]]&gt;=-60,"Expires &lt; 60 Days",Table1[[#This Row],[Agreement Days]]&lt;-60,"Valid Contract")</f>
        <v>Valid Contract</v>
      </c>
      <c r="W2217" s="18" t="s">
        <v>21</v>
      </c>
      <c r="X2217" s="18" t="s">
        <v>853</v>
      </c>
      <c r="Y2217" s="42" t="s">
        <v>854</v>
      </c>
      <c r="Z2217" s="27">
        <v>788823232</v>
      </c>
      <c r="AA2217" s="27"/>
      <c r="AB2217" s="116"/>
      <c r="AC2217" s="116"/>
    </row>
    <row r="2218" spans="1:29" hidden="1" x14ac:dyDescent="0.3">
      <c r="A2218" s="18" t="s">
        <v>3665</v>
      </c>
      <c r="B2218" s="18" t="s">
        <v>390</v>
      </c>
      <c r="C2218" s="18" t="s">
        <v>544</v>
      </c>
      <c r="D2218" s="20" t="s">
        <v>545</v>
      </c>
      <c r="E2218" s="18" t="s">
        <v>9</v>
      </c>
      <c r="F2218" s="20" t="s">
        <v>517</v>
      </c>
      <c r="G2218" s="20" t="s">
        <v>518</v>
      </c>
      <c r="H2218" s="18" t="s">
        <v>5</v>
      </c>
      <c r="I2218" s="20" t="s">
        <v>115</v>
      </c>
      <c r="J2218" s="18"/>
      <c r="K2218" s="18" t="s">
        <v>642</v>
      </c>
      <c r="L2218" s="18"/>
      <c r="M2218" s="20">
        <v>1</v>
      </c>
      <c r="N2218" s="15">
        <v>101694.92</v>
      </c>
      <c r="O2218" s="15">
        <f t="shared" si="89"/>
        <v>101694.92</v>
      </c>
      <c r="P2218" s="15"/>
      <c r="Q2218" s="14" t="s">
        <v>520</v>
      </c>
      <c r="R2218" s="25">
        <v>46295</v>
      </c>
      <c r="S2218" s="34" t="str">
        <f>TEXT(Table1[[#This Row],[End Date]],"MMMM")</f>
        <v>September</v>
      </c>
      <c r="T2218" s="34" t="str">
        <f>TEXT(Table1[[#This Row],[End Date]],"YYYY")</f>
        <v>2026</v>
      </c>
      <c r="U2218" s="28">
        <f t="shared" ca="1" si="88"/>
        <v>-1162</v>
      </c>
      <c r="V2218" s="14" t="str" cm="1">
        <f t="array" aca="1" ref="V2218" ca="1">_xlfn.IFS(Table1[[#This Row],[Agreement Days]]&gt;=0,"Expired",Table1[[#This Row],[Agreement Days]]&gt;=-30,"Expires &lt; 30 Days",Table1[[#This Row],[Agreement Days]]&gt;=-60,"Expires &lt; 60 Days",Table1[[#This Row],[Agreement Days]]&lt;-60,"Valid Contract")</f>
        <v>Valid Contract</v>
      </c>
      <c r="W2218" s="18" t="s">
        <v>18</v>
      </c>
      <c r="X2218" s="18" t="s">
        <v>3666</v>
      </c>
      <c r="Y2218" s="42" t="s">
        <v>3667</v>
      </c>
      <c r="Z2218" s="36" t="s">
        <v>3668</v>
      </c>
      <c r="AA2218" s="27"/>
      <c r="AB2218" s="116"/>
      <c r="AC2218" s="116"/>
    </row>
    <row r="2219" spans="1:29" hidden="1" x14ac:dyDescent="0.3">
      <c r="A2219" s="18" t="s">
        <v>3665</v>
      </c>
      <c r="B2219" s="18" t="s">
        <v>390</v>
      </c>
      <c r="C2219" s="18" t="s">
        <v>544</v>
      </c>
      <c r="D2219" s="20" t="s">
        <v>545</v>
      </c>
      <c r="E2219" s="18" t="s">
        <v>9</v>
      </c>
      <c r="F2219" s="20" t="s">
        <v>517</v>
      </c>
      <c r="G2219" s="20" t="s">
        <v>518</v>
      </c>
      <c r="H2219" s="18" t="s">
        <v>5</v>
      </c>
      <c r="I2219" s="20" t="s">
        <v>115</v>
      </c>
      <c r="J2219" s="18"/>
      <c r="K2219" s="18" t="s">
        <v>573</v>
      </c>
      <c r="L2219" s="18"/>
      <c r="M2219" s="20">
        <v>3</v>
      </c>
      <c r="N2219" s="15">
        <v>19491.53</v>
      </c>
      <c r="O2219" s="15">
        <f t="shared" si="89"/>
        <v>58474.59</v>
      </c>
      <c r="P2219" s="15"/>
      <c r="Q2219" s="14" t="s">
        <v>520</v>
      </c>
      <c r="R2219" s="25">
        <v>46295</v>
      </c>
      <c r="S2219" s="34" t="str">
        <f>TEXT(Table1[[#This Row],[End Date]],"MMMM")</f>
        <v>September</v>
      </c>
      <c r="T2219" s="34" t="str">
        <f>TEXT(Table1[[#This Row],[End Date]],"YYYY")</f>
        <v>2026</v>
      </c>
      <c r="U2219" s="28">
        <f t="shared" ca="1" si="88"/>
        <v>-1162</v>
      </c>
      <c r="V2219" s="14" t="str" cm="1">
        <f t="array" aca="1" ref="V2219" ca="1">_xlfn.IFS(Table1[[#This Row],[Agreement Days]]&gt;=0,"Expired",Table1[[#This Row],[Agreement Days]]&gt;=-30,"Expires &lt; 30 Days",Table1[[#This Row],[Agreement Days]]&gt;=-60,"Expires &lt; 60 Days",Table1[[#This Row],[Agreement Days]]&lt;-60,"Valid Contract")</f>
        <v>Valid Contract</v>
      </c>
      <c r="W2219" s="18" t="s">
        <v>18</v>
      </c>
      <c r="X2219" s="18" t="s">
        <v>3666</v>
      </c>
      <c r="Y2219" s="42" t="s">
        <v>3667</v>
      </c>
      <c r="Z2219" s="36" t="s">
        <v>3668</v>
      </c>
      <c r="AA2219" s="36"/>
      <c r="AB2219" s="116"/>
      <c r="AC2219" s="116"/>
    </row>
    <row r="2220" spans="1:29" hidden="1" x14ac:dyDescent="0.3">
      <c r="A2220" s="18" t="s">
        <v>3665</v>
      </c>
      <c r="B2220" s="18" t="s">
        <v>390</v>
      </c>
      <c r="C2220" s="18" t="s">
        <v>544</v>
      </c>
      <c r="D2220" s="20" t="s">
        <v>545</v>
      </c>
      <c r="E2220" s="18" t="s">
        <v>9</v>
      </c>
      <c r="F2220" s="20" t="s">
        <v>517</v>
      </c>
      <c r="G2220" s="20" t="s">
        <v>518</v>
      </c>
      <c r="H2220" s="18" t="s">
        <v>5</v>
      </c>
      <c r="I2220" s="20" t="s">
        <v>115</v>
      </c>
      <c r="J2220" s="18"/>
      <c r="K2220" s="18" t="s">
        <v>643</v>
      </c>
      <c r="L2220" s="18"/>
      <c r="M2220" s="20">
        <v>5</v>
      </c>
      <c r="N2220" s="15">
        <v>28305.08</v>
      </c>
      <c r="O2220" s="15">
        <f t="shared" si="89"/>
        <v>141525.40000000002</v>
      </c>
      <c r="P2220" s="15"/>
      <c r="Q2220" s="14" t="s">
        <v>520</v>
      </c>
      <c r="R2220" s="25">
        <v>46295</v>
      </c>
      <c r="S2220" s="34" t="str">
        <f>TEXT(Table1[[#This Row],[End Date]],"MMMM")</f>
        <v>September</v>
      </c>
      <c r="T2220" s="34" t="str">
        <f>TEXT(Table1[[#This Row],[End Date]],"YYYY")</f>
        <v>2026</v>
      </c>
      <c r="U2220" s="28">
        <f t="shared" ca="1" si="88"/>
        <v>-1162</v>
      </c>
      <c r="V2220" s="14" t="str" cm="1">
        <f t="array" aca="1" ref="V2220" ca="1">_xlfn.IFS(Table1[[#This Row],[Agreement Days]]&gt;=0,"Expired",Table1[[#This Row],[Agreement Days]]&gt;=-30,"Expires &lt; 30 Days",Table1[[#This Row],[Agreement Days]]&gt;=-60,"Expires &lt; 60 Days",Table1[[#This Row],[Agreement Days]]&lt;-60,"Valid Contract")</f>
        <v>Valid Contract</v>
      </c>
      <c r="W2220" s="18" t="s">
        <v>18</v>
      </c>
      <c r="X2220" s="18" t="s">
        <v>3666</v>
      </c>
      <c r="Y2220" s="42" t="s">
        <v>3667</v>
      </c>
      <c r="Z2220" s="36" t="s">
        <v>3668</v>
      </c>
      <c r="AA2220" s="27"/>
      <c r="AB2220" s="116"/>
      <c r="AC2220" s="116"/>
    </row>
    <row r="2221" spans="1:29" hidden="1" x14ac:dyDescent="0.3">
      <c r="A2221" s="18" t="s">
        <v>3669</v>
      </c>
      <c r="B2221" s="18" t="s">
        <v>248</v>
      </c>
      <c r="C2221" s="18" t="s">
        <v>544</v>
      </c>
      <c r="D2221" s="14" t="s">
        <v>653</v>
      </c>
      <c r="E2221" s="18" t="s">
        <v>10</v>
      </c>
      <c r="F2221" s="14" t="s">
        <v>693</v>
      </c>
      <c r="G2221" s="14" t="s">
        <v>518</v>
      </c>
      <c r="H2221" s="18" t="s">
        <v>3</v>
      </c>
      <c r="I2221" s="20" t="s">
        <v>3638</v>
      </c>
      <c r="J2221" s="20"/>
      <c r="K2221" s="20" t="s">
        <v>3670</v>
      </c>
      <c r="L2221" s="20">
        <v>5</v>
      </c>
      <c r="M2221" s="20">
        <v>1</v>
      </c>
      <c r="N2221" s="15">
        <v>263750</v>
      </c>
      <c r="O2221" s="15">
        <f t="shared" si="89"/>
        <v>263750</v>
      </c>
      <c r="P2221" s="15"/>
      <c r="Q2221" s="14" t="s">
        <v>520</v>
      </c>
      <c r="R2221" s="25">
        <v>46295</v>
      </c>
      <c r="S2221" s="34" t="str">
        <f>TEXT(Table1[[#This Row],[End Date]],"MMMM")</f>
        <v>September</v>
      </c>
      <c r="T2221" s="34" t="str">
        <f>TEXT(Table1[[#This Row],[End Date]],"YYYY")</f>
        <v>2026</v>
      </c>
      <c r="U2221" s="24">
        <f t="shared" ca="1" si="88"/>
        <v>-1162</v>
      </c>
      <c r="V2221" s="14" t="str" cm="1">
        <f t="array" aca="1" ref="V2221" ca="1">_xlfn.IFS(Table1[[#This Row],[Agreement Days]]&gt;=0,"Expired",Table1[[#This Row],[Agreement Days]]&gt;=-30,"Expires &lt; 30 Days",Table1[[#This Row],[Agreement Days]]&gt;=-60,"Expires &lt; 60 Days",Table1[[#This Row],[Agreement Days]]&lt;-60,"Valid Contract")</f>
        <v>Valid Contract</v>
      </c>
      <c r="W2221" s="26" t="s">
        <v>17</v>
      </c>
      <c r="X2221" s="26" t="s">
        <v>3671</v>
      </c>
      <c r="Y2221" s="51" t="s">
        <v>3672</v>
      </c>
      <c r="Z2221" s="27">
        <v>788303523</v>
      </c>
      <c r="AA2221" s="27"/>
      <c r="AB2221" s="116"/>
      <c r="AC2221" s="116"/>
    </row>
    <row r="2222" spans="1:29" hidden="1" x14ac:dyDescent="0.3">
      <c r="A2222" s="18" t="s">
        <v>3669</v>
      </c>
      <c r="B2222" s="18" t="s">
        <v>248</v>
      </c>
      <c r="C2222" s="18" t="s">
        <v>3673</v>
      </c>
      <c r="D2222" s="14" t="s">
        <v>653</v>
      </c>
      <c r="E2222" s="18" t="s">
        <v>10</v>
      </c>
      <c r="F2222" s="14" t="s">
        <v>693</v>
      </c>
      <c r="G2222" s="14" t="s">
        <v>518</v>
      </c>
      <c r="H2222" s="18" t="s">
        <v>2</v>
      </c>
      <c r="I2222" s="20" t="s">
        <v>134</v>
      </c>
      <c r="J2222" s="20">
        <v>40</v>
      </c>
      <c r="K2222" s="20" t="s">
        <v>3674</v>
      </c>
      <c r="L2222" s="20"/>
      <c r="M2222" s="20">
        <v>1</v>
      </c>
      <c r="N2222" s="15">
        <v>1548500</v>
      </c>
      <c r="O2222" s="15">
        <f t="shared" si="89"/>
        <v>1548500</v>
      </c>
      <c r="P2222" s="15"/>
      <c r="Q2222" s="14" t="s">
        <v>520</v>
      </c>
      <c r="R2222" s="25">
        <v>46295</v>
      </c>
      <c r="S2222" s="57" t="str">
        <f>TEXT(Table1[[#This Row],[End Date]],"MMMM")</f>
        <v>September</v>
      </c>
      <c r="T2222" s="57" t="str">
        <f>TEXT(Table1[[#This Row],[End Date]],"YYYY")</f>
        <v>2026</v>
      </c>
      <c r="U2222" s="24">
        <f t="shared" ref="U2222:U2253" ca="1" si="90">TODAY()-R2222</f>
        <v>-1162</v>
      </c>
      <c r="V2222" s="14" t="str" cm="1">
        <f t="array" aca="1" ref="V2222" ca="1">_xlfn.IFS(Table1[[#This Row],[Agreement Days]]&gt;=0,"Expired",Table1[[#This Row],[Agreement Days]]&gt;=-30,"Expires &lt; 30 Days",Table1[[#This Row],[Agreement Days]]&gt;=-60,"Expires &lt; 60 Days",Table1[[#This Row],[Agreement Days]]&lt;-60,"Valid Contract")</f>
        <v>Valid Contract</v>
      </c>
      <c r="W2222" s="26" t="s">
        <v>17</v>
      </c>
      <c r="X2222" s="26" t="s">
        <v>3671</v>
      </c>
      <c r="Y2222" s="51" t="s">
        <v>3672</v>
      </c>
      <c r="Z2222" s="27">
        <v>788303523</v>
      </c>
      <c r="AA2222" s="27"/>
      <c r="AB2222" s="116"/>
      <c r="AC2222" s="116"/>
    </row>
    <row r="2223" spans="1:29" hidden="1" x14ac:dyDescent="0.3">
      <c r="A2223" s="18" t="s">
        <v>3675</v>
      </c>
      <c r="B2223" s="18" t="s">
        <v>199</v>
      </c>
      <c r="C2223" s="18" t="s">
        <v>3676</v>
      </c>
      <c r="D2223" s="14" t="s">
        <v>653</v>
      </c>
      <c r="E2223" s="18" t="s">
        <v>9</v>
      </c>
      <c r="F2223" s="14" t="s">
        <v>688</v>
      </c>
      <c r="G2223" s="14" t="s">
        <v>546</v>
      </c>
      <c r="H2223" s="18" t="s">
        <v>5</v>
      </c>
      <c r="I2223" s="14" t="s">
        <v>117</v>
      </c>
      <c r="J2223" s="14">
        <v>100</v>
      </c>
      <c r="K2223" s="18" t="s">
        <v>2082</v>
      </c>
      <c r="L2223" s="18"/>
      <c r="M2223" s="14">
        <v>1</v>
      </c>
      <c r="N2223" s="15">
        <v>3240000</v>
      </c>
      <c r="O2223" s="15">
        <f t="shared" si="89"/>
        <v>3240000</v>
      </c>
      <c r="P2223" s="15"/>
      <c r="Q2223" s="14" t="s">
        <v>520</v>
      </c>
      <c r="R2223" s="25">
        <v>46308</v>
      </c>
      <c r="S2223" s="34" t="str">
        <f>TEXT(Table1[[#This Row],[End Date]],"MMMM")</f>
        <v>October</v>
      </c>
      <c r="T2223" s="34" t="str">
        <f>TEXT(Table1[[#This Row],[End Date]],"YYYY")</f>
        <v>2026</v>
      </c>
      <c r="U2223" s="24">
        <f t="shared" ca="1" si="90"/>
        <v>-1175</v>
      </c>
      <c r="V2223" s="14" t="str" cm="1">
        <f t="array" aca="1" ref="V2223" ca="1">_xlfn.IFS(Table1[[#This Row],[Agreement Days]]&gt;=0,"Expired",Table1[[#This Row],[Agreement Days]]&gt;=-30,"Expires &lt; 30 Days",Table1[[#This Row],[Agreement Days]]&gt;=-60,"Expires &lt; 60 Days",Table1[[#This Row],[Agreement Days]]&lt;-60,"Valid Contract")</f>
        <v>Valid Contract</v>
      </c>
      <c r="W2223" s="69" t="s">
        <v>21</v>
      </c>
      <c r="X2223" s="69" t="s">
        <v>3677</v>
      </c>
      <c r="Y2223" s="51" t="s">
        <v>3678</v>
      </c>
      <c r="Z2223" s="27">
        <v>788649898</v>
      </c>
      <c r="AA2223" s="27"/>
      <c r="AB2223" s="116"/>
      <c r="AC2223" s="116"/>
    </row>
    <row r="2224" spans="1:29" hidden="1" x14ac:dyDescent="0.3">
      <c r="A2224" s="18" t="s">
        <v>3675</v>
      </c>
      <c r="B2224" s="18" t="s">
        <v>199</v>
      </c>
      <c r="C2224" s="18" t="s">
        <v>3676</v>
      </c>
      <c r="D2224" s="14" t="s">
        <v>653</v>
      </c>
      <c r="E2224" s="18" t="s">
        <v>9</v>
      </c>
      <c r="F2224" s="14" t="s">
        <v>688</v>
      </c>
      <c r="G2224" s="14" t="s">
        <v>546</v>
      </c>
      <c r="H2224" s="18" t="s">
        <v>4</v>
      </c>
      <c r="I2224" s="14" t="s">
        <v>118</v>
      </c>
      <c r="J2224" s="18"/>
      <c r="K2224" s="18" t="s">
        <v>650</v>
      </c>
      <c r="L2224" s="18"/>
      <c r="M2224" s="14">
        <v>1</v>
      </c>
      <c r="N2224" s="15">
        <v>369325</v>
      </c>
      <c r="O2224" s="15">
        <f t="shared" si="89"/>
        <v>369325</v>
      </c>
      <c r="P2224" s="15"/>
      <c r="Q2224" s="14" t="s">
        <v>520</v>
      </c>
      <c r="R2224" s="25">
        <v>46308</v>
      </c>
      <c r="S2224" s="34" t="str">
        <f>TEXT(Table1[[#This Row],[End Date]],"MMMM")</f>
        <v>October</v>
      </c>
      <c r="T2224" s="34" t="str">
        <f>TEXT(Table1[[#This Row],[End Date]],"YYYY")</f>
        <v>2026</v>
      </c>
      <c r="U2224" s="24">
        <f t="shared" ca="1" si="90"/>
        <v>-1175</v>
      </c>
      <c r="V2224" s="14" t="str" cm="1">
        <f t="array" aca="1" ref="V2224" ca="1">_xlfn.IFS(Table1[[#This Row],[Agreement Days]]&gt;=0,"Expired",Table1[[#This Row],[Agreement Days]]&gt;=-30,"Expires &lt; 30 Days",Table1[[#This Row],[Agreement Days]]&gt;=-60,"Expires &lt; 60 Days",Table1[[#This Row],[Agreement Days]]&lt;-60,"Valid Contract")</f>
        <v>Valid Contract</v>
      </c>
      <c r="W2224" s="18" t="s">
        <v>21</v>
      </c>
      <c r="X2224" s="18" t="s">
        <v>3677</v>
      </c>
      <c r="Y2224" s="42" t="s">
        <v>3678</v>
      </c>
      <c r="Z2224" s="27">
        <v>788649898</v>
      </c>
      <c r="AA2224" s="27"/>
      <c r="AB2224" s="116"/>
      <c r="AC2224" s="116"/>
    </row>
    <row r="2225" spans="1:29" hidden="1" x14ac:dyDescent="0.3">
      <c r="A2225" s="18" t="s">
        <v>3679</v>
      </c>
      <c r="B2225" s="18" t="s">
        <v>200</v>
      </c>
      <c r="C2225" s="18" t="s">
        <v>515</v>
      </c>
      <c r="D2225" s="14" t="s">
        <v>759</v>
      </c>
      <c r="E2225" s="18" t="s">
        <v>9</v>
      </c>
      <c r="F2225" s="14" t="s">
        <v>517</v>
      </c>
      <c r="G2225" s="14" t="s">
        <v>518</v>
      </c>
      <c r="H2225" s="18" t="s">
        <v>5</v>
      </c>
      <c r="I2225" s="14" t="s">
        <v>117</v>
      </c>
      <c r="J2225" s="14">
        <v>3</v>
      </c>
      <c r="K2225" s="18" t="s">
        <v>646</v>
      </c>
      <c r="L2225" s="18"/>
      <c r="M2225" s="14">
        <v>1</v>
      </c>
      <c r="N2225" s="15">
        <v>180000</v>
      </c>
      <c r="O2225" s="15">
        <f t="shared" si="89"/>
        <v>180000</v>
      </c>
      <c r="P2225" s="15"/>
      <c r="Q2225" s="14" t="s">
        <v>520</v>
      </c>
      <c r="R2225" s="25">
        <v>46326</v>
      </c>
      <c r="S2225" s="34" t="str">
        <f>TEXT(Table1[[#This Row],[End Date]],"MMMM")</f>
        <v>October</v>
      </c>
      <c r="T2225" s="34" t="str">
        <f>TEXT(Table1[[#This Row],[End Date]],"YYYY")</f>
        <v>2026</v>
      </c>
      <c r="U2225" s="24">
        <f t="shared" ca="1" si="90"/>
        <v>-1193</v>
      </c>
      <c r="V2225" s="14" t="str" cm="1">
        <f t="array" aca="1" ref="V2225" ca="1">_xlfn.IFS(Table1[[#This Row],[Agreement Days]]&gt;=0,"Expired",Table1[[#This Row],[Agreement Days]]&gt;=-30,"Expires &lt; 30 Days",Table1[[#This Row],[Agreement Days]]&gt;=-60,"Expires &lt; 60 Days",Table1[[#This Row],[Agreement Days]]&lt;-60,"Valid Contract")</f>
        <v>Valid Contract</v>
      </c>
      <c r="W2225" s="18" t="s">
        <v>18</v>
      </c>
      <c r="X2225" s="18" t="s">
        <v>3680</v>
      </c>
      <c r="Y2225" s="35" t="s">
        <v>3681</v>
      </c>
      <c r="Z2225" s="36" t="s">
        <v>3682</v>
      </c>
      <c r="AA2225" s="27"/>
      <c r="AB2225" s="116"/>
      <c r="AC2225" s="116"/>
    </row>
    <row r="2226" spans="1:29" hidden="1" x14ac:dyDescent="0.3">
      <c r="A2226" s="18" t="s">
        <v>3679</v>
      </c>
      <c r="B2226" s="18" t="s">
        <v>200</v>
      </c>
      <c r="C2226" s="18" t="s">
        <v>544</v>
      </c>
      <c r="D2226" s="14" t="s">
        <v>759</v>
      </c>
      <c r="E2226" s="18" t="s">
        <v>9</v>
      </c>
      <c r="F2226" s="14" t="s">
        <v>517</v>
      </c>
      <c r="G2226" s="14" t="s">
        <v>518</v>
      </c>
      <c r="H2226" s="18" t="s">
        <v>5</v>
      </c>
      <c r="I2226" s="14" t="s">
        <v>117</v>
      </c>
      <c r="J2226" s="14">
        <v>10</v>
      </c>
      <c r="K2226" s="14" t="s">
        <v>547</v>
      </c>
      <c r="L2226" s="18"/>
      <c r="M2226" s="14">
        <v>1</v>
      </c>
      <c r="N2226" s="15">
        <v>510000</v>
      </c>
      <c r="O2226" s="15">
        <f t="shared" si="89"/>
        <v>510000</v>
      </c>
      <c r="P2226" s="15"/>
      <c r="Q2226" s="14" t="s">
        <v>520</v>
      </c>
      <c r="R2226" s="25">
        <v>46326</v>
      </c>
      <c r="S2226" s="34" t="str">
        <f>TEXT(Table1[[#This Row],[End Date]],"MMMM")</f>
        <v>October</v>
      </c>
      <c r="T2226" s="34" t="str">
        <f>TEXT(Table1[[#This Row],[End Date]],"YYYY")</f>
        <v>2026</v>
      </c>
      <c r="U2226" s="24">
        <f t="shared" ca="1" si="90"/>
        <v>-1193</v>
      </c>
      <c r="V2226" s="14" t="str" cm="1">
        <f t="array" aca="1" ref="V2226" ca="1">_xlfn.IFS(Table1[[#This Row],[Agreement Days]]&gt;=0,"Expired",Table1[[#This Row],[Agreement Days]]&gt;=-30,"Expires &lt; 30 Days",Table1[[#This Row],[Agreement Days]]&gt;=-60,"Expires &lt; 60 Days",Table1[[#This Row],[Agreement Days]]&lt;-60,"Valid Contract")</f>
        <v>Valid Contract</v>
      </c>
      <c r="W2226" s="18" t="s">
        <v>18</v>
      </c>
      <c r="X2226" s="18" t="s">
        <v>3680</v>
      </c>
      <c r="Y2226" s="35" t="s">
        <v>3681</v>
      </c>
      <c r="Z2226" s="36" t="s">
        <v>3682</v>
      </c>
      <c r="AA2226" s="36"/>
      <c r="AB2226" s="116"/>
      <c r="AC2226" s="116"/>
    </row>
    <row r="2227" spans="1:29" hidden="1" x14ac:dyDescent="0.3">
      <c r="A2227" s="18" t="s">
        <v>3679</v>
      </c>
      <c r="B2227" s="18" t="s">
        <v>200</v>
      </c>
      <c r="C2227" s="18" t="s">
        <v>544</v>
      </c>
      <c r="D2227" s="14" t="s">
        <v>759</v>
      </c>
      <c r="E2227" s="18" t="s">
        <v>9</v>
      </c>
      <c r="F2227" s="14" t="s">
        <v>517</v>
      </c>
      <c r="G2227" s="14" t="s">
        <v>518</v>
      </c>
      <c r="H2227" s="18" t="s">
        <v>4</v>
      </c>
      <c r="I2227" s="14" t="s">
        <v>118</v>
      </c>
      <c r="J2227" s="18"/>
      <c r="K2227" s="18" t="s">
        <v>650</v>
      </c>
      <c r="L2227" s="18"/>
      <c r="M2227" s="14">
        <v>1</v>
      </c>
      <c r="N2227" s="15">
        <v>369325.42</v>
      </c>
      <c r="O2227" s="15">
        <f t="shared" si="89"/>
        <v>369325.42</v>
      </c>
      <c r="P2227" s="15"/>
      <c r="Q2227" s="14" t="s">
        <v>520</v>
      </c>
      <c r="R2227" s="25">
        <v>46326</v>
      </c>
      <c r="S2227" s="34" t="str">
        <f>TEXT(Table1[[#This Row],[End Date]],"MMMM")</f>
        <v>October</v>
      </c>
      <c r="T2227" s="34" t="str">
        <f>TEXT(Table1[[#This Row],[End Date]],"YYYY")</f>
        <v>2026</v>
      </c>
      <c r="U2227" s="24">
        <f t="shared" ca="1" si="90"/>
        <v>-1193</v>
      </c>
      <c r="V2227" s="14" t="str" cm="1">
        <f t="array" aca="1" ref="V2227" ca="1">_xlfn.IFS(Table1[[#This Row],[Agreement Days]]&gt;=0,"Expired",Table1[[#This Row],[Agreement Days]]&gt;=-30,"Expires &lt; 30 Days",Table1[[#This Row],[Agreement Days]]&gt;=-60,"Expires &lt; 60 Days",Table1[[#This Row],[Agreement Days]]&lt;-60,"Valid Contract")</f>
        <v>Valid Contract</v>
      </c>
      <c r="W2227" s="18" t="s">
        <v>18</v>
      </c>
      <c r="X2227" s="18" t="s">
        <v>3680</v>
      </c>
      <c r="Y2227" s="35" t="s">
        <v>3681</v>
      </c>
      <c r="Z2227" s="36" t="s">
        <v>3682</v>
      </c>
      <c r="AA2227" s="27"/>
      <c r="AB2227" s="116"/>
      <c r="AC2227" s="116"/>
    </row>
    <row r="2228" spans="1:29" hidden="1" x14ac:dyDescent="0.3">
      <c r="A2228" s="18" t="s">
        <v>3679</v>
      </c>
      <c r="B2228" s="18" t="s">
        <v>200</v>
      </c>
      <c r="C2228" s="18" t="s">
        <v>544</v>
      </c>
      <c r="D2228" s="14" t="s">
        <v>759</v>
      </c>
      <c r="E2228" s="18" t="s">
        <v>9</v>
      </c>
      <c r="F2228" s="14" t="s">
        <v>517</v>
      </c>
      <c r="G2228" s="14" t="s">
        <v>518</v>
      </c>
      <c r="H2228" s="18" t="s">
        <v>5</v>
      </c>
      <c r="I2228" s="14" t="s">
        <v>115</v>
      </c>
      <c r="J2228" s="18"/>
      <c r="K2228" s="18" t="s">
        <v>642</v>
      </c>
      <c r="L2228" s="18"/>
      <c r="M2228" s="14">
        <v>3</v>
      </c>
      <c r="N2228" s="15">
        <v>101694.92</v>
      </c>
      <c r="O2228" s="15">
        <f t="shared" si="89"/>
        <v>305084.76</v>
      </c>
      <c r="P2228" s="15"/>
      <c r="Q2228" s="14" t="s">
        <v>520</v>
      </c>
      <c r="R2228" s="25">
        <v>46356</v>
      </c>
      <c r="S2228" s="34" t="str">
        <f>TEXT(Table1[[#This Row],[End Date]],"MMMM")</f>
        <v>November</v>
      </c>
      <c r="T2228" s="34" t="str">
        <f>TEXT(Table1[[#This Row],[End Date]],"YYYY")</f>
        <v>2026</v>
      </c>
      <c r="U2228" s="24">
        <f t="shared" ca="1" si="90"/>
        <v>-1223</v>
      </c>
      <c r="V2228" s="14" t="str" cm="1">
        <f t="array" aca="1" ref="V2228" ca="1">_xlfn.IFS(Table1[[#This Row],[Agreement Days]]&gt;=0,"Expired",Table1[[#This Row],[Agreement Days]]&gt;=-30,"Expires &lt; 30 Days",Table1[[#This Row],[Agreement Days]]&gt;=-60,"Expires &lt; 60 Days",Table1[[#This Row],[Agreement Days]]&lt;-60,"Valid Contract")</f>
        <v>Valid Contract</v>
      </c>
      <c r="W2228" s="18" t="s">
        <v>18</v>
      </c>
      <c r="X2228" s="18" t="s">
        <v>3680</v>
      </c>
      <c r="Y2228" s="35" t="s">
        <v>3681</v>
      </c>
      <c r="Z2228" s="36" t="s">
        <v>3682</v>
      </c>
      <c r="AA2228" s="27"/>
      <c r="AB2228" s="116"/>
      <c r="AC2228" s="116"/>
    </row>
    <row r="2229" spans="1:29" hidden="1" x14ac:dyDescent="0.3">
      <c r="A2229" s="18" t="s">
        <v>3679</v>
      </c>
      <c r="B2229" s="18" t="s">
        <v>200</v>
      </c>
      <c r="C2229" s="18" t="s">
        <v>544</v>
      </c>
      <c r="D2229" s="14" t="s">
        <v>759</v>
      </c>
      <c r="E2229" s="18" t="s">
        <v>9</v>
      </c>
      <c r="F2229" s="14" t="s">
        <v>517</v>
      </c>
      <c r="G2229" s="14" t="s">
        <v>518</v>
      </c>
      <c r="H2229" s="18" t="s">
        <v>5</v>
      </c>
      <c r="I2229" s="14" t="s">
        <v>115</v>
      </c>
      <c r="J2229" s="18"/>
      <c r="K2229" s="18" t="s">
        <v>651</v>
      </c>
      <c r="L2229" s="18"/>
      <c r="M2229" s="14">
        <v>12</v>
      </c>
      <c r="N2229" s="15">
        <f>96000/1.18</f>
        <v>81355.932203389835</v>
      </c>
      <c r="O2229" s="15">
        <f t="shared" si="89"/>
        <v>976271.18644067808</v>
      </c>
      <c r="P2229" s="15"/>
      <c r="Q2229" s="14" t="s">
        <v>520</v>
      </c>
      <c r="R2229" s="25">
        <v>46356</v>
      </c>
      <c r="S2229" s="34" t="str">
        <f>TEXT(Table1[[#This Row],[End Date]],"MMMM")</f>
        <v>November</v>
      </c>
      <c r="T2229" s="34" t="str">
        <f>TEXT(Table1[[#This Row],[End Date]],"YYYY")</f>
        <v>2026</v>
      </c>
      <c r="U2229" s="24">
        <f t="shared" ca="1" si="90"/>
        <v>-1223</v>
      </c>
      <c r="V2229" s="14" t="str" cm="1">
        <f t="array" aca="1" ref="V2229" ca="1">_xlfn.IFS(Table1[[#This Row],[Agreement Days]]&gt;=0,"Expired",Table1[[#This Row],[Agreement Days]]&gt;=-30,"Expires &lt; 30 Days",Table1[[#This Row],[Agreement Days]]&gt;=-60,"Expires &lt; 60 Days",Table1[[#This Row],[Agreement Days]]&lt;-60,"Valid Contract")</f>
        <v>Valid Contract</v>
      </c>
      <c r="W2229" s="18" t="s">
        <v>18</v>
      </c>
      <c r="X2229" s="18" t="s">
        <v>3680</v>
      </c>
      <c r="Y2229" s="35" t="s">
        <v>3681</v>
      </c>
      <c r="Z2229" s="36" t="s">
        <v>3682</v>
      </c>
      <c r="AA2229" s="27"/>
      <c r="AB2229" s="116"/>
      <c r="AC2229" s="116"/>
    </row>
    <row r="2230" spans="1:29" hidden="1" x14ac:dyDescent="0.3">
      <c r="A2230" s="18" t="s">
        <v>3679</v>
      </c>
      <c r="B2230" s="18" t="s">
        <v>200</v>
      </c>
      <c r="C2230" s="18" t="s">
        <v>544</v>
      </c>
      <c r="D2230" s="14" t="s">
        <v>759</v>
      </c>
      <c r="E2230" s="18" t="s">
        <v>9</v>
      </c>
      <c r="F2230" s="14" t="s">
        <v>517</v>
      </c>
      <c r="G2230" s="14" t="s">
        <v>518</v>
      </c>
      <c r="H2230" s="18" t="s">
        <v>5</v>
      </c>
      <c r="I2230" s="14" t="s">
        <v>115</v>
      </c>
      <c r="J2230" s="18"/>
      <c r="K2230" s="18" t="s">
        <v>573</v>
      </c>
      <c r="L2230" s="18"/>
      <c r="M2230" s="14">
        <v>65</v>
      </c>
      <c r="N2230" s="15">
        <v>19491.53</v>
      </c>
      <c r="O2230" s="15">
        <f t="shared" si="89"/>
        <v>1266949.45</v>
      </c>
      <c r="P2230" s="15"/>
      <c r="Q2230" s="14" t="s">
        <v>520</v>
      </c>
      <c r="R2230" s="25">
        <v>46356</v>
      </c>
      <c r="S2230" s="34" t="str">
        <f>TEXT(Table1[[#This Row],[End Date]],"MMMM")</f>
        <v>November</v>
      </c>
      <c r="T2230" s="34" t="str">
        <f>TEXT(Table1[[#This Row],[End Date]],"YYYY")</f>
        <v>2026</v>
      </c>
      <c r="U2230" s="24">
        <f t="shared" ca="1" si="90"/>
        <v>-1223</v>
      </c>
      <c r="V2230" s="14" t="str" cm="1">
        <f t="array" aca="1" ref="V2230" ca="1">_xlfn.IFS(Table1[[#This Row],[Agreement Days]]&gt;=0,"Expired",Table1[[#This Row],[Agreement Days]]&gt;=-30,"Expires &lt; 30 Days",Table1[[#This Row],[Agreement Days]]&gt;=-60,"Expires &lt; 60 Days",Table1[[#This Row],[Agreement Days]]&lt;-60,"Valid Contract")</f>
        <v>Valid Contract</v>
      </c>
      <c r="W2230" s="18" t="s">
        <v>18</v>
      </c>
      <c r="X2230" s="18" t="s">
        <v>3680</v>
      </c>
      <c r="Y2230" s="35" t="s">
        <v>3681</v>
      </c>
      <c r="Z2230" s="36" t="s">
        <v>3682</v>
      </c>
      <c r="AA2230" s="27"/>
      <c r="AB2230" s="116"/>
      <c r="AC2230" s="116"/>
    </row>
    <row r="2231" spans="1:29" hidden="1" x14ac:dyDescent="0.3">
      <c r="A2231" s="18" t="s">
        <v>3683</v>
      </c>
      <c r="B2231" s="18" t="s">
        <v>173</v>
      </c>
      <c r="C2231" s="18" t="s">
        <v>3684</v>
      </c>
      <c r="D2231" s="14" t="s">
        <v>848</v>
      </c>
      <c r="E2231" s="18" t="s">
        <v>9</v>
      </c>
      <c r="F2231" s="14" t="s">
        <v>517</v>
      </c>
      <c r="G2231" s="14" t="s">
        <v>518</v>
      </c>
      <c r="H2231" s="18" t="s">
        <v>5</v>
      </c>
      <c r="I2231" s="14" t="s">
        <v>117</v>
      </c>
      <c r="J2231" s="14">
        <v>1</v>
      </c>
      <c r="K2231" s="14" t="s">
        <v>816</v>
      </c>
      <c r="L2231" s="14"/>
      <c r="M2231" s="14">
        <v>1</v>
      </c>
      <c r="N2231" s="15">
        <v>90000</v>
      </c>
      <c r="O2231" s="15">
        <f t="shared" si="89"/>
        <v>90000</v>
      </c>
      <c r="P2231" s="15"/>
      <c r="Q2231" s="14" t="s">
        <v>520</v>
      </c>
      <c r="R2231" s="21">
        <v>46386</v>
      </c>
      <c r="S2231" s="22" t="str">
        <f>TEXT(Table1[[#This Row],[End Date]],"MMMM")</f>
        <v>December</v>
      </c>
      <c r="T2231" s="23" t="str">
        <f>TEXT(Table1[[#This Row],[End Date]],"YYYY")</f>
        <v>2026</v>
      </c>
      <c r="U2231" s="24">
        <f t="shared" ca="1" si="90"/>
        <v>-1253</v>
      </c>
      <c r="V2231" s="14" t="str" cm="1">
        <f t="array" aca="1" ref="V2231" ca="1">_xlfn.IFS(Table1[[#This Row],[Agreement Days]]&gt;=0,"Expired",Table1[[#This Row],[Agreement Days]]&gt;=-30,"Expires &lt; 30 Days",Table1[[#This Row],[Agreement Days]]&gt;=-60,"Expires &lt; 60 Days",Table1[[#This Row],[Agreement Days]]&lt;-60,"Valid Contract")</f>
        <v>Valid Contract</v>
      </c>
      <c r="W2231" s="14" t="s">
        <v>19</v>
      </c>
      <c r="X2231" s="14" t="s">
        <v>3685</v>
      </c>
      <c r="Y2231" s="14" t="s">
        <v>3686</v>
      </c>
      <c r="Z2231" s="17">
        <v>783407484</v>
      </c>
      <c r="AA2231" s="17"/>
      <c r="AB2231" s="116"/>
      <c r="AC2231" s="116"/>
    </row>
    <row r="2232" spans="1:29" hidden="1" x14ac:dyDescent="0.3">
      <c r="A2232" s="18" t="s">
        <v>3683</v>
      </c>
      <c r="B2232" s="18" t="s">
        <v>173</v>
      </c>
      <c r="C2232" s="18" t="s">
        <v>3684</v>
      </c>
      <c r="D2232" s="14" t="s">
        <v>848</v>
      </c>
      <c r="E2232" s="18" t="s">
        <v>9</v>
      </c>
      <c r="F2232" s="14" t="s">
        <v>517</v>
      </c>
      <c r="G2232" s="14" t="s">
        <v>518</v>
      </c>
      <c r="H2232" s="18" t="s">
        <v>5</v>
      </c>
      <c r="I2232" s="14" t="s">
        <v>117</v>
      </c>
      <c r="J2232" s="14">
        <v>1</v>
      </c>
      <c r="K2232" s="14" t="s">
        <v>816</v>
      </c>
      <c r="L2232" s="14"/>
      <c r="M2232" s="14">
        <v>1</v>
      </c>
      <c r="N2232" s="15">
        <v>90000</v>
      </c>
      <c r="O2232" s="15">
        <f t="shared" si="89"/>
        <v>90000</v>
      </c>
      <c r="P2232" s="15"/>
      <c r="Q2232" s="14" t="s">
        <v>520</v>
      </c>
      <c r="R2232" s="21">
        <v>46386</v>
      </c>
      <c r="S2232" s="22" t="str">
        <f>TEXT(Table1[[#This Row],[End Date]],"MMMM")</f>
        <v>December</v>
      </c>
      <c r="T2232" s="23" t="str">
        <f>TEXT(Table1[[#This Row],[End Date]],"YYYY")</f>
        <v>2026</v>
      </c>
      <c r="U2232" s="24">
        <f t="shared" ca="1" si="90"/>
        <v>-1253</v>
      </c>
      <c r="V2232" s="14" t="str" cm="1">
        <f t="array" aca="1" ref="V2232" ca="1">_xlfn.IFS(Table1[[#This Row],[Agreement Days]]&gt;=0,"Expired",Table1[[#This Row],[Agreement Days]]&gt;=-30,"Expires &lt; 30 Days",Table1[[#This Row],[Agreement Days]]&gt;=-60,"Expires &lt; 60 Days",Table1[[#This Row],[Agreement Days]]&lt;-60,"Valid Contract")</f>
        <v>Valid Contract</v>
      </c>
      <c r="W2232" s="14" t="s">
        <v>19</v>
      </c>
      <c r="X2232" s="14" t="s">
        <v>3685</v>
      </c>
      <c r="Y2232" s="14" t="s">
        <v>3686</v>
      </c>
      <c r="Z2232" s="17">
        <v>783407484</v>
      </c>
      <c r="AA2232" s="17"/>
      <c r="AB2232" s="116"/>
      <c r="AC2232" s="116"/>
    </row>
    <row r="2233" spans="1:29" hidden="1" x14ac:dyDescent="0.3">
      <c r="A2233" s="18" t="s">
        <v>3683</v>
      </c>
      <c r="B2233" s="18" t="s">
        <v>173</v>
      </c>
      <c r="C2233" s="18" t="s">
        <v>3684</v>
      </c>
      <c r="D2233" s="14" t="s">
        <v>848</v>
      </c>
      <c r="E2233" s="18" t="s">
        <v>9</v>
      </c>
      <c r="F2233" s="14" t="s">
        <v>517</v>
      </c>
      <c r="G2233" s="14" t="s">
        <v>518</v>
      </c>
      <c r="H2233" s="18" t="s">
        <v>5</v>
      </c>
      <c r="I2233" s="14" t="s">
        <v>117</v>
      </c>
      <c r="J2233" s="14">
        <v>1</v>
      </c>
      <c r="K2233" s="14" t="s">
        <v>816</v>
      </c>
      <c r="L2233" s="14"/>
      <c r="M2233" s="14">
        <v>1</v>
      </c>
      <c r="N2233" s="15">
        <v>90000</v>
      </c>
      <c r="O2233" s="15">
        <f t="shared" si="89"/>
        <v>90000</v>
      </c>
      <c r="P2233" s="15"/>
      <c r="Q2233" s="14" t="s">
        <v>520</v>
      </c>
      <c r="R2233" s="21">
        <v>46386</v>
      </c>
      <c r="S2233" s="22" t="str">
        <f>TEXT(Table1[[#This Row],[End Date]],"MMMM")</f>
        <v>December</v>
      </c>
      <c r="T2233" s="23" t="str">
        <f>TEXT(Table1[[#This Row],[End Date]],"YYYY")</f>
        <v>2026</v>
      </c>
      <c r="U2233" s="24">
        <f t="shared" ca="1" si="90"/>
        <v>-1253</v>
      </c>
      <c r="V2233" s="14" t="str" cm="1">
        <f t="array" aca="1" ref="V2233" ca="1">_xlfn.IFS(Table1[[#This Row],[Agreement Days]]&gt;=0,"Expired",Table1[[#This Row],[Agreement Days]]&gt;=-30,"Expires &lt; 30 Days",Table1[[#This Row],[Agreement Days]]&gt;=-60,"Expires &lt; 60 Days",Table1[[#This Row],[Agreement Days]]&lt;-60,"Valid Contract")</f>
        <v>Valid Contract</v>
      </c>
      <c r="W2233" s="14" t="s">
        <v>19</v>
      </c>
      <c r="X2233" s="14" t="s">
        <v>3685</v>
      </c>
      <c r="Y2233" s="14" t="s">
        <v>3686</v>
      </c>
      <c r="Z2233" s="17">
        <v>783407484</v>
      </c>
      <c r="AA2233" s="17"/>
      <c r="AB2233" s="116"/>
      <c r="AC2233" s="116"/>
    </row>
    <row r="2234" spans="1:29" hidden="1" x14ac:dyDescent="0.3">
      <c r="A2234" s="18" t="s">
        <v>3683</v>
      </c>
      <c r="B2234" s="18" t="s">
        <v>173</v>
      </c>
      <c r="C2234" s="18" t="s">
        <v>3684</v>
      </c>
      <c r="D2234" s="14" t="s">
        <v>848</v>
      </c>
      <c r="E2234" s="18" t="s">
        <v>9</v>
      </c>
      <c r="F2234" s="14" t="s">
        <v>517</v>
      </c>
      <c r="G2234" s="14" t="s">
        <v>518</v>
      </c>
      <c r="H2234" s="18" t="s">
        <v>5</v>
      </c>
      <c r="I2234" s="14" t="s">
        <v>117</v>
      </c>
      <c r="J2234" s="14">
        <v>3</v>
      </c>
      <c r="K2234" s="14" t="s">
        <v>646</v>
      </c>
      <c r="L2234" s="14"/>
      <c r="M2234" s="14">
        <v>1</v>
      </c>
      <c r="N2234" s="15">
        <v>180000</v>
      </c>
      <c r="O2234" s="15">
        <f t="shared" si="89"/>
        <v>180000</v>
      </c>
      <c r="P2234" s="15"/>
      <c r="Q2234" s="14" t="s">
        <v>520</v>
      </c>
      <c r="R2234" s="21">
        <v>46386</v>
      </c>
      <c r="S2234" s="22" t="str">
        <f>TEXT(Table1[[#This Row],[End Date]],"MMMM")</f>
        <v>December</v>
      </c>
      <c r="T2234" s="23" t="str">
        <f>TEXT(Table1[[#This Row],[End Date]],"YYYY")</f>
        <v>2026</v>
      </c>
      <c r="U2234" s="24">
        <f t="shared" ca="1" si="90"/>
        <v>-1253</v>
      </c>
      <c r="V2234" s="14" t="str" cm="1">
        <f t="array" aca="1" ref="V2234" ca="1">_xlfn.IFS(Table1[[#This Row],[Agreement Days]]&gt;=0,"Expired",Table1[[#This Row],[Agreement Days]]&gt;=-30,"Expires &lt; 30 Days",Table1[[#This Row],[Agreement Days]]&gt;=-60,"Expires &lt; 60 Days",Table1[[#This Row],[Agreement Days]]&lt;-60,"Valid Contract")</f>
        <v>Valid Contract</v>
      </c>
      <c r="W2234" s="14" t="s">
        <v>19</v>
      </c>
      <c r="X2234" s="14" t="s">
        <v>3685</v>
      </c>
      <c r="Y2234" s="14" t="s">
        <v>3686</v>
      </c>
      <c r="Z2234" s="17">
        <v>783407484</v>
      </c>
      <c r="AA2234" s="17"/>
      <c r="AB2234" s="116"/>
      <c r="AC2234" s="116"/>
    </row>
    <row r="2235" spans="1:29" hidden="1" x14ac:dyDescent="0.3">
      <c r="A2235" s="18" t="s">
        <v>3683</v>
      </c>
      <c r="B2235" s="18" t="s">
        <v>173</v>
      </c>
      <c r="C2235" s="18" t="s">
        <v>3687</v>
      </c>
      <c r="D2235" s="14" t="s">
        <v>848</v>
      </c>
      <c r="E2235" s="18" t="s">
        <v>9</v>
      </c>
      <c r="F2235" s="14" t="s">
        <v>517</v>
      </c>
      <c r="G2235" s="14" t="s">
        <v>518</v>
      </c>
      <c r="H2235" s="18" t="s">
        <v>5</v>
      </c>
      <c r="I2235" s="14" t="s">
        <v>115</v>
      </c>
      <c r="J2235" s="14"/>
      <c r="K2235" s="18" t="s">
        <v>651</v>
      </c>
      <c r="L2235" s="14"/>
      <c r="M2235" s="14">
        <v>1</v>
      </c>
      <c r="N2235" s="15">
        <f>96000/1.18</f>
        <v>81355.932203389835</v>
      </c>
      <c r="O2235" s="15">
        <f t="shared" si="89"/>
        <v>81355.932203389835</v>
      </c>
      <c r="P2235" s="15"/>
      <c r="Q2235" s="14" t="s">
        <v>520</v>
      </c>
      <c r="R2235" s="21">
        <v>46386</v>
      </c>
      <c r="S2235" s="22" t="str">
        <f>TEXT(Table1[[#This Row],[End Date]],"MMMM")</f>
        <v>December</v>
      </c>
      <c r="T2235" s="23" t="str">
        <f>TEXT(Table1[[#This Row],[End Date]],"YYYY")</f>
        <v>2026</v>
      </c>
      <c r="U2235" s="24">
        <f t="shared" ca="1" si="90"/>
        <v>-1253</v>
      </c>
      <c r="V2235" s="14" t="str" cm="1">
        <f t="array" aca="1" ref="V2235" ca="1">_xlfn.IFS(Table1[[#This Row],[Agreement Days]]&gt;=0,"Expired",Table1[[#This Row],[Agreement Days]]&gt;=-30,"Expires &lt; 30 Days",Table1[[#This Row],[Agreement Days]]&gt;=-60,"Expires &lt; 60 Days",Table1[[#This Row],[Agreement Days]]&lt;-60,"Valid Contract")</f>
        <v>Valid Contract</v>
      </c>
      <c r="W2235" s="14" t="s">
        <v>19</v>
      </c>
      <c r="X2235" s="14" t="s">
        <v>3685</v>
      </c>
      <c r="Y2235" s="14" t="s">
        <v>3686</v>
      </c>
      <c r="Z2235" s="17">
        <v>783407484</v>
      </c>
      <c r="AA2235" s="17"/>
      <c r="AB2235" s="116"/>
      <c r="AC2235" s="116"/>
    </row>
    <row r="2236" spans="1:29" hidden="1" x14ac:dyDescent="0.3">
      <c r="A2236" s="18" t="s">
        <v>3683</v>
      </c>
      <c r="B2236" s="18" t="s">
        <v>173</v>
      </c>
      <c r="C2236" s="18" t="s">
        <v>3688</v>
      </c>
      <c r="D2236" s="14" t="s">
        <v>848</v>
      </c>
      <c r="E2236" s="18" t="s">
        <v>9</v>
      </c>
      <c r="F2236" s="14" t="s">
        <v>517</v>
      </c>
      <c r="G2236" s="14" t="s">
        <v>518</v>
      </c>
      <c r="H2236" s="18" t="s">
        <v>2</v>
      </c>
      <c r="I2236" s="14" t="s">
        <v>120</v>
      </c>
      <c r="J2236" s="14"/>
      <c r="K2236" s="14" t="s">
        <v>649</v>
      </c>
      <c r="L2236" s="14"/>
      <c r="M2236" s="14">
        <v>1</v>
      </c>
      <c r="N2236" s="15">
        <v>258044</v>
      </c>
      <c r="O2236" s="15">
        <f t="shared" si="89"/>
        <v>258044</v>
      </c>
      <c r="P2236" s="15"/>
      <c r="Q2236" s="14" t="s">
        <v>520</v>
      </c>
      <c r="R2236" s="21">
        <v>46386</v>
      </c>
      <c r="S2236" s="22" t="str">
        <f>TEXT(Table1[[#This Row],[End Date]],"MMMM")</f>
        <v>December</v>
      </c>
      <c r="T2236" s="23" t="str">
        <f>TEXT(Table1[[#This Row],[End Date]],"YYYY")</f>
        <v>2026</v>
      </c>
      <c r="U2236" s="24">
        <f t="shared" ca="1" si="90"/>
        <v>-1253</v>
      </c>
      <c r="V2236" s="14" t="str" cm="1">
        <f t="array" aca="1" ref="V2236" ca="1">_xlfn.IFS(Table1[[#This Row],[Agreement Days]]&gt;=0,"Expired",Table1[[#This Row],[Agreement Days]]&gt;=-30,"Expires &lt; 30 Days",Table1[[#This Row],[Agreement Days]]&gt;=-60,"Expires &lt; 60 Days",Table1[[#This Row],[Agreement Days]]&lt;-60,"Valid Contract")</f>
        <v>Valid Contract</v>
      </c>
      <c r="W2236" s="14" t="s">
        <v>19</v>
      </c>
      <c r="X2236" s="14" t="s">
        <v>3685</v>
      </c>
      <c r="Y2236" s="14" t="s">
        <v>3686</v>
      </c>
      <c r="Z2236" s="17">
        <v>783407484</v>
      </c>
      <c r="AA2236" s="17"/>
      <c r="AB2236" s="116"/>
      <c r="AC2236" s="116"/>
    </row>
    <row r="2237" spans="1:29" hidden="1" x14ac:dyDescent="0.3">
      <c r="A2237" s="18" t="s">
        <v>3683</v>
      </c>
      <c r="B2237" s="18" t="s">
        <v>173</v>
      </c>
      <c r="C2237" s="18" t="s">
        <v>3688</v>
      </c>
      <c r="D2237" s="14" t="s">
        <v>848</v>
      </c>
      <c r="E2237" s="18" t="s">
        <v>9</v>
      </c>
      <c r="F2237" s="14" t="s">
        <v>517</v>
      </c>
      <c r="G2237" s="14" t="s">
        <v>518</v>
      </c>
      <c r="H2237" s="18" t="s">
        <v>4</v>
      </c>
      <c r="I2237" s="14" t="s">
        <v>118</v>
      </c>
      <c r="J2237" s="14"/>
      <c r="K2237" s="14" t="s">
        <v>650</v>
      </c>
      <c r="L2237" s="14"/>
      <c r="M2237" s="14">
        <v>1</v>
      </c>
      <c r="N2237" s="15">
        <v>369325</v>
      </c>
      <c r="O2237" s="15">
        <f t="shared" si="89"/>
        <v>369325</v>
      </c>
      <c r="P2237" s="15"/>
      <c r="Q2237" s="14" t="s">
        <v>520</v>
      </c>
      <c r="R2237" s="21">
        <v>46386</v>
      </c>
      <c r="S2237" s="22" t="str">
        <f>TEXT(Table1[[#This Row],[End Date]],"MMMM")</f>
        <v>December</v>
      </c>
      <c r="T2237" s="23" t="str">
        <f>TEXT(Table1[[#This Row],[End Date]],"YYYY")</f>
        <v>2026</v>
      </c>
      <c r="U2237" s="24">
        <f t="shared" ca="1" si="90"/>
        <v>-1253</v>
      </c>
      <c r="V2237" s="14" t="str" cm="1">
        <f t="array" aca="1" ref="V2237" ca="1">_xlfn.IFS(Table1[[#This Row],[Agreement Days]]&gt;=0,"Expired",Table1[[#This Row],[Agreement Days]]&gt;=-30,"Expires &lt; 30 Days",Table1[[#This Row],[Agreement Days]]&gt;=-60,"Expires &lt; 60 Days",Table1[[#This Row],[Agreement Days]]&lt;-60,"Valid Contract")</f>
        <v>Valid Contract</v>
      </c>
      <c r="W2237" s="14" t="s">
        <v>19</v>
      </c>
      <c r="X2237" s="14" t="s">
        <v>3685</v>
      </c>
      <c r="Y2237" s="14" t="s">
        <v>3686</v>
      </c>
      <c r="Z2237" s="17">
        <v>783407484</v>
      </c>
      <c r="AA2237" s="17"/>
      <c r="AB2237" s="116"/>
      <c r="AC2237" s="116"/>
    </row>
    <row r="2238" spans="1:29" hidden="1" x14ac:dyDescent="0.3">
      <c r="A2238" s="18" t="s">
        <v>3683</v>
      </c>
      <c r="B2238" s="18" t="s">
        <v>173</v>
      </c>
      <c r="C2238" s="18" t="s">
        <v>3687</v>
      </c>
      <c r="D2238" s="14" t="s">
        <v>848</v>
      </c>
      <c r="E2238" s="18" t="s">
        <v>9</v>
      </c>
      <c r="F2238" s="14" t="s">
        <v>517</v>
      </c>
      <c r="G2238" s="14" t="s">
        <v>518</v>
      </c>
      <c r="H2238" s="18" t="s">
        <v>5</v>
      </c>
      <c r="I2238" s="14" t="s">
        <v>115</v>
      </c>
      <c r="J2238" s="14"/>
      <c r="K2238" s="18" t="s">
        <v>651</v>
      </c>
      <c r="L2238" s="14"/>
      <c r="M2238" s="14">
        <v>1</v>
      </c>
      <c r="N2238" s="15">
        <f t="shared" ref="N2238:N2245" si="91">96000/1.18</f>
        <v>81355.932203389835</v>
      </c>
      <c r="O2238" s="15">
        <f t="shared" si="89"/>
        <v>81355.932203389835</v>
      </c>
      <c r="P2238" s="15"/>
      <c r="Q2238" s="14" t="s">
        <v>520</v>
      </c>
      <c r="R2238" s="21">
        <v>46386</v>
      </c>
      <c r="S2238" s="22" t="str">
        <f>TEXT(Table1[[#This Row],[End Date]],"MMMM")</f>
        <v>December</v>
      </c>
      <c r="T2238" s="23" t="str">
        <f>TEXT(Table1[[#This Row],[End Date]],"YYYY")</f>
        <v>2026</v>
      </c>
      <c r="U2238" s="24">
        <f t="shared" ca="1" si="90"/>
        <v>-1253</v>
      </c>
      <c r="V2238" s="14" t="str" cm="1">
        <f t="array" aca="1" ref="V2238" ca="1">_xlfn.IFS(Table1[[#This Row],[Agreement Days]]&gt;=0,"Expired",Table1[[#This Row],[Agreement Days]]&gt;=-30,"Expires &lt; 30 Days",Table1[[#This Row],[Agreement Days]]&gt;=-60,"Expires &lt; 60 Days",Table1[[#This Row],[Agreement Days]]&lt;-60,"Valid Contract")</f>
        <v>Valid Contract</v>
      </c>
      <c r="W2238" s="14" t="s">
        <v>19</v>
      </c>
      <c r="X2238" s="14" t="s">
        <v>3685</v>
      </c>
      <c r="Y2238" s="14" t="s">
        <v>3686</v>
      </c>
      <c r="Z2238" s="17">
        <v>783407484</v>
      </c>
      <c r="AA2238" s="17"/>
      <c r="AB2238" s="116"/>
      <c r="AC2238" s="116"/>
    </row>
    <row r="2239" spans="1:29" hidden="1" x14ac:dyDescent="0.3">
      <c r="A2239" s="18" t="s">
        <v>3683</v>
      </c>
      <c r="B2239" s="18" t="s">
        <v>173</v>
      </c>
      <c r="C2239" s="18" t="s">
        <v>3687</v>
      </c>
      <c r="D2239" s="14" t="s">
        <v>848</v>
      </c>
      <c r="E2239" s="18" t="s">
        <v>9</v>
      </c>
      <c r="F2239" s="14" t="s">
        <v>517</v>
      </c>
      <c r="G2239" s="14" t="s">
        <v>518</v>
      </c>
      <c r="H2239" s="18" t="s">
        <v>5</v>
      </c>
      <c r="I2239" s="14" t="s">
        <v>115</v>
      </c>
      <c r="J2239" s="14"/>
      <c r="K2239" s="18" t="s">
        <v>651</v>
      </c>
      <c r="L2239" s="14"/>
      <c r="M2239" s="14">
        <v>1</v>
      </c>
      <c r="N2239" s="15">
        <f t="shared" si="91"/>
        <v>81355.932203389835</v>
      </c>
      <c r="O2239" s="15">
        <f t="shared" si="89"/>
        <v>81355.932203389835</v>
      </c>
      <c r="P2239" s="15"/>
      <c r="Q2239" s="14" t="s">
        <v>520</v>
      </c>
      <c r="R2239" s="21">
        <v>46386</v>
      </c>
      <c r="S2239" s="22" t="str">
        <f>TEXT(Table1[[#This Row],[End Date]],"MMMM")</f>
        <v>December</v>
      </c>
      <c r="T2239" s="23" t="str">
        <f>TEXT(Table1[[#This Row],[End Date]],"YYYY")</f>
        <v>2026</v>
      </c>
      <c r="U2239" s="24">
        <f t="shared" ca="1" si="90"/>
        <v>-1253</v>
      </c>
      <c r="V2239" s="14" t="str" cm="1">
        <f t="array" aca="1" ref="V2239" ca="1">_xlfn.IFS(Table1[[#This Row],[Agreement Days]]&gt;=0,"Expired",Table1[[#This Row],[Agreement Days]]&gt;=-30,"Expires &lt; 30 Days",Table1[[#This Row],[Agreement Days]]&gt;=-60,"Expires &lt; 60 Days",Table1[[#This Row],[Agreement Days]]&lt;-60,"Valid Contract")</f>
        <v>Valid Contract</v>
      </c>
      <c r="W2239" s="14" t="s">
        <v>19</v>
      </c>
      <c r="X2239" s="14" t="s">
        <v>3685</v>
      </c>
      <c r="Y2239" s="14" t="s">
        <v>3686</v>
      </c>
      <c r="Z2239" s="17">
        <v>783407484</v>
      </c>
      <c r="AA2239" s="17"/>
      <c r="AB2239" s="116"/>
      <c r="AC2239" s="116"/>
    </row>
    <row r="2240" spans="1:29" hidden="1" x14ac:dyDescent="0.3">
      <c r="A2240" s="18" t="s">
        <v>3683</v>
      </c>
      <c r="B2240" s="18" t="s">
        <v>173</v>
      </c>
      <c r="C2240" s="18" t="s">
        <v>3687</v>
      </c>
      <c r="D2240" s="14" t="s">
        <v>848</v>
      </c>
      <c r="E2240" s="18" t="s">
        <v>9</v>
      </c>
      <c r="F2240" s="14" t="s">
        <v>517</v>
      </c>
      <c r="G2240" s="14" t="s">
        <v>518</v>
      </c>
      <c r="H2240" s="18" t="s">
        <v>5</v>
      </c>
      <c r="I2240" s="14" t="s">
        <v>115</v>
      </c>
      <c r="J2240" s="14"/>
      <c r="K2240" s="18" t="s">
        <v>651</v>
      </c>
      <c r="L2240" s="14"/>
      <c r="M2240" s="14">
        <v>1</v>
      </c>
      <c r="N2240" s="15">
        <f t="shared" si="91"/>
        <v>81355.932203389835</v>
      </c>
      <c r="O2240" s="15">
        <f t="shared" si="89"/>
        <v>81355.932203389835</v>
      </c>
      <c r="P2240" s="15"/>
      <c r="Q2240" s="14" t="s">
        <v>520</v>
      </c>
      <c r="R2240" s="21">
        <v>46386</v>
      </c>
      <c r="S2240" s="22" t="str">
        <f>TEXT(Table1[[#This Row],[End Date]],"MMMM")</f>
        <v>December</v>
      </c>
      <c r="T2240" s="23" t="str">
        <f>TEXT(Table1[[#This Row],[End Date]],"YYYY")</f>
        <v>2026</v>
      </c>
      <c r="U2240" s="24">
        <f t="shared" ca="1" si="90"/>
        <v>-1253</v>
      </c>
      <c r="V2240" s="14" t="str" cm="1">
        <f t="array" aca="1" ref="V2240" ca="1">_xlfn.IFS(Table1[[#This Row],[Agreement Days]]&gt;=0,"Expired",Table1[[#This Row],[Agreement Days]]&gt;=-30,"Expires &lt; 30 Days",Table1[[#This Row],[Agreement Days]]&gt;=-60,"Expires &lt; 60 Days",Table1[[#This Row],[Agreement Days]]&lt;-60,"Valid Contract")</f>
        <v>Valid Contract</v>
      </c>
      <c r="W2240" s="14" t="s">
        <v>19</v>
      </c>
      <c r="X2240" s="14" t="s">
        <v>3685</v>
      </c>
      <c r="Y2240" s="14" t="s">
        <v>3686</v>
      </c>
      <c r="Z2240" s="17">
        <v>783407484</v>
      </c>
      <c r="AA2240" s="17"/>
      <c r="AB2240" s="116"/>
      <c r="AC2240" s="116"/>
    </row>
    <row r="2241" spans="1:29" hidden="1" x14ac:dyDescent="0.3">
      <c r="A2241" s="18" t="s">
        <v>3683</v>
      </c>
      <c r="B2241" s="18" t="s">
        <v>173</v>
      </c>
      <c r="C2241" s="18" t="s">
        <v>3687</v>
      </c>
      <c r="D2241" s="14" t="s">
        <v>848</v>
      </c>
      <c r="E2241" s="18" t="s">
        <v>9</v>
      </c>
      <c r="F2241" s="14" t="s">
        <v>517</v>
      </c>
      <c r="G2241" s="14" t="s">
        <v>518</v>
      </c>
      <c r="H2241" s="18" t="s">
        <v>5</v>
      </c>
      <c r="I2241" s="14" t="s">
        <v>115</v>
      </c>
      <c r="J2241" s="14"/>
      <c r="K2241" s="18" t="s">
        <v>651</v>
      </c>
      <c r="L2241" s="14"/>
      <c r="M2241" s="14">
        <v>1</v>
      </c>
      <c r="N2241" s="15">
        <f t="shared" si="91"/>
        <v>81355.932203389835</v>
      </c>
      <c r="O2241" s="15">
        <f t="shared" si="89"/>
        <v>81355.932203389835</v>
      </c>
      <c r="P2241" s="15"/>
      <c r="Q2241" s="14" t="s">
        <v>520</v>
      </c>
      <c r="R2241" s="21">
        <v>46386</v>
      </c>
      <c r="S2241" s="22" t="str">
        <f>TEXT(Table1[[#This Row],[End Date]],"MMMM")</f>
        <v>December</v>
      </c>
      <c r="T2241" s="23" t="str">
        <f>TEXT(Table1[[#This Row],[End Date]],"YYYY")</f>
        <v>2026</v>
      </c>
      <c r="U2241" s="24">
        <f t="shared" ca="1" si="90"/>
        <v>-1253</v>
      </c>
      <c r="V2241" s="14" t="str" cm="1">
        <f t="array" aca="1" ref="V2241" ca="1">_xlfn.IFS(Table1[[#This Row],[Agreement Days]]&gt;=0,"Expired",Table1[[#This Row],[Agreement Days]]&gt;=-30,"Expires &lt; 30 Days",Table1[[#This Row],[Agreement Days]]&gt;=-60,"Expires &lt; 60 Days",Table1[[#This Row],[Agreement Days]]&lt;-60,"Valid Contract")</f>
        <v>Valid Contract</v>
      </c>
      <c r="W2241" s="14" t="s">
        <v>19</v>
      </c>
      <c r="X2241" s="14" t="s">
        <v>3685</v>
      </c>
      <c r="Y2241" s="14" t="s">
        <v>3686</v>
      </c>
      <c r="Z2241" s="17">
        <v>783407484</v>
      </c>
      <c r="AA2241" s="17"/>
      <c r="AB2241" s="116"/>
      <c r="AC2241" s="116"/>
    </row>
    <row r="2242" spans="1:29" hidden="1" x14ac:dyDescent="0.3">
      <c r="A2242" s="18" t="s">
        <v>3683</v>
      </c>
      <c r="B2242" s="18" t="s">
        <v>173</v>
      </c>
      <c r="C2242" s="18" t="s">
        <v>3687</v>
      </c>
      <c r="D2242" s="14" t="s">
        <v>848</v>
      </c>
      <c r="E2242" s="18" t="s">
        <v>9</v>
      </c>
      <c r="F2242" s="14" t="s">
        <v>517</v>
      </c>
      <c r="G2242" s="14" t="s">
        <v>518</v>
      </c>
      <c r="H2242" s="18" t="s">
        <v>5</v>
      </c>
      <c r="I2242" s="14" t="s">
        <v>115</v>
      </c>
      <c r="J2242" s="14"/>
      <c r="K2242" s="18" t="s">
        <v>651</v>
      </c>
      <c r="L2242" s="14"/>
      <c r="M2242" s="14">
        <v>1</v>
      </c>
      <c r="N2242" s="15">
        <f t="shared" si="91"/>
        <v>81355.932203389835</v>
      </c>
      <c r="O2242" s="15">
        <f t="shared" si="89"/>
        <v>81355.932203389835</v>
      </c>
      <c r="P2242" s="15"/>
      <c r="Q2242" s="14" t="s">
        <v>520</v>
      </c>
      <c r="R2242" s="21">
        <v>46386</v>
      </c>
      <c r="S2242" s="22" t="str">
        <f>TEXT(Table1[[#This Row],[End Date]],"MMMM")</f>
        <v>December</v>
      </c>
      <c r="T2242" s="23" t="str">
        <f>TEXT(Table1[[#This Row],[End Date]],"YYYY")</f>
        <v>2026</v>
      </c>
      <c r="U2242" s="24">
        <f t="shared" ca="1" si="90"/>
        <v>-1253</v>
      </c>
      <c r="V2242" s="14" t="str" cm="1">
        <f t="array" aca="1" ref="V2242" ca="1">_xlfn.IFS(Table1[[#This Row],[Agreement Days]]&gt;=0,"Expired",Table1[[#This Row],[Agreement Days]]&gt;=-30,"Expires &lt; 30 Days",Table1[[#This Row],[Agreement Days]]&gt;=-60,"Expires &lt; 60 Days",Table1[[#This Row],[Agreement Days]]&lt;-60,"Valid Contract")</f>
        <v>Valid Contract</v>
      </c>
      <c r="W2242" s="14" t="s">
        <v>19</v>
      </c>
      <c r="X2242" s="14" t="s">
        <v>3685</v>
      </c>
      <c r="Y2242" s="14" t="s">
        <v>3686</v>
      </c>
      <c r="Z2242" s="17">
        <v>783407484</v>
      </c>
      <c r="AA2242" s="17"/>
      <c r="AB2242" s="116"/>
      <c r="AC2242" s="116"/>
    </row>
    <row r="2243" spans="1:29" hidden="1" x14ac:dyDescent="0.3">
      <c r="A2243" s="18" t="s">
        <v>3683</v>
      </c>
      <c r="B2243" s="18" t="s">
        <v>173</v>
      </c>
      <c r="C2243" s="18" t="s">
        <v>3687</v>
      </c>
      <c r="D2243" s="14" t="s">
        <v>848</v>
      </c>
      <c r="E2243" s="18" t="s">
        <v>9</v>
      </c>
      <c r="F2243" s="14" t="s">
        <v>517</v>
      </c>
      <c r="G2243" s="14" t="s">
        <v>518</v>
      </c>
      <c r="H2243" s="18" t="s">
        <v>5</v>
      </c>
      <c r="I2243" s="14" t="s">
        <v>115</v>
      </c>
      <c r="J2243" s="14"/>
      <c r="K2243" s="18" t="s">
        <v>651</v>
      </c>
      <c r="L2243" s="14"/>
      <c r="M2243" s="14">
        <v>1</v>
      </c>
      <c r="N2243" s="15">
        <f t="shared" si="91"/>
        <v>81355.932203389835</v>
      </c>
      <c r="O2243" s="15">
        <f t="shared" si="89"/>
        <v>81355.932203389835</v>
      </c>
      <c r="P2243" s="15"/>
      <c r="Q2243" s="14" t="s">
        <v>520</v>
      </c>
      <c r="R2243" s="21">
        <v>46386</v>
      </c>
      <c r="S2243" s="22" t="str">
        <f>TEXT(Table1[[#This Row],[End Date]],"MMMM")</f>
        <v>December</v>
      </c>
      <c r="T2243" s="23" t="str">
        <f>TEXT(Table1[[#This Row],[End Date]],"YYYY")</f>
        <v>2026</v>
      </c>
      <c r="U2243" s="24">
        <f t="shared" ca="1" si="90"/>
        <v>-1253</v>
      </c>
      <c r="V2243" s="14" t="str" cm="1">
        <f t="array" aca="1" ref="V2243" ca="1">_xlfn.IFS(Table1[[#This Row],[Agreement Days]]&gt;=0,"Expired",Table1[[#This Row],[Agreement Days]]&gt;=-30,"Expires &lt; 30 Days",Table1[[#This Row],[Agreement Days]]&gt;=-60,"Expires &lt; 60 Days",Table1[[#This Row],[Agreement Days]]&lt;-60,"Valid Contract")</f>
        <v>Valid Contract</v>
      </c>
      <c r="W2243" s="14" t="s">
        <v>19</v>
      </c>
      <c r="X2243" s="14" t="s">
        <v>3685</v>
      </c>
      <c r="Y2243" s="14" t="s">
        <v>3686</v>
      </c>
      <c r="Z2243" s="17">
        <v>783407484</v>
      </c>
      <c r="AA2243" s="17"/>
      <c r="AB2243" s="116"/>
      <c r="AC2243" s="116"/>
    </row>
    <row r="2244" spans="1:29" hidden="1" x14ac:dyDescent="0.3">
      <c r="A2244" s="18" t="s">
        <v>3683</v>
      </c>
      <c r="B2244" s="18" t="s">
        <v>173</v>
      </c>
      <c r="C2244" s="18" t="s">
        <v>3687</v>
      </c>
      <c r="D2244" s="14" t="s">
        <v>848</v>
      </c>
      <c r="E2244" s="18" t="s">
        <v>9</v>
      </c>
      <c r="F2244" s="14" t="s">
        <v>517</v>
      </c>
      <c r="G2244" s="14" t="s">
        <v>518</v>
      </c>
      <c r="H2244" s="18" t="s">
        <v>5</v>
      </c>
      <c r="I2244" s="14" t="s">
        <v>115</v>
      </c>
      <c r="J2244" s="14"/>
      <c r="K2244" s="18" t="s">
        <v>651</v>
      </c>
      <c r="L2244" s="14"/>
      <c r="M2244" s="14">
        <v>1</v>
      </c>
      <c r="N2244" s="15">
        <f t="shared" si="91"/>
        <v>81355.932203389835</v>
      </c>
      <c r="O2244" s="15">
        <f t="shared" si="89"/>
        <v>81355.932203389835</v>
      </c>
      <c r="P2244" s="15"/>
      <c r="Q2244" s="14" t="s">
        <v>520</v>
      </c>
      <c r="R2244" s="21">
        <v>46386</v>
      </c>
      <c r="S2244" s="22" t="str">
        <f>TEXT(Table1[[#This Row],[End Date]],"MMMM")</f>
        <v>December</v>
      </c>
      <c r="T2244" s="23" t="str">
        <f>TEXT(Table1[[#This Row],[End Date]],"YYYY")</f>
        <v>2026</v>
      </c>
      <c r="U2244" s="24">
        <f t="shared" ca="1" si="90"/>
        <v>-1253</v>
      </c>
      <c r="V2244" s="14" t="str" cm="1">
        <f t="array" aca="1" ref="V2244" ca="1">_xlfn.IFS(Table1[[#This Row],[Agreement Days]]&gt;=0,"Expired",Table1[[#This Row],[Agreement Days]]&gt;=-30,"Expires &lt; 30 Days",Table1[[#This Row],[Agreement Days]]&gt;=-60,"Expires &lt; 60 Days",Table1[[#This Row],[Agreement Days]]&lt;-60,"Valid Contract")</f>
        <v>Valid Contract</v>
      </c>
      <c r="W2244" s="14" t="s">
        <v>19</v>
      </c>
      <c r="X2244" s="14" t="s">
        <v>3685</v>
      </c>
      <c r="Y2244" s="14" t="s">
        <v>3686</v>
      </c>
      <c r="Z2244" s="17">
        <v>783407484</v>
      </c>
      <c r="AA2244" s="17"/>
      <c r="AB2244" s="116"/>
      <c r="AC2244" s="116"/>
    </row>
    <row r="2245" spans="1:29" hidden="1" x14ac:dyDescent="0.3">
      <c r="A2245" s="18" t="s">
        <v>3683</v>
      </c>
      <c r="B2245" s="18" t="s">
        <v>173</v>
      </c>
      <c r="C2245" s="18" t="s">
        <v>3687</v>
      </c>
      <c r="D2245" s="14" t="s">
        <v>848</v>
      </c>
      <c r="E2245" s="18" t="s">
        <v>9</v>
      </c>
      <c r="F2245" s="14" t="s">
        <v>517</v>
      </c>
      <c r="G2245" s="14" t="s">
        <v>518</v>
      </c>
      <c r="H2245" s="18" t="s">
        <v>5</v>
      </c>
      <c r="I2245" s="14" t="s">
        <v>115</v>
      </c>
      <c r="J2245" s="14"/>
      <c r="K2245" s="18" t="s">
        <v>651</v>
      </c>
      <c r="L2245" s="14"/>
      <c r="M2245" s="14">
        <v>1</v>
      </c>
      <c r="N2245" s="15">
        <f t="shared" si="91"/>
        <v>81355.932203389835</v>
      </c>
      <c r="O2245" s="15">
        <f t="shared" si="89"/>
        <v>81355.932203389835</v>
      </c>
      <c r="P2245" s="15"/>
      <c r="Q2245" s="14" t="s">
        <v>520</v>
      </c>
      <c r="R2245" s="21">
        <v>46386</v>
      </c>
      <c r="S2245" s="22" t="str">
        <f>TEXT(Table1[[#This Row],[End Date]],"MMMM")</f>
        <v>December</v>
      </c>
      <c r="T2245" s="23" t="str">
        <f>TEXT(Table1[[#This Row],[End Date]],"YYYY")</f>
        <v>2026</v>
      </c>
      <c r="U2245" s="24">
        <f t="shared" ca="1" si="90"/>
        <v>-1253</v>
      </c>
      <c r="V2245" s="14" t="str" cm="1">
        <f t="array" aca="1" ref="V2245" ca="1">_xlfn.IFS(Table1[[#This Row],[Agreement Days]]&gt;=0,"Expired",Table1[[#This Row],[Agreement Days]]&gt;=-30,"Expires &lt; 30 Days",Table1[[#This Row],[Agreement Days]]&gt;=-60,"Expires &lt; 60 Days",Table1[[#This Row],[Agreement Days]]&lt;-60,"Valid Contract")</f>
        <v>Valid Contract</v>
      </c>
      <c r="W2245" s="14" t="s">
        <v>19</v>
      </c>
      <c r="X2245" s="14" t="s">
        <v>3685</v>
      </c>
      <c r="Y2245" s="14" t="s">
        <v>3686</v>
      </c>
      <c r="Z2245" s="17">
        <v>783407484</v>
      </c>
      <c r="AA2245" s="17"/>
      <c r="AB2245" s="116"/>
      <c r="AC2245" s="116"/>
    </row>
    <row r="2246" spans="1:29" hidden="1" x14ac:dyDescent="0.3">
      <c r="A2246" s="18" t="s">
        <v>3683</v>
      </c>
      <c r="B2246" s="18" t="s">
        <v>173</v>
      </c>
      <c r="C2246" s="18" t="s">
        <v>3688</v>
      </c>
      <c r="D2246" s="14" t="s">
        <v>848</v>
      </c>
      <c r="E2246" s="18" t="s">
        <v>9</v>
      </c>
      <c r="F2246" s="14" t="s">
        <v>517</v>
      </c>
      <c r="G2246" s="14" t="s">
        <v>518</v>
      </c>
      <c r="H2246" s="18" t="s">
        <v>5</v>
      </c>
      <c r="I2246" s="14" t="s">
        <v>117</v>
      </c>
      <c r="J2246" s="14">
        <v>30</v>
      </c>
      <c r="K2246" s="14" t="s">
        <v>547</v>
      </c>
      <c r="L2246" s="14"/>
      <c r="M2246" s="14">
        <v>3</v>
      </c>
      <c r="N2246" s="15">
        <v>510000</v>
      </c>
      <c r="O2246" s="15">
        <f t="shared" si="89"/>
        <v>1530000</v>
      </c>
      <c r="P2246" s="15"/>
      <c r="Q2246" s="14" t="s">
        <v>520</v>
      </c>
      <c r="R2246" s="21">
        <v>46386</v>
      </c>
      <c r="S2246" s="22" t="str">
        <f>TEXT(Table1[[#This Row],[End Date]],"MMMM")</f>
        <v>December</v>
      </c>
      <c r="T2246" s="23" t="str">
        <f>TEXT(Table1[[#This Row],[End Date]],"YYYY")</f>
        <v>2026</v>
      </c>
      <c r="U2246" s="24">
        <f t="shared" ca="1" si="90"/>
        <v>-1253</v>
      </c>
      <c r="V2246" s="14" t="str" cm="1">
        <f t="array" aca="1" ref="V2246" ca="1">_xlfn.IFS(Table1[[#This Row],[Agreement Days]]&gt;=0,"Expired",Table1[[#This Row],[Agreement Days]]&gt;=-30,"Expires &lt; 30 Days",Table1[[#This Row],[Agreement Days]]&gt;=-60,"Expires &lt; 60 Days",Table1[[#This Row],[Agreement Days]]&lt;-60,"Valid Contract")</f>
        <v>Valid Contract</v>
      </c>
      <c r="W2246" s="14" t="s">
        <v>19</v>
      </c>
      <c r="X2246" s="14" t="s">
        <v>3685</v>
      </c>
      <c r="Y2246" s="14" t="s">
        <v>3686</v>
      </c>
      <c r="Z2246" s="17">
        <v>783407484</v>
      </c>
      <c r="AA2246" s="17"/>
      <c r="AB2246" s="116"/>
      <c r="AC2246" s="116"/>
    </row>
    <row r="2247" spans="1:29" hidden="1" x14ac:dyDescent="0.3">
      <c r="A2247" s="18" t="s">
        <v>3683</v>
      </c>
      <c r="B2247" s="18" t="s">
        <v>173</v>
      </c>
      <c r="C2247" s="18" t="s">
        <v>3687</v>
      </c>
      <c r="D2247" s="14" t="s">
        <v>848</v>
      </c>
      <c r="E2247" s="18" t="s">
        <v>9</v>
      </c>
      <c r="F2247" s="14" t="s">
        <v>517</v>
      </c>
      <c r="G2247" s="14" t="s">
        <v>518</v>
      </c>
      <c r="H2247" s="18" t="s">
        <v>5</v>
      </c>
      <c r="I2247" s="14" t="s">
        <v>115</v>
      </c>
      <c r="J2247" s="14"/>
      <c r="K2247" s="18" t="s">
        <v>643</v>
      </c>
      <c r="L2247" s="14"/>
      <c r="M2247" s="14">
        <v>60</v>
      </c>
      <c r="N2247" s="15">
        <v>28305.08</v>
      </c>
      <c r="O2247" s="15">
        <f t="shared" si="89"/>
        <v>1698304.8</v>
      </c>
      <c r="P2247" s="15"/>
      <c r="Q2247" s="14" t="s">
        <v>520</v>
      </c>
      <c r="R2247" s="21">
        <v>46386</v>
      </c>
      <c r="S2247" s="22" t="str">
        <f>TEXT(Table1[[#This Row],[End Date]],"MMMM")</f>
        <v>December</v>
      </c>
      <c r="T2247" s="23" t="str">
        <f>TEXT(Table1[[#This Row],[End Date]],"YYYY")</f>
        <v>2026</v>
      </c>
      <c r="U2247" s="24">
        <f t="shared" ca="1" si="90"/>
        <v>-1253</v>
      </c>
      <c r="V2247" s="14" t="str" cm="1">
        <f t="array" aca="1" ref="V2247" ca="1">_xlfn.IFS(Table1[[#This Row],[Agreement Days]]&gt;=0,"Expired",Table1[[#This Row],[Agreement Days]]&gt;=-30,"Expires &lt; 30 Days",Table1[[#This Row],[Agreement Days]]&gt;=-60,"Expires &lt; 60 Days",Table1[[#This Row],[Agreement Days]]&lt;-60,"Valid Contract")</f>
        <v>Valid Contract</v>
      </c>
      <c r="W2247" s="14" t="s">
        <v>19</v>
      </c>
      <c r="X2247" s="14" t="s">
        <v>3685</v>
      </c>
      <c r="Y2247" s="14" t="s">
        <v>3686</v>
      </c>
      <c r="Z2247" s="17">
        <v>783407484</v>
      </c>
      <c r="AA2247" s="17"/>
      <c r="AB2247" s="116"/>
      <c r="AC2247" s="116"/>
    </row>
    <row r="2248" spans="1:29" hidden="1" x14ac:dyDescent="0.3">
      <c r="A2248" s="18" t="s">
        <v>3689</v>
      </c>
      <c r="B2248" s="18" t="s">
        <v>34</v>
      </c>
      <c r="C2248" s="18" t="s">
        <v>3690</v>
      </c>
      <c r="D2248" s="14" t="s">
        <v>808</v>
      </c>
      <c r="E2248" s="18" t="s">
        <v>9</v>
      </c>
      <c r="F2248" s="14" t="s">
        <v>631</v>
      </c>
      <c r="G2248" s="14" t="s">
        <v>518</v>
      </c>
      <c r="H2248" s="18" t="s">
        <v>5</v>
      </c>
      <c r="I2248" s="14" t="s">
        <v>117</v>
      </c>
      <c r="J2248" s="14">
        <v>50</v>
      </c>
      <c r="K2248" s="14" t="s">
        <v>725</v>
      </c>
      <c r="L2248" s="14"/>
      <c r="M2248" s="14">
        <v>1</v>
      </c>
      <c r="N2248" s="15">
        <f>2124000/1.18</f>
        <v>1800000</v>
      </c>
      <c r="O2248" s="15">
        <f t="shared" si="89"/>
        <v>1800000</v>
      </c>
      <c r="P2248" s="15"/>
      <c r="Q2248" s="14" t="s">
        <v>520</v>
      </c>
      <c r="R2248" s="21">
        <v>46387</v>
      </c>
      <c r="S2248" s="22" t="str">
        <f>TEXT(Table1[[#This Row],[End Date]],"MMMM")</f>
        <v>December</v>
      </c>
      <c r="T2248" s="23" t="str">
        <f>TEXT(Table1[[#This Row],[End Date]],"YYYY")</f>
        <v>2026</v>
      </c>
      <c r="U2248" s="24">
        <f t="shared" ca="1" si="90"/>
        <v>-1254</v>
      </c>
      <c r="V2248" s="14" t="str" cm="1">
        <f t="array" aca="1" ref="V2248" ca="1">_xlfn.IFS(Table1[[#This Row],[Agreement Days]]&gt;=0,"Expired",Table1[[#This Row],[Agreement Days]]&gt;=-30,"Expires &lt; 30 Days",Table1[[#This Row],[Agreement Days]]&gt;=-60,"Expires &lt; 60 Days",Table1[[#This Row],[Agreement Days]]&lt;-60,"Valid Contract")</f>
        <v>Valid Contract</v>
      </c>
      <c r="W2248" s="14" t="s">
        <v>13</v>
      </c>
      <c r="X2248" s="14" t="s">
        <v>3691</v>
      </c>
      <c r="Y2248" s="16" t="s">
        <v>3692</v>
      </c>
      <c r="Z2248" s="17" t="s">
        <v>3693</v>
      </c>
      <c r="AA2248" s="17"/>
      <c r="AB2248" s="116"/>
      <c r="AC2248" s="116"/>
    </row>
    <row r="2249" spans="1:29" hidden="1" x14ac:dyDescent="0.3">
      <c r="A2249" s="18" t="s">
        <v>3377</v>
      </c>
      <c r="B2249" s="18" t="s">
        <v>282</v>
      </c>
      <c r="C2249" s="18" t="s">
        <v>3378</v>
      </c>
      <c r="D2249" s="14" t="s">
        <v>761</v>
      </c>
      <c r="E2249" s="18" t="s">
        <v>9</v>
      </c>
      <c r="F2249" s="14" t="s">
        <v>688</v>
      </c>
      <c r="G2249" s="14" t="s">
        <v>518</v>
      </c>
      <c r="H2249" s="18" t="s">
        <v>5</v>
      </c>
      <c r="I2249" s="14" t="s">
        <v>117</v>
      </c>
      <c r="J2249" s="14">
        <v>5</v>
      </c>
      <c r="K2249" s="18" t="s">
        <v>519</v>
      </c>
      <c r="L2249" s="18"/>
      <c r="M2249" s="14">
        <v>1</v>
      </c>
      <c r="N2249" s="15">
        <v>270000</v>
      </c>
      <c r="O2249" s="15">
        <f t="shared" si="89"/>
        <v>270000</v>
      </c>
      <c r="P2249" s="15"/>
      <c r="Q2249" s="14" t="s">
        <v>520</v>
      </c>
      <c r="R2249" s="25">
        <v>46387</v>
      </c>
      <c r="S2249" s="34" t="str">
        <f>TEXT(Table1[[#This Row],[End Date]],"MMMM")</f>
        <v>December</v>
      </c>
      <c r="T2249" s="34" t="str">
        <f>TEXT(Table1[[#This Row],[End Date]],"YYYY")</f>
        <v>2026</v>
      </c>
      <c r="U2249" s="24">
        <f t="shared" ca="1" si="90"/>
        <v>-1254</v>
      </c>
      <c r="V2249" s="14" t="str" cm="1">
        <f t="array" aca="1" ref="V2249" ca="1">_xlfn.IFS(Table1[[#This Row],[Agreement Days]]&gt;=0,"Expired",Table1[[#This Row],[Agreement Days]]&gt;=-30,"Expires &lt; 30 Days",Table1[[#This Row],[Agreement Days]]&gt;=-60,"Expires &lt; 60 Days",Table1[[#This Row],[Agreement Days]]&lt;-60,"Valid Contract")</f>
        <v>Valid Contract</v>
      </c>
      <c r="W2249" s="18" t="s">
        <v>21</v>
      </c>
      <c r="X2249" s="18" t="s">
        <v>3379</v>
      </c>
      <c r="Y2249" s="42" t="s">
        <v>3380</v>
      </c>
      <c r="Z2249" s="27">
        <v>788857767</v>
      </c>
      <c r="AA2249" s="27"/>
      <c r="AB2249" s="116"/>
      <c r="AC2249" s="116"/>
    </row>
    <row r="2250" spans="1:29" hidden="1" x14ac:dyDescent="0.3">
      <c r="A2250" s="18" t="s">
        <v>895</v>
      </c>
      <c r="B2250" s="18" t="s">
        <v>228</v>
      </c>
      <c r="C2250" s="18" t="s">
        <v>544</v>
      </c>
      <c r="D2250" s="14" t="s">
        <v>653</v>
      </c>
      <c r="E2250" s="18" t="s">
        <v>9</v>
      </c>
      <c r="F2250" s="14" t="s">
        <v>517</v>
      </c>
      <c r="G2250" s="14" t="s">
        <v>518</v>
      </c>
      <c r="H2250" s="18" t="s">
        <v>5</v>
      </c>
      <c r="I2250" s="14" t="s">
        <v>115</v>
      </c>
      <c r="J2250" s="18"/>
      <c r="K2250" s="18" t="s">
        <v>3353</v>
      </c>
      <c r="L2250" s="18"/>
      <c r="M2250" s="14">
        <v>1</v>
      </c>
      <c r="N2250" s="15">
        <f>96000/1.18</f>
        <v>81355.932203389835</v>
      </c>
      <c r="O2250" s="15">
        <f t="shared" si="89"/>
        <v>81355.932203389835</v>
      </c>
      <c r="P2250" s="15"/>
      <c r="Q2250" s="14" t="s">
        <v>520</v>
      </c>
      <c r="R2250" s="25">
        <v>46387</v>
      </c>
      <c r="S2250" s="34" t="str">
        <f>TEXT(Table1[[#This Row],[End Date]],"MMMM")</f>
        <v>December</v>
      </c>
      <c r="T2250" s="34" t="str">
        <f>TEXT(Table1[[#This Row],[End Date]],"YYYY")</f>
        <v>2026</v>
      </c>
      <c r="U2250" s="24">
        <f t="shared" ca="1" si="90"/>
        <v>-1254</v>
      </c>
      <c r="V2250" s="14" t="str" cm="1">
        <f t="array" aca="1" ref="V2250" ca="1">_xlfn.IFS(Table1[[#This Row],[Agreement Days]]&gt;=0,"Expired",Table1[[#This Row],[Agreement Days]]&gt;=-30,"Expires &lt; 30 Days",Table1[[#This Row],[Agreement Days]]&gt;=-60,"Expires &lt; 60 Days",Table1[[#This Row],[Agreement Days]]&lt;-60,"Valid Contract")</f>
        <v>Valid Contract</v>
      </c>
      <c r="W2250" s="18" t="s">
        <v>18</v>
      </c>
      <c r="X2250" s="18" t="s">
        <v>896</v>
      </c>
      <c r="Y2250" s="35" t="s">
        <v>897</v>
      </c>
      <c r="Z2250" s="36" t="s">
        <v>898</v>
      </c>
      <c r="AA2250" s="27"/>
      <c r="AB2250" s="116"/>
      <c r="AC2250" s="116"/>
    </row>
    <row r="2251" spans="1:29" hidden="1" x14ac:dyDescent="0.3">
      <c r="A2251" s="18" t="s">
        <v>895</v>
      </c>
      <c r="B2251" s="18" t="s">
        <v>228</v>
      </c>
      <c r="C2251" s="18" t="s">
        <v>544</v>
      </c>
      <c r="D2251" s="14" t="s">
        <v>653</v>
      </c>
      <c r="E2251" s="18" t="s">
        <v>9</v>
      </c>
      <c r="F2251" s="14" t="s">
        <v>517</v>
      </c>
      <c r="G2251" s="14" t="s">
        <v>518</v>
      </c>
      <c r="H2251" s="18" t="s">
        <v>5</v>
      </c>
      <c r="I2251" s="14" t="s">
        <v>115</v>
      </c>
      <c r="J2251" s="18"/>
      <c r="K2251" s="18" t="s">
        <v>813</v>
      </c>
      <c r="L2251" s="18"/>
      <c r="M2251" s="14">
        <v>12</v>
      </c>
      <c r="N2251" s="15">
        <v>19491.53</v>
      </c>
      <c r="O2251" s="15">
        <f t="shared" si="89"/>
        <v>233898.36</v>
      </c>
      <c r="P2251" s="15"/>
      <c r="Q2251" s="14" t="s">
        <v>520</v>
      </c>
      <c r="R2251" s="25">
        <v>46387</v>
      </c>
      <c r="S2251" s="34" t="str">
        <f>TEXT(Table1[[#This Row],[End Date]],"MMMM")</f>
        <v>December</v>
      </c>
      <c r="T2251" s="34" t="str">
        <f>TEXT(Table1[[#This Row],[End Date]],"YYYY")</f>
        <v>2026</v>
      </c>
      <c r="U2251" s="24">
        <f t="shared" ca="1" si="90"/>
        <v>-1254</v>
      </c>
      <c r="V2251" s="14" t="str" cm="1">
        <f t="array" aca="1" ref="V2251" ca="1">_xlfn.IFS(Table1[[#This Row],[Agreement Days]]&gt;=0,"Expired",Table1[[#This Row],[Agreement Days]]&gt;=-30,"Expires &lt; 30 Days",Table1[[#This Row],[Agreement Days]]&gt;=-60,"Expires &lt; 60 Days",Table1[[#This Row],[Agreement Days]]&lt;-60,"Valid Contract")</f>
        <v>Valid Contract</v>
      </c>
      <c r="W2251" s="18" t="s">
        <v>18</v>
      </c>
      <c r="X2251" s="18" t="s">
        <v>896</v>
      </c>
      <c r="Y2251" s="35" t="s">
        <v>897</v>
      </c>
      <c r="Z2251" s="36" t="s">
        <v>898</v>
      </c>
      <c r="AA2251" s="36"/>
      <c r="AB2251" s="116"/>
      <c r="AC2251" s="116"/>
    </row>
    <row r="2252" spans="1:29" hidden="1" x14ac:dyDescent="0.3">
      <c r="A2252" s="18" t="s">
        <v>895</v>
      </c>
      <c r="B2252" s="18" t="s">
        <v>228</v>
      </c>
      <c r="C2252" s="18" t="s">
        <v>544</v>
      </c>
      <c r="D2252" s="14" t="s">
        <v>653</v>
      </c>
      <c r="E2252" s="18" t="s">
        <v>9</v>
      </c>
      <c r="F2252" s="14" t="s">
        <v>517</v>
      </c>
      <c r="G2252" s="14" t="s">
        <v>518</v>
      </c>
      <c r="H2252" s="18" t="s">
        <v>5</v>
      </c>
      <c r="I2252" s="14" t="s">
        <v>115</v>
      </c>
      <c r="J2252" s="18"/>
      <c r="K2252" s="18" t="s">
        <v>573</v>
      </c>
      <c r="L2252" s="18"/>
      <c r="M2252" s="14">
        <v>29</v>
      </c>
      <c r="N2252" s="15">
        <v>19491.53</v>
      </c>
      <c r="O2252" s="15">
        <f t="shared" si="89"/>
        <v>565254.37</v>
      </c>
      <c r="P2252" s="15"/>
      <c r="Q2252" s="14" t="s">
        <v>520</v>
      </c>
      <c r="R2252" s="25">
        <v>46387</v>
      </c>
      <c r="S2252" s="34" t="str">
        <f>TEXT(Table1[[#This Row],[End Date]],"MMMM")</f>
        <v>December</v>
      </c>
      <c r="T2252" s="34" t="str">
        <f>TEXT(Table1[[#This Row],[End Date]],"YYYY")</f>
        <v>2026</v>
      </c>
      <c r="U2252" s="24">
        <f t="shared" ca="1" si="90"/>
        <v>-1254</v>
      </c>
      <c r="V2252" s="14" t="str" cm="1">
        <f t="array" aca="1" ref="V2252" ca="1">_xlfn.IFS(Table1[[#This Row],[Agreement Days]]&gt;=0,"Expired",Table1[[#This Row],[Agreement Days]]&gt;=-30,"Expires &lt; 30 Days",Table1[[#This Row],[Agreement Days]]&gt;=-60,"Expires &lt; 60 Days",Table1[[#This Row],[Agreement Days]]&lt;-60,"Valid Contract")</f>
        <v>Valid Contract</v>
      </c>
      <c r="W2252" s="18" t="s">
        <v>18</v>
      </c>
      <c r="X2252" s="18" t="s">
        <v>896</v>
      </c>
      <c r="Y2252" s="35" t="s">
        <v>897</v>
      </c>
      <c r="Z2252" s="36" t="s">
        <v>898</v>
      </c>
      <c r="AA2252" s="27"/>
      <c r="AB2252" s="116"/>
      <c r="AC2252" s="116"/>
    </row>
    <row r="2253" spans="1:29" hidden="1" x14ac:dyDescent="0.3">
      <c r="A2253" s="18" t="s">
        <v>3694</v>
      </c>
      <c r="B2253" s="18" t="s">
        <v>59</v>
      </c>
      <c r="C2253" s="18" t="s">
        <v>59</v>
      </c>
      <c r="D2253" s="14" t="s">
        <v>761</v>
      </c>
      <c r="E2253" s="18" t="s">
        <v>9</v>
      </c>
      <c r="F2253" s="14" t="s">
        <v>631</v>
      </c>
      <c r="G2253" s="14" t="s">
        <v>518</v>
      </c>
      <c r="H2253" s="18" t="s">
        <v>5</v>
      </c>
      <c r="I2253" s="14" t="s">
        <v>134</v>
      </c>
      <c r="J2253" s="14">
        <v>5</v>
      </c>
      <c r="K2253" s="18" t="s">
        <v>519</v>
      </c>
      <c r="L2253" s="18"/>
      <c r="M2253" s="14">
        <v>1</v>
      </c>
      <c r="N2253" s="15">
        <v>270000</v>
      </c>
      <c r="O2253" s="15">
        <f t="shared" si="89"/>
        <v>270000</v>
      </c>
      <c r="P2253" s="15"/>
      <c r="Q2253" s="14" t="s">
        <v>520</v>
      </c>
      <c r="R2253" s="25">
        <v>46402</v>
      </c>
      <c r="S2253" s="34" t="str">
        <f>TEXT(Table1[[#This Row],[End Date]],"MMMM")</f>
        <v>January</v>
      </c>
      <c r="T2253" s="34" t="str">
        <f>TEXT(Table1[[#This Row],[End Date]],"YYYY")</f>
        <v>2027</v>
      </c>
      <c r="U2253" s="24">
        <f t="shared" ca="1" si="90"/>
        <v>-1269</v>
      </c>
      <c r="V2253" s="14" t="str" cm="1">
        <f t="array" aca="1" ref="V2253" ca="1">_xlfn.IFS(Table1[[#This Row],[Agreement Days]]&gt;=0,"Expired",Table1[[#This Row],[Agreement Days]]&gt;=-30,"Expires &lt; 30 Days",Table1[[#This Row],[Agreement Days]]&gt;=-60,"Expires &lt; 60 Days",Table1[[#This Row],[Agreement Days]]&lt;-60,"Valid Contract")</f>
        <v>Valid Contract</v>
      </c>
      <c r="W2253" s="18" t="s">
        <v>21</v>
      </c>
      <c r="X2253" s="18" t="s">
        <v>3695</v>
      </c>
      <c r="Y2253" s="42" t="s">
        <v>3696</v>
      </c>
      <c r="Z2253" s="27">
        <v>788567151</v>
      </c>
      <c r="AA2253" s="27"/>
      <c r="AB2253" s="116"/>
      <c r="AC2253" s="116"/>
    </row>
    <row r="2254" spans="1:29" hidden="1" x14ac:dyDescent="0.3">
      <c r="A2254" s="18" t="s">
        <v>3697</v>
      </c>
      <c r="B2254" s="18" t="s">
        <v>376</v>
      </c>
      <c r="C2254" s="18" t="s">
        <v>544</v>
      </c>
      <c r="D2254" s="14" t="s">
        <v>540</v>
      </c>
      <c r="E2254" s="18" t="s">
        <v>9</v>
      </c>
      <c r="F2254" s="14" t="s">
        <v>517</v>
      </c>
      <c r="G2254" s="14" t="s">
        <v>518</v>
      </c>
      <c r="H2254" s="18" t="s">
        <v>5</v>
      </c>
      <c r="I2254" s="14" t="s">
        <v>115</v>
      </c>
      <c r="J2254" s="18"/>
      <c r="K2254" s="14" t="s">
        <v>722</v>
      </c>
      <c r="L2254" s="18"/>
      <c r="M2254" s="14">
        <v>1</v>
      </c>
      <c r="N2254" s="15">
        <v>77711.86</v>
      </c>
      <c r="O2254" s="15">
        <f t="shared" si="89"/>
        <v>77711.86</v>
      </c>
      <c r="P2254" s="15"/>
      <c r="Q2254" s="14" t="s">
        <v>520</v>
      </c>
      <c r="R2254" s="25">
        <v>46433</v>
      </c>
      <c r="S2254" s="34" t="str">
        <f>TEXT(Table1[[#This Row],[End Date]],"MMMM")</f>
        <v>February</v>
      </c>
      <c r="T2254" s="34" t="str">
        <f>TEXT(Table1[[#This Row],[End Date]],"YYYY")</f>
        <v>2027</v>
      </c>
      <c r="U2254" s="24">
        <f t="shared" ref="U2254:U2285" ca="1" si="92">TODAY()-R2254</f>
        <v>-1300</v>
      </c>
      <c r="V2254" s="14" t="str" cm="1">
        <f t="array" aca="1" ref="V2254" ca="1">_xlfn.IFS(Table1[[#This Row],[Agreement Days]]&gt;=0,"Expired",Table1[[#This Row],[Agreement Days]]&gt;=-30,"Expires &lt; 30 Days",Table1[[#This Row],[Agreement Days]]&gt;=-60,"Expires &lt; 60 Days",Table1[[#This Row],[Agreement Days]]&lt;-60,"Valid Contract")</f>
        <v>Valid Contract</v>
      </c>
      <c r="W2254" s="18" t="s">
        <v>18</v>
      </c>
      <c r="X2254" s="18" t="s">
        <v>1023</v>
      </c>
      <c r="Y2254" s="35" t="s">
        <v>3698</v>
      </c>
      <c r="Z2254" s="36" t="s">
        <v>3699</v>
      </c>
      <c r="AA2254" s="36"/>
      <c r="AB2254" s="118"/>
      <c r="AC2254" s="118"/>
    </row>
    <row r="2255" spans="1:29" hidden="1" x14ac:dyDescent="0.3">
      <c r="A2255" s="18" t="s">
        <v>3697</v>
      </c>
      <c r="B2255" s="18" t="s">
        <v>376</v>
      </c>
      <c r="C2255" s="18" t="s">
        <v>544</v>
      </c>
      <c r="D2255" s="14" t="s">
        <v>540</v>
      </c>
      <c r="E2255" s="18" t="s">
        <v>9</v>
      </c>
      <c r="F2255" s="14" t="s">
        <v>517</v>
      </c>
      <c r="G2255" s="14" t="s">
        <v>518</v>
      </c>
      <c r="H2255" s="18" t="s">
        <v>5</v>
      </c>
      <c r="I2255" s="14" t="s">
        <v>115</v>
      </c>
      <c r="J2255" s="18"/>
      <c r="K2255" s="18" t="s">
        <v>642</v>
      </c>
      <c r="L2255" s="18"/>
      <c r="M2255" s="14">
        <v>3</v>
      </c>
      <c r="N2255" s="15">
        <v>101694.92</v>
      </c>
      <c r="O2255" s="15">
        <f t="shared" si="89"/>
        <v>305084.76</v>
      </c>
      <c r="P2255" s="15"/>
      <c r="Q2255" s="14" t="s">
        <v>520</v>
      </c>
      <c r="R2255" s="25">
        <v>46433</v>
      </c>
      <c r="S2255" s="34" t="str">
        <f>TEXT(Table1[[#This Row],[End Date]],"MMMM")</f>
        <v>February</v>
      </c>
      <c r="T2255" s="34" t="str">
        <f>TEXT(Table1[[#This Row],[End Date]],"YYYY")</f>
        <v>2027</v>
      </c>
      <c r="U2255" s="24">
        <f t="shared" ca="1" si="92"/>
        <v>-1300</v>
      </c>
      <c r="V2255" s="14" t="str" cm="1">
        <f t="array" aca="1" ref="V2255" ca="1">_xlfn.IFS(Table1[[#This Row],[Agreement Days]]&gt;=0,"Expired",Table1[[#This Row],[Agreement Days]]&gt;=-30,"Expires &lt; 30 Days",Table1[[#This Row],[Agreement Days]]&gt;=-60,"Expires &lt; 60 Days",Table1[[#This Row],[Agreement Days]]&lt;-60,"Valid Contract")</f>
        <v>Valid Contract</v>
      </c>
      <c r="W2255" s="18" t="s">
        <v>18</v>
      </c>
      <c r="X2255" s="18" t="s">
        <v>1023</v>
      </c>
      <c r="Y2255" s="35" t="s">
        <v>3698</v>
      </c>
      <c r="Z2255" s="36" t="s">
        <v>3699</v>
      </c>
      <c r="AA2255" s="27"/>
      <c r="AB2255" s="118"/>
      <c r="AC2255" s="118"/>
    </row>
    <row r="2256" spans="1:29" hidden="1" x14ac:dyDescent="0.3">
      <c r="A2256" s="18" t="s">
        <v>2285</v>
      </c>
      <c r="B2256" s="18" t="s">
        <v>305</v>
      </c>
      <c r="C2256" s="18" t="s">
        <v>2289</v>
      </c>
      <c r="D2256" s="14" t="s">
        <v>662</v>
      </c>
      <c r="E2256" s="18" t="s">
        <v>9</v>
      </c>
      <c r="F2256" s="14" t="s">
        <v>688</v>
      </c>
      <c r="G2256" s="14" t="s">
        <v>518</v>
      </c>
      <c r="H2256" s="18" t="s">
        <v>5</v>
      </c>
      <c r="I2256" s="14" t="s">
        <v>117</v>
      </c>
      <c r="J2256" s="14">
        <v>5</v>
      </c>
      <c r="K2256" s="18" t="s">
        <v>519</v>
      </c>
      <c r="L2256" s="18"/>
      <c r="M2256" s="14">
        <v>1</v>
      </c>
      <c r="N2256" s="15">
        <v>270000</v>
      </c>
      <c r="O2256" s="15">
        <f t="shared" si="89"/>
        <v>270000</v>
      </c>
      <c r="P2256" s="15"/>
      <c r="Q2256" s="14" t="s">
        <v>520</v>
      </c>
      <c r="R2256" s="25">
        <v>46446</v>
      </c>
      <c r="S2256" s="34" t="str">
        <f>TEXT(Table1[[#This Row],[End Date]],"MMMM")</f>
        <v>February</v>
      </c>
      <c r="T2256" s="34" t="str">
        <f>TEXT(Table1[[#This Row],[End Date]],"YYYY")</f>
        <v>2027</v>
      </c>
      <c r="U2256" s="24">
        <f t="shared" ca="1" si="92"/>
        <v>-1313</v>
      </c>
      <c r="V2256" s="14" t="str" cm="1">
        <f t="array" aca="1" ref="V2256" ca="1">_xlfn.IFS(Table1[[#This Row],[Agreement Days]]&gt;=0,"Expired",Table1[[#This Row],[Agreement Days]]&gt;=-30,"Expires &lt; 30 Days",Table1[[#This Row],[Agreement Days]]&gt;=-60,"Expires &lt; 60 Days",Table1[[#This Row],[Agreement Days]]&lt;-60,"Valid Contract")</f>
        <v>Valid Contract</v>
      </c>
      <c r="W2256" s="18" t="s">
        <v>21</v>
      </c>
      <c r="X2256" s="18" t="s">
        <v>2287</v>
      </c>
      <c r="Y2256" s="42" t="s">
        <v>2288</v>
      </c>
      <c r="Z2256" s="27">
        <v>788626468</v>
      </c>
      <c r="AA2256" s="27"/>
      <c r="AB2256" s="116"/>
      <c r="AC2256" s="116"/>
    </row>
    <row r="2257" spans="1:29" hidden="1" x14ac:dyDescent="0.3">
      <c r="A2257" s="18" t="s">
        <v>1139</v>
      </c>
      <c r="B2257" s="18" t="s">
        <v>156</v>
      </c>
      <c r="C2257" s="18" t="s">
        <v>3700</v>
      </c>
      <c r="D2257" s="14" t="s">
        <v>1140</v>
      </c>
      <c r="E2257" s="18" t="s">
        <v>9</v>
      </c>
      <c r="F2257" s="14" t="s">
        <v>517</v>
      </c>
      <c r="G2257" s="14" t="s">
        <v>518</v>
      </c>
      <c r="H2257" s="18" t="s">
        <v>5</v>
      </c>
      <c r="I2257" s="14" t="s">
        <v>117</v>
      </c>
      <c r="J2257" s="14">
        <v>3</v>
      </c>
      <c r="K2257" s="14" t="s">
        <v>646</v>
      </c>
      <c r="L2257" s="14"/>
      <c r="M2257" s="14">
        <v>1</v>
      </c>
      <c r="N2257" s="15">
        <v>180000</v>
      </c>
      <c r="O2257" s="15">
        <f t="shared" si="89"/>
        <v>180000</v>
      </c>
      <c r="P2257" s="15"/>
      <c r="Q2257" s="14" t="s">
        <v>520</v>
      </c>
      <c r="R2257" s="21">
        <v>46446</v>
      </c>
      <c r="S2257" s="22" t="str">
        <f>TEXT(Table1[[#This Row],[End Date]],"MMMM")</f>
        <v>February</v>
      </c>
      <c r="T2257" s="22" t="str">
        <f>TEXT(Table1[[#This Row],[End Date]],"YYYY")</f>
        <v>2027</v>
      </c>
      <c r="U2257" s="24">
        <f t="shared" ca="1" si="92"/>
        <v>-1313</v>
      </c>
      <c r="V2257" s="14" t="str" cm="1">
        <f t="array" aca="1" ref="V2257" ca="1">_xlfn.IFS(Table1[[#This Row],[Agreement Days]]&gt;=0,"Expired",Table1[[#This Row],[Agreement Days]]&gt;=-30,"Expires &lt; 30 Days",Table1[[#This Row],[Agreement Days]]&gt;=-60,"Expires &lt; 60 Days",Table1[[#This Row],[Agreement Days]]&lt;-60,"Valid Contract")</f>
        <v>Valid Contract</v>
      </c>
      <c r="W2257" s="14" t="s">
        <v>20</v>
      </c>
      <c r="X2257" s="26" t="s">
        <v>1141</v>
      </c>
      <c r="Y2257" s="45" t="s">
        <v>1142</v>
      </c>
      <c r="Z2257" s="17" t="s">
        <v>1143</v>
      </c>
      <c r="AA2257" s="19"/>
      <c r="AB2257" s="116"/>
      <c r="AC2257" s="116"/>
    </row>
    <row r="2258" spans="1:29" hidden="1" x14ac:dyDescent="0.3">
      <c r="A2258" s="18" t="s">
        <v>1139</v>
      </c>
      <c r="B2258" s="18" t="s">
        <v>156</v>
      </c>
      <c r="C2258" s="18" t="s">
        <v>3701</v>
      </c>
      <c r="D2258" s="14" t="s">
        <v>1140</v>
      </c>
      <c r="E2258" s="18" t="s">
        <v>9</v>
      </c>
      <c r="F2258" s="14" t="s">
        <v>517</v>
      </c>
      <c r="G2258" s="14" t="s">
        <v>518</v>
      </c>
      <c r="H2258" s="18" t="s">
        <v>5</v>
      </c>
      <c r="I2258" s="14" t="s">
        <v>117</v>
      </c>
      <c r="J2258" s="14">
        <v>10</v>
      </c>
      <c r="K2258" s="14" t="s">
        <v>547</v>
      </c>
      <c r="L2258" s="14"/>
      <c r="M2258" s="14">
        <v>1</v>
      </c>
      <c r="N2258" s="15">
        <v>510000</v>
      </c>
      <c r="O2258" s="15">
        <f t="shared" si="89"/>
        <v>510000</v>
      </c>
      <c r="P2258" s="15"/>
      <c r="Q2258" s="14" t="s">
        <v>520</v>
      </c>
      <c r="R2258" s="21">
        <v>46446</v>
      </c>
      <c r="S2258" s="22" t="str">
        <f>TEXT(Table1[[#This Row],[End Date]],"MMMM")</f>
        <v>February</v>
      </c>
      <c r="T2258" s="23" t="str">
        <f>TEXT(Table1[[#This Row],[End Date]],"YYYY")</f>
        <v>2027</v>
      </c>
      <c r="U2258" s="24">
        <f t="shared" ca="1" si="92"/>
        <v>-1313</v>
      </c>
      <c r="V2258" s="14" t="str" cm="1">
        <f t="array" aca="1" ref="V2258" ca="1">_xlfn.IFS(Table1[[#This Row],[Agreement Days]]&gt;=0,"Expired",Table1[[#This Row],[Agreement Days]]&gt;=-30,"Expires &lt; 30 Days",Table1[[#This Row],[Agreement Days]]&gt;=-60,"Expires &lt; 60 Days",Table1[[#This Row],[Agreement Days]]&lt;-60,"Valid Contract")</f>
        <v>Valid Contract</v>
      </c>
      <c r="W2258" s="14" t="s">
        <v>20</v>
      </c>
      <c r="X2258" s="26" t="s">
        <v>1141</v>
      </c>
      <c r="Y2258" s="45" t="s">
        <v>1142</v>
      </c>
      <c r="Z2258" s="17" t="s">
        <v>1143</v>
      </c>
      <c r="AA2258" s="19"/>
      <c r="AB2258" s="116"/>
      <c r="AC2258" s="116"/>
    </row>
    <row r="2259" spans="1:29" hidden="1" x14ac:dyDescent="0.3">
      <c r="A2259" s="18" t="s">
        <v>1139</v>
      </c>
      <c r="B2259" s="18" t="s">
        <v>156</v>
      </c>
      <c r="C2259" s="18" t="s">
        <v>3701</v>
      </c>
      <c r="D2259" s="14" t="s">
        <v>1140</v>
      </c>
      <c r="E2259" s="18" t="s">
        <v>9</v>
      </c>
      <c r="F2259" s="14" t="s">
        <v>517</v>
      </c>
      <c r="G2259" s="14" t="s">
        <v>518</v>
      </c>
      <c r="H2259" s="18" t="s">
        <v>5</v>
      </c>
      <c r="I2259" s="14" t="s">
        <v>120</v>
      </c>
      <c r="J2259" s="14"/>
      <c r="K2259" s="14" t="s">
        <v>649</v>
      </c>
      <c r="L2259" s="14"/>
      <c r="M2259" s="14">
        <v>1</v>
      </c>
      <c r="N2259" s="15">
        <v>258045</v>
      </c>
      <c r="O2259" s="15">
        <f t="shared" ref="O2259:O2291" si="93">N2259*M2259</f>
        <v>258045</v>
      </c>
      <c r="P2259" s="15"/>
      <c r="Q2259" s="14" t="s">
        <v>520</v>
      </c>
      <c r="R2259" s="21">
        <v>46446</v>
      </c>
      <c r="S2259" s="22" t="str">
        <f>TEXT(Table1[[#This Row],[End Date]],"MMMM")</f>
        <v>February</v>
      </c>
      <c r="T2259" s="23" t="str">
        <f>TEXT(Table1[[#This Row],[End Date]],"YYYY")</f>
        <v>2027</v>
      </c>
      <c r="U2259" s="24">
        <f t="shared" ca="1" si="92"/>
        <v>-1313</v>
      </c>
      <c r="V2259" s="14" t="str" cm="1">
        <f t="array" aca="1" ref="V2259" ca="1">_xlfn.IFS(Table1[[#This Row],[Agreement Days]]&gt;=0,"Expired",Table1[[#This Row],[Agreement Days]]&gt;=-30,"Expires &lt; 30 Days",Table1[[#This Row],[Agreement Days]]&gt;=-60,"Expires &lt; 60 Days",Table1[[#This Row],[Agreement Days]]&lt;-60,"Valid Contract")</f>
        <v>Valid Contract</v>
      </c>
      <c r="W2259" s="14" t="s">
        <v>20</v>
      </c>
      <c r="X2259" s="26" t="s">
        <v>1141</v>
      </c>
      <c r="Y2259" s="45" t="s">
        <v>1142</v>
      </c>
      <c r="Z2259" s="17" t="s">
        <v>1143</v>
      </c>
      <c r="AA2259" s="19"/>
      <c r="AB2259" s="116"/>
      <c r="AC2259" s="116"/>
    </row>
    <row r="2260" spans="1:29" hidden="1" x14ac:dyDescent="0.3">
      <c r="A2260" s="18" t="s">
        <v>1139</v>
      </c>
      <c r="B2260" s="18" t="s">
        <v>156</v>
      </c>
      <c r="C2260" s="18" t="s">
        <v>3701</v>
      </c>
      <c r="D2260" s="14" t="s">
        <v>1140</v>
      </c>
      <c r="E2260" s="18" t="s">
        <v>9</v>
      </c>
      <c r="F2260" s="20" t="s">
        <v>517</v>
      </c>
      <c r="G2260" s="20" t="s">
        <v>518</v>
      </c>
      <c r="H2260" s="18" t="s">
        <v>4</v>
      </c>
      <c r="I2260" s="14" t="s">
        <v>118</v>
      </c>
      <c r="J2260" s="14"/>
      <c r="K2260" s="14" t="s">
        <v>650</v>
      </c>
      <c r="L2260" s="14"/>
      <c r="M2260" s="14">
        <v>1</v>
      </c>
      <c r="N2260" s="15">
        <v>369325</v>
      </c>
      <c r="O2260" s="15">
        <f t="shared" si="93"/>
        <v>369325</v>
      </c>
      <c r="P2260" s="15"/>
      <c r="Q2260" s="14" t="s">
        <v>520</v>
      </c>
      <c r="R2260" s="21">
        <v>46446</v>
      </c>
      <c r="S2260" s="22" t="str">
        <f>TEXT(Table1[[#This Row],[End Date]],"MMMM")</f>
        <v>February</v>
      </c>
      <c r="T2260" s="23" t="str">
        <f>TEXT(Table1[[#This Row],[End Date]],"YYYY")</f>
        <v>2027</v>
      </c>
      <c r="U2260" s="24">
        <f t="shared" ca="1" si="92"/>
        <v>-1313</v>
      </c>
      <c r="V2260" s="14" t="str" cm="1">
        <f t="array" aca="1" ref="V2260" ca="1">_xlfn.IFS(Table1[[#This Row],[Agreement Days]]&gt;=0,"Expired",Table1[[#This Row],[Agreement Days]]&gt;=-30,"Expires &lt; 30 Days",Table1[[#This Row],[Agreement Days]]&gt;=-60,"Expires &lt; 60 Days",Table1[[#This Row],[Agreement Days]]&lt;-60,"Valid Contract")</f>
        <v>Valid Contract</v>
      </c>
      <c r="W2260" s="14" t="s">
        <v>20</v>
      </c>
      <c r="X2260" s="26" t="s">
        <v>1141</v>
      </c>
      <c r="Y2260" s="45" t="s">
        <v>1142</v>
      </c>
      <c r="Z2260" s="17" t="s">
        <v>1143</v>
      </c>
      <c r="AA2260" s="19"/>
      <c r="AB2260" s="116"/>
      <c r="AC2260" s="116"/>
    </row>
    <row r="2261" spans="1:29" hidden="1" x14ac:dyDescent="0.3">
      <c r="A2261" s="18" t="s">
        <v>3702</v>
      </c>
      <c r="B2261" s="18" t="s">
        <v>62</v>
      </c>
      <c r="C2261" s="18" t="s">
        <v>62</v>
      </c>
      <c r="D2261" s="14" t="s">
        <v>771</v>
      </c>
      <c r="E2261" s="18" t="s">
        <v>9</v>
      </c>
      <c r="F2261" s="14" t="s">
        <v>631</v>
      </c>
      <c r="G2261" s="14" t="s">
        <v>518</v>
      </c>
      <c r="H2261" s="18" t="s">
        <v>5</v>
      </c>
      <c r="I2261" s="14" t="s">
        <v>117</v>
      </c>
      <c r="J2261" s="14">
        <v>5</v>
      </c>
      <c r="K2261" s="18" t="s">
        <v>519</v>
      </c>
      <c r="L2261" s="18"/>
      <c r="M2261" s="14">
        <v>1</v>
      </c>
      <c r="N2261" s="15">
        <v>270000</v>
      </c>
      <c r="O2261" s="15">
        <f t="shared" si="93"/>
        <v>270000</v>
      </c>
      <c r="P2261" s="15"/>
      <c r="Q2261" s="14" t="s">
        <v>520</v>
      </c>
      <c r="R2261" s="25">
        <v>46446</v>
      </c>
      <c r="S2261" s="34" t="str">
        <f>TEXT(Table1[[#This Row],[End Date]],"MMMM")</f>
        <v>February</v>
      </c>
      <c r="T2261" s="34" t="str">
        <f>TEXT(Table1[[#This Row],[End Date]],"YYYY")</f>
        <v>2027</v>
      </c>
      <c r="U2261" s="24">
        <f t="shared" ca="1" si="92"/>
        <v>-1313</v>
      </c>
      <c r="V2261" s="14" t="str" cm="1">
        <f t="array" aca="1" ref="V2261" ca="1">_xlfn.IFS(Table1[[#This Row],[Agreement Days]]&gt;=0,"Expired",Table1[[#This Row],[Agreement Days]]&gt;=-30,"Expires &lt; 30 Days",Table1[[#This Row],[Agreement Days]]&gt;=-60,"Expires &lt; 60 Days",Table1[[#This Row],[Agreement Days]]&lt;-60,"Valid Contract")</f>
        <v>Valid Contract</v>
      </c>
      <c r="W2261" s="18" t="s">
        <v>21</v>
      </c>
      <c r="X2261" s="42" t="s">
        <v>3703</v>
      </c>
      <c r="Y2261" s="42" t="s">
        <v>3704</v>
      </c>
      <c r="Z2261" s="27">
        <v>788844032</v>
      </c>
      <c r="AA2261" s="27"/>
      <c r="AB2261" s="116"/>
      <c r="AC2261" s="116"/>
    </row>
    <row r="2262" spans="1:29" hidden="1" x14ac:dyDescent="0.3">
      <c r="A2262" s="18" t="s">
        <v>3484</v>
      </c>
      <c r="B2262" s="18" t="s">
        <v>175</v>
      </c>
      <c r="C2262" s="18" t="s">
        <v>905</v>
      </c>
      <c r="D2262" s="14" t="s">
        <v>808</v>
      </c>
      <c r="E2262" s="18" t="s">
        <v>9</v>
      </c>
      <c r="F2262" s="14" t="s">
        <v>517</v>
      </c>
      <c r="G2262" s="14" t="s">
        <v>518</v>
      </c>
      <c r="H2262" s="18" t="s">
        <v>5</v>
      </c>
      <c r="I2262" s="14" t="s">
        <v>115</v>
      </c>
      <c r="J2262" s="18"/>
      <c r="K2262" s="18" t="s">
        <v>651</v>
      </c>
      <c r="L2262" s="18"/>
      <c r="M2262" s="14">
        <v>14</v>
      </c>
      <c r="N2262" s="15">
        <f>96000/1.18</f>
        <v>81355.932203389835</v>
      </c>
      <c r="O2262" s="15">
        <f t="shared" si="93"/>
        <v>1138983.0508474577</v>
      </c>
      <c r="P2262" s="15"/>
      <c r="Q2262" s="14" t="s">
        <v>520</v>
      </c>
      <c r="R2262" s="25">
        <v>46446</v>
      </c>
      <c r="S2262" s="34" t="str">
        <f>TEXT(Table1[[#This Row],[End Date]],"MMMM")</f>
        <v>February</v>
      </c>
      <c r="T2262" s="34" t="str">
        <f>TEXT(Table1[[#This Row],[End Date]],"YYYY")</f>
        <v>2027</v>
      </c>
      <c r="U2262" s="24">
        <f t="shared" ca="1" si="92"/>
        <v>-1313</v>
      </c>
      <c r="V2262" s="14" t="str" cm="1">
        <f t="array" aca="1" ref="V2262" ca="1">_xlfn.IFS(Table1[[#This Row],[Agreement Days]]&gt;=0,"Expired",Table1[[#This Row],[Agreement Days]]&gt;=-30,"Expires &lt; 30 Days",Table1[[#This Row],[Agreement Days]]&gt;=-60,"Expires &lt; 60 Days",Table1[[#This Row],[Agreement Days]]&lt;-60,"Valid Contract")</f>
        <v>Valid Contract</v>
      </c>
      <c r="W2262" s="18" t="s">
        <v>18</v>
      </c>
      <c r="X2262" s="18" t="s">
        <v>3485</v>
      </c>
      <c r="Y2262" s="35" t="s">
        <v>3486</v>
      </c>
      <c r="Z2262" s="36" t="s">
        <v>3487</v>
      </c>
      <c r="AA2262" s="27"/>
      <c r="AB2262" s="116"/>
      <c r="AC2262" s="116"/>
    </row>
    <row r="2263" spans="1:29" hidden="1" x14ac:dyDescent="0.3">
      <c r="A2263" s="18" t="s">
        <v>3484</v>
      </c>
      <c r="B2263" s="18" t="s">
        <v>175</v>
      </c>
      <c r="C2263" s="18" t="s">
        <v>3705</v>
      </c>
      <c r="D2263" s="14" t="s">
        <v>808</v>
      </c>
      <c r="E2263" s="18" t="s">
        <v>9</v>
      </c>
      <c r="F2263" s="14" t="s">
        <v>517</v>
      </c>
      <c r="G2263" s="14" t="s">
        <v>518</v>
      </c>
      <c r="H2263" s="18" t="s">
        <v>5</v>
      </c>
      <c r="I2263" s="14" t="s">
        <v>115</v>
      </c>
      <c r="J2263" s="18"/>
      <c r="K2263" s="18" t="s">
        <v>573</v>
      </c>
      <c r="L2263" s="18"/>
      <c r="M2263" s="14">
        <v>114</v>
      </c>
      <c r="N2263" s="15">
        <v>19491.53</v>
      </c>
      <c r="O2263" s="15">
        <f t="shared" si="93"/>
        <v>2222034.42</v>
      </c>
      <c r="P2263" s="15"/>
      <c r="Q2263" s="14" t="s">
        <v>520</v>
      </c>
      <c r="R2263" s="25">
        <v>46446</v>
      </c>
      <c r="S2263" s="34" t="str">
        <f>TEXT(Table1[[#This Row],[End Date]],"MMMM")</f>
        <v>February</v>
      </c>
      <c r="T2263" s="34" t="str">
        <f>TEXT(Table1[[#This Row],[End Date]],"YYYY")</f>
        <v>2027</v>
      </c>
      <c r="U2263" s="24">
        <f t="shared" ca="1" si="92"/>
        <v>-1313</v>
      </c>
      <c r="V2263" s="14" t="str" cm="1">
        <f t="array" aca="1" ref="V2263" ca="1">_xlfn.IFS(Table1[[#This Row],[Agreement Days]]&gt;=0,"Expired",Table1[[#This Row],[Agreement Days]]&gt;=-30,"Expires &lt; 30 Days",Table1[[#This Row],[Agreement Days]]&gt;=-60,"Expires &lt; 60 Days",Table1[[#This Row],[Agreement Days]]&lt;-60,"Valid Contract")</f>
        <v>Valid Contract</v>
      </c>
      <c r="W2263" s="18" t="s">
        <v>18</v>
      </c>
      <c r="X2263" s="18" t="s">
        <v>3485</v>
      </c>
      <c r="Y2263" s="35" t="s">
        <v>3486</v>
      </c>
      <c r="Z2263" s="36" t="s">
        <v>3487</v>
      </c>
      <c r="AA2263" s="27"/>
      <c r="AB2263" s="116"/>
      <c r="AC2263" s="116"/>
    </row>
    <row r="2264" spans="1:29" hidden="1" x14ac:dyDescent="0.3">
      <c r="A2264" s="18" t="s">
        <v>3706</v>
      </c>
      <c r="B2264" s="18" t="s">
        <v>45</v>
      </c>
      <c r="C2264" s="18" t="s">
        <v>3707</v>
      </c>
      <c r="D2264" s="14" t="s">
        <v>616</v>
      </c>
      <c r="E2264" s="18" t="s">
        <v>9</v>
      </c>
      <c r="F2264" s="14" t="s">
        <v>631</v>
      </c>
      <c r="G2264" s="14" t="s">
        <v>518</v>
      </c>
      <c r="H2264" s="18" t="s">
        <v>5</v>
      </c>
      <c r="I2264" s="14" t="s">
        <v>117</v>
      </c>
      <c r="J2264" s="14">
        <v>5</v>
      </c>
      <c r="K2264" s="14" t="s">
        <v>763</v>
      </c>
      <c r="L2264" s="14"/>
      <c r="M2264" s="14">
        <v>1</v>
      </c>
      <c r="N2264" s="15">
        <f>318600/1.18</f>
        <v>270000</v>
      </c>
      <c r="O2264" s="15">
        <f t="shared" si="93"/>
        <v>270000</v>
      </c>
      <c r="P2264" s="15"/>
      <c r="Q2264" s="14" t="s">
        <v>520</v>
      </c>
      <c r="R2264" s="21">
        <v>46446</v>
      </c>
      <c r="S2264" s="22" t="str">
        <f>TEXT(Table1[[#This Row],[End Date]],"MMMM")</f>
        <v>February</v>
      </c>
      <c r="T2264" s="23" t="str">
        <f>TEXT(Table1[[#This Row],[End Date]],"YYYY")</f>
        <v>2027</v>
      </c>
      <c r="U2264" s="24">
        <f t="shared" ca="1" si="92"/>
        <v>-1313</v>
      </c>
      <c r="V2264" s="14" t="str" cm="1">
        <f t="array" aca="1" ref="V2264" ca="1">_xlfn.IFS(Table1[[#This Row],[Agreement Days]]&gt;=0,"Expired",Table1[[#This Row],[Agreement Days]]&gt;=-30,"Expires &lt; 30 Days",Table1[[#This Row],[Agreement Days]]&gt;=-60,"Expires &lt; 60 Days",Table1[[#This Row],[Agreement Days]]&lt;-60,"Valid Contract")</f>
        <v>Valid Contract</v>
      </c>
      <c r="W2264" s="14" t="s">
        <v>13</v>
      </c>
      <c r="X2264" s="14" t="s">
        <v>3708</v>
      </c>
      <c r="Y2264" s="43" t="s">
        <v>3709</v>
      </c>
      <c r="Z2264" s="17" t="s">
        <v>3710</v>
      </c>
      <c r="AA2264" s="17"/>
      <c r="AB2264" s="116"/>
      <c r="AC2264" s="116"/>
    </row>
    <row r="2265" spans="1:29" hidden="1" x14ac:dyDescent="0.3">
      <c r="A2265" s="18" t="s">
        <v>3706</v>
      </c>
      <c r="B2265" s="18" t="s">
        <v>45</v>
      </c>
      <c r="C2265" s="18" t="s">
        <v>3711</v>
      </c>
      <c r="D2265" s="14" t="s">
        <v>808</v>
      </c>
      <c r="E2265" s="18" t="s">
        <v>9</v>
      </c>
      <c r="F2265" s="14" t="s">
        <v>631</v>
      </c>
      <c r="G2265" s="14" t="s">
        <v>518</v>
      </c>
      <c r="H2265" s="18" t="s">
        <v>5</v>
      </c>
      <c r="I2265" s="14" t="s">
        <v>117</v>
      </c>
      <c r="J2265" s="14">
        <v>20</v>
      </c>
      <c r="K2265" s="14" t="s">
        <v>689</v>
      </c>
      <c r="L2265" s="14"/>
      <c r="M2265" s="14">
        <v>1</v>
      </c>
      <c r="N2265" s="15">
        <f>1062000/1.18</f>
        <v>900000</v>
      </c>
      <c r="O2265" s="15">
        <f t="shared" si="93"/>
        <v>900000</v>
      </c>
      <c r="P2265" s="15"/>
      <c r="Q2265" s="14" t="s">
        <v>520</v>
      </c>
      <c r="R2265" s="21">
        <v>46446</v>
      </c>
      <c r="S2265" s="22" t="str">
        <f>TEXT(Table1[[#This Row],[End Date]],"MMMM")</f>
        <v>February</v>
      </c>
      <c r="T2265" s="23" t="str">
        <f>TEXT(Table1[[#This Row],[End Date]],"YYYY")</f>
        <v>2027</v>
      </c>
      <c r="U2265" s="24">
        <f t="shared" ca="1" si="92"/>
        <v>-1313</v>
      </c>
      <c r="V2265" s="14" t="str" cm="1">
        <f t="array" aca="1" ref="V2265" ca="1">_xlfn.IFS(Table1[[#This Row],[Agreement Days]]&gt;=0,"Expired",Table1[[#This Row],[Agreement Days]]&gt;=-30,"Expires &lt; 30 Days",Table1[[#This Row],[Agreement Days]]&gt;=-60,"Expires &lt; 60 Days",Table1[[#This Row],[Agreement Days]]&lt;-60,"Valid Contract")</f>
        <v>Valid Contract</v>
      </c>
      <c r="W2265" s="14" t="s">
        <v>13</v>
      </c>
      <c r="X2265" s="14" t="s">
        <v>3708</v>
      </c>
      <c r="Y2265" s="43" t="s">
        <v>3709</v>
      </c>
      <c r="Z2265" s="17" t="s">
        <v>3710</v>
      </c>
      <c r="AA2265" s="17"/>
      <c r="AB2265" s="116"/>
      <c r="AC2265" s="116"/>
    </row>
    <row r="2266" spans="1:29" hidden="1" x14ac:dyDescent="0.3">
      <c r="A2266" s="18" t="s">
        <v>3712</v>
      </c>
      <c r="B2266" s="18" t="s">
        <v>351</v>
      </c>
      <c r="C2266" s="18" t="s">
        <v>351</v>
      </c>
      <c r="D2266" s="14" t="s">
        <v>1719</v>
      </c>
      <c r="E2266" s="18" t="s">
        <v>9</v>
      </c>
      <c r="F2266" s="14" t="s">
        <v>517</v>
      </c>
      <c r="G2266" s="14" t="s">
        <v>546</v>
      </c>
      <c r="H2266" s="18" t="s">
        <v>5</v>
      </c>
      <c r="I2266" s="14" t="s">
        <v>117</v>
      </c>
      <c r="J2266" s="14">
        <v>3</v>
      </c>
      <c r="K2266" s="14" t="s">
        <v>1277</v>
      </c>
      <c r="L2266" s="14"/>
      <c r="M2266" s="14">
        <v>1</v>
      </c>
      <c r="N2266" s="15">
        <v>180000</v>
      </c>
      <c r="O2266" s="15">
        <f t="shared" si="93"/>
        <v>180000</v>
      </c>
      <c r="P2266" s="15"/>
      <c r="Q2266" s="14" t="s">
        <v>520</v>
      </c>
      <c r="R2266" s="25">
        <v>46476</v>
      </c>
      <c r="S2266" s="22" t="s">
        <v>3713</v>
      </c>
      <c r="T2266" s="23" t="str">
        <f>TEXT(Table1[[#This Row],[End Date]],"YYYY")</f>
        <v>2027</v>
      </c>
      <c r="U2266" s="24">
        <f t="shared" ca="1" si="92"/>
        <v>-1343</v>
      </c>
      <c r="V2266" s="14" t="str" cm="1">
        <f t="array" aca="1" ref="V2266" ca="1">_xlfn.IFS(Table1[[#This Row],[Agreement Days]]&gt;=0,"Expired",Table1[[#This Row],[Agreement Days]]&gt;=-30,"Expires &lt; 30 Days",Table1[[#This Row],[Agreement Days]]&gt;=-60,"Expires &lt; 60 Days",Table1[[#This Row],[Agreement Days]]&lt;-60,"Valid Contract")</f>
        <v>Valid Contract</v>
      </c>
      <c r="W2266" s="14" t="s">
        <v>19</v>
      </c>
      <c r="X2266" s="14" t="s">
        <v>3714</v>
      </c>
      <c r="Y2266" s="43" t="s">
        <v>3715</v>
      </c>
      <c r="Z2266" s="27">
        <v>788549890</v>
      </c>
      <c r="AA2266" s="17"/>
      <c r="AB2266" s="116"/>
      <c r="AC2266" s="116"/>
    </row>
    <row r="2267" spans="1:29" hidden="1" x14ac:dyDescent="0.3">
      <c r="A2267" s="18" t="s">
        <v>3712</v>
      </c>
      <c r="B2267" s="18" t="s">
        <v>351</v>
      </c>
      <c r="C2267" s="18" t="s">
        <v>351</v>
      </c>
      <c r="D2267" s="14" t="s">
        <v>1719</v>
      </c>
      <c r="E2267" s="18" t="s">
        <v>9</v>
      </c>
      <c r="F2267" s="14" t="s">
        <v>517</v>
      </c>
      <c r="G2267" s="14" t="s">
        <v>546</v>
      </c>
      <c r="H2267" s="18" t="s">
        <v>5</v>
      </c>
      <c r="I2267" s="14" t="s">
        <v>118</v>
      </c>
      <c r="J2267" s="14"/>
      <c r="K2267" s="14" t="s">
        <v>2751</v>
      </c>
      <c r="L2267" s="14"/>
      <c r="M2267" s="14">
        <v>1</v>
      </c>
      <c r="N2267" s="15">
        <v>86129.661016949161</v>
      </c>
      <c r="O2267" s="15">
        <f t="shared" si="93"/>
        <v>86129.661016949161</v>
      </c>
      <c r="P2267" s="15"/>
      <c r="Q2267" s="14" t="s">
        <v>520</v>
      </c>
      <c r="R2267" s="25">
        <v>46476</v>
      </c>
      <c r="S2267" s="22" t="s">
        <v>3713</v>
      </c>
      <c r="T2267" s="23" t="str">
        <f>TEXT(Table1[[#This Row],[End Date]],"YYYY")</f>
        <v>2027</v>
      </c>
      <c r="U2267" s="24">
        <f t="shared" ca="1" si="92"/>
        <v>-1343</v>
      </c>
      <c r="V2267" s="14" t="str" cm="1">
        <f t="array" aca="1" ref="V2267" ca="1">_xlfn.IFS(Table1[[#This Row],[Agreement Days]]&gt;=0,"Expired",Table1[[#This Row],[Agreement Days]]&gt;=-30,"Expires &lt; 30 Days",Table1[[#This Row],[Agreement Days]]&gt;=-60,"Expires &lt; 60 Days",Table1[[#This Row],[Agreement Days]]&lt;-60,"Valid Contract")</f>
        <v>Valid Contract</v>
      </c>
      <c r="W2267" s="14" t="s">
        <v>19</v>
      </c>
      <c r="X2267" s="14" t="s">
        <v>3714</v>
      </c>
      <c r="Y2267" s="43" t="s">
        <v>3715</v>
      </c>
      <c r="Z2267" s="27">
        <v>788549890</v>
      </c>
      <c r="AA2267" s="17"/>
      <c r="AB2267" s="116"/>
      <c r="AC2267" s="116"/>
    </row>
    <row r="2268" spans="1:29" hidden="1" x14ac:dyDescent="0.3">
      <c r="A2268" s="18" t="s">
        <v>3712</v>
      </c>
      <c r="B2268" s="18" t="s">
        <v>351</v>
      </c>
      <c r="C2268" s="18" t="s">
        <v>351</v>
      </c>
      <c r="D2268" s="14" t="s">
        <v>1719</v>
      </c>
      <c r="E2268" s="18" t="s">
        <v>9</v>
      </c>
      <c r="F2268" s="14" t="s">
        <v>517</v>
      </c>
      <c r="G2268" s="14" t="s">
        <v>546</v>
      </c>
      <c r="H2268" s="18" t="s">
        <v>5</v>
      </c>
      <c r="I2268" s="14" t="s">
        <v>120</v>
      </c>
      <c r="J2268" s="14"/>
      <c r="K2268" s="14" t="s">
        <v>3716</v>
      </c>
      <c r="L2268" s="14"/>
      <c r="M2268" s="14">
        <v>1</v>
      </c>
      <c r="N2268" s="15">
        <v>258045</v>
      </c>
      <c r="O2268" s="15">
        <f t="shared" si="93"/>
        <v>258045</v>
      </c>
      <c r="P2268" s="15"/>
      <c r="Q2268" s="14" t="s">
        <v>520</v>
      </c>
      <c r="R2268" s="25">
        <v>46476</v>
      </c>
      <c r="S2268" s="22" t="s">
        <v>3713</v>
      </c>
      <c r="T2268" s="23" t="str">
        <f>TEXT(Table1[[#This Row],[End Date]],"YYYY")</f>
        <v>2027</v>
      </c>
      <c r="U2268" s="24">
        <f t="shared" ca="1" si="92"/>
        <v>-1343</v>
      </c>
      <c r="V2268" s="14" t="str" cm="1">
        <f t="array" aca="1" ref="V2268" ca="1">_xlfn.IFS(Table1[[#This Row],[Agreement Days]]&gt;=0,"Expired",Table1[[#This Row],[Agreement Days]]&gt;=-30,"Expires &lt; 30 Days",Table1[[#This Row],[Agreement Days]]&gt;=-60,"Expires &lt; 60 Days",Table1[[#This Row],[Agreement Days]]&lt;-60,"Valid Contract")</f>
        <v>Valid Contract</v>
      </c>
      <c r="W2268" s="14" t="s">
        <v>19</v>
      </c>
      <c r="X2268" s="14" t="s">
        <v>3714</v>
      </c>
      <c r="Y2268" s="43" t="s">
        <v>3715</v>
      </c>
      <c r="Z2268" s="27">
        <v>788549890</v>
      </c>
      <c r="AA2268" s="17"/>
      <c r="AB2268" s="116"/>
      <c r="AC2268" s="116"/>
    </row>
    <row r="2269" spans="1:29" hidden="1" x14ac:dyDescent="0.3">
      <c r="A2269" s="18" t="s">
        <v>3717</v>
      </c>
      <c r="B2269" s="18" t="s">
        <v>104</v>
      </c>
      <c r="C2269" s="18" t="s">
        <v>104</v>
      </c>
      <c r="D2269" s="14" t="s">
        <v>735</v>
      </c>
      <c r="E2269" s="18" t="s">
        <v>9</v>
      </c>
      <c r="F2269" s="14" t="s">
        <v>631</v>
      </c>
      <c r="G2269" s="14" t="s">
        <v>518</v>
      </c>
      <c r="H2269" s="18" t="s">
        <v>5</v>
      </c>
      <c r="I2269" s="14" t="s">
        <v>117</v>
      </c>
      <c r="J2269" s="14">
        <v>1</v>
      </c>
      <c r="K2269" s="18" t="s">
        <v>2087</v>
      </c>
      <c r="L2269" s="18"/>
      <c r="M2269" s="14">
        <v>1</v>
      </c>
      <c r="N2269" s="15">
        <v>90000</v>
      </c>
      <c r="O2269" s="15">
        <f t="shared" si="93"/>
        <v>90000</v>
      </c>
      <c r="P2269" s="15"/>
      <c r="Q2269" s="14" t="s">
        <v>520</v>
      </c>
      <c r="R2269" s="25">
        <v>46477</v>
      </c>
      <c r="S2269" s="34" t="str">
        <f>TEXT(Table1[[#This Row],[End Date]],"MMMM")</f>
        <v>March</v>
      </c>
      <c r="T2269" s="34" t="str">
        <f>TEXT(Table1[[#This Row],[End Date]],"YYYY")</f>
        <v>2027</v>
      </c>
      <c r="U2269" s="24">
        <f t="shared" ca="1" si="92"/>
        <v>-1344</v>
      </c>
      <c r="V2269" s="14" t="str" cm="1">
        <f t="array" aca="1" ref="V2269" ca="1">_xlfn.IFS(Table1[[#This Row],[Agreement Days]]&gt;=0,"Expired",Table1[[#This Row],[Agreement Days]]&gt;=-30,"Expires &lt; 30 Days",Table1[[#This Row],[Agreement Days]]&gt;=-60,"Expires &lt; 60 Days",Table1[[#This Row],[Agreement Days]]&lt;-60,"Valid Contract")</f>
        <v>Valid Contract</v>
      </c>
      <c r="W2269" s="18" t="s">
        <v>21</v>
      </c>
      <c r="X2269" s="18" t="s">
        <v>3718</v>
      </c>
      <c r="Y2269" s="42" t="s">
        <v>3719</v>
      </c>
      <c r="Z2269" s="27">
        <v>788505349</v>
      </c>
      <c r="AA2269" s="27"/>
      <c r="AB2269" s="116"/>
      <c r="AC2269" s="116"/>
    </row>
    <row r="2270" spans="1:29" hidden="1" x14ac:dyDescent="0.3">
      <c r="A2270" s="18" t="s">
        <v>2302</v>
      </c>
      <c r="B2270" s="18" t="s">
        <v>303</v>
      </c>
      <c r="C2270" s="18" t="s">
        <v>2303</v>
      </c>
      <c r="D2270" s="14" t="s">
        <v>771</v>
      </c>
      <c r="E2270" s="18" t="s">
        <v>9</v>
      </c>
      <c r="F2270" s="14" t="s">
        <v>688</v>
      </c>
      <c r="G2270" s="14" t="s">
        <v>518</v>
      </c>
      <c r="H2270" s="18" t="s">
        <v>5</v>
      </c>
      <c r="I2270" s="14" t="s">
        <v>117</v>
      </c>
      <c r="J2270" s="14">
        <v>5</v>
      </c>
      <c r="K2270" s="18" t="s">
        <v>519</v>
      </c>
      <c r="L2270" s="18"/>
      <c r="M2270" s="14">
        <v>1</v>
      </c>
      <c r="N2270" s="15">
        <v>270000</v>
      </c>
      <c r="O2270" s="15">
        <f t="shared" si="93"/>
        <v>270000</v>
      </c>
      <c r="P2270" s="15"/>
      <c r="Q2270" s="14" t="s">
        <v>520</v>
      </c>
      <c r="R2270" s="25">
        <v>46477</v>
      </c>
      <c r="S2270" s="34" t="str">
        <f>TEXT(Table1[[#This Row],[End Date]],"MMMM")</f>
        <v>March</v>
      </c>
      <c r="T2270" s="34" t="str">
        <f>TEXT(Table1[[#This Row],[End Date]],"YYYY")</f>
        <v>2027</v>
      </c>
      <c r="U2270" s="24">
        <f t="shared" ca="1" si="92"/>
        <v>-1344</v>
      </c>
      <c r="V2270" s="14" t="str" cm="1">
        <f t="array" aca="1" ref="V2270" ca="1">_xlfn.IFS(Table1[[#This Row],[Agreement Days]]&gt;=0,"Expired",Table1[[#This Row],[Agreement Days]]&gt;=-30,"Expires &lt; 30 Days",Table1[[#This Row],[Agreement Days]]&gt;=-60,"Expires &lt; 60 Days",Table1[[#This Row],[Agreement Days]]&lt;-60,"Valid Contract")</f>
        <v>Valid Contract</v>
      </c>
      <c r="W2270" s="18" t="s">
        <v>21</v>
      </c>
      <c r="X2270" s="18" t="s">
        <v>2304</v>
      </c>
      <c r="Y2270" s="42" t="s">
        <v>2305</v>
      </c>
      <c r="Z2270" s="27">
        <v>788424624</v>
      </c>
      <c r="AA2270" s="27"/>
      <c r="AB2270" s="116"/>
      <c r="AC2270" s="116"/>
    </row>
    <row r="2271" spans="1:29" hidden="1" x14ac:dyDescent="0.3">
      <c r="A2271" s="18" t="s">
        <v>2302</v>
      </c>
      <c r="B2271" s="18" t="s">
        <v>303</v>
      </c>
      <c r="C2271" s="18" t="s">
        <v>2303</v>
      </c>
      <c r="D2271" s="14" t="s">
        <v>771</v>
      </c>
      <c r="E2271" s="18" t="s">
        <v>9</v>
      </c>
      <c r="F2271" s="14" t="s">
        <v>688</v>
      </c>
      <c r="G2271" s="14" t="s">
        <v>518</v>
      </c>
      <c r="H2271" s="18" t="s">
        <v>5</v>
      </c>
      <c r="I2271" s="14" t="s">
        <v>115</v>
      </c>
      <c r="J2271" s="18"/>
      <c r="K2271" s="18" t="s">
        <v>643</v>
      </c>
      <c r="L2271" s="18"/>
      <c r="M2271" s="14">
        <v>1</v>
      </c>
      <c r="N2271" s="15">
        <v>28305.08</v>
      </c>
      <c r="O2271" s="15">
        <f t="shared" si="93"/>
        <v>28305.08</v>
      </c>
      <c r="P2271" s="15"/>
      <c r="Q2271" s="14" t="s">
        <v>520</v>
      </c>
      <c r="R2271" s="25">
        <v>46477</v>
      </c>
      <c r="S2271" s="34" t="str">
        <f>TEXT(Table1[[#This Row],[End Date]],"MMMM")</f>
        <v>March</v>
      </c>
      <c r="T2271" s="34" t="str">
        <f>TEXT(Table1[[#This Row],[End Date]],"YYYY")</f>
        <v>2027</v>
      </c>
      <c r="U2271" s="24">
        <f t="shared" ca="1" si="92"/>
        <v>-1344</v>
      </c>
      <c r="V2271" s="14" t="str" cm="1">
        <f t="array" aca="1" ref="V2271" ca="1">_xlfn.IFS(Table1[[#This Row],[Agreement Days]]&gt;=0,"Expired",Table1[[#This Row],[Agreement Days]]&gt;=-30,"Expires &lt; 30 Days",Table1[[#This Row],[Agreement Days]]&gt;=-60,"Expires &lt; 60 Days",Table1[[#This Row],[Agreement Days]]&lt;-60,"Valid Contract")</f>
        <v>Valid Contract</v>
      </c>
      <c r="W2271" s="18" t="s">
        <v>21</v>
      </c>
      <c r="X2271" s="18" t="s">
        <v>2304</v>
      </c>
      <c r="Y2271" s="42" t="s">
        <v>2305</v>
      </c>
      <c r="Z2271" s="27">
        <v>788424624</v>
      </c>
      <c r="AA2271" s="27"/>
      <c r="AB2271" s="116"/>
      <c r="AC2271" s="116"/>
    </row>
    <row r="2272" spans="1:29" hidden="1" x14ac:dyDescent="0.3">
      <c r="A2272" s="18" t="s">
        <v>3720</v>
      </c>
      <c r="B2272" s="18" t="s">
        <v>398</v>
      </c>
      <c r="C2272" s="18" t="s">
        <v>3721</v>
      </c>
      <c r="D2272" s="14" t="s">
        <v>759</v>
      </c>
      <c r="E2272" s="18" t="s">
        <v>9</v>
      </c>
      <c r="F2272" s="14" t="s">
        <v>688</v>
      </c>
      <c r="G2272" s="14" t="s">
        <v>518</v>
      </c>
      <c r="H2272" s="18" t="s">
        <v>5</v>
      </c>
      <c r="I2272" s="14" t="s">
        <v>117</v>
      </c>
      <c r="J2272" s="14">
        <v>5</v>
      </c>
      <c r="K2272" s="18" t="s">
        <v>519</v>
      </c>
      <c r="L2272" s="18"/>
      <c r="M2272" s="14">
        <v>1</v>
      </c>
      <c r="N2272" s="15">
        <v>270000</v>
      </c>
      <c r="O2272" s="15">
        <f t="shared" si="93"/>
        <v>270000</v>
      </c>
      <c r="P2272" s="15"/>
      <c r="Q2272" s="14" t="s">
        <v>520</v>
      </c>
      <c r="R2272" s="25">
        <v>46477</v>
      </c>
      <c r="S2272" s="34" t="str">
        <f>TEXT(Table1[[#This Row],[End Date]],"MMMM")</f>
        <v>March</v>
      </c>
      <c r="T2272" s="34" t="str">
        <f>TEXT(Table1[[#This Row],[End Date]],"YYYY")</f>
        <v>2027</v>
      </c>
      <c r="U2272" s="24">
        <f t="shared" ca="1" si="92"/>
        <v>-1344</v>
      </c>
      <c r="V2272" s="14" t="str" cm="1">
        <f t="array" aca="1" ref="V2272" ca="1">_xlfn.IFS(Table1[[#This Row],[Agreement Days]]&gt;=0,"Expired",Table1[[#This Row],[Agreement Days]]&gt;=-30,"Expires &lt; 30 Days",Table1[[#This Row],[Agreement Days]]&gt;=-60,"Expires &lt; 60 Days",Table1[[#This Row],[Agreement Days]]&lt;-60,"Valid Contract")</f>
        <v>Valid Contract</v>
      </c>
      <c r="W2272" s="18" t="s">
        <v>21</v>
      </c>
      <c r="X2272" s="18" t="s">
        <v>3722</v>
      </c>
      <c r="Y2272" s="42" t="s">
        <v>3723</v>
      </c>
      <c r="Z2272" s="27">
        <v>788260843</v>
      </c>
      <c r="AA2272" s="27"/>
      <c r="AB2272" s="116"/>
      <c r="AC2272" s="116"/>
    </row>
    <row r="2273" spans="1:29" hidden="1" x14ac:dyDescent="0.3">
      <c r="A2273" s="18" t="s">
        <v>3724</v>
      </c>
      <c r="B2273" s="18" t="s">
        <v>379</v>
      </c>
      <c r="C2273" s="18" t="s">
        <v>3725</v>
      </c>
      <c r="D2273" s="14" t="s">
        <v>1140</v>
      </c>
      <c r="E2273" s="18" t="s">
        <v>9</v>
      </c>
      <c r="F2273" s="14" t="s">
        <v>688</v>
      </c>
      <c r="G2273" s="14" t="s">
        <v>518</v>
      </c>
      <c r="H2273" s="18" t="s">
        <v>5</v>
      </c>
      <c r="I2273" s="14" t="s">
        <v>117</v>
      </c>
      <c r="J2273" s="14">
        <v>5</v>
      </c>
      <c r="K2273" s="18" t="s">
        <v>519</v>
      </c>
      <c r="L2273" s="18"/>
      <c r="M2273" s="14">
        <v>1</v>
      </c>
      <c r="N2273" s="15">
        <v>270000</v>
      </c>
      <c r="O2273" s="15">
        <f t="shared" si="93"/>
        <v>270000</v>
      </c>
      <c r="P2273" s="15"/>
      <c r="Q2273" s="14" t="s">
        <v>520</v>
      </c>
      <c r="R2273" s="25">
        <v>46477</v>
      </c>
      <c r="S2273" s="34" t="str">
        <f>TEXT(Table1[[#This Row],[End Date]],"MMMM")</f>
        <v>March</v>
      </c>
      <c r="T2273" s="34" t="str">
        <f>TEXT(Table1[[#This Row],[End Date]],"YYYY")</f>
        <v>2027</v>
      </c>
      <c r="U2273" s="24">
        <f t="shared" ca="1" si="92"/>
        <v>-1344</v>
      </c>
      <c r="V2273" s="14" t="str" cm="1">
        <f t="array" aca="1" ref="V2273" ca="1">_xlfn.IFS(Table1[[#This Row],[Agreement Days]]&gt;=0,"Expired",Table1[[#This Row],[Agreement Days]]&gt;=-30,"Expires &lt; 30 Days",Table1[[#This Row],[Agreement Days]]&gt;=-60,"Expires &lt; 60 Days",Table1[[#This Row],[Agreement Days]]&lt;-60,"Valid Contract")</f>
        <v>Valid Contract</v>
      </c>
      <c r="W2273" s="18" t="s">
        <v>21</v>
      </c>
      <c r="X2273" s="18" t="s">
        <v>574</v>
      </c>
      <c r="Y2273" s="42" t="s">
        <v>3726</v>
      </c>
      <c r="Z2273" s="27">
        <v>788665959</v>
      </c>
      <c r="AA2273" s="27"/>
      <c r="AB2273" s="116"/>
      <c r="AC2273" s="116"/>
    </row>
    <row r="2274" spans="1:29" hidden="1" x14ac:dyDescent="0.3">
      <c r="A2274" s="18" t="s">
        <v>3724</v>
      </c>
      <c r="B2274" s="18" t="s">
        <v>379</v>
      </c>
      <c r="C2274" s="18" t="s">
        <v>3725</v>
      </c>
      <c r="D2274" s="14" t="s">
        <v>1140</v>
      </c>
      <c r="E2274" s="18" t="s">
        <v>9</v>
      </c>
      <c r="F2274" s="14" t="s">
        <v>688</v>
      </c>
      <c r="G2274" s="14" t="s">
        <v>518</v>
      </c>
      <c r="H2274" s="18" t="s">
        <v>4</v>
      </c>
      <c r="I2274" s="14" t="s">
        <v>118</v>
      </c>
      <c r="J2274" s="18"/>
      <c r="K2274" s="18" t="s">
        <v>594</v>
      </c>
      <c r="L2274" s="18"/>
      <c r="M2274" s="14">
        <v>1</v>
      </c>
      <c r="N2274" s="15">
        <f>101633/1.18</f>
        <v>86129.661016949161</v>
      </c>
      <c r="O2274" s="15">
        <f t="shared" si="93"/>
        <v>86129.661016949161</v>
      </c>
      <c r="P2274" s="15"/>
      <c r="Q2274" s="14" t="s">
        <v>520</v>
      </c>
      <c r="R2274" s="25">
        <v>46477</v>
      </c>
      <c r="S2274" s="34" t="str">
        <f>TEXT(Table1[[#This Row],[End Date]],"MMMM")</f>
        <v>March</v>
      </c>
      <c r="T2274" s="34" t="str">
        <f>TEXT(Table1[[#This Row],[End Date]],"YYYY")</f>
        <v>2027</v>
      </c>
      <c r="U2274" s="24">
        <f t="shared" ca="1" si="92"/>
        <v>-1344</v>
      </c>
      <c r="V2274" s="14" t="str" cm="1">
        <f t="array" aca="1" ref="V2274" ca="1">_xlfn.IFS(Table1[[#This Row],[Agreement Days]]&gt;=0,"Expired",Table1[[#This Row],[Agreement Days]]&gt;=-30,"Expires &lt; 30 Days",Table1[[#This Row],[Agreement Days]]&gt;=-60,"Expires &lt; 60 Days",Table1[[#This Row],[Agreement Days]]&lt;-60,"Valid Contract")</f>
        <v>Valid Contract</v>
      </c>
      <c r="W2274" s="18" t="s">
        <v>21</v>
      </c>
      <c r="X2274" s="18" t="s">
        <v>574</v>
      </c>
      <c r="Y2274" s="42" t="s">
        <v>3726</v>
      </c>
      <c r="Z2274" s="27">
        <v>788665959</v>
      </c>
      <c r="AA2274" s="27"/>
      <c r="AB2274" s="116"/>
      <c r="AC2274" s="116"/>
    </row>
    <row r="2275" spans="1:29" hidden="1" x14ac:dyDescent="0.3">
      <c r="A2275" s="18" t="s">
        <v>3727</v>
      </c>
      <c r="B2275" s="18" t="s">
        <v>328</v>
      </c>
      <c r="C2275" s="18" t="s">
        <v>3728</v>
      </c>
      <c r="D2275" s="80" t="s">
        <v>653</v>
      </c>
      <c r="E2275" s="18" t="s">
        <v>9</v>
      </c>
      <c r="F2275" s="80" t="s">
        <v>517</v>
      </c>
      <c r="G2275" s="80" t="s">
        <v>518</v>
      </c>
      <c r="H2275" s="18" t="s">
        <v>2</v>
      </c>
      <c r="I2275" s="80" t="s">
        <v>117</v>
      </c>
      <c r="J2275" s="127">
        <v>15</v>
      </c>
      <c r="K2275" s="82" t="s">
        <v>627</v>
      </c>
      <c r="L2275" s="82"/>
      <c r="M2275" s="127">
        <v>1</v>
      </c>
      <c r="N2275" s="83">
        <v>720000</v>
      </c>
      <c r="O2275" s="83">
        <f t="shared" si="93"/>
        <v>720000</v>
      </c>
      <c r="P2275" s="83"/>
      <c r="Q2275" s="80" t="s">
        <v>520</v>
      </c>
      <c r="R2275" s="130">
        <v>46477</v>
      </c>
      <c r="S2275" s="131" t="str">
        <f>TEXT(Table1[[#This Row],[End Date]],"MMMM")</f>
        <v>March</v>
      </c>
      <c r="T2275" s="131" t="str">
        <f>TEXT(Table1[[#This Row],[End Date]],"YYYY")</f>
        <v>2027</v>
      </c>
      <c r="U2275" s="84">
        <f t="shared" ca="1" si="92"/>
        <v>-1344</v>
      </c>
      <c r="V2275" s="80" t="str" cm="1">
        <f t="array" aca="1" ref="V2275" ca="1">_xlfn.IFS(Table1[[#This Row],[Agreement Days]]&gt;=0,"Expired",Table1[[#This Row],[Agreement Days]]&gt;=-30,"Expires &lt; 30 Days",Table1[[#This Row],[Agreement Days]]&gt;=-60,"Expires &lt; 60 Days",Table1[[#This Row],[Agreement Days]]&lt;-60,"Valid Contract")</f>
        <v>Valid Contract</v>
      </c>
      <c r="W2275" s="82" t="s">
        <v>17</v>
      </c>
      <c r="X2275" s="82" t="s">
        <v>3729</v>
      </c>
      <c r="Y2275" s="178" t="s">
        <v>3730</v>
      </c>
      <c r="Z2275" s="85">
        <v>788468312</v>
      </c>
      <c r="AA2275" s="85"/>
      <c r="AB2275" s="116"/>
      <c r="AC2275" s="116"/>
    </row>
    <row r="2276" spans="1:29" s="11" customFormat="1" hidden="1" x14ac:dyDescent="0.3">
      <c r="A2276" s="18" t="s">
        <v>3727</v>
      </c>
      <c r="B2276" s="18" t="s">
        <v>328</v>
      </c>
      <c r="C2276" s="18" t="s">
        <v>3728</v>
      </c>
      <c r="D2276" s="14" t="s">
        <v>653</v>
      </c>
      <c r="E2276" s="18" t="s">
        <v>9</v>
      </c>
      <c r="F2276" s="14" t="s">
        <v>517</v>
      </c>
      <c r="G2276" s="14" t="s">
        <v>518</v>
      </c>
      <c r="H2276" s="18" t="s">
        <v>4</v>
      </c>
      <c r="I2276" s="14" t="s">
        <v>118</v>
      </c>
      <c r="J2276" s="26"/>
      <c r="K2276" s="26" t="s">
        <v>594</v>
      </c>
      <c r="L2276" s="26"/>
      <c r="M2276" s="19">
        <v>1</v>
      </c>
      <c r="N2276" s="15">
        <v>86129.66</v>
      </c>
      <c r="O2276" s="15">
        <f t="shared" si="93"/>
        <v>86129.66</v>
      </c>
      <c r="P2276" s="15"/>
      <c r="Q2276" s="14" t="s">
        <v>520</v>
      </c>
      <c r="R2276" s="25">
        <v>46477</v>
      </c>
      <c r="S2276" s="163" t="str">
        <f>TEXT(Table1[[#This Row],[End Date]],"MMMM")</f>
        <v>March</v>
      </c>
      <c r="T2276" s="163" t="str">
        <f>TEXT(Table1[[#This Row],[End Date]],"YYYY")</f>
        <v>2027</v>
      </c>
      <c r="U2276" s="24">
        <f t="shared" ca="1" si="92"/>
        <v>-1344</v>
      </c>
      <c r="V2276" s="14" t="str" cm="1">
        <f t="array" aca="1" ref="V2276" ca="1">_xlfn.IFS(Table1[[#This Row],[Agreement Days]]&gt;=0,"Expired",Table1[[#This Row],[Agreement Days]]&gt;=-30,"Expires &lt; 30 Days",Table1[[#This Row],[Agreement Days]]&gt;=-60,"Expires &lt; 60 Days",Table1[[#This Row],[Agreement Days]]&lt;-60,"Valid Contract")</f>
        <v>Valid Contract</v>
      </c>
      <c r="W2276" s="26" t="s">
        <v>17</v>
      </c>
      <c r="X2276" s="26" t="s">
        <v>3729</v>
      </c>
      <c r="Y2276" s="35" t="s">
        <v>3730</v>
      </c>
      <c r="Z2276" s="27">
        <v>788468312</v>
      </c>
      <c r="AA2276" s="27"/>
      <c r="AB2276" s="116"/>
      <c r="AC2276" s="116"/>
    </row>
    <row r="2277" spans="1:29" hidden="1" x14ac:dyDescent="0.3">
      <c r="A2277" s="18" t="s">
        <v>3731</v>
      </c>
      <c r="B2277" s="18" t="s">
        <v>324</v>
      </c>
      <c r="C2277" s="18" t="s">
        <v>3732</v>
      </c>
      <c r="D2277" s="14" t="s">
        <v>810</v>
      </c>
      <c r="E2277" s="18" t="s">
        <v>9</v>
      </c>
      <c r="F2277" s="14" t="s">
        <v>688</v>
      </c>
      <c r="G2277" s="14" t="s">
        <v>518</v>
      </c>
      <c r="H2277" s="18" t="s">
        <v>5</v>
      </c>
      <c r="I2277" s="14" t="s">
        <v>117</v>
      </c>
      <c r="J2277" s="14">
        <v>10</v>
      </c>
      <c r="K2277" s="18" t="s">
        <v>547</v>
      </c>
      <c r="L2277" s="18"/>
      <c r="M2277" s="14">
        <v>1</v>
      </c>
      <c r="N2277" s="15">
        <v>510000</v>
      </c>
      <c r="O2277" s="15">
        <f t="shared" si="93"/>
        <v>510000</v>
      </c>
      <c r="P2277" s="15"/>
      <c r="Q2277" s="14" t="s">
        <v>520</v>
      </c>
      <c r="R2277" s="25">
        <v>46477</v>
      </c>
      <c r="S2277" s="34" t="str">
        <f>TEXT(Table1[[#This Row],[End Date]],"MMMM")</f>
        <v>March</v>
      </c>
      <c r="T2277" s="34" t="str">
        <f>TEXT(Table1[[#This Row],[End Date]],"YYYY")</f>
        <v>2027</v>
      </c>
      <c r="U2277" s="24">
        <f t="shared" ca="1" si="92"/>
        <v>-1344</v>
      </c>
      <c r="V2277" s="14" t="str" cm="1">
        <f t="array" aca="1" ref="V2277" ca="1">_xlfn.IFS(Table1[[#This Row],[Agreement Days]]&gt;=0,"Expired",Table1[[#This Row],[Agreement Days]]&gt;=-30,"Expires &lt; 30 Days",Table1[[#This Row],[Agreement Days]]&gt;=-60,"Expires &lt; 60 Days",Table1[[#This Row],[Agreement Days]]&lt;-60,"Valid Contract")</f>
        <v>Valid Contract</v>
      </c>
      <c r="W2277" s="18" t="s">
        <v>21</v>
      </c>
      <c r="X2277" s="18" t="s">
        <v>3733</v>
      </c>
      <c r="Y2277" s="42" t="s">
        <v>3734</v>
      </c>
      <c r="Z2277" s="27">
        <v>783547377</v>
      </c>
      <c r="AA2277" s="27"/>
      <c r="AB2277" s="116"/>
      <c r="AC2277" s="116"/>
    </row>
    <row r="2278" spans="1:29" hidden="1" x14ac:dyDescent="0.3">
      <c r="A2278" s="18" t="s">
        <v>3731</v>
      </c>
      <c r="B2278" s="18" t="s">
        <v>324</v>
      </c>
      <c r="C2278" s="18" t="s">
        <v>3732</v>
      </c>
      <c r="D2278" s="14" t="s">
        <v>810</v>
      </c>
      <c r="E2278" s="18" t="s">
        <v>9</v>
      </c>
      <c r="F2278" s="14" t="s">
        <v>688</v>
      </c>
      <c r="G2278" s="14" t="s">
        <v>518</v>
      </c>
      <c r="H2278" s="18" t="s">
        <v>4</v>
      </c>
      <c r="I2278" s="14" t="s">
        <v>118</v>
      </c>
      <c r="J2278" s="18"/>
      <c r="K2278" s="18" t="s">
        <v>650</v>
      </c>
      <c r="L2278" s="18"/>
      <c r="M2278" s="14">
        <v>1</v>
      </c>
      <c r="N2278" s="15">
        <v>369325</v>
      </c>
      <c r="O2278" s="15">
        <f t="shared" si="93"/>
        <v>369325</v>
      </c>
      <c r="P2278" s="15"/>
      <c r="Q2278" s="14" t="s">
        <v>520</v>
      </c>
      <c r="R2278" s="25">
        <v>46477</v>
      </c>
      <c r="S2278" s="34" t="str">
        <f>TEXT(Table1[[#This Row],[End Date]],"MMMM")</f>
        <v>March</v>
      </c>
      <c r="T2278" s="34" t="str">
        <f>TEXT(Table1[[#This Row],[End Date]],"YYYY")</f>
        <v>2027</v>
      </c>
      <c r="U2278" s="24">
        <f t="shared" ca="1" si="92"/>
        <v>-1344</v>
      </c>
      <c r="V2278" s="14" t="str" cm="1">
        <f t="array" aca="1" ref="V2278" ca="1">_xlfn.IFS(Table1[[#This Row],[Agreement Days]]&gt;=0,"Expired",Table1[[#This Row],[Agreement Days]]&gt;=-30,"Expires &lt; 30 Days",Table1[[#This Row],[Agreement Days]]&gt;=-60,"Expires &lt; 60 Days",Table1[[#This Row],[Agreement Days]]&lt;-60,"Valid Contract")</f>
        <v>Valid Contract</v>
      </c>
      <c r="W2278" s="18" t="s">
        <v>21</v>
      </c>
      <c r="X2278" s="18" t="s">
        <v>3733</v>
      </c>
      <c r="Y2278" s="42" t="s">
        <v>3734</v>
      </c>
      <c r="Z2278" s="27">
        <v>783547377</v>
      </c>
      <c r="AA2278" s="27"/>
      <c r="AB2278" s="116"/>
      <c r="AC2278" s="116"/>
    </row>
    <row r="2279" spans="1:29" s="97" customFormat="1" hidden="1" x14ac:dyDescent="0.3">
      <c r="A2279" s="18" t="s">
        <v>3735</v>
      </c>
      <c r="B2279" s="18" t="s">
        <v>357</v>
      </c>
      <c r="C2279" s="18" t="s">
        <v>3736</v>
      </c>
      <c r="D2279" s="14" t="s">
        <v>848</v>
      </c>
      <c r="E2279" s="18" t="s">
        <v>9</v>
      </c>
      <c r="F2279" s="14" t="s">
        <v>688</v>
      </c>
      <c r="G2279" s="14" t="s">
        <v>518</v>
      </c>
      <c r="H2279" s="18" t="s">
        <v>5</v>
      </c>
      <c r="I2279" s="14" t="s">
        <v>117</v>
      </c>
      <c r="J2279" s="14">
        <v>10</v>
      </c>
      <c r="K2279" s="18" t="s">
        <v>547</v>
      </c>
      <c r="L2279" s="18"/>
      <c r="M2279" s="14">
        <v>1</v>
      </c>
      <c r="N2279" s="15">
        <v>510000</v>
      </c>
      <c r="O2279" s="15">
        <f t="shared" si="93"/>
        <v>510000</v>
      </c>
      <c r="P2279" s="15"/>
      <c r="Q2279" s="14" t="s">
        <v>520</v>
      </c>
      <c r="R2279" s="25">
        <v>46477</v>
      </c>
      <c r="S2279" s="34" t="str">
        <f>TEXT(Table1[[#This Row],[End Date]],"MMMM")</f>
        <v>March</v>
      </c>
      <c r="T2279" s="34" t="str">
        <f>TEXT(Table1[[#This Row],[End Date]],"YYYY")</f>
        <v>2027</v>
      </c>
      <c r="U2279" s="24">
        <f t="shared" ca="1" si="92"/>
        <v>-1344</v>
      </c>
      <c r="V2279" s="14" t="str" cm="1">
        <f t="array" aca="1" ref="V2279" ca="1">_xlfn.IFS(Table1[[#This Row],[Agreement Days]]&gt;=0,"Expired",Table1[[#This Row],[Agreement Days]]&gt;=-30,"Expires &lt; 30 Days",Table1[[#This Row],[Agreement Days]]&gt;=-60,"Expires &lt; 60 Days",Table1[[#This Row],[Agreement Days]]&lt;-60,"Valid Contract")</f>
        <v>Valid Contract</v>
      </c>
      <c r="W2279" s="18" t="s">
        <v>21</v>
      </c>
      <c r="X2279" s="18" t="s">
        <v>3737</v>
      </c>
      <c r="Y2279" s="42" t="s">
        <v>3738</v>
      </c>
      <c r="Z2279" s="27">
        <v>788440318</v>
      </c>
      <c r="AA2279" s="27"/>
      <c r="AB2279" s="116"/>
      <c r="AC2279" s="116"/>
    </row>
    <row r="2280" spans="1:29" s="97" customFormat="1" hidden="1" x14ac:dyDescent="0.3">
      <c r="A2280" s="18" t="s">
        <v>3739</v>
      </c>
      <c r="B2280" s="18" t="s">
        <v>419</v>
      </c>
      <c r="C2280" s="18" t="s">
        <v>544</v>
      </c>
      <c r="D2280" s="14" t="s">
        <v>545</v>
      </c>
      <c r="E2280" s="18" t="s">
        <v>9</v>
      </c>
      <c r="F2280" s="14" t="s">
        <v>1203</v>
      </c>
      <c r="G2280" s="14" t="s">
        <v>518</v>
      </c>
      <c r="H2280" s="18" t="s">
        <v>5</v>
      </c>
      <c r="I2280" s="14" t="s">
        <v>115</v>
      </c>
      <c r="J2280" s="18"/>
      <c r="K2280" s="18" t="s">
        <v>642</v>
      </c>
      <c r="L2280" s="18"/>
      <c r="M2280" s="14">
        <v>1</v>
      </c>
      <c r="N2280" s="15">
        <v>101694.91525400001</v>
      </c>
      <c r="O2280" s="15">
        <f t="shared" si="93"/>
        <v>101694.91525400001</v>
      </c>
      <c r="P2280" s="15"/>
      <c r="Q2280" s="14" t="s">
        <v>520</v>
      </c>
      <c r="R2280" s="25">
        <v>46495</v>
      </c>
      <c r="S2280" s="34" t="str">
        <f>TEXT(Table1[[#This Row],[End Date]],"MMMM")</f>
        <v>April</v>
      </c>
      <c r="T2280" s="34" t="str">
        <f>TEXT(Table1[[#This Row],[End Date]],"YYYY")</f>
        <v>2027</v>
      </c>
      <c r="U2280" s="24">
        <f t="shared" ca="1" si="92"/>
        <v>-1362</v>
      </c>
      <c r="V2280" s="14" t="str" cm="1">
        <f t="array" aca="1" ref="V2280" ca="1">_xlfn.IFS(Table1[[#This Row],[Agreement Days]]&gt;=0,"Expired",Table1[[#This Row],[Agreement Days]]&gt;=-30,"Expires &lt; 30 Days",Table1[[#This Row],[Agreement Days]]&gt;=-60,"Expires &lt; 60 Days",Table1[[#This Row],[Agreement Days]]&lt;-60,"Valid Contract")</f>
        <v>Valid Contract</v>
      </c>
      <c r="W2280" s="18" t="s">
        <v>14</v>
      </c>
      <c r="X2280" s="18" t="s">
        <v>3740</v>
      </c>
      <c r="Y2280" s="48" t="s">
        <v>3741</v>
      </c>
      <c r="Z2280" s="27">
        <v>788842972</v>
      </c>
      <c r="AA2280" s="27"/>
      <c r="AB2280" s="116"/>
      <c r="AC2280" s="116"/>
    </row>
    <row r="2281" spans="1:29" s="97" customFormat="1" hidden="1" x14ac:dyDescent="0.3">
      <c r="A2281" s="18" t="s">
        <v>3739</v>
      </c>
      <c r="B2281" s="18" t="s">
        <v>419</v>
      </c>
      <c r="C2281" s="18" t="s">
        <v>544</v>
      </c>
      <c r="D2281" s="14" t="s">
        <v>545</v>
      </c>
      <c r="E2281" s="18" t="s">
        <v>9</v>
      </c>
      <c r="F2281" s="14" t="s">
        <v>1203</v>
      </c>
      <c r="G2281" s="14" t="s">
        <v>518</v>
      </c>
      <c r="H2281" s="18" t="s">
        <v>5</v>
      </c>
      <c r="I2281" s="14" t="s">
        <v>115</v>
      </c>
      <c r="J2281" s="18"/>
      <c r="K2281" s="18" t="s">
        <v>651</v>
      </c>
      <c r="L2281" s="18"/>
      <c r="M2281" s="14">
        <v>1</v>
      </c>
      <c r="N2281" s="15">
        <v>81355.932203000004</v>
      </c>
      <c r="O2281" s="15">
        <f t="shared" si="93"/>
        <v>81355.932203000004</v>
      </c>
      <c r="P2281" s="15"/>
      <c r="Q2281" s="14" t="s">
        <v>520</v>
      </c>
      <c r="R2281" s="25">
        <v>46495</v>
      </c>
      <c r="S2281" s="34" t="str">
        <f>TEXT(Table1[[#This Row],[End Date]],"MMMM")</f>
        <v>April</v>
      </c>
      <c r="T2281" s="34" t="str">
        <f>TEXT(Table1[[#This Row],[End Date]],"YYYY")</f>
        <v>2027</v>
      </c>
      <c r="U2281" s="24">
        <f t="shared" ca="1" si="92"/>
        <v>-1362</v>
      </c>
      <c r="V2281" s="14" t="str" cm="1">
        <f t="array" aca="1" ref="V2281" ca="1">_xlfn.IFS(Table1[[#This Row],[Agreement Days]]&gt;=0,"Expired",Table1[[#This Row],[Agreement Days]]&gt;=-30,"Expires &lt; 30 Days",Table1[[#This Row],[Agreement Days]]&gt;=-60,"Expires &lt; 60 Days",Table1[[#This Row],[Agreement Days]]&lt;-60,"Valid Contract")</f>
        <v>Valid Contract</v>
      </c>
      <c r="W2281" s="18" t="s">
        <v>14</v>
      </c>
      <c r="X2281" s="18" t="s">
        <v>3740</v>
      </c>
      <c r="Y2281" s="35" t="s">
        <v>3741</v>
      </c>
      <c r="Z2281" s="27">
        <v>788266366</v>
      </c>
      <c r="AA2281" s="27"/>
      <c r="AB2281" s="116"/>
      <c r="AC2281" s="116"/>
    </row>
    <row r="2282" spans="1:29" hidden="1" x14ac:dyDescent="0.3">
      <c r="A2282" s="18" t="s">
        <v>3742</v>
      </c>
      <c r="B2282" s="18" t="s">
        <v>99</v>
      </c>
      <c r="C2282" s="18" t="s">
        <v>99</v>
      </c>
      <c r="D2282" s="14" t="s">
        <v>616</v>
      </c>
      <c r="E2282" s="18" t="s">
        <v>9</v>
      </c>
      <c r="F2282" s="14" t="s">
        <v>631</v>
      </c>
      <c r="G2282" s="14" t="s">
        <v>518</v>
      </c>
      <c r="H2282" s="18" t="s">
        <v>5</v>
      </c>
      <c r="I2282" s="14" t="s">
        <v>134</v>
      </c>
      <c r="J2282" s="14">
        <v>1</v>
      </c>
      <c r="K2282" s="18" t="s">
        <v>2087</v>
      </c>
      <c r="L2282" s="18"/>
      <c r="M2282" s="14">
        <v>1</v>
      </c>
      <c r="N2282" s="15">
        <v>90000</v>
      </c>
      <c r="O2282" s="15">
        <f t="shared" si="93"/>
        <v>90000</v>
      </c>
      <c r="P2282" s="15"/>
      <c r="Q2282" s="14" t="s">
        <v>520</v>
      </c>
      <c r="R2282" s="25">
        <v>46507</v>
      </c>
      <c r="S2282" s="34" t="str">
        <f>TEXT(Table1[[#This Row],[End Date]],"MMMM")</f>
        <v>April</v>
      </c>
      <c r="T2282" s="34" t="str">
        <f>TEXT(Table1[[#This Row],[End Date]],"YYYY")</f>
        <v>2027</v>
      </c>
      <c r="U2282" s="24">
        <f t="shared" ca="1" si="92"/>
        <v>-1374</v>
      </c>
      <c r="V2282" s="14" t="str" cm="1">
        <f t="array" aca="1" ref="V2282" ca="1">_xlfn.IFS(Table1[[#This Row],[Agreement Days]]&gt;=0,"Expired",Table1[[#This Row],[Agreement Days]]&gt;=-30,"Expires &lt; 30 Days",Table1[[#This Row],[Agreement Days]]&gt;=-60,"Expires &lt; 60 Days",Table1[[#This Row],[Agreement Days]]&lt;-60,"Valid Contract")</f>
        <v>Valid Contract</v>
      </c>
      <c r="W2282" s="18" t="s">
        <v>21</v>
      </c>
      <c r="X2282" s="18" t="s">
        <v>3743</v>
      </c>
      <c r="Y2282" s="42" t="s">
        <v>3744</v>
      </c>
      <c r="Z2282" s="27">
        <v>788733272</v>
      </c>
      <c r="AA2282" s="27"/>
      <c r="AB2282" s="116"/>
      <c r="AC2282" s="116"/>
    </row>
    <row r="2283" spans="1:29" s="111" customFormat="1" hidden="1" x14ac:dyDescent="0.3">
      <c r="A2283" s="18" t="s">
        <v>3745</v>
      </c>
      <c r="B2283" s="18" t="s">
        <v>76</v>
      </c>
      <c r="C2283" s="18" t="s">
        <v>76</v>
      </c>
      <c r="D2283" s="80" t="s">
        <v>630</v>
      </c>
      <c r="E2283" s="18" t="s">
        <v>9</v>
      </c>
      <c r="F2283" s="80" t="s">
        <v>631</v>
      </c>
      <c r="G2283" s="80" t="s">
        <v>518</v>
      </c>
      <c r="H2283" s="18" t="s">
        <v>5</v>
      </c>
      <c r="I2283" s="80" t="s">
        <v>117</v>
      </c>
      <c r="J2283" s="80">
        <v>3</v>
      </c>
      <c r="K2283" s="80" t="s">
        <v>632</v>
      </c>
      <c r="L2283" s="80"/>
      <c r="M2283" s="80">
        <v>1</v>
      </c>
      <c r="N2283" s="83">
        <v>180000</v>
      </c>
      <c r="O2283" s="83">
        <f t="shared" si="93"/>
        <v>180000</v>
      </c>
      <c r="P2283" s="83"/>
      <c r="Q2283" s="80" t="s">
        <v>520</v>
      </c>
      <c r="R2283" s="134">
        <v>46507</v>
      </c>
      <c r="S2283" s="115" t="str">
        <f>TEXT(Table1[[#This Row],[End Date]],"MMMM")</f>
        <v>April</v>
      </c>
      <c r="T2283" s="128" t="str">
        <f>TEXT(Table1[[#This Row],[End Date]],"YYYY")</f>
        <v>2027</v>
      </c>
      <c r="U2283" s="84">
        <f t="shared" ca="1" si="92"/>
        <v>-1374</v>
      </c>
      <c r="V2283" s="80" t="str" cm="1">
        <f t="array" aca="1" ref="V2283" ca="1">_xlfn.IFS(Table1[[#This Row],[Agreement Days]]&gt;=0,"Expired",Table1[[#This Row],[Agreement Days]]&gt;=-30,"Expires &lt; 30 Days",Table1[[#This Row],[Agreement Days]]&gt;=-60,"Expires &lt; 60 Days",Table1[[#This Row],[Agreement Days]]&lt;-60,"Valid Contract")</f>
        <v>Valid Contract</v>
      </c>
      <c r="W2283" s="80" t="s">
        <v>13</v>
      </c>
      <c r="X2283" s="80" t="s">
        <v>1013</v>
      </c>
      <c r="Y2283" s="170" t="s">
        <v>3746</v>
      </c>
      <c r="Z2283" s="129" t="s">
        <v>3747</v>
      </c>
      <c r="AA2283" s="129"/>
      <c r="AB2283" s="123"/>
      <c r="AC2283" s="123"/>
    </row>
    <row r="2284" spans="1:29" s="12" customFormat="1" hidden="1" x14ac:dyDescent="0.3">
      <c r="A2284" s="18" t="s">
        <v>3748</v>
      </c>
      <c r="B2284" s="18" t="s">
        <v>106</v>
      </c>
      <c r="C2284" s="18" t="s">
        <v>106</v>
      </c>
      <c r="D2284" s="80" t="s">
        <v>516</v>
      </c>
      <c r="E2284" s="18" t="s">
        <v>9</v>
      </c>
      <c r="F2284" s="80" t="s">
        <v>631</v>
      </c>
      <c r="G2284" s="80" t="s">
        <v>518</v>
      </c>
      <c r="H2284" s="18" t="s">
        <v>5</v>
      </c>
      <c r="I2284" s="80" t="s">
        <v>117</v>
      </c>
      <c r="J2284" s="80">
        <v>1</v>
      </c>
      <c r="K2284" s="80" t="s">
        <v>677</v>
      </c>
      <c r="L2284" s="80"/>
      <c r="M2284" s="80">
        <v>1</v>
      </c>
      <c r="N2284" s="83">
        <v>90000</v>
      </c>
      <c r="O2284" s="83">
        <f t="shared" si="93"/>
        <v>90000</v>
      </c>
      <c r="P2284" s="83"/>
      <c r="Q2284" s="80" t="s">
        <v>520</v>
      </c>
      <c r="R2284" s="134">
        <v>46507</v>
      </c>
      <c r="S2284" s="115" t="str">
        <f>TEXT(Table1[[#This Row],[End Date]],"MMMM")</f>
        <v>April</v>
      </c>
      <c r="T2284" s="128" t="str">
        <f>TEXT(Table1[[#This Row],[End Date]],"YYYY")</f>
        <v>2027</v>
      </c>
      <c r="U2284" s="84">
        <f t="shared" ca="1" si="92"/>
        <v>-1374</v>
      </c>
      <c r="V2284" s="80" t="str" cm="1">
        <f t="array" aca="1" ref="V2284" ca="1">_xlfn.IFS(Table1[[#This Row],[Agreement Days]]&gt;=0,"Expired",Table1[[#This Row],[Agreement Days]]&gt;=-30,"Expires &lt; 30 Days",Table1[[#This Row],[Agreement Days]]&gt;=-60,"Expires &lt; 60 Days",Table1[[#This Row],[Agreement Days]]&lt;-60,"Valid Contract")</f>
        <v>Valid Contract</v>
      </c>
      <c r="W2284" s="80" t="s">
        <v>13</v>
      </c>
      <c r="X2284" s="80" t="s">
        <v>3749</v>
      </c>
      <c r="Y2284" s="170" t="s">
        <v>3750</v>
      </c>
      <c r="Z2284" s="129">
        <v>788530100</v>
      </c>
      <c r="AA2284" s="129"/>
      <c r="AB2284" s="116"/>
      <c r="AC2284" s="116"/>
    </row>
    <row r="2285" spans="1:29" hidden="1" x14ac:dyDescent="0.3">
      <c r="A2285" s="18" t="s">
        <v>3748</v>
      </c>
      <c r="B2285" s="18" t="s">
        <v>106</v>
      </c>
      <c r="C2285" s="18" t="s">
        <v>106</v>
      </c>
      <c r="D2285" s="150" t="s">
        <v>516</v>
      </c>
      <c r="E2285" s="18" t="s">
        <v>9</v>
      </c>
      <c r="F2285" s="150" t="s">
        <v>631</v>
      </c>
      <c r="G2285" s="150" t="s">
        <v>518</v>
      </c>
      <c r="H2285" s="18" t="s">
        <v>5</v>
      </c>
      <c r="I2285" s="150" t="s">
        <v>115</v>
      </c>
      <c r="J2285" s="150"/>
      <c r="K2285" s="151" t="s">
        <v>573</v>
      </c>
      <c r="L2285" s="150"/>
      <c r="M2285" s="150">
        <v>1</v>
      </c>
      <c r="N2285" s="156">
        <v>19491.53</v>
      </c>
      <c r="O2285" s="156">
        <f t="shared" si="93"/>
        <v>19491.53</v>
      </c>
      <c r="P2285" s="156"/>
      <c r="Q2285" s="150" t="s">
        <v>520</v>
      </c>
      <c r="R2285" s="158">
        <v>46507</v>
      </c>
      <c r="S2285" s="161" t="str">
        <f>TEXT(Table1[[#This Row],[End Date]],"MMMM")</f>
        <v>April</v>
      </c>
      <c r="T2285" s="164" t="str">
        <f>TEXT(Table1[[#This Row],[End Date]],"YYYY")</f>
        <v>2027</v>
      </c>
      <c r="U2285" s="165">
        <f t="shared" ca="1" si="92"/>
        <v>-1374</v>
      </c>
      <c r="V2285" s="150" t="str" cm="1">
        <f t="array" aca="1" ref="V2285" ca="1">_xlfn.IFS(Table1[[#This Row],[Agreement Days]]&gt;=0,"Expired",Table1[[#This Row],[Agreement Days]]&gt;=-30,"Expires &lt; 30 Days",Table1[[#This Row],[Agreement Days]]&gt;=-60,"Expires &lt; 60 Days",Table1[[#This Row],[Agreement Days]]&lt;-60,"Valid Contract")</f>
        <v>Valid Contract</v>
      </c>
      <c r="W2285" s="150" t="s">
        <v>13</v>
      </c>
      <c r="X2285" s="150" t="s">
        <v>3749</v>
      </c>
      <c r="Y2285" s="168" t="s">
        <v>3750</v>
      </c>
      <c r="Z2285" s="173">
        <v>788530100</v>
      </c>
      <c r="AA2285" s="173"/>
      <c r="AB2285" s="150"/>
      <c r="AC2285" s="150"/>
    </row>
    <row r="2286" spans="1:29" hidden="1" x14ac:dyDescent="0.3">
      <c r="A2286" s="18" t="s">
        <v>3751</v>
      </c>
      <c r="B2286" s="18" t="s">
        <v>86</v>
      </c>
      <c r="C2286" s="18" t="s">
        <v>86</v>
      </c>
      <c r="D2286" s="150" t="s">
        <v>761</v>
      </c>
      <c r="E2286" s="18" t="s">
        <v>9</v>
      </c>
      <c r="F2286" s="150" t="s">
        <v>631</v>
      </c>
      <c r="G2286" s="150" t="s">
        <v>518</v>
      </c>
      <c r="H2286" s="18" t="s">
        <v>5</v>
      </c>
      <c r="I2286" s="150" t="s">
        <v>117</v>
      </c>
      <c r="J2286" s="150">
        <v>3</v>
      </c>
      <c r="K2286" s="150" t="s">
        <v>632</v>
      </c>
      <c r="L2286" s="150"/>
      <c r="M2286" s="150">
        <v>1</v>
      </c>
      <c r="N2286" s="156">
        <v>180000</v>
      </c>
      <c r="O2286" s="156">
        <f t="shared" si="93"/>
        <v>180000</v>
      </c>
      <c r="P2286" s="156"/>
      <c r="Q2286" s="150" t="s">
        <v>520</v>
      </c>
      <c r="R2286" s="158">
        <v>46507</v>
      </c>
      <c r="S2286" s="161" t="str">
        <f>TEXT(Table1[[#This Row],[End Date]],"MMMM")</f>
        <v>April</v>
      </c>
      <c r="T2286" s="164" t="str">
        <f>TEXT(Table1[[#This Row],[End Date]],"YYYY")</f>
        <v>2027</v>
      </c>
      <c r="U2286" s="165">
        <f t="shared" ref="U2286:U2291" ca="1" si="94">TODAY()-R2286</f>
        <v>-1374</v>
      </c>
      <c r="V2286" s="150" t="str" cm="1">
        <f t="array" aca="1" ref="V2286" ca="1">_xlfn.IFS(Table1[[#This Row],[Agreement Days]]&gt;=0,"Expired",Table1[[#This Row],[Agreement Days]]&gt;=-30,"Expires &lt; 30 Days",Table1[[#This Row],[Agreement Days]]&gt;=-60,"Expires &lt; 60 Days",Table1[[#This Row],[Agreement Days]]&lt;-60,"Valid Contract")</f>
        <v>Valid Contract</v>
      </c>
      <c r="W2286" s="150" t="s">
        <v>13</v>
      </c>
      <c r="X2286" s="150" t="s">
        <v>574</v>
      </c>
      <c r="Y2286" s="168" t="s">
        <v>3752</v>
      </c>
      <c r="Z2286" s="173">
        <v>782202232</v>
      </c>
      <c r="AA2286" s="173"/>
      <c r="AB2286" s="176"/>
      <c r="AC2286" s="176"/>
    </row>
    <row r="2287" spans="1:29" hidden="1" x14ac:dyDescent="0.3">
      <c r="A2287" s="18" t="s">
        <v>3753</v>
      </c>
      <c r="B2287" s="18" t="s">
        <v>63</v>
      </c>
      <c r="C2287" s="18" t="s">
        <v>63</v>
      </c>
      <c r="D2287" s="150" t="s">
        <v>761</v>
      </c>
      <c r="E2287" s="18" t="s">
        <v>9</v>
      </c>
      <c r="F2287" s="150" t="s">
        <v>631</v>
      </c>
      <c r="G2287" s="150" t="s">
        <v>518</v>
      </c>
      <c r="H2287" s="18" t="s">
        <v>5</v>
      </c>
      <c r="I2287" s="150" t="s">
        <v>134</v>
      </c>
      <c r="J2287" s="150">
        <v>5</v>
      </c>
      <c r="K2287" s="151" t="s">
        <v>519</v>
      </c>
      <c r="L2287" s="151"/>
      <c r="M2287" s="150">
        <v>1</v>
      </c>
      <c r="N2287" s="156">
        <v>270000</v>
      </c>
      <c r="O2287" s="156">
        <f t="shared" si="93"/>
        <v>270000</v>
      </c>
      <c r="P2287" s="156"/>
      <c r="Q2287" s="150" t="s">
        <v>520</v>
      </c>
      <c r="R2287" s="160">
        <v>46507</v>
      </c>
      <c r="S2287" s="162" t="str">
        <f>TEXT(Table1[[#This Row],[End Date]],"MMMM")</f>
        <v>April</v>
      </c>
      <c r="T2287" s="162" t="str">
        <f>TEXT(Table1[[#This Row],[End Date]],"YYYY")</f>
        <v>2027</v>
      </c>
      <c r="U2287" s="165">
        <f t="shared" ca="1" si="94"/>
        <v>-1374</v>
      </c>
      <c r="V2287" s="150" t="str" cm="1">
        <f t="array" aca="1" ref="V2287" ca="1">_xlfn.IFS(Table1[[#This Row],[Agreement Days]]&gt;=0,"Expired",Table1[[#This Row],[Agreement Days]]&gt;=-30,"Expires &lt; 30 Days",Table1[[#This Row],[Agreement Days]]&gt;=-60,"Expires &lt; 60 Days",Table1[[#This Row],[Agreement Days]]&lt;-60,"Valid Contract")</f>
        <v>Valid Contract</v>
      </c>
      <c r="W2287" s="151" t="s">
        <v>21</v>
      </c>
      <c r="X2287" s="151" t="s">
        <v>3754</v>
      </c>
      <c r="Y2287" s="151" t="s">
        <v>3755</v>
      </c>
      <c r="Z2287" s="174">
        <v>788607924</v>
      </c>
      <c r="AA2287" s="174"/>
      <c r="AB2287" s="150"/>
      <c r="AC2287" s="150"/>
    </row>
    <row r="2288" spans="1:29" hidden="1" x14ac:dyDescent="0.3">
      <c r="A2288" s="18" t="s">
        <v>3756</v>
      </c>
      <c r="B2288" s="18" t="s">
        <v>37</v>
      </c>
      <c r="C2288" s="18" t="s">
        <v>37</v>
      </c>
      <c r="D2288" s="150" t="s">
        <v>662</v>
      </c>
      <c r="E2288" s="18" t="s">
        <v>9</v>
      </c>
      <c r="F2288" s="150" t="s">
        <v>631</v>
      </c>
      <c r="G2288" s="150" t="s">
        <v>518</v>
      </c>
      <c r="H2288" s="18" t="s">
        <v>5</v>
      </c>
      <c r="I2288" s="150" t="s">
        <v>117</v>
      </c>
      <c r="J2288" s="150">
        <v>40</v>
      </c>
      <c r="K2288" s="150" t="s">
        <v>3757</v>
      </c>
      <c r="L2288" s="150"/>
      <c r="M2288" s="150">
        <v>1</v>
      </c>
      <c r="N2288" s="156">
        <f>1840800/1.18</f>
        <v>1560000</v>
      </c>
      <c r="O2288" s="156">
        <f t="shared" si="93"/>
        <v>1560000</v>
      </c>
      <c r="P2288" s="156"/>
      <c r="Q2288" s="150" t="s">
        <v>520</v>
      </c>
      <c r="R2288" s="158">
        <v>46507</v>
      </c>
      <c r="S2288" s="161" t="str">
        <f>TEXT(Table1[[#This Row],[End Date]],"MMMM")</f>
        <v>April</v>
      </c>
      <c r="T2288" s="164" t="str">
        <f>TEXT(Table1[[#This Row],[End Date]],"YYYY")</f>
        <v>2027</v>
      </c>
      <c r="U2288" s="165">
        <f t="shared" ca="1" si="94"/>
        <v>-1374</v>
      </c>
      <c r="V2288" s="150" t="str" cm="1">
        <f t="array" aca="1" ref="V2288" ca="1">_xlfn.IFS(Table1[[#This Row],[Agreement Days]]&gt;=0,"Expired",Table1[[#This Row],[Agreement Days]]&gt;=-30,"Expires &lt; 30 Days",Table1[[#This Row],[Agreement Days]]&gt;=-60,"Expires &lt; 60 Days",Table1[[#This Row],[Agreement Days]]&lt;-60,"Valid Contract")</f>
        <v>Valid Contract</v>
      </c>
      <c r="W2288" s="150" t="s">
        <v>13</v>
      </c>
      <c r="X2288" s="150" t="s">
        <v>3758</v>
      </c>
      <c r="Y2288" s="168" t="s">
        <v>3759</v>
      </c>
      <c r="Z2288" s="173" t="s">
        <v>3760</v>
      </c>
      <c r="AA2288" s="173"/>
      <c r="AB2288" s="176"/>
      <c r="AC2288" s="176"/>
    </row>
    <row r="2289" spans="1:29" hidden="1" x14ac:dyDescent="0.3">
      <c r="A2289" s="18" t="s">
        <v>3761</v>
      </c>
      <c r="B2289" s="18" t="s">
        <v>95</v>
      </c>
      <c r="C2289" s="18" t="s">
        <v>95</v>
      </c>
      <c r="D2289" s="150" t="s">
        <v>808</v>
      </c>
      <c r="E2289" s="18" t="s">
        <v>9</v>
      </c>
      <c r="F2289" s="150" t="s">
        <v>631</v>
      </c>
      <c r="G2289" s="150" t="s">
        <v>518</v>
      </c>
      <c r="H2289" s="18" t="s">
        <v>5</v>
      </c>
      <c r="I2289" s="150" t="s">
        <v>117</v>
      </c>
      <c r="J2289" s="150">
        <v>3</v>
      </c>
      <c r="K2289" s="151" t="s">
        <v>646</v>
      </c>
      <c r="L2289" s="151"/>
      <c r="M2289" s="150">
        <v>1</v>
      </c>
      <c r="N2289" s="156">
        <v>180000</v>
      </c>
      <c r="O2289" s="156">
        <f t="shared" si="93"/>
        <v>180000</v>
      </c>
      <c r="P2289" s="156"/>
      <c r="Q2289" s="150" t="s">
        <v>520</v>
      </c>
      <c r="R2289" s="160">
        <v>46507</v>
      </c>
      <c r="S2289" s="162" t="str">
        <f>TEXT(Table1[[#This Row],[End Date]],"MMMM")</f>
        <v>April</v>
      </c>
      <c r="T2289" s="162" t="str">
        <f>TEXT(Table1[[#This Row],[End Date]],"YYYY")</f>
        <v>2027</v>
      </c>
      <c r="U2289" s="165">
        <f t="shared" ca="1" si="94"/>
        <v>-1374</v>
      </c>
      <c r="V2289" s="150" t="str" cm="1">
        <f t="array" aca="1" ref="V2289" ca="1">_xlfn.IFS(Table1[[#This Row],[Agreement Days]]&gt;=0,"Expired",Table1[[#This Row],[Agreement Days]]&gt;=-30,"Expires &lt; 30 Days",Table1[[#This Row],[Agreement Days]]&gt;=-60,"Expires &lt; 60 Days",Table1[[#This Row],[Agreement Days]]&lt;-60,"Valid Contract")</f>
        <v>Valid Contract</v>
      </c>
      <c r="W2289" s="151" t="s">
        <v>21</v>
      </c>
      <c r="X2289" s="151" t="s">
        <v>3762</v>
      </c>
      <c r="Y2289" s="169" t="s">
        <v>3763</v>
      </c>
      <c r="Z2289" s="174">
        <v>782427392</v>
      </c>
      <c r="AA2289" s="174"/>
      <c r="AB2289" s="150"/>
      <c r="AC2289" s="150"/>
    </row>
    <row r="2290" spans="1:29" hidden="1" x14ac:dyDescent="0.3">
      <c r="A2290" s="18" t="s">
        <v>3764</v>
      </c>
      <c r="B2290" s="18" t="s">
        <v>109</v>
      </c>
      <c r="C2290" s="18" t="s">
        <v>544</v>
      </c>
      <c r="D2290" s="150" t="s">
        <v>545</v>
      </c>
      <c r="E2290" s="18" t="s">
        <v>9</v>
      </c>
      <c r="F2290" s="150" t="s">
        <v>631</v>
      </c>
      <c r="G2290" s="150" t="s">
        <v>518</v>
      </c>
      <c r="H2290" s="18" t="s">
        <v>5</v>
      </c>
      <c r="I2290" s="150" t="s">
        <v>115</v>
      </c>
      <c r="J2290" s="154"/>
      <c r="K2290" s="151" t="s">
        <v>643</v>
      </c>
      <c r="L2290" s="154"/>
      <c r="M2290" s="153">
        <v>18</v>
      </c>
      <c r="N2290" s="156">
        <v>28305.08</v>
      </c>
      <c r="O2290" s="156">
        <f t="shared" si="93"/>
        <v>509491.44000000006</v>
      </c>
      <c r="P2290" s="156"/>
      <c r="Q2290" s="150" t="s">
        <v>520</v>
      </c>
      <c r="R2290" s="160">
        <v>46568</v>
      </c>
      <c r="S2290" s="162" t="str">
        <f>TEXT(Table1[[#This Row],[End Date]],"MMMM")</f>
        <v>June</v>
      </c>
      <c r="T2290" s="162" t="str">
        <f>TEXT(Table1[[#This Row],[End Date]],"YYYY")</f>
        <v>2027</v>
      </c>
      <c r="U2290" s="165">
        <f t="shared" ca="1" si="94"/>
        <v>-1435</v>
      </c>
      <c r="V2290" s="150" t="str" cm="1">
        <f t="array" aca="1" ref="V2290" ca="1">_xlfn.IFS(Table1[[#This Row],[Agreement Days]]&gt;=0,"Expired",Table1[[#This Row],[Agreement Days]]&gt;=-30,"Expires &lt; 30 Days",Table1[[#This Row],[Agreement Days]]&gt;=-60,"Expires &lt; 60 Days",Table1[[#This Row],[Agreement Days]]&lt;-60,"Valid Contract")</f>
        <v>Valid Contract</v>
      </c>
      <c r="W2290" s="154" t="s">
        <v>17</v>
      </c>
      <c r="X2290" s="177" t="s">
        <v>3765</v>
      </c>
      <c r="Y2290" s="179" t="s">
        <v>3766</v>
      </c>
      <c r="Z2290" s="174">
        <v>788955528</v>
      </c>
      <c r="AA2290" s="174"/>
      <c r="AB2290" s="150"/>
      <c r="AC2290" s="150"/>
    </row>
    <row r="2291" spans="1:29" hidden="1" x14ac:dyDescent="0.3">
      <c r="A2291" s="18" t="s">
        <v>3767</v>
      </c>
      <c r="B2291" s="18" t="s">
        <v>384</v>
      </c>
      <c r="C2291" s="18" t="s">
        <v>384</v>
      </c>
      <c r="D2291" s="150" t="s">
        <v>545</v>
      </c>
      <c r="E2291" s="18" t="s">
        <v>10</v>
      </c>
      <c r="F2291" s="155" t="s">
        <v>560</v>
      </c>
      <c r="G2291" s="155" t="s">
        <v>518</v>
      </c>
      <c r="H2291" s="18" t="s">
        <v>2</v>
      </c>
      <c r="I2291" s="150" t="s">
        <v>134</v>
      </c>
      <c r="J2291" s="150">
        <v>4</v>
      </c>
      <c r="K2291" s="151" t="s">
        <v>1585</v>
      </c>
      <c r="L2291" s="150"/>
      <c r="M2291" s="150">
        <v>1</v>
      </c>
      <c r="N2291" s="156">
        <v>325000</v>
      </c>
      <c r="O2291" s="156">
        <f t="shared" si="93"/>
        <v>325000</v>
      </c>
      <c r="P2291" s="156"/>
      <c r="Q2291" s="150" t="s">
        <v>520</v>
      </c>
      <c r="R2291" s="160">
        <v>53082</v>
      </c>
      <c r="S2291" s="161" t="str">
        <f>TEXT(Table1[[#This Row],[End Date]],"MMMM")</f>
        <v>April</v>
      </c>
      <c r="T2291" s="161" t="str">
        <f>TEXT(Table1[[#This Row],[End Date]],"YYYY")</f>
        <v>2045</v>
      </c>
      <c r="U2291" s="167">
        <f t="shared" ca="1" si="94"/>
        <v>-7949</v>
      </c>
      <c r="V2291" s="150" t="str" cm="1">
        <f t="array" aca="1" ref="V2291" ca="1">_xlfn.IFS(Table1[[#This Row],[Agreement Days]]&gt;=0,"Expired",Table1[[#This Row],[Agreement Days]]&gt;=-30,"Expires &lt; 30 Days",Table1[[#This Row],[Agreement Days]]&gt;=-60,"Expires &lt; 60 Days",Table1[[#This Row],[Agreement Days]]&lt;-60,"Valid Contract")</f>
        <v>Valid Contract</v>
      </c>
      <c r="W2291" s="151" t="s">
        <v>18</v>
      </c>
      <c r="X2291" s="151" t="s">
        <v>3768</v>
      </c>
      <c r="Y2291" s="171" t="s">
        <v>3769</v>
      </c>
      <c r="Z2291" s="173"/>
      <c r="AA2291" s="150"/>
      <c r="AB2291" s="176"/>
      <c r="AC2291" s="176"/>
    </row>
    <row r="2292" spans="1:29" s="12" customFormat="1" hidden="1" x14ac:dyDescent="0.3">
      <c r="A2292" s="18" t="s">
        <v>3770</v>
      </c>
      <c r="B2292" s="18" t="s">
        <v>3771</v>
      </c>
      <c r="C2292" s="18" t="s">
        <v>3771</v>
      </c>
      <c r="D2292" s="190" t="s">
        <v>540</v>
      </c>
      <c r="E2292" s="191" t="s">
        <v>10</v>
      </c>
      <c r="F2292" s="190" t="s">
        <v>527</v>
      </c>
      <c r="G2292" s="192" t="s">
        <v>518</v>
      </c>
      <c r="H2292" s="190" t="s">
        <v>2</v>
      </c>
      <c r="I2292" s="193" t="s">
        <v>123</v>
      </c>
      <c r="J2292" s="190"/>
      <c r="K2292" s="190" t="s">
        <v>3772</v>
      </c>
      <c r="L2292" s="190"/>
      <c r="M2292" s="190">
        <v>1</v>
      </c>
      <c r="N2292" s="190">
        <v>15451</v>
      </c>
      <c r="O2292" s="194">
        <f>N2292*M2292</f>
        <v>15451</v>
      </c>
      <c r="P2292" s="194"/>
      <c r="Q2292" s="191" t="s">
        <v>520</v>
      </c>
      <c r="R2292" s="160">
        <v>45457</v>
      </c>
      <c r="S2292" s="161" t="str">
        <f>TEXT(Table1[[#This Row],[End Date]],"MMMM")</f>
        <v>June</v>
      </c>
      <c r="T2292" s="161" t="str">
        <f>TEXT(Table1[[#This Row],[End Date]],"YYYY")</f>
        <v>2024</v>
      </c>
      <c r="U2292" s="167">
        <f ca="1">TODAY()-R2292</f>
        <v>-324</v>
      </c>
      <c r="V2292" s="155" t="str" cm="1">
        <f t="array" aca="1" ref="V2292" ca="1">_xlfn.IFS(Table1[[#This Row],[Agreement Days]]&gt;=0,"Expired",Table1[[#This Row],[Agreement Days]]&gt;=-30,"Expires &lt; 30 Days",Table1[[#This Row],[Agreement Days]]&gt;=-60,"Expires &lt; 60 Days",Table1[[#This Row],[Agreement Days]]&lt;-60,"Valid Contract")</f>
        <v>Valid Contract</v>
      </c>
      <c r="W2292" s="190" t="s">
        <v>20</v>
      </c>
      <c r="X2292" s="190" t="s">
        <v>3773</v>
      </c>
      <c r="Y2292" s="195" t="s">
        <v>3774</v>
      </c>
      <c r="Z2292" s="196" t="s">
        <v>3775</v>
      </c>
      <c r="AA2292" s="190"/>
      <c r="AB2292" s="189"/>
      <c r="AC2292" s="189"/>
    </row>
    <row r="2293" spans="1:29" s="12" customFormat="1" x14ac:dyDescent="0.3">
      <c r="A2293" s="18"/>
      <c r="B2293" s="18" t="s">
        <v>3173</v>
      </c>
      <c r="C2293" s="148" t="s">
        <v>3776</v>
      </c>
      <c r="D2293" s="148" t="s">
        <v>540</v>
      </c>
      <c r="E2293" s="20" t="s">
        <v>10</v>
      </c>
      <c r="F2293" s="148" t="s">
        <v>1536</v>
      </c>
      <c r="G2293" s="198" t="s">
        <v>518</v>
      </c>
      <c r="H2293" s="148" t="s">
        <v>2</v>
      </c>
      <c r="I2293" s="199" t="s">
        <v>134</v>
      </c>
      <c r="J2293" s="148">
        <v>38</v>
      </c>
      <c r="K2293" s="199" t="s">
        <v>3777</v>
      </c>
      <c r="L2293" s="148"/>
      <c r="M2293" s="148">
        <v>1</v>
      </c>
      <c r="N2293" s="148">
        <v>1957228</v>
      </c>
      <c r="O2293" s="200">
        <f>N2293*M2293</f>
        <v>1957228</v>
      </c>
      <c r="P2293" s="200"/>
      <c r="Q2293" s="152" t="s">
        <v>520</v>
      </c>
      <c r="R2293" s="159">
        <v>45760</v>
      </c>
      <c r="S2293" s="146" t="str">
        <f>TEXT(Table1[[#This Row],[End Date]],"MMMM")</f>
        <v>April</v>
      </c>
      <c r="T2293" s="146" t="str">
        <f>TEXT(Table1[[#This Row],[End Date]],"YYYY")</f>
        <v>2025</v>
      </c>
      <c r="U2293" s="147">
        <f ca="1">TODAY()-R2293</f>
        <v>-627</v>
      </c>
      <c r="V2293" s="148" t="str" cm="1">
        <f t="array" aca="1" ref="V2293" ca="1">_xlfn.IFS(Table1[[#This Row],[Agreement Days]]&gt;=0,"Expired",Table1[[#This Row],[Agreement Days]]&gt;=-30,"Expires &lt; 30 Days",Table1[[#This Row],[Agreement Days]]&gt;=-60,"Expires &lt; 60 Days",Table1[[#This Row],[Agreement Days]]&lt;-60,"Valid Contract")</f>
        <v>Valid Contract</v>
      </c>
      <c r="W2293" s="152" t="s">
        <v>12</v>
      </c>
      <c r="X2293" s="142" t="s">
        <v>3176</v>
      </c>
      <c r="Y2293" s="201"/>
      <c r="Z2293" s="172" t="s">
        <v>3178</v>
      </c>
      <c r="AA2293" s="148"/>
      <c r="AB2293" s="189"/>
      <c r="AC2293" s="189"/>
    </row>
    <row r="2294" spans="1:29" x14ac:dyDescent="0.3">
      <c r="A2294" s="14"/>
      <c r="B2294" s="18" t="s">
        <v>3173</v>
      </c>
      <c r="C2294" s="142" t="s">
        <v>3174</v>
      </c>
      <c r="D2294" s="142" t="s">
        <v>540</v>
      </c>
      <c r="E2294" s="14" t="s">
        <v>10</v>
      </c>
      <c r="F2294" s="143" t="s">
        <v>1536</v>
      </c>
      <c r="G2294" s="197" t="s">
        <v>518</v>
      </c>
      <c r="H2294" s="142" t="s">
        <v>2</v>
      </c>
      <c r="I2294" s="152" t="s">
        <v>134</v>
      </c>
      <c r="J2294" s="142">
        <v>25</v>
      </c>
      <c r="K2294" s="152" t="s">
        <v>1621</v>
      </c>
      <c r="L2294" s="142"/>
      <c r="M2294" s="142">
        <v>1</v>
      </c>
      <c r="N2294" s="142">
        <v>1287650</v>
      </c>
      <c r="O2294" s="144">
        <f t="shared" ref="O2294:O2303" si="95">N2294*M2294</f>
        <v>1287650</v>
      </c>
      <c r="P2294" s="144"/>
      <c r="Q2294" s="152" t="s">
        <v>520</v>
      </c>
      <c r="R2294" s="159">
        <v>45760</v>
      </c>
      <c r="S2294" s="146" t="str">
        <f>TEXT(Table1[[#This Row],[End Date]],"MMMM")</f>
        <v>April</v>
      </c>
      <c r="T2294" s="146" t="str">
        <f>TEXT(Table1[[#This Row],[End Date]],"YYYY")</f>
        <v>2025</v>
      </c>
      <c r="U2294" s="147">
        <f t="shared" ref="U2294:U2303" ca="1" si="96">TODAY()-R2294</f>
        <v>-627</v>
      </c>
      <c r="V2294" s="142" t="str" cm="1">
        <f t="array" aca="1" ref="V2294" ca="1">_xlfn.IFS(Table1[[#This Row],[Agreement Days]]&gt;=0,"Expired",Table1[[#This Row],[Agreement Days]]&gt;=-30,"Expires &lt; 30 Days",Table1[[#This Row],[Agreement Days]]&gt;=-60,"Expires &lt; 60 Days",Table1[[#This Row],[Agreement Days]]&lt;-60,"Valid Contract")</f>
        <v>Valid Contract</v>
      </c>
      <c r="W2294" s="152" t="s">
        <v>12</v>
      </c>
      <c r="X2294" s="142" t="s">
        <v>3176</v>
      </c>
      <c r="Y2294" s="188"/>
      <c r="Z2294" s="172" t="s">
        <v>3178</v>
      </c>
      <c r="AA2294" s="142"/>
      <c r="AB2294" s="149"/>
      <c r="AC2294" s="149"/>
    </row>
    <row r="2295" spans="1:29" x14ac:dyDescent="0.3">
      <c r="A2295" s="14"/>
      <c r="B2295" s="18" t="s">
        <v>3173</v>
      </c>
      <c r="C2295" s="142" t="s">
        <v>3179</v>
      </c>
      <c r="D2295" s="142" t="s">
        <v>540</v>
      </c>
      <c r="E2295" s="14" t="s">
        <v>10</v>
      </c>
      <c r="F2295" s="143" t="s">
        <v>1536</v>
      </c>
      <c r="G2295" s="197" t="s">
        <v>518</v>
      </c>
      <c r="H2295" s="142" t="s">
        <v>2</v>
      </c>
      <c r="I2295" s="152" t="s">
        <v>134</v>
      </c>
      <c r="J2295" s="142">
        <v>22</v>
      </c>
      <c r="K2295" s="152" t="s">
        <v>3180</v>
      </c>
      <c r="L2295" s="142"/>
      <c r="M2295" s="142">
        <v>1</v>
      </c>
      <c r="N2295" s="142">
        <v>1133132</v>
      </c>
      <c r="O2295" s="144">
        <f t="shared" si="95"/>
        <v>1133132</v>
      </c>
      <c r="P2295" s="144"/>
      <c r="Q2295" s="152" t="s">
        <v>520</v>
      </c>
      <c r="R2295" s="159">
        <v>45760</v>
      </c>
      <c r="S2295" s="146" t="str">
        <f>TEXT(Table1[[#This Row],[End Date]],"MMMM")</f>
        <v>April</v>
      </c>
      <c r="T2295" s="146" t="str">
        <f>TEXT(Table1[[#This Row],[End Date]],"YYYY")</f>
        <v>2025</v>
      </c>
      <c r="U2295" s="147">
        <f t="shared" ca="1" si="96"/>
        <v>-627</v>
      </c>
      <c r="V2295" s="142" t="str" cm="1">
        <f t="array" aca="1" ref="V2295" ca="1">_xlfn.IFS(Table1[[#This Row],[Agreement Days]]&gt;=0,"Expired",Table1[[#This Row],[Agreement Days]]&gt;=-30,"Expires &lt; 30 Days",Table1[[#This Row],[Agreement Days]]&gt;=-60,"Expires &lt; 60 Days",Table1[[#This Row],[Agreement Days]]&lt;-60,"Valid Contract")</f>
        <v>Valid Contract</v>
      </c>
      <c r="W2295" s="152" t="s">
        <v>12</v>
      </c>
      <c r="X2295" s="142" t="s">
        <v>3176</v>
      </c>
      <c r="Y2295" s="188"/>
      <c r="Z2295" s="172" t="s">
        <v>3178</v>
      </c>
      <c r="AA2295" s="142"/>
      <c r="AB2295" s="149"/>
      <c r="AC2295" s="149"/>
    </row>
    <row r="2296" spans="1:29" x14ac:dyDescent="0.3">
      <c r="A2296" s="14"/>
      <c r="B2296" s="18" t="s">
        <v>3173</v>
      </c>
      <c r="C2296" s="142" t="s">
        <v>3778</v>
      </c>
      <c r="D2296" s="142" t="s">
        <v>540</v>
      </c>
      <c r="E2296" s="14" t="s">
        <v>10</v>
      </c>
      <c r="F2296" s="143" t="s">
        <v>1536</v>
      </c>
      <c r="G2296" s="197" t="s">
        <v>518</v>
      </c>
      <c r="H2296" s="142" t="s">
        <v>2</v>
      </c>
      <c r="I2296" s="152" t="s">
        <v>134</v>
      </c>
      <c r="J2296" s="142">
        <v>2</v>
      </c>
      <c r="K2296" s="152" t="s">
        <v>3779</v>
      </c>
      <c r="L2296" s="142"/>
      <c r="M2296" s="142">
        <v>1</v>
      </c>
      <c r="N2296" s="142">
        <v>103012</v>
      </c>
      <c r="O2296" s="144">
        <f t="shared" si="95"/>
        <v>103012</v>
      </c>
      <c r="P2296" s="144"/>
      <c r="Q2296" s="152" t="s">
        <v>520</v>
      </c>
      <c r="R2296" s="159">
        <v>45760</v>
      </c>
      <c r="S2296" s="146" t="str">
        <f>TEXT(Table1[[#This Row],[End Date]],"MMMM")</f>
        <v>April</v>
      </c>
      <c r="T2296" s="146" t="str">
        <f>TEXT(Table1[[#This Row],[End Date]],"YYYY")</f>
        <v>2025</v>
      </c>
      <c r="U2296" s="147">
        <f t="shared" ca="1" si="96"/>
        <v>-627</v>
      </c>
      <c r="V2296" s="142" t="str" cm="1">
        <f t="array" aca="1" ref="V2296" ca="1">_xlfn.IFS(Table1[[#This Row],[Agreement Days]]&gt;=0,"Expired",Table1[[#This Row],[Agreement Days]]&gt;=-30,"Expires &lt; 30 Days",Table1[[#This Row],[Agreement Days]]&gt;=-60,"Expires &lt; 60 Days",Table1[[#This Row],[Agreement Days]]&lt;-60,"Valid Contract")</f>
        <v>Valid Contract</v>
      </c>
      <c r="W2296" s="152" t="s">
        <v>12</v>
      </c>
      <c r="X2296" s="142" t="s">
        <v>3176</v>
      </c>
      <c r="Y2296" s="188"/>
      <c r="Z2296" s="172" t="s">
        <v>3178</v>
      </c>
      <c r="AA2296" s="142"/>
      <c r="AB2296" s="149"/>
      <c r="AC2296" s="149"/>
    </row>
    <row r="2297" spans="1:29" x14ac:dyDescent="0.3">
      <c r="A2297" s="14"/>
      <c r="B2297" s="18" t="s">
        <v>3173</v>
      </c>
      <c r="C2297" s="142" t="s">
        <v>3780</v>
      </c>
      <c r="D2297" s="142" t="s">
        <v>540</v>
      </c>
      <c r="E2297" s="14" t="s">
        <v>10</v>
      </c>
      <c r="F2297" s="143" t="s">
        <v>1536</v>
      </c>
      <c r="G2297" s="197" t="s">
        <v>518</v>
      </c>
      <c r="H2297" s="142" t="s">
        <v>2</v>
      </c>
      <c r="I2297" s="152" t="s">
        <v>134</v>
      </c>
      <c r="J2297" s="142">
        <v>5</v>
      </c>
      <c r="K2297" s="152" t="s">
        <v>730</v>
      </c>
      <c r="L2297" s="142"/>
      <c r="M2297" s="142">
        <v>1</v>
      </c>
      <c r="N2297" s="142">
        <v>257530</v>
      </c>
      <c r="O2297" s="144">
        <f t="shared" si="95"/>
        <v>257530</v>
      </c>
      <c r="P2297" s="144"/>
      <c r="Q2297" s="152" t="s">
        <v>520</v>
      </c>
      <c r="R2297" s="159">
        <v>45760</v>
      </c>
      <c r="S2297" s="146" t="str">
        <f>TEXT(Table1[[#This Row],[End Date]],"MMMM")</f>
        <v>April</v>
      </c>
      <c r="T2297" s="146" t="str">
        <f>TEXT(Table1[[#This Row],[End Date]],"YYYY")</f>
        <v>2025</v>
      </c>
      <c r="U2297" s="147">
        <f t="shared" ca="1" si="96"/>
        <v>-627</v>
      </c>
      <c r="V2297" s="142" t="str" cm="1">
        <f t="array" aca="1" ref="V2297" ca="1">_xlfn.IFS(Table1[[#This Row],[Agreement Days]]&gt;=0,"Expired",Table1[[#This Row],[Agreement Days]]&gt;=-30,"Expires &lt; 30 Days",Table1[[#This Row],[Agreement Days]]&gt;=-60,"Expires &lt; 60 Days",Table1[[#This Row],[Agreement Days]]&lt;-60,"Valid Contract")</f>
        <v>Valid Contract</v>
      </c>
      <c r="W2297" s="152" t="s">
        <v>12</v>
      </c>
      <c r="X2297" s="142" t="s">
        <v>3176</v>
      </c>
      <c r="Y2297" s="188"/>
      <c r="Z2297" s="172" t="s">
        <v>3178</v>
      </c>
      <c r="AA2297" s="142"/>
      <c r="AB2297" s="149"/>
      <c r="AC2297" s="149"/>
    </row>
    <row r="2298" spans="1:29" x14ac:dyDescent="0.3">
      <c r="A2298" s="14"/>
      <c r="B2298" s="18" t="s">
        <v>3173</v>
      </c>
      <c r="C2298" s="142" t="s">
        <v>3183</v>
      </c>
      <c r="D2298" s="142" t="s">
        <v>540</v>
      </c>
      <c r="E2298" s="14" t="s">
        <v>10</v>
      </c>
      <c r="F2298" s="143" t="s">
        <v>1536</v>
      </c>
      <c r="G2298" s="197" t="s">
        <v>518</v>
      </c>
      <c r="H2298" s="142" t="s">
        <v>2</v>
      </c>
      <c r="I2298" s="152" t="s">
        <v>134</v>
      </c>
      <c r="J2298" s="142">
        <v>5</v>
      </c>
      <c r="K2298" s="152" t="s">
        <v>730</v>
      </c>
      <c r="L2298" s="142"/>
      <c r="M2298" s="142">
        <v>1</v>
      </c>
      <c r="N2298" s="142">
        <v>257530</v>
      </c>
      <c r="O2298" s="144">
        <f t="shared" si="95"/>
        <v>257530</v>
      </c>
      <c r="P2298" s="144"/>
      <c r="Q2298" s="152" t="s">
        <v>520</v>
      </c>
      <c r="R2298" s="159">
        <v>45760</v>
      </c>
      <c r="S2298" s="146" t="str">
        <f>TEXT(Table1[[#This Row],[End Date]],"MMMM")</f>
        <v>April</v>
      </c>
      <c r="T2298" s="146" t="str">
        <f>TEXT(Table1[[#This Row],[End Date]],"YYYY")</f>
        <v>2025</v>
      </c>
      <c r="U2298" s="147">
        <f t="shared" ca="1" si="96"/>
        <v>-627</v>
      </c>
      <c r="V2298" s="142" t="str" cm="1">
        <f t="array" aca="1" ref="V2298" ca="1">_xlfn.IFS(Table1[[#This Row],[Agreement Days]]&gt;=0,"Expired",Table1[[#This Row],[Agreement Days]]&gt;=-30,"Expires &lt; 30 Days",Table1[[#This Row],[Agreement Days]]&gt;=-60,"Expires &lt; 60 Days",Table1[[#This Row],[Agreement Days]]&lt;-60,"Valid Contract")</f>
        <v>Valid Contract</v>
      </c>
      <c r="W2298" s="152" t="s">
        <v>12</v>
      </c>
      <c r="X2298" s="142" t="s">
        <v>3176</v>
      </c>
      <c r="Y2298" s="188"/>
      <c r="Z2298" s="172" t="s">
        <v>3178</v>
      </c>
      <c r="AA2298" s="142"/>
      <c r="AB2298" s="149"/>
      <c r="AC2298" s="149"/>
    </row>
    <row r="2299" spans="1:29" x14ac:dyDescent="0.3">
      <c r="A2299" s="14"/>
      <c r="B2299" s="18" t="s">
        <v>3173</v>
      </c>
      <c r="C2299" s="142" t="s">
        <v>3181</v>
      </c>
      <c r="D2299" s="142" t="s">
        <v>540</v>
      </c>
      <c r="E2299" s="14" t="s">
        <v>10</v>
      </c>
      <c r="F2299" s="143" t="s">
        <v>1536</v>
      </c>
      <c r="G2299" s="197" t="s">
        <v>518</v>
      </c>
      <c r="H2299" s="142" t="s">
        <v>2</v>
      </c>
      <c r="I2299" s="152" t="s">
        <v>134</v>
      </c>
      <c r="J2299" s="142">
        <v>15</v>
      </c>
      <c r="K2299" s="152" t="s">
        <v>1548</v>
      </c>
      <c r="L2299" s="142"/>
      <c r="M2299" s="142">
        <v>1</v>
      </c>
      <c r="N2299" s="142">
        <v>772590</v>
      </c>
      <c r="O2299" s="144">
        <f t="shared" si="95"/>
        <v>772590</v>
      </c>
      <c r="P2299" s="144"/>
      <c r="Q2299" s="152" t="s">
        <v>520</v>
      </c>
      <c r="R2299" s="159">
        <v>45760</v>
      </c>
      <c r="S2299" s="146" t="str">
        <f>TEXT(Table1[[#This Row],[End Date]],"MMMM")</f>
        <v>April</v>
      </c>
      <c r="T2299" s="146" t="str">
        <f>TEXT(Table1[[#This Row],[End Date]],"YYYY")</f>
        <v>2025</v>
      </c>
      <c r="U2299" s="147">
        <f t="shared" ca="1" si="96"/>
        <v>-627</v>
      </c>
      <c r="V2299" s="142" t="str" cm="1">
        <f t="array" aca="1" ref="V2299" ca="1">_xlfn.IFS(Table1[[#This Row],[Agreement Days]]&gt;=0,"Expired",Table1[[#This Row],[Agreement Days]]&gt;=-30,"Expires &lt; 30 Days",Table1[[#This Row],[Agreement Days]]&gt;=-60,"Expires &lt; 60 Days",Table1[[#This Row],[Agreement Days]]&lt;-60,"Valid Contract")</f>
        <v>Valid Contract</v>
      </c>
      <c r="W2299" s="152" t="s">
        <v>12</v>
      </c>
      <c r="X2299" s="142" t="s">
        <v>3176</v>
      </c>
      <c r="Y2299" s="188"/>
      <c r="Z2299" s="172" t="s">
        <v>3178</v>
      </c>
      <c r="AA2299" s="142"/>
      <c r="AB2299" s="149"/>
      <c r="AC2299" s="149"/>
    </row>
    <row r="2300" spans="1:29" x14ac:dyDescent="0.3">
      <c r="A2300" s="14"/>
      <c r="B2300" s="18" t="s">
        <v>3173</v>
      </c>
      <c r="C2300" s="142" t="s">
        <v>3781</v>
      </c>
      <c r="D2300" s="142" t="s">
        <v>540</v>
      </c>
      <c r="E2300" s="14" t="s">
        <v>10</v>
      </c>
      <c r="F2300" s="143" t="s">
        <v>1536</v>
      </c>
      <c r="G2300" s="197" t="s">
        <v>518</v>
      </c>
      <c r="H2300" s="142" t="s">
        <v>2</v>
      </c>
      <c r="I2300" s="152" t="s">
        <v>134</v>
      </c>
      <c r="J2300" s="142">
        <v>4</v>
      </c>
      <c r="K2300" s="152" t="s">
        <v>1835</v>
      </c>
      <c r="L2300" s="142"/>
      <c r="M2300" s="142">
        <v>1</v>
      </c>
      <c r="N2300" s="142">
        <v>206024</v>
      </c>
      <c r="O2300" s="144">
        <f t="shared" si="95"/>
        <v>206024</v>
      </c>
      <c r="P2300" s="144"/>
      <c r="Q2300" s="152" t="s">
        <v>520</v>
      </c>
      <c r="R2300" s="159">
        <v>45760</v>
      </c>
      <c r="S2300" s="146" t="str">
        <f>TEXT(Table1[[#This Row],[End Date]],"MMMM")</f>
        <v>April</v>
      </c>
      <c r="T2300" s="146" t="str">
        <f>TEXT(Table1[[#This Row],[End Date]],"YYYY")</f>
        <v>2025</v>
      </c>
      <c r="U2300" s="147">
        <f t="shared" ca="1" si="96"/>
        <v>-627</v>
      </c>
      <c r="V2300" s="142" t="str" cm="1">
        <f t="array" aca="1" ref="V2300" ca="1">_xlfn.IFS(Table1[[#This Row],[Agreement Days]]&gt;=0,"Expired",Table1[[#This Row],[Agreement Days]]&gt;=-30,"Expires &lt; 30 Days",Table1[[#This Row],[Agreement Days]]&gt;=-60,"Expires &lt; 60 Days",Table1[[#This Row],[Agreement Days]]&lt;-60,"Valid Contract")</f>
        <v>Valid Contract</v>
      </c>
      <c r="W2300" s="152" t="s">
        <v>12</v>
      </c>
      <c r="X2300" s="142" t="s">
        <v>3176</v>
      </c>
      <c r="Y2300" s="188"/>
      <c r="Z2300" s="172" t="s">
        <v>3178</v>
      </c>
      <c r="AA2300" s="142"/>
      <c r="AB2300" s="149"/>
      <c r="AC2300" s="149"/>
    </row>
    <row r="2301" spans="1:29" x14ac:dyDescent="0.3">
      <c r="A2301" s="14"/>
      <c r="B2301" s="18"/>
      <c r="C2301" s="142" t="s">
        <v>3782</v>
      </c>
      <c r="D2301" s="142" t="s">
        <v>540</v>
      </c>
      <c r="E2301" s="14" t="s">
        <v>10</v>
      </c>
      <c r="F2301" s="143" t="s">
        <v>1536</v>
      </c>
      <c r="G2301" s="197" t="s">
        <v>518</v>
      </c>
      <c r="H2301" s="142" t="s">
        <v>2</v>
      </c>
      <c r="I2301" s="152" t="s">
        <v>134</v>
      </c>
      <c r="J2301" s="142">
        <v>10</v>
      </c>
      <c r="K2301" s="152" t="s">
        <v>1160</v>
      </c>
      <c r="L2301" s="142"/>
      <c r="M2301" s="142">
        <v>1</v>
      </c>
      <c r="N2301" s="142">
        <v>515060</v>
      </c>
      <c r="O2301" s="144">
        <f>N2301*M2301</f>
        <v>515060</v>
      </c>
      <c r="P2301" s="144"/>
      <c r="Q2301" s="152" t="s">
        <v>520</v>
      </c>
      <c r="R2301" s="159">
        <v>45760</v>
      </c>
      <c r="S2301" s="146" t="str">
        <f>TEXT(Table1[[#This Row],[End Date]],"MMMM")</f>
        <v>April</v>
      </c>
      <c r="T2301" s="146" t="str">
        <f>TEXT(Table1[[#This Row],[End Date]],"YYYY")</f>
        <v>2025</v>
      </c>
      <c r="U2301" s="147">
        <f ca="1">TODAY()-R2301</f>
        <v>-627</v>
      </c>
      <c r="V2301" s="142" t="str" cm="1">
        <f t="array" aca="1" ref="V2301" ca="1">_xlfn.IFS(Table1[[#This Row],[Agreement Days]]&gt;=0,"Expired",Table1[[#This Row],[Agreement Days]]&gt;=-30,"Expires &lt; 30 Days",Table1[[#This Row],[Agreement Days]]&gt;=-60,"Expires &lt; 60 Days",Table1[[#This Row],[Agreement Days]]&lt;-60,"Valid Contract")</f>
        <v>Valid Contract</v>
      </c>
      <c r="W2301" s="152" t="s">
        <v>12</v>
      </c>
      <c r="X2301" s="142" t="s">
        <v>3176</v>
      </c>
      <c r="Y2301" s="188"/>
      <c r="Z2301" s="172" t="s">
        <v>3178</v>
      </c>
      <c r="AA2301" s="142"/>
      <c r="AB2301" s="149"/>
      <c r="AC2301" s="149"/>
    </row>
    <row r="2302" spans="1:29" x14ac:dyDescent="0.3">
      <c r="A2302" s="14"/>
      <c r="B2302" s="18" t="s">
        <v>3173</v>
      </c>
      <c r="C2302" s="142" t="s">
        <v>3783</v>
      </c>
      <c r="D2302" s="142" t="s">
        <v>540</v>
      </c>
      <c r="E2302" s="14" t="s">
        <v>10</v>
      </c>
      <c r="F2302" s="143" t="s">
        <v>1536</v>
      </c>
      <c r="G2302" s="197" t="s">
        <v>518</v>
      </c>
      <c r="H2302" s="142" t="s">
        <v>2</v>
      </c>
      <c r="I2302" s="152" t="s">
        <v>134</v>
      </c>
      <c r="J2302" s="142">
        <v>4</v>
      </c>
      <c r="K2302" s="152" t="s">
        <v>1835</v>
      </c>
      <c r="L2302" s="142"/>
      <c r="M2302" s="142">
        <v>1</v>
      </c>
      <c r="N2302" s="142">
        <v>206024</v>
      </c>
      <c r="O2302" s="144">
        <f t="shared" si="95"/>
        <v>206024</v>
      </c>
      <c r="P2302" s="144"/>
      <c r="Q2302" s="152" t="s">
        <v>520</v>
      </c>
      <c r="R2302" s="159">
        <v>45760</v>
      </c>
      <c r="S2302" s="146" t="str">
        <f>TEXT(Table1[[#This Row],[End Date]],"MMMM")</f>
        <v>April</v>
      </c>
      <c r="T2302" s="146" t="str">
        <f>TEXT(Table1[[#This Row],[End Date]],"YYYY")</f>
        <v>2025</v>
      </c>
      <c r="U2302" s="147">
        <f t="shared" ca="1" si="96"/>
        <v>-627</v>
      </c>
      <c r="V2302" s="142" t="str" cm="1">
        <f t="array" aca="1" ref="V2302" ca="1">_xlfn.IFS(Table1[[#This Row],[Agreement Days]]&gt;=0,"Expired",Table1[[#This Row],[Agreement Days]]&gt;=-30,"Expires &lt; 30 Days",Table1[[#This Row],[Agreement Days]]&gt;=-60,"Expires &lt; 60 Days",Table1[[#This Row],[Agreement Days]]&lt;-60,"Valid Contract")</f>
        <v>Valid Contract</v>
      </c>
      <c r="W2302" s="152" t="s">
        <v>12</v>
      </c>
      <c r="X2302" s="142" t="s">
        <v>3176</v>
      </c>
      <c r="Y2302" s="188"/>
      <c r="Z2302" s="172" t="s">
        <v>3178</v>
      </c>
      <c r="AA2302" s="142"/>
      <c r="AB2302" s="149"/>
      <c r="AC2302" s="149"/>
    </row>
    <row r="2303" spans="1:29" x14ac:dyDescent="0.3">
      <c r="A2303" s="14"/>
      <c r="B2303" s="18" t="s">
        <v>3173</v>
      </c>
      <c r="C2303" s="142" t="s">
        <v>3784</v>
      </c>
      <c r="D2303" s="142" t="s">
        <v>540</v>
      </c>
      <c r="E2303" s="14" t="s">
        <v>10</v>
      </c>
      <c r="F2303" s="143" t="s">
        <v>1536</v>
      </c>
      <c r="G2303" s="197" t="s">
        <v>518</v>
      </c>
      <c r="H2303" s="142" t="s">
        <v>2</v>
      </c>
      <c r="I2303" s="152" t="s">
        <v>134</v>
      </c>
      <c r="J2303" s="142">
        <v>8</v>
      </c>
      <c r="K2303" s="152" t="s">
        <v>2444</v>
      </c>
      <c r="L2303" s="142"/>
      <c r="M2303" s="142">
        <v>1</v>
      </c>
      <c r="N2303" s="142">
        <v>412048</v>
      </c>
      <c r="O2303" s="144">
        <f t="shared" si="95"/>
        <v>412048</v>
      </c>
      <c r="P2303" s="144"/>
      <c r="Q2303" s="152" t="s">
        <v>520</v>
      </c>
      <c r="R2303" s="159">
        <v>45760</v>
      </c>
      <c r="S2303" s="146" t="str">
        <f>TEXT(Table1[[#This Row],[End Date]],"MMMM")</f>
        <v>April</v>
      </c>
      <c r="T2303" s="146" t="str">
        <f>TEXT(Table1[[#This Row],[End Date]],"YYYY")</f>
        <v>2025</v>
      </c>
      <c r="U2303" s="147">
        <f t="shared" ca="1" si="96"/>
        <v>-627</v>
      </c>
      <c r="V2303" s="142" t="str" cm="1">
        <f t="array" aca="1" ref="V2303" ca="1">_xlfn.IFS(Table1[[#This Row],[Agreement Days]]&gt;=0,"Expired",Table1[[#This Row],[Agreement Days]]&gt;=-30,"Expires &lt; 30 Days",Table1[[#This Row],[Agreement Days]]&gt;=-60,"Expires &lt; 60 Days",Table1[[#This Row],[Agreement Days]]&lt;-60,"Valid Contract")</f>
        <v>Valid Contract</v>
      </c>
      <c r="W2303" s="152" t="s">
        <v>12</v>
      </c>
      <c r="X2303" s="142" t="s">
        <v>3176</v>
      </c>
      <c r="Y2303" s="188"/>
      <c r="Z2303" s="172" t="s">
        <v>3178</v>
      </c>
      <c r="AA2303" s="142"/>
      <c r="AB2303" s="149"/>
      <c r="AC2303" s="149"/>
    </row>
    <row r="2304" spans="1:29" x14ac:dyDescent="0.3">
      <c r="A2304" s="14"/>
      <c r="B2304" s="18" t="s">
        <v>3173</v>
      </c>
      <c r="C2304" s="142" t="s">
        <v>3785</v>
      </c>
      <c r="D2304" s="142" t="s">
        <v>540</v>
      </c>
      <c r="E2304" s="14" t="s">
        <v>10</v>
      </c>
      <c r="F2304" s="143" t="s">
        <v>1536</v>
      </c>
      <c r="G2304" s="197" t="s">
        <v>518</v>
      </c>
      <c r="H2304" s="142" t="s">
        <v>2</v>
      </c>
      <c r="I2304" s="186" t="s">
        <v>134</v>
      </c>
      <c r="J2304" s="142">
        <v>3</v>
      </c>
      <c r="K2304" s="152" t="s">
        <v>580</v>
      </c>
      <c r="L2304" s="142"/>
      <c r="M2304" s="142">
        <v>1</v>
      </c>
      <c r="N2304" s="142">
        <v>154518</v>
      </c>
      <c r="O2304" s="144">
        <f t="shared" ref="O2304:O2307" si="97">N2304*M2304</f>
        <v>154518</v>
      </c>
      <c r="P2304" s="144"/>
      <c r="Q2304" s="152" t="s">
        <v>520</v>
      </c>
      <c r="R2304" s="159">
        <v>45760</v>
      </c>
      <c r="S2304" s="146" t="str">
        <f>TEXT(Table1[[#This Row],[End Date]],"MMMM")</f>
        <v>April</v>
      </c>
      <c r="T2304" s="146" t="str">
        <f>TEXT(Table1[[#This Row],[End Date]],"YYYY")</f>
        <v>2025</v>
      </c>
      <c r="U2304" s="147">
        <f t="shared" ref="U2304:U2307" ca="1" si="98">TODAY()-R2304</f>
        <v>-627</v>
      </c>
      <c r="V2304" s="142" t="str" cm="1">
        <f t="array" aca="1" ref="V2304" ca="1">_xlfn.IFS(Table1[[#This Row],[Agreement Days]]&gt;=0,"Expired",Table1[[#This Row],[Agreement Days]]&gt;=-30,"Expires &lt; 30 Days",Table1[[#This Row],[Agreement Days]]&gt;=-60,"Expires &lt; 60 Days",Table1[[#This Row],[Agreement Days]]&lt;-60,"Valid Contract")</f>
        <v>Valid Contract</v>
      </c>
      <c r="W2304" s="152" t="s">
        <v>12</v>
      </c>
      <c r="X2304" s="142" t="s">
        <v>3176</v>
      </c>
      <c r="Y2304" s="188"/>
      <c r="Z2304" s="172" t="s">
        <v>3178</v>
      </c>
      <c r="AA2304" s="142"/>
      <c r="AB2304" s="149"/>
      <c r="AC2304" s="149"/>
    </row>
    <row r="2305" spans="1:29" x14ac:dyDescent="0.3">
      <c r="A2305" s="14"/>
      <c r="B2305" s="18" t="s">
        <v>3173</v>
      </c>
      <c r="C2305" s="142" t="s">
        <v>3786</v>
      </c>
      <c r="D2305" s="142" t="s">
        <v>540</v>
      </c>
      <c r="E2305" s="14" t="s">
        <v>10</v>
      </c>
      <c r="F2305" s="143" t="s">
        <v>1536</v>
      </c>
      <c r="G2305" s="197" t="s">
        <v>518</v>
      </c>
      <c r="H2305" s="142" t="s">
        <v>2</v>
      </c>
      <c r="I2305" s="186" t="s">
        <v>134</v>
      </c>
      <c r="J2305" s="142">
        <v>7</v>
      </c>
      <c r="K2305" s="152" t="s">
        <v>3787</v>
      </c>
      <c r="L2305" s="142"/>
      <c r="M2305" s="142">
        <v>1</v>
      </c>
      <c r="N2305" s="142">
        <v>360542</v>
      </c>
      <c r="O2305" s="144">
        <f t="shared" si="97"/>
        <v>360542</v>
      </c>
      <c r="P2305" s="144"/>
      <c r="Q2305" s="152" t="s">
        <v>520</v>
      </c>
      <c r="R2305" s="159">
        <v>45760</v>
      </c>
      <c r="S2305" s="146" t="str">
        <f>TEXT(Table1[[#This Row],[End Date]],"MMMM")</f>
        <v>April</v>
      </c>
      <c r="T2305" s="146" t="str">
        <f>TEXT(Table1[[#This Row],[End Date]],"YYYY")</f>
        <v>2025</v>
      </c>
      <c r="U2305" s="147">
        <f t="shared" ca="1" si="98"/>
        <v>-627</v>
      </c>
      <c r="V2305" s="142" t="str" cm="1">
        <f t="array" aca="1" ref="V2305" ca="1">_xlfn.IFS(Table1[[#This Row],[Agreement Days]]&gt;=0,"Expired",Table1[[#This Row],[Agreement Days]]&gt;=-30,"Expires &lt; 30 Days",Table1[[#This Row],[Agreement Days]]&gt;=-60,"Expires &lt; 60 Days",Table1[[#This Row],[Agreement Days]]&lt;-60,"Valid Contract")</f>
        <v>Valid Contract</v>
      </c>
      <c r="W2305" s="152" t="s">
        <v>12</v>
      </c>
      <c r="X2305" s="142" t="s">
        <v>3176</v>
      </c>
      <c r="Y2305" s="188"/>
      <c r="Z2305" s="172" t="s">
        <v>3178</v>
      </c>
      <c r="AA2305" s="142"/>
      <c r="AB2305" s="149"/>
      <c r="AC2305" s="149"/>
    </row>
    <row r="2306" spans="1:29" x14ac:dyDescent="0.3">
      <c r="A2306" s="14"/>
      <c r="B2306" s="18" t="s">
        <v>3173</v>
      </c>
      <c r="C2306" s="142" t="s">
        <v>3184</v>
      </c>
      <c r="D2306" s="142" t="s">
        <v>540</v>
      </c>
      <c r="E2306" s="14" t="s">
        <v>10</v>
      </c>
      <c r="F2306" s="143" t="s">
        <v>1536</v>
      </c>
      <c r="G2306" s="197" t="s">
        <v>518</v>
      </c>
      <c r="H2306" s="142" t="s">
        <v>2</v>
      </c>
      <c r="I2306" s="186" t="s">
        <v>134</v>
      </c>
      <c r="J2306" s="142">
        <v>5</v>
      </c>
      <c r="K2306" s="152" t="s">
        <v>730</v>
      </c>
      <c r="L2306" s="142"/>
      <c r="M2306" s="142">
        <v>1</v>
      </c>
      <c r="N2306" s="142">
        <v>257530</v>
      </c>
      <c r="O2306" s="144">
        <f t="shared" si="97"/>
        <v>257530</v>
      </c>
      <c r="P2306" s="144"/>
      <c r="Q2306" s="152" t="s">
        <v>520</v>
      </c>
      <c r="R2306" s="159">
        <v>45760</v>
      </c>
      <c r="S2306" s="146" t="str">
        <f>TEXT(Table1[[#This Row],[End Date]],"MMMM")</f>
        <v>April</v>
      </c>
      <c r="T2306" s="146" t="str">
        <f>TEXT(Table1[[#This Row],[End Date]],"YYYY")</f>
        <v>2025</v>
      </c>
      <c r="U2306" s="147">
        <f t="shared" ca="1" si="98"/>
        <v>-627</v>
      </c>
      <c r="V2306" s="142" t="str" cm="1">
        <f t="array" aca="1" ref="V2306" ca="1">_xlfn.IFS(Table1[[#This Row],[Agreement Days]]&gt;=0,"Expired",Table1[[#This Row],[Agreement Days]]&gt;=-30,"Expires &lt; 30 Days",Table1[[#This Row],[Agreement Days]]&gt;=-60,"Expires &lt; 60 Days",Table1[[#This Row],[Agreement Days]]&lt;-60,"Valid Contract")</f>
        <v>Valid Contract</v>
      </c>
      <c r="W2306" s="152" t="s">
        <v>12</v>
      </c>
      <c r="X2306" s="142" t="s">
        <v>3176</v>
      </c>
      <c r="Y2306" s="188"/>
      <c r="Z2306" s="172" t="s">
        <v>3178</v>
      </c>
      <c r="AA2306" s="142"/>
      <c r="AB2306" s="149"/>
      <c r="AC2306" s="149"/>
    </row>
    <row r="2307" spans="1:29" x14ac:dyDescent="0.3">
      <c r="A2307" s="14"/>
      <c r="B2307" s="18" t="s">
        <v>3173</v>
      </c>
      <c r="C2307" s="142" t="s">
        <v>3788</v>
      </c>
      <c r="D2307" s="142" t="s">
        <v>540</v>
      </c>
      <c r="E2307" s="14" t="s">
        <v>10</v>
      </c>
      <c r="F2307" s="143" t="s">
        <v>1536</v>
      </c>
      <c r="G2307" s="197" t="s">
        <v>518</v>
      </c>
      <c r="H2307" s="142" t="s">
        <v>2</v>
      </c>
      <c r="I2307" s="186" t="s">
        <v>134</v>
      </c>
      <c r="J2307" s="142">
        <v>30</v>
      </c>
      <c r="K2307" s="152" t="s">
        <v>796</v>
      </c>
      <c r="L2307" s="142"/>
      <c r="M2307" s="142">
        <v>1</v>
      </c>
      <c r="N2307" s="142">
        <v>1545180</v>
      </c>
      <c r="O2307" s="144">
        <f t="shared" si="97"/>
        <v>1545180</v>
      </c>
      <c r="P2307" s="144"/>
      <c r="Q2307" s="152" t="s">
        <v>520</v>
      </c>
      <c r="R2307" s="159">
        <v>45760</v>
      </c>
      <c r="S2307" s="146" t="str">
        <f>TEXT(Table1[[#This Row],[End Date]],"MMMM")</f>
        <v>April</v>
      </c>
      <c r="T2307" s="146" t="str">
        <f>TEXT(Table1[[#This Row],[End Date]],"YYYY")</f>
        <v>2025</v>
      </c>
      <c r="U2307" s="147">
        <f t="shared" ca="1" si="98"/>
        <v>-627</v>
      </c>
      <c r="V2307" s="142" t="str" cm="1">
        <f t="array" aca="1" ref="V2307" ca="1">_xlfn.IFS(Table1[[#This Row],[Agreement Days]]&gt;=0,"Expired",Table1[[#This Row],[Agreement Days]]&gt;=-30,"Expires &lt; 30 Days",Table1[[#This Row],[Agreement Days]]&gt;=-60,"Expires &lt; 60 Days",Table1[[#This Row],[Agreement Days]]&lt;-60,"Valid Contract")</f>
        <v>Valid Contract</v>
      </c>
      <c r="W2307" s="152" t="s">
        <v>12</v>
      </c>
      <c r="X2307" s="142" t="s">
        <v>3176</v>
      </c>
      <c r="Y2307" s="188"/>
      <c r="Z2307" s="172" t="s">
        <v>3178</v>
      </c>
      <c r="AA2307" s="142"/>
      <c r="AB2307" s="149"/>
      <c r="AC2307" s="149"/>
    </row>
    <row r="2308" spans="1:29" x14ac:dyDescent="0.3">
      <c r="A2308" s="14"/>
      <c r="B2308" s="18" t="s">
        <v>3173</v>
      </c>
      <c r="C2308" s="142" t="s">
        <v>3789</v>
      </c>
      <c r="D2308" s="142" t="s">
        <v>540</v>
      </c>
      <c r="E2308" s="14" t="s">
        <v>10</v>
      </c>
      <c r="F2308" s="143" t="s">
        <v>1536</v>
      </c>
      <c r="G2308" s="197" t="s">
        <v>518</v>
      </c>
      <c r="H2308" s="142" t="s">
        <v>2</v>
      </c>
      <c r="I2308" s="186" t="s">
        <v>134</v>
      </c>
      <c r="J2308" s="142">
        <v>5</v>
      </c>
      <c r="K2308" s="152" t="s">
        <v>730</v>
      </c>
      <c r="L2308" s="142"/>
      <c r="M2308" s="142">
        <v>1</v>
      </c>
      <c r="N2308" s="142">
        <v>257530</v>
      </c>
      <c r="O2308" s="144">
        <f t="shared" ref="O2308:O2310" si="99">N2308*M2308</f>
        <v>257530</v>
      </c>
      <c r="P2308" s="144"/>
      <c r="Q2308" s="152" t="s">
        <v>520</v>
      </c>
      <c r="R2308" s="159">
        <v>45760</v>
      </c>
      <c r="S2308" s="146" t="str">
        <f>TEXT(Table1[[#This Row],[End Date]],"MMMM")</f>
        <v>April</v>
      </c>
      <c r="T2308" s="146" t="str">
        <f>TEXT(Table1[[#This Row],[End Date]],"YYYY")</f>
        <v>2025</v>
      </c>
      <c r="U2308" s="147">
        <f t="shared" ref="U2308:U2310" ca="1" si="100">TODAY()-R2308</f>
        <v>-627</v>
      </c>
      <c r="V2308" s="142" t="str" cm="1">
        <f t="array" aca="1" ref="V2308" ca="1">_xlfn.IFS(Table1[[#This Row],[Agreement Days]]&gt;=0,"Expired",Table1[[#This Row],[Agreement Days]]&gt;=-30,"Expires &lt; 30 Days",Table1[[#This Row],[Agreement Days]]&gt;=-60,"Expires &lt; 60 Days",Table1[[#This Row],[Agreement Days]]&lt;-60,"Valid Contract")</f>
        <v>Valid Contract</v>
      </c>
      <c r="W2308" s="152" t="s">
        <v>12</v>
      </c>
      <c r="X2308" s="142" t="s">
        <v>3176</v>
      </c>
      <c r="Y2308" s="188"/>
      <c r="Z2308" s="172" t="s">
        <v>3178</v>
      </c>
      <c r="AA2308" s="142"/>
      <c r="AB2308" s="149"/>
      <c r="AC2308" s="149"/>
    </row>
    <row r="2309" spans="1:29" x14ac:dyDescent="0.3">
      <c r="A2309" s="14"/>
      <c r="B2309" s="18" t="s">
        <v>3173</v>
      </c>
      <c r="C2309" s="142" t="s">
        <v>3182</v>
      </c>
      <c r="D2309" s="142" t="s">
        <v>540</v>
      </c>
      <c r="E2309" s="14" t="s">
        <v>10</v>
      </c>
      <c r="F2309" s="143" t="s">
        <v>1536</v>
      </c>
      <c r="G2309" s="197" t="s">
        <v>518</v>
      </c>
      <c r="H2309" s="142" t="s">
        <v>2</v>
      </c>
      <c r="I2309" s="186" t="s">
        <v>134</v>
      </c>
      <c r="J2309" s="142">
        <v>10</v>
      </c>
      <c r="K2309" s="152" t="s">
        <v>1160</v>
      </c>
      <c r="L2309" s="142"/>
      <c r="M2309" s="142">
        <v>1</v>
      </c>
      <c r="N2309" s="142">
        <v>515060</v>
      </c>
      <c r="O2309" s="144">
        <f t="shared" si="99"/>
        <v>515060</v>
      </c>
      <c r="P2309" s="144"/>
      <c r="Q2309" s="152" t="s">
        <v>520</v>
      </c>
      <c r="R2309" s="159">
        <v>45760</v>
      </c>
      <c r="S2309" s="146" t="str">
        <f>TEXT(Table1[[#This Row],[End Date]],"MMMM")</f>
        <v>April</v>
      </c>
      <c r="T2309" s="146" t="str">
        <f>TEXT(Table1[[#This Row],[End Date]],"YYYY")</f>
        <v>2025</v>
      </c>
      <c r="U2309" s="147">
        <f t="shared" ca="1" si="100"/>
        <v>-627</v>
      </c>
      <c r="V2309" s="142" t="str" cm="1">
        <f t="array" aca="1" ref="V2309" ca="1">_xlfn.IFS(Table1[[#This Row],[Agreement Days]]&gt;=0,"Expired",Table1[[#This Row],[Agreement Days]]&gt;=-30,"Expires &lt; 30 Days",Table1[[#This Row],[Agreement Days]]&gt;=-60,"Expires &lt; 60 Days",Table1[[#This Row],[Agreement Days]]&lt;-60,"Valid Contract")</f>
        <v>Valid Contract</v>
      </c>
      <c r="W2309" s="152" t="s">
        <v>12</v>
      </c>
      <c r="X2309" s="142" t="s">
        <v>3176</v>
      </c>
      <c r="Y2309" s="188"/>
      <c r="Z2309" s="172" t="s">
        <v>3178</v>
      </c>
      <c r="AA2309" s="142"/>
      <c r="AB2309" s="149"/>
      <c r="AC2309" s="149"/>
    </row>
    <row r="2310" spans="1:29" x14ac:dyDescent="0.3">
      <c r="A2310" s="14"/>
      <c r="B2310" s="18" t="s">
        <v>3173</v>
      </c>
      <c r="C2310" s="142" t="s">
        <v>3790</v>
      </c>
      <c r="D2310" s="142" t="s">
        <v>540</v>
      </c>
      <c r="E2310" s="14" t="s">
        <v>10</v>
      </c>
      <c r="F2310" s="143" t="s">
        <v>1536</v>
      </c>
      <c r="G2310" s="197" t="s">
        <v>518</v>
      </c>
      <c r="H2310" s="142" t="s">
        <v>2</v>
      </c>
      <c r="I2310" s="186" t="s">
        <v>134</v>
      </c>
      <c r="J2310" s="142">
        <v>25</v>
      </c>
      <c r="K2310" s="152" t="s">
        <v>1621</v>
      </c>
      <c r="L2310" s="142"/>
      <c r="M2310" s="142">
        <v>1</v>
      </c>
      <c r="N2310" s="142">
        <v>1287650</v>
      </c>
      <c r="O2310" s="144">
        <f t="shared" si="99"/>
        <v>1287650</v>
      </c>
      <c r="P2310" s="144"/>
      <c r="Q2310" s="152" t="s">
        <v>520</v>
      </c>
      <c r="R2310" s="159">
        <v>45760</v>
      </c>
      <c r="S2310" s="146" t="str">
        <f>TEXT(Table1[[#This Row],[End Date]],"MMMM")</f>
        <v>April</v>
      </c>
      <c r="T2310" s="146" t="str">
        <f>TEXT(Table1[[#This Row],[End Date]],"YYYY")</f>
        <v>2025</v>
      </c>
      <c r="U2310" s="147">
        <f t="shared" ca="1" si="100"/>
        <v>-627</v>
      </c>
      <c r="V2310" s="142" t="str" cm="1">
        <f t="array" aca="1" ref="V2310" ca="1">_xlfn.IFS(Table1[[#This Row],[Agreement Days]]&gt;=0,"Expired",Table1[[#This Row],[Agreement Days]]&gt;=-30,"Expires &lt; 30 Days",Table1[[#This Row],[Agreement Days]]&gt;=-60,"Expires &lt; 60 Days",Table1[[#This Row],[Agreement Days]]&lt;-60,"Valid Contract")</f>
        <v>Valid Contract</v>
      </c>
      <c r="W2310" s="152" t="s">
        <v>12</v>
      </c>
      <c r="X2310" s="142" t="s">
        <v>3176</v>
      </c>
      <c r="Y2310" s="188"/>
      <c r="Z2310" s="172" t="s">
        <v>3178</v>
      </c>
      <c r="AA2310" s="142"/>
      <c r="AB2310" s="149"/>
      <c r="AC2310" s="149"/>
    </row>
    <row r="2311" spans="1:29" x14ac:dyDescent="0.3">
      <c r="A2311" s="14"/>
      <c r="B2311" s="18" t="s">
        <v>3173</v>
      </c>
      <c r="C2311" s="142" t="s">
        <v>3791</v>
      </c>
      <c r="D2311" s="142" t="s">
        <v>540</v>
      </c>
      <c r="E2311" s="14" t="s">
        <v>10</v>
      </c>
      <c r="F2311" s="143" t="s">
        <v>1536</v>
      </c>
      <c r="G2311" s="197" t="s">
        <v>518</v>
      </c>
      <c r="H2311" s="142" t="s">
        <v>2</v>
      </c>
      <c r="I2311" s="186" t="s">
        <v>134</v>
      </c>
      <c r="J2311" s="142">
        <v>10</v>
      </c>
      <c r="K2311" s="152" t="s">
        <v>1160</v>
      </c>
      <c r="L2311" s="142"/>
      <c r="M2311" s="142">
        <v>1</v>
      </c>
      <c r="N2311" s="142">
        <v>515060</v>
      </c>
      <c r="O2311" s="144">
        <f>N2311*M2311</f>
        <v>515060</v>
      </c>
      <c r="P2311" s="144"/>
      <c r="Q2311" s="152" t="s">
        <v>520</v>
      </c>
      <c r="R2311" s="159">
        <v>45760</v>
      </c>
      <c r="S2311" s="146" t="str">
        <f>TEXT(Table1[[#This Row],[End Date]],"MMMM")</f>
        <v>April</v>
      </c>
      <c r="T2311" s="146" t="str">
        <f>TEXT(Table1[[#This Row],[End Date]],"YYYY")</f>
        <v>2025</v>
      </c>
      <c r="U2311" s="147">
        <f ca="1">TODAY()-R2311</f>
        <v>-627</v>
      </c>
      <c r="V2311" s="142" t="str" cm="1">
        <f t="array" aca="1" ref="V2311" ca="1">_xlfn.IFS(Table1[[#This Row],[Agreement Days]]&gt;=0,"Expired",Table1[[#This Row],[Agreement Days]]&gt;=-30,"Expires &lt; 30 Days",Table1[[#This Row],[Agreement Days]]&gt;=-60,"Expires &lt; 60 Days",Table1[[#This Row],[Agreement Days]]&lt;-60,"Valid Contract")</f>
        <v>Valid Contract</v>
      </c>
      <c r="W2311" s="152" t="s">
        <v>12</v>
      </c>
      <c r="X2311" s="142" t="s">
        <v>3176</v>
      </c>
      <c r="Y2311" s="188"/>
      <c r="Z2311" s="172" t="s">
        <v>3178</v>
      </c>
      <c r="AA2311" s="142"/>
      <c r="AB2311" s="149"/>
      <c r="AC2311" s="149"/>
    </row>
    <row r="2312" spans="1:29" x14ac:dyDescent="0.3">
      <c r="A2312" s="14"/>
      <c r="B2312" s="18" t="s">
        <v>3173</v>
      </c>
      <c r="C2312" s="142" t="s">
        <v>3185</v>
      </c>
      <c r="D2312" s="142" t="s">
        <v>540</v>
      </c>
      <c r="E2312" s="14" t="s">
        <v>10</v>
      </c>
      <c r="F2312" s="143" t="s">
        <v>1536</v>
      </c>
      <c r="G2312" s="197" t="s">
        <v>518</v>
      </c>
      <c r="H2312" s="142" t="s">
        <v>2</v>
      </c>
      <c r="I2312" s="186" t="s">
        <v>134</v>
      </c>
      <c r="J2312" s="142">
        <v>10</v>
      </c>
      <c r="K2312" s="152" t="s">
        <v>1160</v>
      </c>
      <c r="L2312" s="142"/>
      <c r="M2312" s="142">
        <v>1</v>
      </c>
      <c r="N2312" s="142">
        <v>515060</v>
      </c>
      <c r="O2312" s="144">
        <f t="shared" ref="O2312:O2351" si="101">N2312*M2312</f>
        <v>515060</v>
      </c>
      <c r="P2312" s="144"/>
      <c r="Q2312" s="152" t="s">
        <v>520</v>
      </c>
      <c r="R2312" s="145">
        <v>45760</v>
      </c>
      <c r="S2312" s="146" t="str">
        <f>TEXT(Table1[[#This Row],[End Date]],"MMMM")</f>
        <v>April</v>
      </c>
      <c r="T2312" s="146" t="str">
        <f>TEXT(Table1[[#This Row],[End Date]],"YYYY")</f>
        <v>2025</v>
      </c>
      <c r="U2312" s="147">
        <f t="shared" ref="U2312:U2351" ca="1" si="102">TODAY()-R2312</f>
        <v>-627</v>
      </c>
      <c r="V2312" s="142" t="str" cm="1">
        <f t="array" aca="1" ref="V2312" ca="1">_xlfn.IFS(Table1[[#This Row],[Agreement Days]]&gt;=0,"Expired",Table1[[#This Row],[Agreement Days]]&gt;=-30,"Expires &lt; 30 Days",Table1[[#This Row],[Agreement Days]]&gt;=-60,"Expires &lt; 60 Days",Table1[[#This Row],[Agreement Days]]&lt;-60,"Valid Contract")</f>
        <v>Valid Contract</v>
      </c>
      <c r="W2312" s="152" t="s">
        <v>12</v>
      </c>
      <c r="X2312" s="142" t="s">
        <v>3176</v>
      </c>
      <c r="Y2312" s="188"/>
      <c r="Z2312" s="172" t="s">
        <v>3178</v>
      </c>
      <c r="AA2312" s="142"/>
      <c r="AB2312" s="149"/>
      <c r="AC2312" s="149"/>
    </row>
    <row r="2313" spans="1:29" x14ac:dyDescent="0.3">
      <c r="A2313" s="14"/>
      <c r="B2313" s="18" t="s">
        <v>3173</v>
      </c>
      <c r="C2313" s="142" t="s">
        <v>3792</v>
      </c>
      <c r="D2313" s="142" t="s">
        <v>540</v>
      </c>
      <c r="E2313" s="14" t="s">
        <v>10</v>
      </c>
      <c r="F2313" s="143" t="s">
        <v>1536</v>
      </c>
      <c r="G2313" s="197" t="s">
        <v>518</v>
      </c>
      <c r="H2313" s="142" t="s">
        <v>2</v>
      </c>
      <c r="I2313" s="186" t="s">
        <v>134</v>
      </c>
      <c r="J2313" s="142">
        <v>10</v>
      </c>
      <c r="K2313" s="152" t="s">
        <v>1160</v>
      </c>
      <c r="L2313" s="142"/>
      <c r="M2313" s="142">
        <v>1</v>
      </c>
      <c r="N2313" s="142">
        <v>515060</v>
      </c>
      <c r="O2313" s="144">
        <f t="shared" si="101"/>
        <v>515060</v>
      </c>
      <c r="P2313" s="144"/>
      <c r="Q2313" s="152" t="s">
        <v>520</v>
      </c>
      <c r="R2313" s="145">
        <v>45760</v>
      </c>
      <c r="S2313" s="146" t="str">
        <f>TEXT(Table1[[#This Row],[End Date]],"MMMM")</f>
        <v>April</v>
      </c>
      <c r="T2313" s="146" t="str">
        <f>TEXT(Table1[[#This Row],[End Date]],"YYYY")</f>
        <v>2025</v>
      </c>
      <c r="U2313" s="147">
        <f t="shared" ca="1" si="102"/>
        <v>-627</v>
      </c>
      <c r="V2313" s="142" t="str" cm="1">
        <f t="array" aca="1" ref="V2313" ca="1">_xlfn.IFS(Table1[[#This Row],[Agreement Days]]&gt;=0,"Expired",Table1[[#This Row],[Agreement Days]]&gt;=-30,"Expires &lt; 30 Days",Table1[[#This Row],[Agreement Days]]&gt;=-60,"Expires &lt; 60 Days",Table1[[#This Row],[Agreement Days]]&lt;-60,"Valid Contract")</f>
        <v>Valid Contract</v>
      </c>
      <c r="W2313" s="152" t="s">
        <v>12</v>
      </c>
      <c r="X2313" s="142" t="s">
        <v>3176</v>
      </c>
      <c r="Y2313" s="188"/>
      <c r="Z2313" s="172" t="s">
        <v>3178</v>
      </c>
      <c r="AA2313" s="142"/>
      <c r="AB2313" s="149"/>
      <c r="AC2313" s="149"/>
    </row>
    <row r="2314" spans="1:29" s="11" customFormat="1" hidden="1" x14ac:dyDescent="0.3">
      <c r="A2314" s="18" t="s">
        <v>2722</v>
      </c>
      <c r="B2314" s="18" t="s">
        <v>178</v>
      </c>
      <c r="C2314" s="18" t="s">
        <v>2726</v>
      </c>
      <c r="D2314" s="14" t="s">
        <v>616</v>
      </c>
      <c r="E2314" s="18" t="s">
        <v>9</v>
      </c>
      <c r="F2314" s="14" t="s">
        <v>517</v>
      </c>
      <c r="G2314" s="14" t="s">
        <v>518</v>
      </c>
      <c r="H2314" s="18" t="s">
        <v>5</v>
      </c>
      <c r="I2314" s="14" t="s">
        <v>115</v>
      </c>
      <c r="J2314" s="14"/>
      <c r="K2314" s="18" t="s">
        <v>1246</v>
      </c>
      <c r="L2314" s="14"/>
      <c r="M2314" s="14">
        <v>2</v>
      </c>
      <c r="N2314" s="15">
        <v>54237</v>
      </c>
      <c r="O2314" s="15">
        <f t="shared" si="101"/>
        <v>108474</v>
      </c>
      <c r="P2314" s="15"/>
      <c r="Q2314" s="14" t="s">
        <v>520</v>
      </c>
      <c r="R2314" s="25">
        <v>45626</v>
      </c>
      <c r="S2314" s="22" t="str">
        <f>TEXT(Table1[[#This Row],[End Date]],"MMMM")</f>
        <v>November</v>
      </c>
      <c r="T2314" s="23" t="str">
        <f>TEXT(Table1[[#This Row],[End Date]],"YYYY")</f>
        <v>2024</v>
      </c>
      <c r="U2314" s="24">
        <f t="shared" ca="1" si="102"/>
        <v>-493</v>
      </c>
      <c r="V2314" s="14" t="str" cm="1">
        <f t="array" aca="1" ref="V2314" ca="1">_xlfn.IFS(Table1[[#This Row],[Agreement Days]]&gt;=0,"Expired",Table1[[#This Row],[Agreement Days]]&gt;=-30,"Expires &lt; 30 Days",Table1[[#This Row],[Agreement Days]]&gt;=-60,"Expires &lt; 60 Days",Table1[[#This Row],[Agreement Days]]&lt;-60,"Valid Contract")</f>
        <v>Valid Contract</v>
      </c>
      <c r="W2314" s="14" t="s">
        <v>19</v>
      </c>
      <c r="X2314" s="43" t="s">
        <v>2723</v>
      </c>
      <c r="Y2314" s="43" t="s">
        <v>2724</v>
      </c>
      <c r="Z2314" s="27">
        <v>788534669</v>
      </c>
      <c r="AA2314" s="17"/>
      <c r="AB2314" s="123"/>
      <c r="AC2314" s="123"/>
    </row>
    <row r="2315" spans="1:29" s="11" customFormat="1" hidden="1" x14ac:dyDescent="0.3">
      <c r="A2315" s="18" t="s">
        <v>2722</v>
      </c>
      <c r="B2315" s="18" t="s">
        <v>178</v>
      </c>
      <c r="C2315" s="18" t="s">
        <v>2726</v>
      </c>
      <c r="D2315" s="14" t="s">
        <v>616</v>
      </c>
      <c r="E2315" s="18" t="s">
        <v>9</v>
      </c>
      <c r="F2315" s="14" t="s">
        <v>517</v>
      </c>
      <c r="G2315" s="14" t="s">
        <v>518</v>
      </c>
      <c r="H2315" s="18" t="s">
        <v>5</v>
      </c>
      <c r="I2315" s="14" t="s">
        <v>115</v>
      </c>
      <c r="J2315" s="14"/>
      <c r="K2315" s="18" t="s">
        <v>573</v>
      </c>
      <c r="L2315" s="14"/>
      <c r="M2315" s="14">
        <v>1</v>
      </c>
      <c r="N2315" s="15">
        <v>19491.53</v>
      </c>
      <c r="O2315" s="15">
        <f t="shared" si="101"/>
        <v>19491.53</v>
      </c>
      <c r="P2315" s="15"/>
      <c r="Q2315" s="14" t="s">
        <v>520</v>
      </c>
      <c r="R2315" s="25">
        <v>45626</v>
      </c>
      <c r="S2315" s="22" t="str">
        <f>TEXT(Table1[[#This Row],[End Date]],"MMMM")</f>
        <v>November</v>
      </c>
      <c r="T2315" s="23" t="str">
        <f>TEXT(Table1[[#This Row],[End Date]],"YYYY")</f>
        <v>2024</v>
      </c>
      <c r="U2315" s="24">
        <f t="shared" ca="1" si="102"/>
        <v>-493</v>
      </c>
      <c r="V2315" s="14" t="str" cm="1">
        <f t="array" aca="1" ref="V2315" ca="1">_xlfn.IFS(Table1[[#This Row],[Agreement Days]]&gt;=0,"Expired",Table1[[#This Row],[Agreement Days]]&gt;=-30,"Expires &lt; 30 Days",Table1[[#This Row],[Agreement Days]]&gt;=-60,"Expires &lt; 60 Days",Table1[[#This Row],[Agreement Days]]&lt;-60,"Valid Contract")</f>
        <v>Valid Contract</v>
      </c>
      <c r="W2315" s="14" t="s">
        <v>19</v>
      </c>
      <c r="X2315" s="43" t="s">
        <v>2723</v>
      </c>
      <c r="Y2315" s="43" t="s">
        <v>2724</v>
      </c>
      <c r="Z2315" s="27">
        <v>788534669</v>
      </c>
      <c r="AA2315" s="17"/>
      <c r="AB2315" s="123"/>
      <c r="AC2315" s="123"/>
    </row>
    <row r="2316" spans="1:29" s="11" customFormat="1" hidden="1" x14ac:dyDescent="0.3">
      <c r="A2316" s="18" t="s">
        <v>1764</v>
      </c>
      <c r="B2316" s="18" t="s">
        <v>144</v>
      </c>
      <c r="C2316" s="18" t="s">
        <v>1777</v>
      </c>
      <c r="D2316" s="14" t="s">
        <v>653</v>
      </c>
      <c r="E2316" s="18" t="s">
        <v>9</v>
      </c>
      <c r="F2316" s="14" t="s">
        <v>601</v>
      </c>
      <c r="G2316" s="14" t="s">
        <v>518</v>
      </c>
      <c r="H2316" s="18" t="s">
        <v>5</v>
      </c>
      <c r="I2316" s="14" t="s">
        <v>118</v>
      </c>
      <c r="J2316" s="14"/>
      <c r="K2316" s="14" t="s">
        <v>650</v>
      </c>
      <c r="L2316" s="14"/>
      <c r="M2316" s="14">
        <v>1</v>
      </c>
      <c r="N2316" s="15">
        <v>369325.42372800002</v>
      </c>
      <c r="O2316" s="15">
        <f t="shared" si="101"/>
        <v>369325.42372800002</v>
      </c>
      <c r="P2316" s="15"/>
      <c r="Q2316" s="14" t="s">
        <v>520</v>
      </c>
      <c r="R2316" s="25">
        <v>45747</v>
      </c>
      <c r="S2316" s="22" t="str">
        <f>TEXT(Table1[[#This Row],[End Date]],"MMMM")</f>
        <v>March</v>
      </c>
      <c r="T2316" s="23" t="str">
        <f>TEXT(Table1[[#This Row],[End Date]],"YYYY")</f>
        <v>2025</v>
      </c>
      <c r="U2316" s="24">
        <f t="shared" ca="1" si="102"/>
        <v>-614</v>
      </c>
      <c r="V2316" s="14" t="str" cm="1">
        <f t="array" aca="1" ref="V2316" ca="1">_xlfn.IFS(Table1[[#This Row],[Agreement Days]]&gt;=0,"Expired",Table1[[#This Row],[Agreement Days]]&gt;=-30,"Expires &lt; 30 Days",Table1[[#This Row],[Agreement Days]]&gt;=-60,"Expires &lt; 60 Days",Table1[[#This Row],[Agreement Days]]&lt;-60,"Valid Contract")</f>
        <v>Valid Contract</v>
      </c>
      <c r="W2316" s="14" t="s">
        <v>19</v>
      </c>
      <c r="X2316" s="14" t="s">
        <v>1766</v>
      </c>
      <c r="Y2316" s="43" t="s">
        <v>1767</v>
      </c>
      <c r="Z2316" s="27">
        <v>788828151</v>
      </c>
      <c r="AA2316" s="17"/>
      <c r="AB2316" s="123"/>
      <c r="AC2316" s="123"/>
    </row>
    <row r="2317" spans="1:29" hidden="1" x14ac:dyDescent="0.3">
      <c r="A2317" s="18" t="s">
        <v>3810</v>
      </c>
      <c r="B2317" s="18" t="s">
        <v>3811</v>
      </c>
      <c r="C2317" s="18" t="s">
        <v>3812</v>
      </c>
      <c r="D2317" s="14" t="s">
        <v>540</v>
      </c>
      <c r="E2317" s="18" t="s">
        <v>9</v>
      </c>
      <c r="F2317" s="14" t="s">
        <v>1203</v>
      </c>
      <c r="G2317" s="14" t="s">
        <v>518</v>
      </c>
      <c r="H2317" s="18" t="s">
        <v>5</v>
      </c>
      <c r="I2317" s="14" t="s">
        <v>115</v>
      </c>
      <c r="J2317" s="14">
        <v>30</v>
      </c>
      <c r="K2317" s="18" t="s">
        <v>3813</v>
      </c>
      <c r="L2317" s="14">
        <v>1</v>
      </c>
      <c r="M2317" s="15">
        <v>2</v>
      </c>
      <c r="N2317" s="15">
        <v>84745.762711999996</v>
      </c>
      <c r="O2317" s="15">
        <f t="shared" si="101"/>
        <v>169491.52542399999</v>
      </c>
      <c r="P2317" s="15"/>
      <c r="Q2317" s="14" t="s">
        <v>520</v>
      </c>
      <c r="R2317" s="25">
        <v>46495</v>
      </c>
      <c r="S2317" s="34" t="str">
        <f>TEXT(Table1[[#This Row],[End Date]],"MMMM")</f>
        <v>April</v>
      </c>
      <c r="T2317" s="34" t="str">
        <f>TEXT(Table1[[#This Row],[End Date]],"YYYY")</f>
        <v>2027</v>
      </c>
      <c r="U2317" s="24">
        <f t="shared" ca="1" si="102"/>
        <v>-1362</v>
      </c>
      <c r="V2317" s="14" t="str" cm="1">
        <f t="array" aca="1" ref="V2317" ca="1">_xlfn.IFS(Table1[[#This Row],[Agreement Days]]&gt;=0,"Expired",Table1[[#This Row],[Agreement Days]]&gt;=-30,"Expires &lt; 30 Days",Table1[[#This Row],[Agreement Days]]&gt;=-60,"Expires &lt; 60 Days",Table1[[#This Row],[Agreement Days]]&lt;-60,"Valid Contract")</f>
        <v>Valid Contract</v>
      </c>
      <c r="W2317" s="14" t="s">
        <v>19</v>
      </c>
      <c r="X2317" s="43"/>
      <c r="Y2317" s="17">
        <v>788212672</v>
      </c>
      <c r="Z2317" s="17"/>
      <c r="AA2317" s="116"/>
      <c r="AB2317" s="116"/>
    </row>
    <row r="2318" spans="1:29" hidden="1" x14ac:dyDescent="0.3">
      <c r="A2318" s="18"/>
      <c r="B2318" s="14" t="s">
        <v>3814</v>
      </c>
      <c r="C2318" s="14" t="s">
        <v>3814</v>
      </c>
      <c r="D2318" s="142" t="s">
        <v>545</v>
      </c>
      <c r="E2318" s="14" t="s">
        <v>9</v>
      </c>
      <c r="F2318" s="143" t="s">
        <v>517</v>
      </c>
      <c r="G2318" s="197" t="s">
        <v>518</v>
      </c>
      <c r="H2318" s="142" t="s">
        <v>5</v>
      </c>
      <c r="I2318" s="186" t="s">
        <v>115</v>
      </c>
      <c r="J2318" s="142"/>
      <c r="K2318" s="142" t="s">
        <v>3815</v>
      </c>
      <c r="L2318" s="142"/>
      <c r="M2318" s="142">
        <v>1</v>
      </c>
      <c r="N2318" s="142">
        <f>[2]Sheet1!$C$5</f>
        <v>1180775</v>
      </c>
      <c r="O2318" s="15">
        <f t="shared" si="101"/>
        <v>1180775</v>
      </c>
      <c r="P2318" s="15"/>
      <c r="Q2318" s="14" t="s">
        <v>520</v>
      </c>
      <c r="R2318" s="145">
        <v>46056</v>
      </c>
      <c r="S2318" s="34" t="str">
        <f>TEXT(Table1[[#This Row],[End Date]],"MMMM")</f>
        <v>February</v>
      </c>
      <c r="T2318" s="34" t="str">
        <f>TEXT(Table1[[#This Row],[End Date]],"YYYY")</f>
        <v>2026</v>
      </c>
      <c r="U2318" s="24">
        <f t="shared" ca="1" si="102"/>
        <v>-923</v>
      </c>
      <c r="V2318" s="142" t="s">
        <v>3642</v>
      </c>
      <c r="W2318" s="142" t="s">
        <v>15</v>
      </c>
      <c r="X2318" s="142"/>
      <c r="Y2318" s="188"/>
      <c r="Z2318" s="180"/>
      <c r="AA2318" s="142"/>
      <c r="AB2318" s="149"/>
      <c r="AC2318" s="149"/>
    </row>
    <row r="2319" spans="1:29" hidden="1" x14ac:dyDescent="0.3">
      <c r="A2319" s="18"/>
      <c r="B2319" s="14" t="s">
        <v>3814</v>
      </c>
      <c r="C2319" s="14" t="s">
        <v>3814</v>
      </c>
      <c r="D2319" s="142" t="s">
        <v>545</v>
      </c>
      <c r="E2319" s="14" t="s">
        <v>9</v>
      </c>
      <c r="F2319" s="143" t="s">
        <v>517</v>
      </c>
      <c r="G2319" s="197" t="s">
        <v>518</v>
      </c>
      <c r="H2319" s="142" t="s">
        <v>5</v>
      </c>
      <c r="I2319" s="186" t="s">
        <v>115</v>
      </c>
      <c r="J2319" s="142"/>
      <c r="K2319" s="142" t="s">
        <v>3815</v>
      </c>
      <c r="L2319" s="142"/>
      <c r="M2319" s="142">
        <v>1</v>
      </c>
      <c r="N2319" s="142">
        <f>[2]Sheet1!$C$5</f>
        <v>1180775</v>
      </c>
      <c r="O2319" s="15">
        <f t="shared" si="101"/>
        <v>1180775</v>
      </c>
      <c r="P2319" s="15"/>
      <c r="Q2319" s="14" t="s">
        <v>520</v>
      </c>
      <c r="R2319" s="145">
        <v>46057</v>
      </c>
      <c r="S2319" s="34" t="str">
        <f>TEXT(Table1[[#This Row],[End Date]],"MMMM")</f>
        <v>February</v>
      </c>
      <c r="T2319" s="34" t="str">
        <f>TEXT(Table1[[#This Row],[End Date]],"YYYY")</f>
        <v>2026</v>
      </c>
      <c r="U2319" s="24">
        <f t="shared" ca="1" si="102"/>
        <v>-924</v>
      </c>
      <c r="V2319" s="142" t="s">
        <v>3642</v>
      </c>
      <c r="W2319" s="142" t="s">
        <v>16</v>
      </c>
      <c r="X2319" s="142"/>
      <c r="Y2319" s="188"/>
      <c r="Z2319" s="180"/>
      <c r="AA2319" s="142"/>
      <c r="AB2319" s="149"/>
      <c r="AC2319" s="149"/>
    </row>
    <row r="2320" spans="1:29" hidden="1" x14ac:dyDescent="0.3">
      <c r="A2320" s="18"/>
      <c r="B2320" s="14" t="s">
        <v>3814</v>
      </c>
      <c r="C2320" s="14" t="s">
        <v>3814</v>
      </c>
      <c r="D2320" s="142" t="s">
        <v>545</v>
      </c>
      <c r="E2320" s="14" t="s">
        <v>9</v>
      </c>
      <c r="F2320" s="143" t="s">
        <v>517</v>
      </c>
      <c r="G2320" s="197" t="s">
        <v>518</v>
      </c>
      <c r="H2320" s="142" t="s">
        <v>5</v>
      </c>
      <c r="I2320" s="186" t="s">
        <v>115</v>
      </c>
      <c r="J2320" s="142"/>
      <c r="K2320" s="142" t="s">
        <v>3815</v>
      </c>
      <c r="L2320" s="142"/>
      <c r="M2320" s="142">
        <v>1</v>
      </c>
      <c r="N2320" s="142">
        <f>[2]Sheet1!$C$5</f>
        <v>1180775</v>
      </c>
      <c r="O2320" s="15">
        <f t="shared" si="101"/>
        <v>1180775</v>
      </c>
      <c r="P2320" s="15"/>
      <c r="Q2320" s="14" t="s">
        <v>520</v>
      </c>
      <c r="R2320" s="145">
        <v>46058</v>
      </c>
      <c r="S2320" s="34" t="str">
        <f>TEXT(Table1[[#This Row],[End Date]],"MMMM")</f>
        <v>February</v>
      </c>
      <c r="T2320" s="34" t="str">
        <f>TEXT(Table1[[#This Row],[End Date]],"YYYY")</f>
        <v>2026</v>
      </c>
      <c r="U2320" s="24">
        <f t="shared" ca="1" si="102"/>
        <v>-925</v>
      </c>
      <c r="V2320" s="142" t="s">
        <v>3642</v>
      </c>
      <c r="W2320" s="142" t="s">
        <v>14</v>
      </c>
      <c r="X2320" s="142"/>
      <c r="Y2320" s="188"/>
      <c r="Z2320" s="180"/>
      <c r="AA2320" s="142"/>
      <c r="AB2320" s="149"/>
      <c r="AC2320" s="149"/>
    </row>
    <row r="2321" spans="1:29" hidden="1" x14ac:dyDescent="0.3">
      <c r="A2321" s="18"/>
      <c r="B2321" s="14" t="s">
        <v>3814</v>
      </c>
      <c r="C2321" s="14" t="s">
        <v>3814</v>
      </c>
      <c r="D2321" s="142" t="s">
        <v>545</v>
      </c>
      <c r="E2321" s="14" t="s">
        <v>9</v>
      </c>
      <c r="F2321" s="143" t="s">
        <v>517</v>
      </c>
      <c r="G2321" s="197" t="s">
        <v>518</v>
      </c>
      <c r="H2321" s="142" t="s">
        <v>5</v>
      </c>
      <c r="I2321" s="186" t="s">
        <v>115</v>
      </c>
      <c r="J2321" s="142"/>
      <c r="K2321" s="142" t="s">
        <v>3815</v>
      </c>
      <c r="L2321" s="142"/>
      <c r="M2321" s="142">
        <v>1</v>
      </c>
      <c r="N2321" s="142">
        <f>[2]Sheet1!$C$5</f>
        <v>1180775</v>
      </c>
      <c r="O2321" s="15">
        <f t="shared" si="101"/>
        <v>1180775</v>
      </c>
      <c r="P2321" s="15"/>
      <c r="Q2321" s="14" t="s">
        <v>520</v>
      </c>
      <c r="R2321" s="145">
        <v>46059</v>
      </c>
      <c r="S2321" s="34" t="str">
        <f>TEXT(Table1[[#This Row],[End Date]],"MMMM")</f>
        <v>February</v>
      </c>
      <c r="T2321" s="34" t="str">
        <f>TEXT(Table1[[#This Row],[End Date]],"YYYY")</f>
        <v>2026</v>
      </c>
      <c r="U2321" s="24">
        <f t="shared" ca="1" si="102"/>
        <v>-926</v>
      </c>
      <c r="V2321" s="142" t="s">
        <v>3642</v>
      </c>
      <c r="W2321" s="142" t="s">
        <v>17</v>
      </c>
      <c r="X2321" s="142"/>
      <c r="Y2321" s="188"/>
      <c r="Z2321" s="180"/>
      <c r="AA2321" s="142"/>
      <c r="AB2321" s="149"/>
      <c r="AC2321" s="149"/>
    </row>
    <row r="2322" spans="1:29" hidden="1" x14ac:dyDescent="0.3">
      <c r="A2322" s="18"/>
      <c r="B2322" s="14" t="s">
        <v>3816</v>
      </c>
      <c r="C2322" s="14" t="s">
        <v>3818</v>
      </c>
      <c r="D2322" s="14" t="s">
        <v>545</v>
      </c>
      <c r="E2322" s="14" t="s">
        <v>9</v>
      </c>
      <c r="F2322" s="70" t="s">
        <v>517</v>
      </c>
      <c r="G2322" s="203" t="s">
        <v>546</v>
      </c>
      <c r="H2322" s="14" t="s">
        <v>5</v>
      </c>
      <c r="I2322" s="202" t="s">
        <v>115</v>
      </c>
      <c r="J2322" s="14"/>
      <c r="K2322" s="14" t="s">
        <v>3817</v>
      </c>
      <c r="L2322" s="14"/>
      <c r="M2322" s="14">
        <v>1</v>
      </c>
      <c r="N2322" s="14">
        <f>'[3]June 23'!$D$12</f>
        <v>95714277.628000006</v>
      </c>
      <c r="O2322" s="15">
        <f t="shared" si="101"/>
        <v>95714277.628000006</v>
      </c>
      <c r="P2322" s="15"/>
      <c r="Q2322" s="14" t="s">
        <v>520</v>
      </c>
      <c r="R2322" s="21">
        <v>46051</v>
      </c>
      <c r="S2322" s="34" t="str">
        <f>TEXT(Table1[[#This Row],[End Date]],"MMMM")</f>
        <v>January</v>
      </c>
      <c r="T2322" s="34" t="str">
        <f>TEXT(Table1[[#This Row],[End Date]],"YYYY")</f>
        <v>2026</v>
      </c>
      <c r="U2322" s="24">
        <f t="shared" ca="1" si="102"/>
        <v>-918</v>
      </c>
      <c r="V2322" s="14" t="s">
        <v>3642</v>
      </c>
      <c r="W2322" s="14" t="s">
        <v>17</v>
      </c>
      <c r="X2322" s="14"/>
      <c r="Y2322" s="45"/>
      <c r="Z2322" s="17"/>
      <c r="AA2322" s="14"/>
      <c r="AB2322" s="116"/>
      <c r="AC2322" s="116"/>
    </row>
    <row r="2323" spans="1:29" hidden="1" x14ac:dyDescent="0.3">
      <c r="A2323" s="18"/>
      <c r="B2323" s="14" t="s">
        <v>3816</v>
      </c>
      <c r="C2323" s="14" t="s">
        <v>3818</v>
      </c>
      <c r="D2323" s="14" t="s">
        <v>545</v>
      </c>
      <c r="E2323" s="14" t="s">
        <v>9</v>
      </c>
      <c r="F2323" s="70" t="s">
        <v>517</v>
      </c>
      <c r="G2323" s="203" t="s">
        <v>546</v>
      </c>
      <c r="H2323" s="14" t="s">
        <v>5</v>
      </c>
      <c r="I2323" s="202" t="s">
        <v>115</v>
      </c>
      <c r="J2323" s="14"/>
      <c r="K2323" s="14" t="s">
        <v>3817</v>
      </c>
      <c r="L2323" s="14"/>
      <c r="M2323" s="14">
        <v>1</v>
      </c>
      <c r="N2323" s="14">
        <f>'[3]June 23'!$D$13</f>
        <v>23423</v>
      </c>
      <c r="O2323" s="15">
        <f t="shared" si="101"/>
        <v>23423</v>
      </c>
      <c r="P2323" s="15"/>
      <c r="Q2323" s="14" t="s">
        <v>520</v>
      </c>
      <c r="R2323" s="21">
        <v>46052</v>
      </c>
      <c r="S2323" s="34" t="str">
        <f>TEXT(Table1[[#This Row],[End Date]],"MMMM")</f>
        <v>January</v>
      </c>
      <c r="T2323" s="34" t="str">
        <f>TEXT(Table1[[#This Row],[End Date]],"YYYY")</f>
        <v>2026</v>
      </c>
      <c r="U2323" s="24">
        <f t="shared" ca="1" si="102"/>
        <v>-919</v>
      </c>
      <c r="V2323" s="14" t="s">
        <v>3642</v>
      </c>
      <c r="W2323" s="14" t="s">
        <v>18</v>
      </c>
      <c r="X2323" s="14"/>
      <c r="Y2323" s="45"/>
      <c r="Z2323" s="17"/>
      <c r="AA2323" s="14"/>
      <c r="AB2323" s="116"/>
      <c r="AC2323" s="116"/>
    </row>
    <row r="2324" spans="1:29" x14ac:dyDescent="0.3">
      <c r="A2324" s="18"/>
      <c r="B2324" s="14" t="s">
        <v>3816</v>
      </c>
      <c r="C2324" s="14" t="s">
        <v>3818</v>
      </c>
      <c r="D2324" s="14" t="s">
        <v>545</v>
      </c>
      <c r="E2324" s="14" t="s">
        <v>9</v>
      </c>
      <c r="F2324" s="70" t="s">
        <v>517</v>
      </c>
      <c r="G2324" s="203" t="s">
        <v>546</v>
      </c>
      <c r="H2324" s="14" t="s">
        <v>5</v>
      </c>
      <c r="I2324" s="202" t="s">
        <v>115</v>
      </c>
      <c r="J2324" s="14"/>
      <c r="K2324" s="14" t="s">
        <v>3817</v>
      </c>
      <c r="L2324" s="14"/>
      <c r="M2324" s="14">
        <v>1</v>
      </c>
      <c r="N2324" s="14">
        <f>'[3]June 23'!$D$14</f>
        <v>4705507.7119999994</v>
      </c>
      <c r="O2324" s="15">
        <f t="shared" si="101"/>
        <v>4705507.7119999994</v>
      </c>
      <c r="P2324" s="15"/>
      <c r="Q2324" s="14" t="s">
        <v>520</v>
      </c>
      <c r="R2324" s="21">
        <v>46053</v>
      </c>
      <c r="S2324" s="34" t="str">
        <f>TEXT(Table1[[#This Row],[End Date]],"MMMM")</f>
        <v>January</v>
      </c>
      <c r="T2324" s="34" t="str">
        <f>TEXT(Table1[[#This Row],[End Date]],"YYYY")</f>
        <v>2026</v>
      </c>
      <c r="U2324" s="24">
        <f t="shared" ca="1" si="102"/>
        <v>-920</v>
      </c>
      <c r="V2324" s="14" t="s">
        <v>3642</v>
      </c>
      <c r="W2324" s="14" t="s">
        <v>12</v>
      </c>
      <c r="X2324" s="14"/>
      <c r="Y2324" s="45"/>
      <c r="Z2324" s="17"/>
      <c r="AA2324" s="14"/>
      <c r="AB2324" s="116"/>
      <c r="AC2324" s="116"/>
    </row>
    <row r="2325" spans="1:29" hidden="1" x14ac:dyDescent="0.3">
      <c r="A2325" s="18"/>
      <c r="B2325" s="14" t="s">
        <v>3816</v>
      </c>
      <c r="C2325" s="14" t="s">
        <v>3818</v>
      </c>
      <c r="D2325" s="14" t="s">
        <v>545</v>
      </c>
      <c r="E2325" s="14" t="s">
        <v>9</v>
      </c>
      <c r="F2325" s="70" t="s">
        <v>517</v>
      </c>
      <c r="G2325" s="203" t="s">
        <v>546</v>
      </c>
      <c r="H2325" s="14" t="s">
        <v>5</v>
      </c>
      <c r="I2325" s="202" t="s">
        <v>115</v>
      </c>
      <c r="J2325" s="14"/>
      <c r="K2325" s="14" t="s">
        <v>3817</v>
      </c>
      <c r="L2325" s="14"/>
      <c r="M2325" s="14">
        <v>1</v>
      </c>
      <c r="N2325" s="14">
        <f>'[3]June 23'!$D$15</f>
        <v>407098.11200000002</v>
      </c>
      <c r="O2325" s="15">
        <f t="shared" si="101"/>
        <v>407098.11200000002</v>
      </c>
      <c r="P2325" s="15"/>
      <c r="Q2325" s="14" t="s">
        <v>520</v>
      </c>
      <c r="R2325" s="21">
        <v>46054</v>
      </c>
      <c r="S2325" s="34" t="str">
        <f>TEXT(Table1[[#This Row],[End Date]],"MMMM")</f>
        <v>February</v>
      </c>
      <c r="T2325" s="34" t="str">
        <f>TEXT(Table1[[#This Row],[End Date]],"YYYY")</f>
        <v>2026</v>
      </c>
      <c r="U2325" s="24">
        <f t="shared" ca="1" si="102"/>
        <v>-921</v>
      </c>
      <c r="V2325" s="14" t="s">
        <v>3642</v>
      </c>
      <c r="W2325" s="14" t="s">
        <v>20</v>
      </c>
      <c r="X2325" s="14"/>
      <c r="Y2325" s="45"/>
      <c r="Z2325" s="17"/>
      <c r="AA2325" s="14"/>
      <c r="AB2325" s="116"/>
      <c r="AC2325" s="116"/>
    </row>
    <row r="2326" spans="1:29" hidden="1" x14ac:dyDescent="0.3">
      <c r="A2326" s="18"/>
      <c r="B2326" s="14" t="s">
        <v>3819</v>
      </c>
      <c r="C2326" s="14" t="s">
        <v>3821</v>
      </c>
      <c r="D2326" s="14" t="s">
        <v>545</v>
      </c>
      <c r="E2326" s="14" t="s">
        <v>9</v>
      </c>
      <c r="F2326" s="70" t="s">
        <v>517</v>
      </c>
      <c r="G2326" s="203" t="s">
        <v>518</v>
      </c>
      <c r="H2326" s="14" t="s">
        <v>5</v>
      </c>
      <c r="I2326" s="202" t="s">
        <v>115</v>
      </c>
      <c r="J2326" s="14"/>
      <c r="K2326" s="14" t="s">
        <v>3820</v>
      </c>
      <c r="L2326" s="14"/>
      <c r="M2326" s="14">
        <v>1</v>
      </c>
      <c r="N2326" s="14">
        <f>[4]Sheet1!$B$16</f>
        <v>1503000</v>
      </c>
      <c r="O2326" s="15">
        <f t="shared" si="101"/>
        <v>1503000</v>
      </c>
      <c r="P2326" s="15"/>
      <c r="Q2326" s="14" t="s">
        <v>520</v>
      </c>
      <c r="R2326" s="21">
        <v>46046</v>
      </c>
      <c r="S2326" s="34" t="str">
        <f>TEXT(Table1[[#This Row],[End Date]],"MMMM")</f>
        <v>January</v>
      </c>
      <c r="T2326" s="34" t="str">
        <f>TEXT(Table1[[#This Row],[End Date]],"YYYY")</f>
        <v>2026</v>
      </c>
      <c r="U2326" s="24">
        <f t="shared" ca="1" si="102"/>
        <v>-913</v>
      </c>
      <c r="V2326" s="14" t="s">
        <v>3642</v>
      </c>
      <c r="W2326" s="14" t="s">
        <v>17</v>
      </c>
      <c r="X2326" s="14"/>
      <c r="Y2326" s="45"/>
      <c r="Z2326" s="17"/>
      <c r="AA2326" s="14"/>
      <c r="AB2326" s="116"/>
      <c r="AC2326" s="116"/>
    </row>
    <row r="2327" spans="1:29" hidden="1" x14ac:dyDescent="0.3">
      <c r="A2327" s="18"/>
      <c r="B2327" s="14" t="s">
        <v>3819</v>
      </c>
      <c r="C2327" s="14" t="s">
        <v>3821</v>
      </c>
      <c r="D2327" s="14" t="s">
        <v>545</v>
      </c>
      <c r="E2327" s="14" t="s">
        <v>9</v>
      </c>
      <c r="F2327" s="70" t="s">
        <v>517</v>
      </c>
      <c r="G2327" s="203" t="s">
        <v>518</v>
      </c>
      <c r="H2327" s="14" t="s">
        <v>5</v>
      </c>
      <c r="I2327" s="202" t="s">
        <v>115</v>
      </c>
      <c r="J2327" s="14"/>
      <c r="K2327" s="14" t="s">
        <v>3820</v>
      </c>
      <c r="L2327" s="14"/>
      <c r="M2327" s="14">
        <v>1</v>
      </c>
      <c r="N2327" s="14">
        <f>[4]Sheet1!$B$17</f>
        <v>944600</v>
      </c>
      <c r="O2327" s="15">
        <f t="shared" si="101"/>
        <v>944600</v>
      </c>
      <c r="P2327" s="15"/>
      <c r="Q2327" s="14" t="s">
        <v>520</v>
      </c>
      <c r="R2327" s="21">
        <v>46047</v>
      </c>
      <c r="S2327" s="34" t="str">
        <f>TEXT(Table1[[#This Row],[End Date]],"MMMM")</f>
        <v>January</v>
      </c>
      <c r="T2327" s="34" t="str">
        <f>TEXT(Table1[[#This Row],[End Date]],"YYYY")</f>
        <v>2026</v>
      </c>
      <c r="U2327" s="24">
        <f t="shared" ca="1" si="102"/>
        <v>-914</v>
      </c>
      <c r="V2327" s="14" t="s">
        <v>3642</v>
      </c>
      <c r="W2327" s="14" t="s">
        <v>14</v>
      </c>
      <c r="X2327" s="14"/>
      <c r="Y2327" s="45"/>
      <c r="Z2327" s="17"/>
      <c r="AA2327" s="14"/>
      <c r="AB2327" s="116"/>
      <c r="AC2327" s="116"/>
    </row>
    <row r="2328" spans="1:29" hidden="1" x14ac:dyDescent="0.3">
      <c r="A2328" s="18"/>
      <c r="B2328" s="14" t="s">
        <v>3819</v>
      </c>
      <c r="C2328" s="14" t="s">
        <v>3821</v>
      </c>
      <c r="D2328" s="14" t="s">
        <v>545</v>
      </c>
      <c r="E2328" s="14" t="s">
        <v>9</v>
      </c>
      <c r="F2328" s="70" t="s">
        <v>517</v>
      </c>
      <c r="G2328" s="203" t="s">
        <v>518</v>
      </c>
      <c r="H2328" s="14" t="s">
        <v>5</v>
      </c>
      <c r="I2328" s="202" t="s">
        <v>115</v>
      </c>
      <c r="J2328" s="14"/>
      <c r="K2328" s="14" t="s">
        <v>3820</v>
      </c>
      <c r="L2328" s="14"/>
      <c r="M2328" s="14">
        <v>1</v>
      </c>
      <c r="N2328" s="14">
        <f>[4]Sheet1!$B$18</f>
        <v>289400</v>
      </c>
      <c r="O2328" s="15">
        <f t="shared" si="101"/>
        <v>289400</v>
      </c>
      <c r="P2328" s="15"/>
      <c r="Q2328" s="14" t="s">
        <v>520</v>
      </c>
      <c r="R2328" s="21">
        <v>46048</v>
      </c>
      <c r="S2328" s="34" t="str">
        <f>TEXT(Table1[[#This Row],[End Date]],"MMMM")</f>
        <v>January</v>
      </c>
      <c r="T2328" s="34" t="str">
        <f>TEXT(Table1[[#This Row],[End Date]],"YYYY")</f>
        <v>2026</v>
      </c>
      <c r="U2328" s="24">
        <f t="shared" ca="1" si="102"/>
        <v>-915</v>
      </c>
      <c r="V2328" s="14" t="s">
        <v>3642</v>
      </c>
      <c r="W2328" s="14" t="s">
        <v>16</v>
      </c>
      <c r="X2328" s="14"/>
      <c r="Y2328" s="45"/>
      <c r="Z2328" s="17"/>
      <c r="AA2328" s="14"/>
      <c r="AB2328" s="116"/>
      <c r="AC2328" s="116"/>
    </row>
    <row r="2329" spans="1:29" hidden="1" x14ac:dyDescent="0.3">
      <c r="A2329" s="18"/>
      <c r="B2329" s="14" t="s">
        <v>3819</v>
      </c>
      <c r="C2329" s="14" t="s">
        <v>3821</v>
      </c>
      <c r="D2329" s="14" t="s">
        <v>545</v>
      </c>
      <c r="E2329" s="14" t="s">
        <v>9</v>
      </c>
      <c r="F2329" s="70" t="s">
        <v>517</v>
      </c>
      <c r="G2329" s="203" t="s">
        <v>518</v>
      </c>
      <c r="H2329" s="14" t="s">
        <v>5</v>
      </c>
      <c r="I2329" s="202" t="s">
        <v>115</v>
      </c>
      <c r="J2329" s="14"/>
      <c r="K2329" s="14" t="s">
        <v>3820</v>
      </c>
      <c r="L2329" s="14"/>
      <c r="M2329" s="14">
        <v>1</v>
      </c>
      <c r="N2329" s="14">
        <f>[4]Sheet1!$B$14</f>
        <v>283700</v>
      </c>
      <c r="O2329" s="15">
        <f t="shared" si="101"/>
        <v>283700</v>
      </c>
      <c r="P2329" s="15"/>
      <c r="Q2329" s="14" t="s">
        <v>520</v>
      </c>
      <c r="R2329" s="21">
        <v>46049</v>
      </c>
      <c r="S2329" s="34" t="str">
        <f>TEXT(Table1[[#This Row],[End Date]],"MMMM")</f>
        <v>January</v>
      </c>
      <c r="T2329" s="34" t="str">
        <f>TEXT(Table1[[#This Row],[End Date]],"YYYY")</f>
        <v>2026</v>
      </c>
      <c r="U2329" s="24">
        <f t="shared" ca="1" si="102"/>
        <v>-916</v>
      </c>
      <c r="V2329" s="14" t="s">
        <v>3642</v>
      </c>
      <c r="W2329" s="14" t="s">
        <v>17</v>
      </c>
      <c r="X2329" s="14"/>
      <c r="Y2329" s="45"/>
      <c r="Z2329" s="17"/>
      <c r="AA2329" s="14"/>
      <c r="AB2329" s="116"/>
      <c r="AC2329" s="116"/>
    </row>
    <row r="2330" spans="1:29" hidden="1" x14ac:dyDescent="0.3">
      <c r="A2330" s="18"/>
      <c r="B2330" s="14" t="s">
        <v>3822</v>
      </c>
      <c r="C2330" s="14" t="s">
        <v>3823</v>
      </c>
      <c r="D2330" s="14" t="s">
        <v>545</v>
      </c>
      <c r="E2330" s="14" t="s">
        <v>9</v>
      </c>
      <c r="F2330" s="70" t="s">
        <v>517</v>
      </c>
      <c r="G2330" s="203" t="s">
        <v>518</v>
      </c>
      <c r="H2330" s="14" t="s">
        <v>5</v>
      </c>
      <c r="I2330" s="202" t="s">
        <v>115</v>
      </c>
      <c r="J2330" s="14"/>
      <c r="K2330" s="14" t="s">
        <v>3824</v>
      </c>
      <c r="L2330" s="14"/>
      <c r="M2330" s="14">
        <v>1</v>
      </c>
      <c r="N2330" s="14">
        <f>[5]Sheet1!$B$13</f>
        <v>6960225</v>
      </c>
      <c r="O2330" s="15">
        <f t="shared" si="101"/>
        <v>6960225</v>
      </c>
      <c r="P2330" s="15"/>
      <c r="Q2330" s="14" t="s">
        <v>520</v>
      </c>
      <c r="R2330" s="21">
        <v>46050</v>
      </c>
      <c r="S2330" s="34" t="str">
        <f>TEXT(Table1[[#This Row],[End Date]],"MMMM")</f>
        <v>January</v>
      </c>
      <c r="T2330" s="34" t="str">
        <f>TEXT(Table1[[#This Row],[End Date]],"YYYY")</f>
        <v>2026</v>
      </c>
      <c r="U2330" s="24">
        <f t="shared" ca="1" si="102"/>
        <v>-917</v>
      </c>
      <c r="V2330" s="14" t="s">
        <v>3642</v>
      </c>
      <c r="W2330" s="14" t="s">
        <v>15</v>
      </c>
      <c r="X2330" s="14"/>
      <c r="Y2330" s="45"/>
      <c r="Z2330" s="17"/>
      <c r="AA2330" s="14"/>
      <c r="AB2330" s="116"/>
      <c r="AC2330" s="116"/>
    </row>
    <row r="2331" spans="1:29" hidden="1" x14ac:dyDescent="0.3">
      <c r="A2331" s="18"/>
      <c r="B2331" s="14" t="s">
        <v>3822</v>
      </c>
      <c r="C2331" s="14" t="s">
        <v>3823</v>
      </c>
      <c r="D2331" s="14" t="s">
        <v>545</v>
      </c>
      <c r="E2331" s="14" t="s">
        <v>9</v>
      </c>
      <c r="F2331" s="70" t="s">
        <v>517</v>
      </c>
      <c r="G2331" s="203" t="s">
        <v>518</v>
      </c>
      <c r="H2331" s="14" t="s">
        <v>5</v>
      </c>
      <c r="I2331" s="202" t="s">
        <v>115</v>
      </c>
      <c r="J2331" s="14"/>
      <c r="K2331" s="14" t="s">
        <v>3824</v>
      </c>
      <c r="L2331" s="14"/>
      <c r="M2331" s="14">
        <v>1</v>
      </c>
      <c r="N2331" s="14">
        <f>[5]Sheet1!$B$14</f>
        <v>2169625</v>
      </c>
      <c r="O2331" s="15">
        <f t="shared" si="101"/>
        <v>2169625</v>
      </c>
      <c r="P2331" s="15"/>
      <c r="Q2331" s="14" t="s">
        <v>520</v>
      </c>
      <c r="R2331" s="21">
        <v>46051</v>
      </c>
      <c r="S2331" s="34" t="str">
        <f>TEXT(Table1[[#This Row],[End Date]],"MMMM")</f>
        <v>January</v>
      </c>
      <c r="T2331" s="34" t="str">
        <f>TEXT(Table1[[#This Row],[End Date]],"YYYY")</f>
        <v>2026</v>
      </c>
      <c r="U2331" s="24">
        <f t="shared" ca="1" si="102"/>
        <v>-918</v>
      </c>
      <c r="V2331" s="14" t="s">
        <v>3642</v>
      </c>
      <c r="W2331" s="14" t="s">
        <v>17</v>
      </c>
      <c r="X2331" s="14"/>
      <c r="Y2331" s="45"/>
      <c r="Z2331" s="17"/>
      <c r="AA2331" s="14"/>
      <c r="AB2331" s="116"/>
      <c r="AC2331" s="116"/>
    </row>
    <row r="2332" spans="1:29" hidden="1" x14ac:dyDescent="0.3">
      <c r="A2332" s="18"/>
      <c r="B2332" s="14" t="s">
        <v>3822</v>
      </c>
      <c r="C2332" s="14" t="s">
        <v>3823</v>
      </c>
      <c r="D2332" s="14" t="s">
        <v>545</v>
      </c>
      <c r="E2332" s="14" t="s">
        <v>9</v>
      </c>
      <c r="F2332" s="70" t="s">
        <v>517</v>
      </c>
      <c r="G2332" s="203" t="s">
        <v>518</v>
      </c>
      <c r="H2332" s="14" t="s">
        <v>5</v>
      </c>
      <c r="I2332" s="202" t="s">
        <v>115</v>
      </c>
      <c r="J2332" s="14"/>
      <c r="K2332" s="14" t="s">
        <v>3824</v>
      </c>
      <c r="L2332" s="14"/>
      <c r="M2332" s="14">
        <v>1</v>
      </c>
      <c r="N2332" s="14">
        <f>[5]Sheet1!$B$15</f>
        <v>13743125</v>
      </c>
      <c r="O2332" s="15">
        <f t="shared" si="101"/>
        <v>13743125</v>
      </c>
      <c r="P2332" s="15"/>
      <c r="Q2332" s="14" t="s">
        <v>520</v>
      </c>
      <c r="R2332" s="21">
        <v>46052</v>
      </c>
      <c r="S2332" s="34" t="str">
        <f>TEXT(Table1[[#This Row],[End Date]],"MMMM")</f>
        <v>January</v>
      </c>
      <c r="T2332" s="34" t="str">
        <f>TEXT(Table1[[#This Row],[End Date]],"YYYY")</f>
        <v>2026</v>
      </c>
      <c r="U2332" s="24">
        <f t="shared" ca="1" si="102"/>
        <v>-919</v>
      </c>
      <c r="V2332" s="14" t="s">
        <v>3642</v>
      </c>
      <c r="W2332" s="14" t="s">
        <v>14</v>
      </c>
      <c r="X2332" s="14"/>
      <c r="Y2332" s="45"/>
      <c r="Z2332" s="17"/>
      <c r="AA2332" s="14"/>
      <c r="AB2332" s="116"/>
      <c r="AC2332" s="116"/>
    </row>
    <row r="2333" spans="1:29" hidden="1" x14ac:dyDescent="0.3">
      <c r="A2333" s="18"/>
      <c r="B2333" s="14" t="s">
        <v>3822</v>
      </c>
      <c r="C2333" s="14" t="s">
        <v>3823</v>
      </c>
      <c r="D2333" s="14" t="s">
        <v>545</v>
      </c>
      <c r="E2333" s="14" t="s">
        <v>9</v>
      </c>
      <c r="F2333" s="70" t="s">
        <v>517</v>
      </c>
      <c r="G2333" s="203" t="s">
        <v>518</v>
      </c>
      <c r="H2333" s="14" t="s">
        <v>5</v>
      </c>
      <c r="I2333" s="202" t="s">
        <v>115</v>
      </c>
      <c r="J2333" s="14"/>
      <c r="K2333" s="14" t="s">
        <v>3824</v>
      </c>
      <c r="L2333" s="14"/>
      <c r="M2333" s="14">
        <v>1</v>
      </c>
      <c r="N2333" s="14">
        <f>[5]Sheet1!$B$16</f>
        <v>2249625</v>
      </c>
      <c r="O2333" s="15">
        <f t="shared" si="101"/>
        <v>2249625</v>
      </c>
      <c r="P2333" s="15"/>
      <c r="Q2333" s="14" t="s">
        <v>520</v>
      </c>
      <c r="R2333" s="21">
        <v>46053</v>
      </c>
      <c r="S2333" s="34" t="str">
        <f>TEXT(Table1[[#This Row],[End Date]],"MMMM")</f>
        <v>January</v>
      </c>
      <c r="T2333" s="34" t="str">
        <f>TEXT(Table1[[#This Row],[End Date]],"YYYY")</f>
        <v>2026</v>
      </c>
      <c r="U2333" s="24">
        <f t="shared" ca="1" si="102"/>
        <v>-920</v>
      </c>
      <c r="V2333" s="14" t="s">
        <v>3642</v>
      </c>
      <c r="W2333" s="14" t="s">
        <v>16</v>
      </c>
      <c r="X2333" s="14"/>
      <c r="Y2333" s="45"/>
      <c r="Z2333" s="17"/>
      <c r="AA2333" s="14"/>
      <c r="AB2333" s="116"/>
      <c r="AC2333" s="116"/>
    </row>
    <row r="2334" spans="1:29" x14ac:dyDescent="0.3">
      <c r="A2334" s="14"/>
      <c r="B2334" s="14" t="s">
        <v>3825</v>
      </c>
      <c r="C2334" s="142" t="s">
        <v>3825</v>
      </c>
      <c r="D2334" s="142" t="s">
        <v>545</v>
      </c>
      <c r="E2334" s="14" t="s">
        <v>9</v>
      </c>
      <c r="F2334" s="143" t="s">
        <v>517</v>
      </c>
      <c r="G2334" s="197" t="s">
        <v>518</v>
      </c>
      <c r="H2334" s="142" t="s">
        <v>5</v>
      </c>
      <c r="I2334" s="186" t="s">
        <v>3801</v>
      </c>
      <c r="J2334" s="142"/>
      <c r="K2334" s="142" t="s">
        <v>3825</v>
      </c>
      <c r="L2334" s="142"/>
      <c r="M2334" s="142">
        <v>1</v>
      </c>
      <c r="N2334" s="142">
        <f>[6]Sheet1!$B$12</f>
        <v>1367570</v>
      </c>
      <c r="O2334" s="15">
        <f t="shared" si="101"/>
        <v>1367570</v>
      </c>
      <c r="P2334" s="15"/>
      <c r="Q2334" s="14" t="s">
        <v>520</v>
      </c>
      <c r="R2334" s="145">
        <v>45052</v>
      </c>
      <c r="S2334" s="34" t="str">
        <f>TEXT(Table1[[#This Row],[End Date]],"MMMM")</f>
        <v>May</v>
      </c>
      <c r="T2334" s="34" t="str">
        <f>TEXT(Table1[[#This Row],[End Date]],"YYYY")</f>
        <v>2023</v>
      </c>
      <c r="U2334" s="24">
        <f t="shared" ca="1" si="102"/>
        <v>81</v>
      </c>
      <c r="V2334" s="142" t="s">
        <v>3826</v>
      </c>
      <c r="W2334" s="14" t="s">
        <v>12</v>
      </c>
      <c r="X2334" s="142"/>
      <c r="Y2334" s="188"/>
      <c r="Z2334" s="180"/>
      <c r="AA2334" s="142"/>
      <c r="AB2334" s="149"/>
      <c r="AC2334" s="149"/>
    </row>
    <row r="2335" spans="1:29" hidden="1" x14ac:dyDescent="0.3">
      <c r="A2335" s="14"/>
      <c r="B2335" s="14" t="s">
        <v>3825</v>
      </c>
      <c r="C2335" s="142" t="s">
        <v>3825</v>
      </c>
      <c r="D2335" s="142" t="s">
        <v>545</v>
      </c>
      <c r="E2335" s="14" t="s">
        <v>9</v>
      </c>
      <c r="F2335" s="143" t="s">
        <v>517</v>
      </c>
      <c r="G2335" s="197" t="s">
        <v>518</v>
      </c>
      <c r="H2335" s="142" t="s">
        <v>5</v>
      </c>
      <c r="I2335" s="186" t="s">
        <v>3801</v>
      </c>
      <c r="J2335" s="142"/>
      <c r="K2335" s="142" t="s">
        <v>3825</v>
      </c>
      <c r="L2335" s="142"/>
      <c r="M2335" s="142">
        <v>1</v>
      </c>
      <c r="N2335" s="142">
        <f>[6]Sheet1!$B$13</f>
        <v>3069083</v>
      </c>
      <c r="O2335" s="15">
        <f t="shared" si="101"/>
        <v>3069083</v>
      </c>
      <c r="P2335" s="15"/>
      <c r="Q2335" s="14" t="s">
        <v>520</v>
      </c>
      <c r="R2335" s="145">
        <v>45053</v>
      </c>
      <c r="S2335" s="34" t="str">
        <f>TEXT(Table1[[#This Row],[End Date]],"MMMM")</f>
        <v>May</v>
      </c>
      <c r="T2335" s="34" t="str">
        <f>TEXT(Table1[[#This Row],[End Date]],"YYYY")</f>
        <v>2023</v>
      </c>
      <c r="U2335" s="24">
        <f t="shared" ca="1" si="102"/>
        <v>80</v>
      </c>
      <c r="V2335" s="142" t="s">
        <v>3826</v>
      </c>
      <c r="W2335" s="142" t="s">
        <v>21</v>
      </c>
      <c r="X2335" s="142"/>
      <c r="Y2335" s="188"/>
      <c r="Z2335" s="180"/>
      <c r="AA2335" s="142"/>
      <c r="AB2335" s="149"/>
      <c r="AC2335" s="149"/>
    </row>
    <row r="2336" spans="1:29" hidden="1" x14ac:dyDescent="0.3">
      <c r="A2336" s="14"/>
      <c r="B2336" s="14" t="s">
        <v>3827</v>
      </c>
      <c r="C2336" s="14" t="s">
        <v>3854</v>
      </c>
      <c r="D2336" s="142" t="s">
        <v>545</v>
      </c>
      <c r="E2336" s="14" t="s">
        <v>9</v>
      </c>
      <c r="F2336" s="143" t="s">
        <v>517</v>
      </c>
      <c r="G2336" s="197" t="s">
        <v>518</v>
      </c>
      <c r="H2336" s="142" t="s">
        <v>5</v>
      </c>
      <c r="I2336" s="186" t="s">
        <v>3828</v>
      </c>
      <c r="J2336" s="142"/>
      <c r="K2336" s="142" t="s">
        <v>3827</v>
      </c>
      <c r="L2336" s="142"/>
      <c r="M2336" s="142">
        <v>1</v>
      </c>
      <c r="N2336" s="142">
        <f>[7]Sheet1!$B$12</f>
        <v>1000</v>
      </c>
      <c r="O2336" s="15">
        <f t="shared" si="101"/>
        <v>1000</v>
      </c>
      <c r="P2336" s="15"/>
      <c r="Q2336" s="14" t="s">
        <v>520</v>
      </c>
      <c r="R2336" s="145">
        <v>45051</v>
      </c>
      <c r="S2336" s="34" t="str">
        <f>TEXT(Table1[[#This Row],[End Date]],"MMMM")</f>
        <v>May</v>
      </c>
      <c r="T2336" s="34" t="str">
        <f>TEXT(Table1[[#This Row],[End Date]],"YYYY")</f>
        <v>2023</v>
      </c>
      <c r="U2336" s="24">
        <f t="shared" ca="1" si="102"/>
        <v>82</v>
      </c>
      <c r="V2336" s="142" t="s">
        <v>3826</v>
      </c>
      <c r="W2336" s="14" t="s">
        <v>21</v>
      </c>
      <c r="X2336" s="142"/>
      <c r="Y2336" s="188"/>
      <c r="Z2336" s="180"/>
      <c r="AA2336" s="142"/>
      <c r="AB2336" s="149"/>
      <c r="AC2336" s="149"/>
    </row>
    <row r="2337" spans="1:29" hidden="1" x14ac:dyDescent="0.3">
      <c r="A2337" s="14"/>
      <c r="B2337" s="14" t="s">
        <v>3827</v>
      </c>
      <c r="C2337" s="14" t="s">
        <v>3827</v>
      </c>
      <c r="D2337" s="142" t="s">
        <v>545</v>
      </c>
      <c r="E2337" s="14" t="s">
        <v>9</v>
      </c>
      <c r="F2337" s="143" t="s">
        <v>517</v>
      </c>
      <c r="G2337" s="197" t="s">
        <v>518</v>
      </c>
      <c r="H2337" s="142" t="s">
        <v>5</v>
      </c>
      <c r="I2337" s="186" t="s">
        <v>3828</v>
      </c>
      <c r="J2337" s="142"/>
      <c r="K2337" s="142" t="s">
        <v>3827</v>
      </c>
      <c r="L2337" s="142"/>
      <c r="M2337" s="142">
        <v>1</v>
      </c>
      <c r="N2337" s="142">
        <f>[7]Sheet1!$B$13</f>
        <v>111500</v>
      </c>
      <c r="O2337" s="15">
        <f t="shared" si="101"/>
        <v>111500</v>
      </c>
      <c r="P2337" s="15"/>
      <c r="Q2337" s="14" t="s">
        <v>520</v>
      </c>
      <c r="R2337" s="145">
        <v>45052</v>
      </c>
      <c r="S2337" s="34" t="str">
        <f>TEXT(Table1[[#This Row],[End Date]],"MMMM")</f>
        <v>May</v>
      </c>
      <c r="T2337" s="34" t="str">
        <f>TEXT(Table1[[#This Row],[End Date]],"YYYY")</f>
        <v>2023</v>
      </c>
      <c r="U2337" s="24">
        <f t="shared" ca="1" si="102"/>
        <v>81</v>
      </c>
      <c r="V2337" s="142" t="s">
        <v>3826</v>
      </c>
      <c r="W2337" s="142" t="s">
        <v>16</v>
      </c>
      <c r="X2337" s="142"/>
      <c r="Y2337" s="188"/>
      <c r="Z2337" s="180"/>
      <c r="AA2337" s="142"/>
      <c r="AB2337" s="149"/>
      <c r="AC2337" s="149"/>
    </row>
    <row r="2338" spans="1:29" hidden="1" x14ac:dyDescent="0.3">
      <c r="A2338" s="14"/>
      <c r="B2338" s="14" t="s">
        <v>3827</v>
      </c>
      <c r="C2338" s="14" t="s">
        <v>3827</v>
      </c>
      <c r="D2338" s="142" t="s">
        <v>545</v>
      </c>
      <c r="E2338" s="14" t="s">
        <v>9</v>
      </c>
      <c r="F2338" s="143" t="s">
        <v>517</v>
      </c>
      <c r="G2338" s="197" t="s">
        <v>518</v>
      </c>
      <c r="H2338" s="142" t="s">
        <v>5</v>
      </c>
      <c r="I2338" s="186" t="s">
        <v>3828</v>
      </c>
      <c r="J2338" s="142"/>
      <c r="K2338" s="142" t="s">
        <v>3827</v>
      </c>
      <c r="L2338" s="142"/>
      <c r="M2338" s="142">
        <v>2</v>
      </c>
      <c r="N2338" s="142">
        <f>[6]Sheet1!$F$12</f>
        <v>1337500</v>
      </c>
      <c r="O2338" s="15">
        <f t="shared" ref="O2338:O2340" si="103">N2338*M2338</f>
        <v>2675000</v>
      </c>
      <c r="P2338" s="15"/>
      <c r="Q2338" s="14" t="s">
        <v>520</v>
      </c>
      <c r="R2338" s="145">
        <v>45053</v>
      </c>
      <c r="S2338" s="34" t="str">
        <f>TEXT(Table1[[#This Row],[End Date]],"MMMM")</f>
        <v>May</v>
      </c>
      <c r="T2338" s="22" t="str">
        <f>TEXT(Table1[[#This Row],[End Date]],"YYYY")</f>
        <v>2023</v>
      </c>
      <c r="U2338" s="28">
        <f ca="1">TODAY()-R2338</f>
        <v>80</v>
      </c>
      <c r="V2338" s="14" t="str" cm="1">
        <f t="array" aca="1" ref="V2338" ca="1">_xlfn.IFS(Table1[[#This Row],[Agreement Days]]&gt;=0,"Expired",Table1[[#This Row],[Agreement Days]]&gt;=-30,"Expires &lt; 30 Days",Table1[[#This Row],[Agreement Days]]&gt;=-60,"Expires &lt; 60 Days",Table1[[#This Row],[Agreement Days]]&lt;-60,"Valid Contract")</f>
        <v>Expired</v>
      </c>
      <c r="W2338" s="14" t="s">
        <v>17</v>
      </c>
      <c r="X2338" s="14"/>
      <c r="Y2338" s="45"/>
      <c r="Z2338" s="17"/>
      <c r="AA2338" s="14"/>
      <c r="AB2338" s="116"/>
      <c r="AC2338" s="116"/>
    </row>
    <row r="2339" spans="1:29" hidden="1" x14ac:dyDescent="0.3">
      <c r="A2339" s="14"/>
      <c r="B2339" s="14" t="s">
        <v>3827</v>
      </c>
      <c r="C2339" s="14" t="s">
        <v>3827</v>
      </c>
      <c r="D2339" s="142" t="s">
        <v>545</v>
      </c>
      <c r="E2339" s="14" t="s">
        <v>9</v>
      </c>
      <c r="F2339" s="143" t="s">
        <v>517</v>
      </c>
      <c r="G2339" s="197" t="s">
        <v>518</v>
      </c>
      <c r="H2339" s="142" t="s">
        <v>5</v>
      </c>
      <c r="I2339" s="186" t="s">
        <v>3828</v>
      </c>
      <c r="J2339" s="142"/>
      <c r="K2339" s="142" t="s">
        <v>3827</v>
      </c>
      <c r="L2339" s="142"/>
      <c r="M2339" s="142">
        <v>3</v>
      </c>
      <c r="N2339" s="142">
        <f>[6]Sheet1!$F$13</f>
        <v>256000</v>
      </c>
      <c r="O2339" s="15">
        <f t="shared" si="103"/>
        <v>768000</v>
      </c>
      <c r="P2339" s="15"/>
      <c r="Q2339" s="14" t="s">
        <v>520</v>
      </c>
      <c r="R2339" s="145">
        <v>45054</v>
      </c>
      <c r="S2339" s="34" t="str">
        <f>TEXT(Table1[[#This Row],[End Date]],"MMMM")</f>
        <v>May</v>
      </c>
      <c r="T2339" s="22" t="str">
        <f>TEXT(Table1[[#This Row],[End Date]],"YYYY")</f>
        <v>2023</v>
      </c>
      <c r="U2339" s="28">
        <f ca="1">TODAY()-R2339</f>
        <v>79</v>
      </c>
      <c r="V2339" s="14" t="str" cm="1">
        <f t="array" aca="1" ref="V2339" ca="1">_xlfn.IFS(Table1[[#This Row],[Agreement Days]]&gt;=0,"Expired",Table1[[#This Row],[Agreement Days]]&gt;=-30,"Expires &lt; 30 Days",Table1[[#This Row],[Agreement Days]]&gt;=-60,"Expires &lt; 60 Days",Table1[[#This Row],[Agreement Days]]&lt;-60,"Valid Contract")</f>
        <v>Expired</v>
      </c>
      <c r="W2339" s="14" t="s">
        <v>21</v>
      </c>
      <c r="X2339" s="14"/>
      <c r="Y2339" s="45"/>
      <c r="Z2339" s="17"/>
      <c r="AA2339" s="14"/>
      <c r="AB2339" s="116"/>
      <c r="AC2339" s="116"/>
    </row>
    <row r="2340" spans="1:29" hidden="1" x14ac:dyDescent="0.3">
      <c r="A2340" s="14"/>
      <c r="B2340" s="14" t="s">
        <v>3829</v>
      </c>
      <c r="C2340" s="142" t="s">
        <v>3830</v>
      </c>
      <c r="D2340" s="142" t="s">
        <v>545</v>
      </c>
      <c r="E2340" s="14" t="s">
        <v>9</v>
      </c>
      <c r="F2340" s="143" t="s">
        <v>517</v>
      </c>
      <c r="G2340" s="197" t="s">
        <v>518</v>
      </c>
      <c r="H2340" s="142" t="s">
        <v>5</v>
      </c>
      <c r="I2340" s="186" t="s">
        <v>115</v>
      </c>
      <c r="J2340" s="142"/>
      <c r="K2340" s="142" t="s">
        <v>3831</v>
      </c>
      <c r="L2340" s="142"/>
      <c r="M2340" s="142">
        <v>1</v>
      </c>
      <c r="N2340" s="142" t="s">
        <v>3855</v>
      </c>
      <c r="O2340" s="15">
        <f t="shared" si="103"/>
        <v>6300000</v>
      </c>
      <c r="P2340" s="15"/>
      <c r="Q2340" s="14" t="s">
        <v>520</v>
      </c>
      <c r="R2340" s="145">
        <v>46026</v>
      </c>
      <c r="S2340" s="34" t="str">
        <f>TEXT(Table1[[#This Row],[End Date]],"MMMM")</f>
        <v>January</v>
      </c>
      <c r="T2340" s="34" t="str">
        <f>TEXT(Table1[[#This Row],[End Date]],"YYYY")</f>
        <v>2026</v>
      </c>
      <c r="U2340" s="24">
        <f t="shared" ca="1" si="102"/>
        <v>-893</v>
      </c>
      <c r="V2340" s="142" t="s">
        <v>3826</v>
      </c>
      <c r="W2340" s="142" t="s">
        <v>20</v>
      </c>
      <c r="X2340" s="142"/>
      <c r="Y2340" s="188"/>
      <c r="Z2340" s="180"/>
      <c r="AA2340" s="142"/>
      <c r="AB2340" s="149"/>
      <c r="AC2340" s="149"/>
    </row>
    <row r="2341" spans="1:29" hidden="1" x14ac:dyDescent="0.3">
      <c r="A2341" s="14"/>
      <c r="B2341" s="14" t="s">
        <v>3832</v>
      </c>
      <c r="C2341" s="142" t="s">
        <v>3833</v>
      </c>
      <c r="D2341" s="142" t="s">
        <v>545</v>
      </c>
      <c r="E2341" s="14" t="s">
        <v>9</v>
      </c>
      <c r="F2341" s="143" t="s">
        <v>517</v>
      </c>
      <c r="G2341" s="197" t="s">
        <v>546</v>
      </c>
      <c r="H2341" s="142" t="s">
        <v>5</v>
      </c>
      <c r="I2341" s="186" t="s">
        <v>115</v>
      </c>
      <c r="J2341" s="142"/>
      <c r="K2341" s="142" t="s">
        <v>642</v>
      </c>
      <c r="L2341" s="142"/>
      <c r="M2341" s="142">
        <v>96</v>
      </c>
      <c r="N2341" s="142">
        <v>137500</v>
      </c>
      <c r="O2341" s="15">
        <f t="shared" si="101"/>
        <v>13200000</v>
      </c>
      <c r="P2341" s="15"/>
      <c r="Q2341" s="14" t="s">
        <v>520</v>
      </c>
      <c r="R2341" s="145">
        <v>46025</v>
      </c>
      <c r="S2341" s="34" t="str">
        <f>TEXT(Table1[[#This Row],[End Date]],"MMMM")</f>
        <v>January</v>
      </c>
      <c r="T2341" s="34" t="str">
        <f>TEXT(Table1[[#This Row],[End Date]],"YYYY")</f>
        <v>2026</v>
      </c>
      <c r="U2341" s="24">
        <f t="shared" ca="1" si="102"/>
        <v>-892</v>
      </c>
      <c r="V2341" s="142" t="s">
        <v>3826</v>
      </c>
      <c r="W2341" s="142" t="s">
        <v>3798</v>
      </c>
      <c r="X2341" s="142"/>
      <c r="Y2341" s="188"/>
      <c r="Z2341" s="180"/>
      <c r="AA2341" s="142"/>
      <c r="AB2341" s="149"/>
      <c r="AC2341" s="149"/>
    </row>
    <row r="2342" spans="1:29" hidden="1" x14ac:dyDescent="0.3">
      <c r="A2342" s="14"/>
      <c r="B2342" s="14" t="s">
        <v>3832</v>
      </c>
      <c r="C2342" s="14" t="s">
        <v>3833</v>
      </c>
      <c r="D2342" s="14" t="s">
        <v>545</v>
      </c>
      <c r="E2342" s="14" t="s">
        <v>9</v>
      </c>
      <c r="F2342" s="70" t="s">
        <v>517</v>
      </c>
      <c r="G2342" s="203" t="s">
        <v>546</v>
      </c>
      <c r="H2342" s="14" t="s">
        <v>5</v>
      </c>
      <c r="I2342" s="202" t="s">
        <v>115</v>
      </c>
      <c r="J2342" s="14"/>
      <c r="K2342" s="14" t="s">
        <v>3834</v>
      </c>
      <c r="L2342" s="14"/>
      <c r="M2342" s="14">
        <v>29</v>
      </c>
      <c r="N2342" s="14">
        <v>145000</v>
      </c>
      <c r="O2342" s="15">
        <f t="shared" si="101"/>
        <v>4205000</v>
      </c>
      <c r="P2342" s="15"/>
      <c r="Q2342" s="14" t="s">
        <v>520</v>
      </c>
      <c r="R2342" s="21">
        <v>46025</v>
      </c>
      <c r="S2342" s="34" t="str">
        <f>TEXT(Table1[[#This Row],[End Date]],"MMMM")</f>
        <v>January</v>
      </c>
      <c r="T2342" s="34" t="str">
        <f>TEXT(Table1[[#This Row],[End Date]],"YYYY")</f>
        <v>2026</v>
      </c>
      <c r="U2342" s="24">
        <f t="shared" ca="1" si="102"/>
        <v>-892</v>
      </c>
      <c r="V2342" s="14" t="s">
        <v>3826</v>
      </c>
      <c r="W2342" s="14" t="s">
        <v>3798</v>
      </c>
      <c r="X2342" s="14"/>
      <c r="Y2342" s="45"/>
      <c r="Z2342" s="17"/>
      <c r="AA2342" s="14"/>
      <c r="AB2342" s="116"/>
      <c r="AC2342" s="116"/>
    </row>
    <row r="2343" spans="1:29" hidden="1" x14ac:dyDescent="0.3">
      <c r="A2343" s="14"/>
      <c r="B2343" s="14" t="s">
        <v>3832</v>
      </c>
      <c r="C2343" s="14" t="s">
        <v>3835</v>
      </c>
      <c r="D2343" s="14" t="s">
        <v>545</v>
      </c>
      <c r="E2343" s="14" t="s">
        <v>9</v>
      </c>
      <c r="F2343" s="70" t="s">
        <v>517</v>
      </c>
      <c r="G2343" s="203" t="s">
        <v>546</v>
      </c>
      <c r="H2343" s="14" t="s">
        <v>5</v>
      </c>
      <c r="I2343" s="202" t="s">
        <v>115</v>
      </c>
      <c r="J2343" s="14"/>
      <c r="K2343" s="14" t="s">
        <v>3836</v>
      </c>
      <c r="L2343" s="14"/>
      <c r="M2343" s="14">
        <v>28</v>
      </c>
      <c r="N2343" s="14">
        <v>40760</v>
      </c>
      <c r="O2343" s="15">
        <f t="shared" si="101"/>
        <v>1141280</v>
      </c>
      <c r="P2343" s="15"/>
      <c r="Q2343" s="14" t="s">
        <v>520</v>
      </c>
      <c r="R2343" s="21">
        <v>46023</v>
      </c>
      <c r="S2343" s="34" t="str">
        <f>TEXT(Table1[[#This Row],[End Date]],"MMMM")</f>
        <v>January</v>
      </c>
      <c r="T2343" s="34" t="str">
        <f>TEXT(Table1[[#This Row],[End Date]],"YYYY")</f>
        <v>2026</v>
      </c>
      <c r="U2343" s="24">
        <f t="shared" ca="1" si="102"/>
        <v>-890</v>
      </c>
      <c r="V2343" s="14" t="s">
        <v>3826</v>
      </c>
      <c r="W2343" s="14" t="s">
        <v>3798</v>
      </c>
      <c r="X2343" s="14"/>
      <c r="Y2343" s="45"/>
      <c r="Z2343" s="17"/>
      <c r="AA2343" s="14"/>
      <c r="AB2343" s="116"/>
      <c r="AC2343" s="116"/>
    </row>
    <row r="2344" spans="1:29" hidden="1" x14ac:dyDescent="0.3">
      <c r="A2344" s="14"/>
      <c r="B2344" s="14" t="s">
        <v>3832</v>
      </c>
      <c r="C2344" s="14" t="s">
        <v>3837</v>
      </c>
      <c r="D2344" s="14" t="s">
        <v>545</v>
      </c>
      <c r="E2344" s="14" t="s">
        <v>9</v>
      </c>
      <c r="F2344" s="70" t="s">
        <v>517</v>
      </c>
      <c r="G2344" s="203" t="s">
        <v>546</v>
      </c>
      <c r="H2344" s="14" t="s">
        <v>5</v>
      </c>
      <c r="I2344" s="202" t="s">
        <v>115</v>
      </c>
      <c r="J2344" s="14"/>
      <c r="K2344" s="14" t="s">
        <v>3836</v>
      </c>
      <c r="L2344" s="14"/>
      <c r="M2344" s="14">
        <v>157</v>
      </c>
      <c r="N2344" s="14">
        <v>40760</v>
      </c>
      <c r="O2344" s="15">
        <f t="shared" si="101"/>
        <v>6399320</v>
      </c>
      <c r="P2344" s="15"/>
      <c r="Q2344" s="14" t="s">
        <v>520</v>
      </c>
      <c r="R2344" s="21">
        <v>46024</v>
      </c>
      <c r="S2344" s="34" t="str">
        <f>TEXT(Table1[[#This Row],[End Date]],"MMMM")</f>
        <v>January</v>
      </c>
      <c r="T2344" s="34" t="str">
        <f>TEXT(Table1[[#This Row],[End Date]],"YYYY")</f>
        <v>2026</v>
      </c>
      <c r="U2344" s="24">
        <f t="shared" ca="1" si="102"/>
        <v>-891</v>
      </c>
      <c r="V2344" s="14" t="s">
        <v>3826</v>
      </c>
      <c r="W2344" s="14" t="s">
        <v>3798</v>
      </c>
      <c r="X2344" s="14"/>
      <c r="Y2344" s="45"/>
      <c r="Z2344" s="17"/>
      <c r="AA2344" s="14"/>
      <c r="AB2344" s="116"/>
      <c r="AC2344" s="116"/>
    </row>
    <row r="2345" spans="1:29" hidden="1" x14ac:dyDescent="0.3">
      <c r="A2345" s="14"/>
      <c r="B2345" s="14" t="s">
        <v>3832</v>
      </c>
      <c r="C2345" s="14" t="s">
        <v>3838</v>
      </c>
      <c r="D2345" s="14" t="s">
        <v>545</v>
      </c>
      <c r="E2345" s="14" t="s">
        <v>9</v>
      </c>
      <c r="F2345" s="70" t="s">
        <v>517</v>
      </c>
      <c r="G2345" s="203" t="s">
        <v>546</v>
      </c>
      <c r="H2345" s="14" t="s">
        <v>5</v>
      </c>
      <c r="I2345" s="202" t="s">
        <v>115</v>
      </c>
      <c r="J2345" s="14"/>
      <c r="K2345" s="14" t="s">
        <v>3839</v>
      </c>
      <c r="L2345" s="14"/>
      <c r="M2345" s="14">
        <v>11</v>
      </c>
      <c r="N2345" s="14">
        <v>80250</v>
      </c>
      <c r="O2345" s="15">
        <f t="shared" si="101"/>
        <v>882750</v>
      </c>
      <c r="P2345" s="15"/>
      <c r="Q2345" s="14" t="s">
        <v>520</v>
      </c>
      <c r="R2345" s="21">
        <v>46024</v>
      </c>
      <c r="S2345" s="34" t="str">
        <f>TEXT(Table1[[#This Row],[End Date]],"MMMM")</f>
        <v>January</v>
      </c>
      <c r="T2345" s="34" t="str">
        <f>TEXT(Table1[[#This Row],[End Date]],"YYYY")</f>
        <v>2026</v>
      </c>
      <c r="U2345" s="24">
        <f t="shared" ca="1" si="102"/>
        <v>-891</v>
      </c>
      <c r="V2345" s="14" t="s">
        <v>3826</v>
      </c>
      <c r="W2345" s="14" t="s">
        <v>3798</v>
      </c>
      <c r="X2345" s="14"/>
      <c r="Y2345" s="45"/>
      <c r="Z2345" s="17"/>
      <c r="AA2345" s="14"/>
      <c r="AB2345" s="116"/>
      <c r="AC2345" s="116"/>
    </row>
    <row r="2346" spans="1:29" hidden="1" x14ac:dyDescent="0.3">
      <c r="A2346" s="14"/>
      <c r="B2346" s="14" t="s">
        <v>3832</v>
      </c>
      <c r="C2346" s="14" t="s">
        <v>3840</v>
      </c>
      <c r="D2346" s="14" t="s">
        <v>545</v>
      </c>
      <c r="E2346" s="14" t="s">
        <v>9</v>
      </c>
      <c r="F2346" s="70" t="s">
        <v>517</v>
      </c>
      <c r="G2346" s="203" t="s">
        <v>546</v>
      </c>
      <c r="H2346" s="14" t="s">
        <v>5</v>
      </c>
      <c r="I2346" s="202" t="s">
        <v>115</v>
      </c>
      <c r="J2346" s="14"/>
      <c r="K2346" s="14" t="s">
        <v>651</v>
      </c>
      <c r="L2346" s="14"/>
      <c r="M2346" s="14">
        <v>1</v>
      </c>
      <c r="N2346" s="14">
        <v>96000</v>
      </c>
      <c r="O2346" s="15">
        <f t="shared" si="101"/>
        <v>96000</v>
      </c>
      <c r="P2346" s="15"/>
      <c r="Q2346" s="14" t="s">
        <v>520</v>
      </c>
      <c r="R2346" s="21">
        <v>46025</v>
      </c>
      <c r="S2346" s="34" t="str">
        <f>TEXT(Table1[[#This Row],[End Date]],"MMMM")</f>
        <v>January</v>
      </c>
      <c r="T2346" s="34" t="str">
        <f>TEXT(Table1[[#This Row],[End Date]],"YYYY")</f>
        <v>2026</v>
      </c>
      <c r="U2346" s="24">
        <f t="shared" ca="1" si="102"/>
        <v>-892</v>
      </c>
      <c r="V2346" s="14" t="s">
        <v>3826</v>
      </c>
      <c r="W2346" s="14" t="s">
        <v>3798</v>
      </c>
      <c r="X2346" s="14"/>
      <c r="Y2346" s="45"/>
      <c r="Z2346" s="17"/>
      <c r="AA2346" s="14"/>
      <c r="AB2346" s="116"/>
      <c r="AC2346" s="116"/>
    </row>
    <row r="2347" spans="1:29" hidden="1" x14ac:dyDescent="0.3">
      <c r="A2347" s="14"/>
      <c r="B2347" s="14" t="s">
        <v>3841</v>
      </c>
      <c r="C2347" s="14" t="s">
        <v>3842</v>
      </c>
      <c r="D2347" s="14" t="s">
        <v>545</v>
      </c>
      <c r="E2347" s="14" t="s">
        <v>9</v>
      </c>
      <c r="F2347" s="70" t="s">
        <v>517</v>
      </c>
      <c r="G2347" s="203" t="s">
        <v>518</v>
      </c>
      <c r="H2347" s="14" t="s">
        <v>5</v>
      </c>
      <c r="I2347" s="202" t="s">
        <v>115</v>
      </c>
      <c r="J2347" s="14"/>
      <c r="K2347" s="14" t="s">
        <v>3843</v>
      </c>
      <c r="L2347" s="14"/>
      <c r="M2347" s="14">
        <v>1</v>
      </c>
      <c r="N2347" s="14">
        <f>[8]Sheet1!$A$8</f>
        <v>313375</v>
      </c>
      <c r="O2347" s="15">
        <f t="shared" si="101"/>
        <v>313375</v>
      </c>
      <c r="P2347" s="15"/>
      <c r="Q2347" s="14" t="s">
        <v>520</v>
      </c>
      <c r="R2347" s="21">
        <v>46026</v>
      </c>
      <c r="S2347" s="34" t="str">
        <f>TEXT(Table1[[#This Row],[End Date]],"MMMM")</f>
        <v>January</v>
      </c>
      <c r="T2347" s="34" t="str">
        <f>TEXT(Table1[[#This Row],[End Date]],"YYYY")</f>
        <v>2026</v>
      </c>
      <c r="U2347" s="24">
        <f t="shared" ca="1" si="102"/>
        <v>-893</v>
      </c>
      <c r="V2347" s="14" t="s">
        <v>3826</v>
      </c>
      <c r="W2347" s="14" t="s">
        <v>15</v>
      </c>
      <c r="X2347" s="14"/>
      <c r="Y2347" s="45"/>
      <c r="Z2347" s="17"/>
      <c r="AA2347" s="14"/>
      <c r="AB2347" s="116"/>
      <c r="AC2347" s="116"/>
    </row>
    <row r="2348" spans="1:29" hidden="1" x14ac:dyDescent="0.3">
      <c r="A2348" s="14"/>
      <c r="B2348" s="14" t="s">
        <v>3841</v>
      </c>
      <c r="C2348" s="14" t="s">
        <v>3844</v>
      </c>
      <c r="D2348" s="14" t="s">
        <v>545</v>
      </c>
      <c r="E2348" s="14" t="s">
        <v>9</v>
      </c>
      <c r="F2348" s="70" t="s">
        <v>517</v>
      </c>
      <c r="G2348" s="203" t="s">
        <v>518</v>
      </c>
      <c r="H2348" s="14" t="s">
        <v>5</v>
      </c>
      <c r="I2348" s="202" t="s">
        <v>115</v>
      </c>
      <c r="J2348" s="14"/>
      <c r="K2348" s="14" t="s">
        <v>3843</v>
      </c>
      <c r="L2348" s="14"/>
      <c r="M2348" s="14">
        <v>1</v>
      </c>
      <c r="N2348" s="14">
        <f>[8]Sheet1!$A$8</f>
        <v>313375</v>
      </c>
      <c r="O2348" s="15">
        <f t="shared" si="101"/>
        <v>313375</v>
      </c>
      <c r="P2348" s="15"/>
      <c r="Q2348" s="14" t="s">
        <v>520</v>
      </c>
      <c r="R2348" s="21">
        <v>46026</v>
      </c>
      <c r="S2348" s="34" t="str">
        <f>TEXT(Table1[[#This Row],[End Date]],"MMMM")</f>
        <v>January</v>
      </c>
      <c r="T2348" s="34" t="str">
        <f>TEXT(Table1[[#This Row],[End Date]],"YYYY")</f>
        <v>2026</v>
      </c>
      <c r="U2348" s="24">
        <f t="shared" ca="1" si="102"/>
        <v>-893</v>
      </c>
      <c r="V2348" s="14" t="s">
        <v>3826</v>
      </c>
      <c r="W2348" s="14" t="s">
        <v>16</v>
      </c>
      <c r="X2348" s="14"/>
      <c r="Y2348" s="45"/>
      <c r="Z2348" s="17"/>
      <c r="AA2348" s="14"/>
      <c r="AB2348" s="116"/>
      <c r="AC2348" s="116"/>
    </row>
    <row r="2349" spans="1:29" hidden="1" x14ac:dyDescent="0.3">
      <c r="A2349" s="14"/>
      <c r="B2349" s="14" t="s">
        <v>3841</v>
      </c>
      <c r="C2349" s="14" t="s">
        <v>3845</v>
      </c>
      <c r="D2349" s="14" t="s">
        <v>545</v>
      </c>
      <c r="E2349" s="14" t="s">
        <v>9</v>
      </c>
      <c r="F2349" s="70" t="s">
        <v>517</v>
      </c>
      <c r="G2349" s="203" t="s">
        <v>518</v>
      </c>
      <c r="H2349" s="14" t="s">
        <v>5</v>
      </c>
      <c r="I2349" s="202" t="s">
        <v>115</v>
      </c>
      <c r="J2349" s="14"/>
      <c r="K2349" s="14" t="s">
        <v>3843</v>
      </c>
      <c r="L2349" s="14"/>
      <c r="M2349" s="14">
        <v>1</v>
      </c>
      <c r="N2349" s="14">
        <f>[8]Sheet1!$A$8</f>
        <v>313375</v>
      </c>
      <c r="O2349" s="15">
        <f t="shared" si="101"/>
        <v>313375</v>
      </c>
      <c r="P2349" s="15"/>
      <c r="Q2349" s="14" t="s">
        <v>520</v>
      </c>
      <c r="R2349" s="21">
        <v>46026</v>
      </c>
      <c r="S2349" s="34" t="str">
        <f>TEXT(Table1[[#This Row],[End Date]],"MMMM")</f>
        <v>January</v>
      </c>
      <c r="T2349" s="34" t="str">
        <f>TEXT(Table1[[#This Row],[End Date]],"YYYY")</f>
        <v>2026</v>
      </c>
      <c r="U2349" s="24">
        <f t="shared" ca="1" si="102"/>
        <v>-893</v>
      </c>
      <c r="V2349" s="14" t="s">
        <v>3826</v>
      </c>
      <c r="W2349" s="14" t="s">
        <v>17</v>
      </c>
      <c r="X2349" s="14"/>
      <c r="Y2349" s="45"/>
      <c r="Z2349" s="17"/>
      <c r="AA2349" s="14"/>
      <c r="AB2349" s="116"/>
      <c r="AC2349" s="116"/>
    </row>
    <row r="2350" spans="1:29" hidden="1" x14ac:dyDescent="0.3">
      <c r="A2350" s="14"/>
      <c r="B2350" s="14" t="s">
        <v>3841</v>
      </c>
      <c r="C2350" s="14" t="s">
        <v>3846</v>
      </c>
      <c r="D2350" s="14" t="s">
        <v>545</v>
      </c>
      <c r="E2350" s="14" t="s">
        <v>9</v>
      </c>
      <c r="F2350" s="70" t="s">
        <v>517</v>
      </c>
      <c r="G2350" s="203" t="s">
        <v>518</v>
      </c>
      <c r="H2350" s="14" t="s">
        <v>5</v>
      </c>
      <c r="I2350" s="202" t="s">
        <v>115</v>
      </c>
      <c r="J2350" s="14"/>
      <c r="K2350" s="14" t="s">
        <v>3843</v>
      </c>
      <c r="L2350" s="14"/>
      <c r="M2350" s="14">
        <v>1</v>
      </c>
      <c r="N2350" s="14">
        <f>[8]Sheet1!$A$8</f>
        <v>313375</v>
      </c>
      <c r="O2350" s="15">
        <f t="shared" si="101"/>
        <v>313375</v>
      </c>
      <c r="P2350" s="15"/>
      <c r="Q2350" s="14" t="s">
        <v>520</v>
      </c>
      <c r="R2350" s="21">
        <v>46026</v>
      </c>
      <c r="S2350" s="34" t="str">
        <f>TEXT(Table1[[#This Row],[End Date]],"MMMM")</f>
        <v>January</v>
      </c>
      <c r="T2350" s="34" t="str">
        <f>TEXT(Table1[[#This Row],[End Date]],"YYYY")</f>
        <v>2026</v>
      </c>
      <c r="U2350" s="24">
        <f t="shared" ca="1" si="102"/>
        <v>-893</v>
      </c>
      <c r="V2350" s="14" t="s">
        <v>3826</v>
      </c>
      <c r="W2350" s="14" t="s">
        <v>14</v>
      </c>
      <c r="X2350" s="14"/>
      <c r="Y2350" s="45"/>
      <c r="Z2350" s="17"/>
      <c r="AA2350" s="14"/>
      <c r="AB2350" s="116"/>
      <c r="AC2350" s="116"/>
    </row>
    <row r="2351" spans="1:29" hidden="1" x14ac:dyDescent="0.3">
      <c r="A2351" s="14"/>
      <c r="B2351" s="14" t="s">
        <v>3852</v>
      </c>
      <c r="C2351" s="14" t="s">
        <v>3852</v>
      </c>
      <c r="D2351" s="14" t="s">
        <v>545</v>
      </c>
      <c r="E2351" s="14" t="s">
        <v>9</v>
      </c>
      <c r="F2351" s="70" t="s">
        <v>517</v>
      </c>
      <c r="G2351" s="203" t="s">
        <v>518</v>
      </c>
      <c r="H2351" s="14" t="s">
        <v>5</v>
      </c>
      <c r="I2351" s="202" t="s">
        <v>115</v>
      </c>
      <c r="J2351" s="14"/>
      <c r="K2351" s="14" t="s">
        <v>3853</v>
      </c>
      <c r="L2351" s="14"/>
      <c r="M2351" s="14">
        <v>1</v>
      </c>
      <c r="N2351" s="228">
        <v>27285000</v>
      </c>
      <c r="O2351" s="15">
        <f t="shared" si="101"/>
        <v>27285000</v>
      </c>
      <c r="P2351" s="15"/>
      <c r="Q2351" s="14" t="s">
        <v>520</v>
      </c>
      <c r="R2351" s="21">
        <v>46024</v>
      </c>
      <c r="S2351" s="34" t="str">
        <f>TEXT(Table1[[#This Row],[End Date]],"MMMM")</f>
        <v>January</v>
      </c>
      <c r="T2351" s="34" t="str">
        <f>TEXT(Table1[[#This Row],[End Date]],"YYYY")</f>
        <v>2026</v>
      </c>
      <c r="U2351" s="24">
        <f t="shared" ca="1" si="102"/>
        <v>-891</v>
      </c>
      <c r="V2351" s="14" t="s">
        <v>3826</v>
      </c>
      <c r="W2351" s="14" t="s">
        <v>21</v>
      </c>
      <c r="X2351" s="14"/>
      <c r="Y2351" s="45"/>
      <c r="Z2351" s="17"/>
      <c r="AA2351" s="14"/>
      <c r="AB2351" s="116"/>
      <c r="AC2351" s="116"/>
    </row>
  </sheetData>
  <phoneticPr fontId="1" type="noConversion"/>
  <conditionalFormatting sqref="R51 S390:S459 R460:S478 T460:T519 S479:S512 R479:R519 T521:T566 R545:R566">
    <cfRule type="cellIs" dxfId="22" priority="18" operator="equal">
      <formula>"Expired"</formula>
    </cfRule>
    <cfRule type="cellIs" dxfId="21" priority="19" operator="equal">
      <formula>"Valid Contract"</formula>
    </cfRule>
    <cfRule type="cellIs" dxfId="20" priority="20" operator="equal">
      <formula>"Expiring Very Soon"</formula>
    </cfRule>
  </conditionalFormatting>
  <conditionalFormatting sqref="R521:S544 S545:S547">
    <cfRule type="cellIs" dxfId="19" priority="53" operator="equal">
      <formula>"Expired"</formula>
    </cfRule>
    <cfRule type="cellIs" dxfId="18" priority="54" operator="equal">
      <formula>"Valid Contract"</formula>
    </cfRule>
    <cfRule type="cellIs" dxfId="17" priority="55" operator="equal">
      <formula>"Expiring Very Soon"</formula>
    </cfRule>
  </conditionalFormatting>
  <conditionalFormatting sqref="R2176:T2179">
    <cfRule type="cellIs" dxfId="16" priority="31" operator="equal">
      <formula>"Expired"</formula>
    </cfRule>
    <cfRule type="cellIs" dxfId="15" priority="32" operator="equal">
      <formula>"Valid Contract"</formula>
    </cfRule>
    <cfRule type="cellIs" dxfId="14" priority="33" operator="equal">
      <formula>"Expiring Very Soon"</formula>
    </cfRule>
  </conditionalFormatting>
  <conditionalFormatting sqref="T32 T51">
    <cfRule type="cellIs" dxfId="13" priority="9" operator="equal">
      <formula>"Expired"</formula>
    </cfRule>
    <cfRule type="cellIs" dxfId="12" priority="10" operator="equal">
      <formula>"Valid Contract"</formula>
    </cfRule>
    <cfRule type="cellIs" dxfId="11" priority="11" operator="equal">
      <formula>"Expiring Very Soon"</formula>
    </cfRule>
  </conditionalFormatting>
  <conditionalFormatting sqref="T119">
    <cfRule type="cellIs" dxfId="10" priority="15" operator="equal">
      <formula>"Expired"</formula>
    </cfRule>
    <cfRule type="cellIs" dxfId="9" priority="16" operator="equal">
      <formula>"Valid Contract"</formula>
    </cfRule>
    <cfRule type="cellIs" dxfId="8" priority="17" operator="equal">
      <formula>"Expiring Very Soon"</formula>
    </cfRule>
  </conditionalFormatting>
  <conditionalFormatting sqref="V1:V2274 W2207 W2233 W2235:W2238 W2240 W2243:W2246 W2261:W2264 V2275:W2275 W2284:W2291">
    <cfRule type="cellIs" dxfId="7" priority="38" operator="equal">
      <formula>"Expired"</formula>
    </cfRule>
  </conditionalFormatting>
  <conditionalFormatting sqref="V2276:V2283">
    <cfRule type="cellIs" dxfId="6" priority="6" operator="equal">
      <formula>"Expired"</formula>
    </cfRule>
  </conditionalFormatting>
  <conditionalFormatting sqref="V2314:V2317">
    <cfRule type="cellIs" dxfId="5" priority="2" operator="equal">
      <formula>"Expired"</formula>
    </cfRule>
  </conditionalFormatting>
  <conditionalFormatting sqref="X487:X492 X2268:X2274">
    <cfRule type="cellIs" dxfId="4" priority="30" operator="equal">
      <formula>"Expired"</formula>
    </cfRule>
  </conditionalFormatting>
  <conditionalFormatting sqref="X804">
    <cfRule type="cellIs" dxfId="3" priority="29" operator="equal">
      <formula>"Expired"</formula>
    </cfRule>
  </conditionalFormatting>
  <conditionalFormatting sqref="Y514">
    <cfRule type="cellIs" dxfId="2" priority="50" operator="equal">
      <formula>"Expired"</formula>
    </cfRule>
    <cfRule type="cellIs" dxfId="1" priority="51" operator="equal">
      <formula>"Valid Contract"</formula>
    </cfRule>
    <cfRule type="cellIs" dxfId="0" priority="52" operator="equal">
      <formula>"Expiring Very Soon"</formula>
    </cfRule>
  </conditionalFormatting>
  <dataValidations count="3">
    <dataValidation type="custom" allowBlank="1" showDropDown="1" sqref="R2176:T2178 S521:T547 R51 S390:T507 R4:T7 R460:R519 R521:R566 R8:R11" xr:uid="{41A3EF22-2631-4312-8AA8-4D98869841B1}">
      <formula1>OR(NOT(ISERROR(DATEVALUE(R4))), AND(ISNUMBER(R4), LEFT(CELL("format", R4))="D"))</formula1>
    </dataValidation>
    <dataValidation allowBlank="1" showInputMessage="1" showErrorMessage="1" errorTitle="Insert AM Last Name" error="Insert AM Last Name" sqref="W1" xr:uid="{A0D4C99E-7DE8-482F-A565-9DF06B14E81B}"/>
    <dataValidation type="list" allowBlank="1" showInputMessage="1" showErrorMessage="1" sqref="G2:G2351" xr:uid="{F21E4CD4-F7BA-4A2A-9204-DE1BA2E094DC}">
      <formula1>"VIP, Standard"</formula1>
    </dataValidation>
  </dataValidations>
  <hyperlinks>
    <hyperlink ref="Y1117" r:id="rId1" display="mailto:dirinfosyscec@minadef.gov.rw" xr:uid="{5F0199D2-2728-4ECE-AC58-7FD39D095CFC}"/>
    <hyperlink ref="Y1116" r:id="rId2" display="mailto:dirinfosyscec@minadef.gov.rw" xr:uid="{21075644-1436-4BD7-91F7-BF476279D917}"/>
    <hyperlink ref="Y1115" r:id="rId3" display="mailto:dirinfosyscec@minadef.gov.rw" xr:uid="{435EA5C7-9930-415A-B7A1-229D906CF640}"/>
    <hyperlink ref="Y1114" r:id="rId4" display="mailto:dirinfosyscec@minadef.gov.rw" xr:uid="{0D946EEB-46E4-494B-B346-E2602B4C4E18}"/>
    <hyperlink ref="Y1113" r:id="rId5" display="mailto:dirinfosyscec@minadef.gov.rw" xr:uid="{0E0DFD2C-4C81-453B-86D0-65FA9A8948BD}"/>
    <hyperlink ref="Y1112" r:id="rId6" display="mailto:dirinfosyscec@minadef.gov.rw" xr:uid="{D3F2AD68-F1D3-4C94-BBCC-6465CF748C5F}"/>
    <hyperlink ref="Y1111" r:id="rId7" display="mailto:dirinfosyscec@minadef.gov.rw" xr:uid="{2C851465-F2B8-4143-9D0B-A8DA5E6C4FAE}"/>
    <hyperlink ref="Y1110" r:id="rId8" display="mailto:dirinfosyscec@minadef.gov.rw" xr:uid="{F2B08BD9-5319-4BB3-BA7C-096C8A19E404}"/>
    <hyperlink ref="Y1109" r:id="rId9" display="mailto:dirinfosyscec@minadef.gov.rw" xr:uid="{18524A1B-69B9-4FAF-A783-5E88A5382F89}"/>
    <hyperlink ref="Y1108" r:id="rId10" display="mailto:dirinfosyscec@minadef.gov.rw" xr:uid="{EE8846DB-B7E7-493F-A844-EF6B4E0C6BBE}"/>
    <hyperlink ref="Y1107" r:id="rId11" display="mailto:dirinfosyscec@minadef.gov.rw" xr:uid="{2866D642-1597-4D51-9A47-361B6829E526}"/>
    <hyperlink ref="Y1106" r:id="rId12" display="mailto:dirinfosyscec@minadef.gov.rw" xr:uid="{D10FB95C-2C97-4518-8691-14D48A601654}"/>
    <hyperlink ref="Y1105" r:id="rId13" display="mailto:dirinfosyscec@minadef.gov.rw" xr:uid="{EB646868-57B0-4AFF-BA7F-E3879FED3E32}"/>
    <hyperlink ref="Y1104" r:id="rId14" display="mailto:dirinfosyscec@minadef.gov.rw" xr:uid="{B13A83FF-E2E7-4D9C-9BEA-A89F9D68429F}"/>
    <hyperlink ref="Y1103" r:id="rId15" display="mailto:dirinfosyscec@minadef.gov.rw" xr:uid="{245E4585-D477-4048-8414-E7ACE1D8DD97}"/>
    <hyperlink ref="Y1102" r:id="rId16" display="mailto:dirinfosyscec@minadef.gov.rw" xr:uid="{93399595-4FFE-43EC-B279-6104A405A910}"/>
    <hyperlink ref="Y1494" r:id="rId17" xr:uid="{E34D2567-1831-4A26-8738-35CA4E176F1C}"/>
    <hyperlink ref="Y1320" r:id="rId18" xr:uid="{12B9D54A-5874-4AAC-A087-64F4D0280EA3}"/>
    <hyperlink ref="Y812" r:id="rId19" display="mailto:deo.kimonyo@risa.gov.rw" xr:uid="{3F18D754-DEA3-4BF3-AFF8-D32114CFF4CE}"/>
    <hyperlink ref="Y2087" r:id="rId20" display="mailto:ahodari@iprcmusanze.rp.ac.rw;info@iprcmusanze.rp.ac.rw;df@iprcmusanze.rp.ac.rw" xr:uid="{A05DE2DD-C33D-4087-9259-C4FBAD3998B3}"/>
    <hyperlink ref="Y1971" r:id="rId21" display="ngendapr@yahoo.fr" xr:uid="{1C824AE4-E58E-4F7B-A966-6390CDCABDDB}"/>
    <hyperlink ref="Y307" r:id="rId22" xr:uid="{8940B2BB-90E6-4137-BF0E-6B0B460345A6}"/>
    <hyperlink ref="Y2003" r:id="rId23" xr:uid="{D48FEACF-F4CD-4330-BA4B-7FEE4F0B7B96}"/>
    <hyperlink ref="Y2002" r:id="rId24" xr:uid="{6B4C417B-2B61-4BAB-98B2-6D7AD6DA43E5}"/>
    <hyperlink ref="Y232" r:id="rId25" xr:uid="{B7E8C4EA-6DE1-4EF3-B2AA-C5A066C3E70B}"/>
    <hyperlink ref="Y1954" r:id="rId26" xr:uid="{95B47825-94E4-4AE1-B873-F7DA4BD840BD}"/>
    <hyperlink ref="Y2090" r:id="rId27" xr:uid="{1B132589-D96C-4D4E-96A6-0A8D43B3B03D}"/>
    <hyperlink ref="Y815" r:id="rId28" xr:uid="{50D9FEDD-914A-41AB-90B0-0EC37B804DE5}"/>
    <hyperlink ref="Y2222" r:id="rId29" xr:uid="{F27ED029-D6E8-44C0-930E-2CE1BCED0F68}"/>
    <hyperlink ref="Y2025" r:id="rId30" xr:uid="{B092D31A-BCF5-4F1F-B9E1-F12E94C1EC80}"/>
    <hyperlink ref="Y13" r:id="rId31" xr:uid="{5D94F0B6-ADD4-48EE-8B8E-DD1F0E8265DA}"/>
    <hyperlink ref="Y93" r:id="rId32" display="mailto:sage.umutoniwabo@trac.africa" xr:uid="{A3CD8091-36C0-4402-858F-42A7DC1E8B2C}"/>
    <hyperlink ref="Y950" r:id="rId33" xr:uid="{2B16B959-C115-4999-A996-BEB7CF4B3F90}"/>
    <hyperlink ref="Y951" r:id="rId34" xr:uid="{1CC5668E-098F-4915-83A2-A922C11E34D4}"/>
    <hyperlink ref="Y953" r:id="rId35" xr:uid="{4A685568-A963-426F-B775-3272BA49E6B3}"/>
    <hyperlink ref="Y952" r:id="rId36" xr:uid="{8FA8CDE6-3748-468C-907C-F84F95E4FB50}"/>
    <hyperlink ref="Y949" r:id="rId37" xr:uid="{2DAC8722-57F7-46BB-ABEA-26635312CB0D}"/>
    <hyperlink ref="Y948" r:id="rId38" xr:uid="{6697CD9F-0651-4D80-BD29-4B59A35A46E6}"/>
    <hyperlink ref="Y947" r:id="rId39" xr:uid="{673C8F56-0CE9-429D-9EDB-35A601C409D1}"/>
    <hyperlink ref="Y946" r:id="rId40" xr:uid="{B97089EC-A972-4501-9BE5-12C28B45BD09}"/>
    <hyperlink ref="Y945" r:id="rId41" xr:uid="{9CE6C799-C55D-4780-9795-BCD930507DBF}"/>
    <hyperlink ref="Y944" r:id="rId42" xr:uid="{20DD684E-F93E-4C38-A2D4-B02D53FE52DF}"/>
    <hyperlink ref="Y943" r:id="rId43" xr:uid="{2A5208D2-69A1-4577-A0CD-E9AF44A760AE}"/>
    <hyperlink ref="Y942" r:id="rId44" xr:uid="{BC156C3F-ED47-4A74-9B48-612CA6D3A6FD}"/>
    <hyperlink ref="Y941" r:id="rId45" xr:uid="{EE34D2D1-ABFD-4FBA-812A-E8DBAE5467F0}"/>
    <hyperlink ref="Y940" r:id="rId46" xr:uid="{43C2401F-E3D3-4741-BB53-F8986246AF1F}"/>
    <hyperlink ref="Y939" r:id="rId47" xr:uid="{B4E6ADBF-FC81-4395-83A4-B03F6DA5EB2B}"/>
    <hyperlink ref="Y938" r:id="rId48" xr:uid="{C3EB7702-6DDD-4025-B8FA-96D2D854A7D1}"/>
    <hyperlink ref="Y937" r:id="rId49" xr:uid="{781DF0C0-2E9B-4AA8-A583-ED0F55AA9E5B}"/>
    <hyperlink ref="Y936" r:id="rId50" xr:uid="{974A6714-47A0-4A77-85E3-065109568A3A}"/>
    <hyperlink ref="Y935" r:id="rId51" xr:uid="{73FB6A97-150F-4472-B18B-5993561309D7}"/>
    <hyperlink ref="Y934" r:id="rId52" xr:uid="{B4D0DDB4-ADEB-4C91-B46A-F85560DC2872}"/>
    <hyperlink ref="Y933" r:id="rId53" xr:uid="{09B37FC8-1B5C-4938-802E-E3E179364508}"/>
    <hyperlink ref="Y932" r:id="rId54" xr:uid="{EC9DA040-6C7C-4F1E-B816-4028B308216A}"/>
    <hyperlink ref="Y931" r:id="rId55" xr:uid="{F29116BF-702E-4399-8537-9E7053F86C33}"/>
    <hyperlink ref="Y930" r:id="rId56" xr:uid="{9538A2A7-DEF6-445E-9B1F-8E36C1E50201}"/>
    <hyperlink ref="Y929" r:id="rId57" xr:uid="{59858958-690A-4BCB-A14D-7753CD13773A}"/>
    <hyperlink ref="Y928" r:id="rId58" xr:uid="{AFD378DB-C107-4372-B980-9C359FB968A0}"/>
    <hyperlink ref="Y927" r:id="rId59" xr:uid="{DF160DB5-33F2-4F6F-90B0-313B0164B537}"/>
    <hyperlink ref="Y926" r:id="rId60" xr:uid="{4B3C623C-7D91-41D8-BD8C-EFA8443554E8}"/>
    <hyperlink ref="Y925" r:id="rId61" xr:uid="{F173D360-AC16-4CC2-ACCD-36B71A6CAFD7}"/>
    <hyperlink ref="Y924" r:id="rId62" xr:uid="{D6B66D21-6CF9-4FC9-865B-FAC16B127777}"/>
    <hyperlink ref="Y923" r:id="rId63" xr:uid="{1ABA5436-3531-4B79-99A7-8A530CC16774}"/>
    <hyperlink ref="Y922" r:id="rId64" xr:uid="{D7F81E3A-40ED-45FA-BFCB-E7AFF6223F5E}"/>
    <hyperlink ref="Y921" r:id="rId65" xr:uid="{3C1A44DB-4ADF-409A-97BA-11CC6C6DAA72}"/>
    <hyperlink ref="Y920" r:id="rId66" xr:uid="{B2C5C748-32C2-4D53-8C67-3E6E2D59C7F9}"/>
    <hyperlink ref="Y919" r:id="rId67" xr:uid="{76FD4439-411A-44DA-88DC-84C990202CA2}"/>
    <hyperlink ref="Y918" r:id="rId68" xr:uid="{1B6C614B-8DB7-427B-B2FD-B40A8AD9265A}"/>
    <hyperlink ref="Y917" r:id="rId69" xr:uid="{7545E7EB-604D-45B2-81BE-BF434A3CE5B6}"/>
    <hyperlink ref="Y916" r:id="rId70" xr:uid="{346DE6D0-3EE6-4A33-8F41-210BD4DF8875}"/>
    <hyperlink ref="Y915" r:id="rId71" xr:uid="{5038CC4F-E3E1-4ED3-933E-90C0D204A5C9}"/>
    <hyperlink ref="Y914" r:id="rId72" xr:uid="{A9259052-2B68-43CD-B58B-66FE510ADA35}"/>
    <hyperlink ref="Y913" r:id="rId73" xr:uid="{02FE9EDA-4F66-454C-81FA-849C375033A6}"/>
    <hyperlink ref="Y912" r:id="rId74" xr:uid="{EF161D22-06AA-417A-B206-DDAAF703412D}"/>
    <hyperlink ref="Y911" r:id="rId75" xr:uid="{0DE007AA-1600-4BBD-A302-1C6A7007BBC0}"/>
    <hyperlink ref="Y910" r:id="rId76" xr:uid="{E9623FD8-2A80-4804-A4AB-215C864B430B}"/>
    <hyperlink ref="Y909" r:id="rId77" xr:uid="{335FDB10-D3BE-459D-89B4-F512578006E5}"/>
    <hyperlink ref="Y908" r:id="rId78" xr:uid="{01531517-AF50-4A88-8921-38648A092E12}"/>
    <hyperlink ref="Y907" r:id="rId79" xr:uid="{314912FA-6A57-4CEC-9728-EEE27E4DF349}"/>
    <hyperlink ref="Y906" r:id="rId80" xr:uid="{B5177886-030B-468D-9AA7-C2E6997F6346}"/>
    <hyperlink ref="Y905" r:id="rId81" xr:uid="{65CCE4F7-7C2E-4F1F-901D-F117EF72A469}"/>
    <hyperlink ref="Y904" r:id="rId82" xr:uid="{873B5864-52AF-4642-9BE6-E5478B7D1243}"/>
    <hyperlink ref="Y903" r:id="rId83" xr:uid="{0835E383-76A0-43C4-9580-B7B3D49419BB}"/>
    <hyperlink ref="Y902" r:id="rId84" xr:uid="{85DCE77A-267E-4105-A2D4-4AD0A29ACE86}"/>
    <hyperlink ref="Y901" r:id="rId85" xr:uid="{24B98F53-0912-415C-9FA1-34621DBDA683}"/>
    <hyperlink ref="Y900" r:id="rId86" xr:uid="{6C302EC4-D7F5-4750-A674-561468D7FB60}"/>
    <hyperlink ref="Y899" r:id="rId87" xr:uid="{683F266E-04C9-41C7-962E-FEEC645D51EF}"/>
    <hyperlink ref="Y898" r:id="rId88" xr:uid="{14D5CA45-8DF0-457C-BCA7-BC4AC4832C82}"/>
    <hyperlink ref="Y897" r:id="rId89" xr:uid="{A3966E28-5C19-47B3-A446-D30C5ABECE16}"/>
    <hyperlink ref="Y896" r:id="rId90" xr:uid="{3F8223A0-13D0-45E9-88AE-CB7B7481E599}"/>
    <hyperlink ref="Y895" r:id="rId91" xr:uid="{B9FB6C57-FDE9-407D-B3B0-DB48546AC6D6}"/>
    <hyperlink ref="Y894" r:id="rId92" xr:uid="{6A5E3F3E-CBC4-4972-B78F-31171C7CC52C}"/>
    <hyperlink ref="Y893" r:id="rId93" xr:uid="{9005CF5E-E4C2-499E-B746-E52F62BD7EFA}"/>
    <hyperlink ref="Y892" r:id="rId94" xr:uid="{6AFA4DEC-7AF5-4577-BC5F-4B30079D0270}"/>
    <hyperlink ref="Y891" r:id="rId95" xr:uid="{F4DB2A36-1F4E-4443-8F01-C9FBFF6D1A04}"/>
    <hyperlink ref="Y890" r:id="rId96" xr:uid="{1048C317-D184-4620-8F49-CBE747955C06}"/>
    <hyperlink ref="Y889" r:id="rId97" xr:uid="{18063C3C-4FDE-4F5C-BBB8-88F8DEF138A2}"/>
    <hyperlink ref="Y2271:Y2274" r:id="rId98" display="mailto:headcec@minadef.gov.rw" xr:uid="{9C7882D2-E756-4973-9164-4DB14D053901}"/>
    <hyperlink ref="Y2268:Y2270" r:id="rId99" display="mailto:headcec@minadef.gov.rw" xr:uid="{EA032675-838D-49F9-8748-23C3605008DF}"/>
    <hyperlink ref="Y1809" r:id="rId100" xr:uid="{B494FE33-A21B-4307-A6B5-9111AEAA83F5}"/>
    <hyperlink ref="Y1750" r:id="rId101" xr:uid="{15AFDD97-7444-4C92-AED5-F8CE130E0D09}"/>
    <hyperlink ref="Y1749" r:id="rId102" xr:uid="{AFC1E1B3-E45F-4995-BC57-922EE08EB84D}"/>
    <hyperlink ref="Y1748" r:id="rId103" xr:uid="{6BB14CCA-4376-4A1D-ABEF-DC0D34AAB5F6}"/>
    <hyperlink ref="Y1747" r:id="rId104" xr:uid="{E2B5C44A-CE6E-4687-9229-299D8F17D9CC}"/>
    <hyperlink ref="Y1746" r:id="rId105" xr:uid="{4CA8052C-6967-469C-A5CC-310B689E1F75}"/>
    <hyperlink ref="Y1745" r:id="rId106" xr:uid="{BE456AEE-1B3A-4D4F-BF9E-AD59C669480F}"/>
    <hyperlink ref="Y1744" r:id="rId107" xr:uid="{ADAB1F63-42D1-4106-957C-47E1DF907AC0}"/>
    <hyperlink ref="Y1743" r:id="rId108" xr:uid="{B2A34A9B-4252-45A4-8399-DC73F96AC5E0}"/>
    <hyperlink ref="Y1742" r:id="rId109" xr:uid="{2B717A0E-1690-4FD6-85EB-FF52AA95DB95}"/>
    <hyperlink ref="Y1741" r:id="rId110" xr:uid="{CA7F618F-719A-46A0-AB2C-7682964E1EAC}"/>
    <hyperlink ref="Y1740" r:id="rId111" xr:uid="{AB8B289C-6AD8-4E73-9CB8-B661579FBAA4}"/>
    <hyperlink ref="Y1739" r:id="rId112" xr:uid="{1609CB39-205D-464D-B192-8BFD18EFF02B}"/>
    <hyperlink ref="Y1738" r:id="rId113" xr:uid="{3CA305BF-ED29-4998-AE8D-12C1634E0CBF}"/>
    <hyperlink ref="Y1737" r:id="rId114" xr:uid="{2B9019E8-170E-4F33-A741-CFC98D662111}"/>
    <hyperlink ref="Y1736" r:id="rId115" xr:uid="{CD5227A2-4EF3-4DBC-ABF2-4B44F7B41981}"/>
    <hyperlink ref="Y1735" r:id="rId116" xr:uid="{CB7F867E-71AF-469C-ADF9-14C836B56A77}"/>
    <hyperlink ref="Y1734" r:id="rId117" xr:uid="{EB143639-9850-40F5-8D0D-D97667072EF2}"/>
    <hyperlink ref="Y1733" r:id="rId118" xr:uid="{308E48AB-C034-4F8D-9D51-3F97A853468E}"/>
    <hyperlink ref="Y1732" r:id="rId119" xr:uid="{F0B4B355-BCCA-4DB2-9856-24CDEBD25F03}"/>
    <hyperlink ref="Y1731" r:id="rId120" xr:uid="{155D17AD-3B73-4A54-9854-8B41BD7902B3}"/>
    <hyperlink ref="Y1730" r:id="rId121" xr:uid="{FB026239-D2AB-4D99-BCE8-D5DD4E1C093F}"/>
    <hyperlink ref="Y1729" r:id="rId122" xr:uid="{28ECC08B-B475-4DE3-9417-12FA5F76CEDF}"/>
    <hyperlink ref="Y1728" r:id="rId123" xr:uid="{EA67A43A-1A6C-4868-9595-8A4D6CF427DD}"/>
    <hyperlink ref="Y1727" r:id="rId124" xr:uid="{0E5A123D-693B-4912-A258-215611FC922E}"/>
    <hyperlink ref="Y1726" r:id="rId125" xr:uid="{FC8F2F91-4E95-4FC4-9D02-0575DB608C08}"/>
    <hyperlink ref="Y1725" r:id="rId126" xr:uid="{D8490EBD-F4D8-46CB-BEA1-94F7589F1FDE}"/>
    <hyperlink ref="Y1724" r:id="rId127" xr:uid="{3820A3AC-0B90-4027-862C-02DDA08B69C1}"/>
    <hyperlink ref="Y1723" r:id="rId128" xr:uid="{9EFF5FD3-8600-4E48-BBDB-426CB7C8847B}"/>
    <hyperlink ref="Y1722" r:id="rId129" xr:uid="{C2DA3C89-8C6C-4413-BB58-4C609BE937FF}"/>
    <hyperlink ref="Y1721" r:id="rId130" xr:uid="{EC4725AB-2663-4919-BCCC-FBE7B419EA03}"/>
    <hyperlink ref="Y1720" r:id="rId131" xr:uid="{F56CB1A7-E196-4A41-91F4-F84ACF409A41}"/>
    <hyperlink ref="Y1719" r:id="rId132" xr:uid="{CD01BDBA-CCA7-406E-988D-90808070CA6A}"/>
    <hyperlink ref="Y1718" r:id="rId133" xr:uid="{0E115601-B15A-485F-8350-4D0BDFEF11E9}"/>
    <hyperlink ref="Y1717" r:id="rId134" xr:uid="{9F794671-93FE-4619-BDD0-592A14718990}"/>
    <hyperlink ref="Y1716" r:id="rId135" xr:uid="{C8CC10B5-CBCB-44A7-85AC-F519CE46F08C}"/>
    <hyperlink ref="Y1715" r:id="rId136" xr:uid="{9DE73672-0B5D-4E21-B788-B6F9FECC6E9F}"/>
    <hyperlink ref="Y1714" r:id="rId137" xr:uid="{7DE06A28-1236-46ED-BDD2-80919201F1E0}"/>
    <hyperlink ref="Y1713" r:id="rId138" xr:uid="{AF2ABE94-5B56-44CB-93A6-0C36C8D98DDB}"/>
    <hyperlink ref="Y1712" r:id="rId139" xr:uid="{2C6F546B-879F-49CE-9298-F68AEBEE4DE7}"/>
    <hyperlink ref="Y1711" r:id="rId140" xr:uid="{4B64909C-86E6-4419-A413-DA6DDBC38B97}"/>
    <hyperlink ref="Y1710" r:id="rId141" xr:uid="{FE28329E-B051-459C-959B-4019BCA780C4}"/>
    <hyperlink ref="Y1709" r:id="rId142" xr:uid="{29C68791-7A04-4C07-8AE0-5BCF0ABE67F1}"/>
    <hyperlink ref="Y1708" r:id="rId143" xr:uid="{3D478AE2-4789-49B5-9C83-1389F79B94A2}"/>
    <hyperlink ref="Y1707" r:id="rId144" xr:uid="{DFE05123-5E52-46D3-AB82-CC87756AF190}"/>
    <hyperlink ref="Y1706" r:id="rId145" xr:uid="{DEC85FE2-3564-4D4A-BA25-28C62D734AF1}"/>
    <hyperlink ref="Y1805" r:id="rId146" xr:uid="{9871CCA5-940B-4C0A-8AF9-0CE14EE5B8ED}"/>
    <hyperlink ref="Y1804" r:id="rId147" xr:uid="{CFCF2388-5B89-4421-8112-DC50A1283C81}"/>
    <hyperlink ref="Y1803" r:id="rId148" xr:uid="{99B5E884-9A14-4B39-96DB-46F29F572E8B}"/>
    <hyperlink ref="Y1802" r:id="rId149" xr:uid="{2C376FD4-9FD3-4B55-98C8-8AF70E68F793}"/>
    <hyperlink ref="Y1801" r:id="rId150" xr:uid="{32C343CD-9A68-459B-B8B3-890BEDACE86F}"/>
    <hyperlink ref="Y1800" r:id="rId151" xr:uid="{EF08993F-2935-4B11-8A7F-BC80E5B1EC39}"/>
    <hyperlink ref="Y1799" r:id="rId152" xr:uid="{FBF9555D-B6CE-4314-B514-363244B9B709}"/>
    <hyperlink ref="Y1798" r:id="rId153" xr:uid="{CBA0F7F9-2B2C-4D14-8A4D-8EC4B12B0C95}"/>
    <hyperlink ref="Y1797" r:id="rId154" xr:uid="{3B5EB285-1EB9-4EB8-B230-EF65A0F8B46C}"/>
    <hyperlink ref="Y1796" r:id="rId155" xr:uid="{5F968C72-9F22-438C-A2AF-A4EAA2F63262}"/>
    <hyperlink ref="Y1795" r:id="rId156" xr:uid="{FFBD8554-FBCD-4BCB-A984-572C2556CF19}"/>
    <hyperlink ref="Y1794" r:id="rId157" xr:uid="{443C36E2-07F4-4363-B291-451BABB880CD}"/>
    <hyperlink ref="Y1793" r:id="rId158" xr:uid="{DE02583E-AA2D-49D1-AD52-493277C7DB2C}"/>
    <hyperlink ref="Y1792" r:id="rId159" xr:uid="{3A44DAA4-FFDB-451B-8577-B7B4842AEE12}"/>
    <hyperlink ref="Y1791" r:id="rId160" xr:uid="{7465816A-C496-407B-99A1-CA3E5BB078CD}"/>
    <hyperlink ref="Y1790" r:id="rId161" xr:uid="{DEAB23CB-CD78-4F30-8DE2-B31750CF103D}"/>
    <hyperlink ref="Y1789" r:id="rId162" xr:uid="{D61ADC95-9C67-4D2C-A428-22CDDB7B831E}"/>
    <hyperlink ref="Y1788" r:id="rId163" xr:uid="{24787789-964D-4AA1-AEBD-3CD915D1054F}"/>
    <hyperlink ref="Y1787" r:id="rId164" xr:uid="{66C5EA14-882C-4C05-A33A-68BD58D7F3FA}"/>
    <hyperlink ref="Y1786" r:id="rId165" xr:uid="{443FE7EE-6441-4080-9409-F221EDFE43B3}"/>
    <hyperlink ref="Y1785" r:id="rId166" xr:uid="{D1D74B02-0A93-4AB3-9A7B-938FABE294E5}"/>
    <hyperlink ref="Y1784" r:id="rId167" xr:uid="{E7EB2402-CB41-4660-ACB0-7B492CD777DE}"/>
    <hyperlink ref="Y1783" r:id="rId168" xr:uid="{40D78DFA-2318-40C5-8B3F-A87FDFCD7E82}"/>
    <hyperlink ref="Y1782" r:id="rId169" xr:uid="{4DEB068C-D8B3-432C-93B8-EB1A7B9592D1}"/>
    <hyperlink ref="Y1781" r:id="rId170" xr:uid="{F6F0B470-D3A4-4098-9D21-537541F4AA56}"/>
    <hyperlink ref="Y1780" r:id="rId171" xr:uid="{603423AE-E3DF-4ACE-B68B-A27F8711F508}"/>
    <hyperlink ref="Y1779" r:id="rId172" xr:uid="{79AAE1C9-7703-40FB-8717-EBA72FD61369}"/>
    <hyperlink ref="Y1778" r:id="rId173" xr:uid="{7CE3601F-2BCA-4CA0-A40D-581B2F9520DA}"/>
    <hyperlink ref="Y1777" r:id="rId174" xr:uid="{9F6E2CA5-14B8-4262-AAF4-39FD5D8C4A0C}"/>
    <hyperlink ref="Y1776" r:id="rId175" xr:uid="{EA451631-9852-4ABA-932F-6FF57131AF3A}"/>
    <hyperlink ref="Y1775" r:id="rId176" xr:uid="{1DADB18C-273C-440E-9C53-B189C1C80FE1}"/>
    <hyperlink ref="Y1774" r:id="rId177" xr:uid="{62DEE56C-6A29-4351-8524-8E9F4D7805EB}"/>
    <hyperlink ref="Y1773" r:id="rId178" xr:uid="{C08D3193-C6F6-4BCE-9BDD-EF172C83C726}"/>
    <hyperlink ref="Y1772" r:id="rId179" xr:uid="{4BA8952F-8CEF-4C72-8FF4-F22C5885795E}"/>
    <hyperlink ref="Y1771" r:id="rId180" xr:uid="{684420B2-CDEF-45A0-8023-EB57302EE5DD}"/>
    <hyperlink ref="Y1770" r:id="rId181" xr:uid="{B3D1B4CB-FE0F-47B3-994A-A150C7201849}"/>
    <hyperlink ref="Y1769" r:id="rId182" xr:uid="{C5A39A9A-321D-4F29-8B16-54DFE501245E}"/>
    <hyperlink ref="Y1768" r:id="rId183" xr:uid="{3995C943-DF6A-4356-AC04-F014029B411B}"/>
    <hyperlink ref="Y1767" r:id="rId184" xr:uid="{59ED3212-2FC9-4C56-8CFE-69175E5C931C}"/>
    <hyperlink ref="Y1766" r:id="rId185" xr:uid="{7C79CEFA-29D4-48DA-9382-C9D168D7FD63}"/>
    <hyperlink ref="Y1765" r:id="rId186" xr:uid="{519BE4D4-3571-4A1A-9DB5-5510DC1D57BC}"/>
    <hyperlink ref="Y1764" r:id="rId187" xr:uid="{FCFA9E89-40CB-451D-BC64-AFDB880A4D8A}"/>
    <hyperlink ref="Y1763" r:id="rId188" xr:uid="{6E0CB361-3938-4B3C-B14D-2AAF559C9704}"/>
    <hyperlink ref="Y1762" r:id="rId189" xr:uid="{6B3DD851-FF9A-49F8-8DB5-04B69F292391}"/>
    <hyperlink ref="Y1761" r:id="rId190" xr:uid="{1AFCC490-F5ED-46DD-BB59-957A18A5B6CB}"/>
    <hyperlink ref="Y1807" r:id="rId191" xr:uid="{2D1F2F1D-0A11-4CC7-8F26-A657BD2FE7C6}"/>
    <hyperlink ref="Y1806" r:id="rId192" xr:uid="{96D8A85F-56F0-4642-939C-814EB80AB836}"/>
    <hyperlink ref="Y1810" r:id="rId193" xr:uid="{E8419D08-8A4F-4CDE-ADC8-2C48BB95B8EC}"/>
    <hyperlink ref="Y1808" r:id="rId194" xr:uid="{07D52216-0D40-4B84-BAD3-FA89304254DF}"/>
    <hyperlink ref="Y1760" r:id="rId195" xr:uid="{EA1DA01C-F245-4DAD-BECC-F2B67DFBEAAF}"/>
    <hyperlink ref="Y1759" r:id="rId196" xr:uid="{56EF7B40-7DEF-42B6-A03A-9CB961FD6B74}"/>
    <hyperlink ref="Y1758" r:id="rId197" xr:uid="{0A285584-E4A9-45E3-A573-92961A65FDC4}"/>
    <hyperlink ref="Y1757" r:id="rId198" xr:uid="{E615E8BF-AB75-49DB-A6DB-0AA29F76E0AC}"/>
    <hyperlink ref="Y1756" r:id="rId199" xr:uid="{E53CAF97-EE9D-4F47-A0B4-757F4376BFEF}"/>
    <hyperlink ref="Y876" r:id="rId200" display="mailto:jp.rwagasana@rlrc.gov.rw,info@rlrc.gov.rw" xr:uid="{1217A740-E50A-4079-8E3F-E2C390BD61EB}"/>
    <hyperlink ref="Y1704" r:id="rId201" xr:uid="{9F912903-D47A-4F76-AB12-AA8CFA95E1F4}"/>
    <hyperlink ref="Y863" r:id="rId202" display="mailto:Evergiste.Bushayija@oag.gov.rw" xr:uid="{9F5C2206-93C3-4FE3-ADB5-C78451BA8ED9}"/>
    <hyperlink ref="Y1473" r:id="rId203" xr:uid="{3FA4DA1E-41B9-479E-85CE-69F858953B18}"/>
    <hyperlink ref="Y999" r:id="rId204" xr:uid="{E1BE93ED-F007-428C-AA4C-60C4DF70CC4C}"/>
    <hyperlink ref="Y363" r:id="rId205" xr:uid="{7C2AAD19-CB1D-40EB-BBD5-C6C2221A6DFB}"/>
    <hyperlink ref="Y985" r:id="rId206" display="patrick.ntwali@imbank.co.rw " xr:uid="{77E214F9-5450-4989-AC07-D1DDF3A321BA}"/>
    <hyperlink ref="Y266" r:id="rId207" display="jeanne.niyonsaba@kicukiro.gov.rw" xr:uid="{1AAD77AD-D0C7-4139-A782-CDB93EF94DE2}"/>
    <hyperlink ref="Y1891" r:id="rId208" xr:uid="{61363DCD-D82F-48A2-9528-8580C45FA628}"/>
    <hyperlink ref="Y1890" r:id="rId209" xr:uid="{3452436F-1804-446D-B8E2-4B292A047521}"/>
    <hyperlink ref="Y1889" r:id="rId210" xr:uid="{F3D60271-BD08-4ABC-B478-75BC5A9B4296}"/>
    <hyperlink ref="Y1867" r:id="rId211" xr:uid="{718F56F0-F1E7-4DD2-B0AB-CA47EEC26B3D}"/>
    <hyperlink ref="Y1470" r:id="rId212" xr:uid="{756125C3-C9A7-4A50-9421-65A005658613}"/>
    <hyperlink ref="Y1468" r:id="rId213" xr:uid="{89F585F9-A398-4CBC-8EB0-B63CEF133011}"/>
    <hyperlink ref="Y1256" r:id="rId214" xr:uid="{D91A5463-5E74-4F49-B353-F82984EC02C5}"/>
    <hyperlink ref="Y687" r:id="rId215" xr:uid="{BA811D31-C2F1-4142-A040-27B586156BE7}"/>
    <hyperlink ref="Y686" r:id="rId216" xr:uid="{BC1881FE-1CBA-4065-BD91-90973BF0B15D}"/>
    <hyperlink ref="Y685" r:id="rId217" xr:uid="{7D7A214B-3E2A-4E84-B019-8AA76A5746DC}"/>
    <hyperlink ref="Y312" r:id="rId218" display="mailto:network@nyamagabe.gov.rw" xr:uid="{41255550-1E71-4B56-8358-9BE3A768C143}"/>
    <hyperlink ref="Y258" r:id="rId219" xr:uid="{E3C2FB57-CE3F-4976-BD1B-4E16E152AF73}"/>
    <hyperlink ref="Y1437" r:id="rId220" xr:uid="{A8C4DDAE-9819-49BF-A871-370E6578F34A}"/>
    <hyperlink ref="Y100" r:id="rId221" xr:uid="{1F19ECAB-64CD-42D8-8272-FCDC381F9365}"/>
    <hyperlink ref="Y2291" r:id="rId222" xr:uid="{7AAA6F8A-7476-464D-9344-2D06AAFE6CEF}"/>
    <hyperlink ref="Y63" r:id="rId223" xr:uid="{96FECB15-12BC-40F4-8798-660ACB35F9C1}"/>
    <hyperlink ref="Y62" r:id="rId224" xr:uid="{26A7F3C4-B807-47BD-9FD2-981B7F5C27B5}"/>
    <hyperlink ref="Y61" r:id="rId225" xr:uid="{DEDF1705-D121-4CF9-997D-2306B45FF2B0}"/>
    <hyperlink ref="Y1914" r:id="rId226" xr:uid="{52FFD790-AB9C-4EB5-8FD2-F2625C418F67}"/>
    <hyperlink ref="Y811" r:id="rId227" xr:uid="{B0B17686-1AAC-4690-8171-E0ACEA0C7FBE}"/>
    <hyperlink ref="Y8" r:id="rId228" xr:uid="{7DC0CFAF-B236-4FC8-9AA7-797FAE92C5E0}"/>
    <hyperlink ref="Y2107" r:id="rId229" xr:uid="{39265D6F-C343-4CBA-9573-53FD99D759B6}"/>
    <hyperlink ref="Y1344" r:id="rId230" xr:uid="{107FA2E5-4459-4237-B750-7DC445C1C8CD}"/>
    <hyperlink ref="Y1695" r:id="rId231" xr:uid="{7D86752A-E4CA-4346-9656-B6A966C797F0}"/>
    <hyperlink ref="Y1353" r:id="rId232" display="mailto:sacco2014sik@gmail.com" xr:uid="{B913F41E-EBCE-4D86-92D4-C3CCCD17CE82}"/>
    <hyperlink ref="Y1905" r:id="rId233" display="mailto:higiro@maicoltd.com" xr:uid="{1795D6B9-A0CC-4F00-BCEA-A72426325B40}"/>
    <hyperlink ref="Y1869" r:id="rId234" display="mailto:info@rmlogistics.rw" xr:uid="{F60FE3C7-C314-4A2B-BCAE-34ED4279E371}"/>
    <hyperlink ref="Y1878" r:id="rId235" display="mailto:mwangamj@gmail.com" xr:uid="{FB7B9AFE-C594-46B8-A9ED-3007FF0D1D70}"/>
    <hyperlink ref="Y1436" r:id="rId236" display="mailto:gatengasacco18@gmail.com" xr:uid="{E6F62A32-A070-423F-AA0C-0653190B24F5}"/>
    <hyperlink ref="Y1352" r:id="rId237" display="mailto:saccogahanga@yahoo.com" xr:uid="{FCC806A9-D6F9-43E1-AB5D-78E6170AD125}"/>
    <hyperlink ref="Y1343" r:id="rId238" display="mailto:ijabosaccokigaramaa@gmail.com" xr:uid="{12039EEA-9C85-426C-8F57-1268C3B9A4C3}"/>
    <hyperlink ref="Y1342" r:id="rId239" display="mailto:ijabosaccokigaramaa@gmail.com" xr:uid="{761B4B3B-4B36-4217-A5F4-40D2A61D433B}"/>
    <hyperlink ref="Y1340" r:id="rId240" display="mailto:saccogikondo@gmail.com" xr:uid="{F0DA69FE-6B29-4308-AEE4-2AFA3948267F}"/>
    <hyperlink ref="Y274" r:id="rId241" display="mailto:jmanzi@agropyltd.com" xr:uid="{7621A2A5-3AA6-41FE-83F7-41DF5B68CAA8}"/>
    <hyperlink ref="Y1002" r:id="rId242" xr:uid="{3B76E972-E67C-4ED5-9C17-13226A449C8B}"/>
    <hyperlink ref="Y1464" r:id="rId243" xr:uid="{C9E476BE-4F96-4666-B183-25B5AEB4D2F4}"/>
    <hyperlink ref="Y1466" r:id="rId244" xr:uid="{CA6D9001-7713-46BA-B88C-827BB4332E6C}"/>
    <hyperlink ref="Y1469" r:id="rId245" xr:uid="{BBE3E30D-2220-4BB2-AECD-4FDFCCA7CB91}"/>
    <hyperlink ref="Y1874" r:id="rId246" display="euwiringiyimana@rp.ac.rw" xr:uid="{00F49F2F-22FC-49BE-B03E-12F2653D0E4A}"/>
    <hyperlink ref="Y1873" r:id="rId247" display="euwiringiyimana@rp.ac.rw" xr:uid="{C117DF92-5229-43B1-8BFA-4BCD7BDD699B}"/>
    <hyperlink ref="Y1350" r:id="rId248" xr:uid="{DB731400-F31A-4DA3-B3AD-31C2F1A10FAB}"/>
    <hyperlink ref="Y2280" r:id="rId249" xr:uid="{E2A96FAA-F4AE-4885-A7E6-EE29E3781514}"/>
    <hyperlink ref="Y548" r:id="rId250" xr:uid="{A7028567-2994-4726-B465-A4F64922D4B6}"/>
    <hyperlink ref="Y679" r:id="rId251" xr:uid="{836987A5-FD17-43D8-B12E-888636D3588C}"/>
    <hyperlink ref="Y2017" r:id="rId252" xr:uid="{9CECE50B-A3C6-4C6C-BC0C-66796E9CBA05}"/>
    <hyperlink ref="Y1495" r:id="rId253" xr:uid="{74BAA5CF-3267-4C28-92E0-E8774F7DF396}"/>
    <hyperlink ref="Y832:Y834" r:id="rId254" display="ingoga@reb.rw" xr:uid="{0CC0026B-77BE-4DEB-807E-C57AB599A132}"/>
    <hyperlink ref="Y248" r:id="rId255" xr:uid="{9EF2B7B8-7FA2-401D-8AC9-DC0E53F46D63}"/>
    <hyperlink ref="Y200" r:id="rId256" xr:uid="{2DDAFBE9-E74F-45DE-B76A-7183266DD93B}"/>
    <hyperlink ref="Y199" r:id="rId257" xr:uid="{959D3051-015F-4C93-A2A1-2F3A46A777FE}"/>
    <hyperlink ref="Y109" r:id="rId258" xr:uid="{76C55B3B-F91F-46B5-9439-7D2D5F3EA0FD}"/>
    <hyperlink ref="Y110" r:id="rId259" xr:uid="{539D2EB9-3EFB-496B-98B3-B64249D2B4B8}"/>
    <hyperlink ref="Y560" r:id="rId260" xr:uid="{008905AF-9045-440A-94B5-4A2A0F7623F4}"/>
    <hyperlink ref="Y278" r:id="rId261" xr:uid="{419479D7-9F20-4183-B0BE-CB7C8D6FDD6B}"/>
    <hyperlink ref="Y875" r:id="rId262" xr:uid="{A99F84E6-B9FF-4B05-B434-3C9BD8C16C82}"/>
    <hyperlink ref="Y1431" r:id="rId263" display="mukamahoro07@gmail.com" xr:uid="{60B92551-2774-4CBE-9529-52DB264815BB}"/>
    <hyperlink ref="Y817" r:id="rId264" display="ictofficer@gisagara.gov.rw" xr:uid="{1E17ED42-9626-44FF-95A0-45B120FAB639}"/>
    <hyperlink ref="Y1989" r:id="rId265" xr:uid="{76807E4B-E08F-48C0-817D-102E31F08513}"/>
    <hyperlink ref="Y2099" r:id="rId266" xr:uid="{B1D0C6C9-EA0B-47A8-B432-BBA364D44B7A}"/>
    <hyperlink ref="Y1222" r:id="rId267" xr:uid="{73B642DC-BA7D-4BD0-84A0-2A513F78A55D}"/>
    <hyperlink ref="Y572" r:id="rId268" display="mailto:dirinfosyscec@minadef.gov.rw" xr:uid="{36EC0064-060F-480E-BE1C-0A317DDD8E84}"/>
    <hyperlink ref="Y577" r:id="rId269" display="mailto:dirinfosyscec@minadef.gov.rw" xr:uid="{72E463A7-CAA6-4771-89C2-374B84D4C297}"/>
    <hyperlink ref="Y1031" r:id="rId270" display="mailto:dirinfosyscec@minadef.gov.rw" xr:uid="{63DCBF4C-B53F-41B6-BAA9-D166462E4352}"/>
    <hyperlink ref="Y1035" r:id="rId271" display="mailto:dirinfosyscec@minadef.gov.rw" xr:uid="{28DC7AF0-A051-4A44-8F19-122FB4A41CD3}"/>
    <hyperlink ref="Y1044" r:id="rId272" display="mailto:dirinfosyscec@minadef.gov.rw" xr:uid="{E77F23FE-A69C-45D2-BB23-D7B336BC64FE}"/>
    <hyperlink ref="Y1042" r:id="rId273" display="mailto:dirinfosyscec@minadef.gov.rw" xr:uid="{7647A5A3-029A-4D08-8A2D-EA9CE35BF079}"/>
    <hyperlink ref="Y1084" r:id="rId274" display="mailto:dirinfosyscec@minadef.gov.rw" xr:uid="{3CA0B97E-1C40-42DF-9285-742D04F02AA5}"/>
    <hyperlink ref="Y1047" r:id="rId275" display="mailto:dirinfosyscec@minadef.gov.rw" xr:uid="{1A4A6512-D5C6-4463-A7A8-24DAD1EA16A3}"/>
    <hyperlink ref="Y1037" r:id="rId276" display="mailto:dirinfosyscec@minadef.gov.rw" xr:uid="{22064E9A-B032-4FAB-BAB8-F750BDB1473D}"/>
    <hyperlink ref="Y1041" r:id="rId277" display="mailto:dirinfosyscec@minadef.gov.rw" xr:uid="{C20DD78B-637C-42CD-88F9-4163CBD6D4D0}"/>
    <hyperlink ref="Y1049" r:id="rId278" display="mailto:dirinfosyscec@minadef.gov.rw" xr:uid="{E55312AC-A6BA-42BB-8A07-A62512CB051A}"/>
    <hyperlink ref="Y1038" r:id="rId279" display="mailto:dirinfosyscec@minadef.gov.rw" xr:uid="{475FD015-5330-4FAC-81A6-34CAF26C0831}"/>
    <hyperlink ref="Y1066" r:id="rId280" display="mailto:dirinfosyscec@minadef.gov.rw" xr:uid="{3826F0E3-CDEE-4F14-8BA9-57D376C169A2}"/>
    <hyperlink ref="Y1040" r:id="rId281" display="mailto:dirinfosyscec@minadef.gov.rw" xr:uid="{570712AE-778B-4A3A-ABAB-83EE9B0B73C8}"/>
    <hyperlink ref="Y1075" r:id="rId282" display="mailto:dirinfosyscec@minadef.gov.rw" xr:uid="{6504CEE8-5C49-4543-AFB6-54579E5F7131}"/>
    <hyperlink ref="Y1048" r:id="rId283" display="mailto:dirinfosyscec@minadef.gov.rw" xr:uid="{080F91E9-188C-41F8-8EAA-B53339310943}"/>
    <hyperlink ref="Y1036" r:id="rId284" display="mailto:dirinfosyscec@minadef.gov.rw" xr:uid="{E253413D-6BD6-4805-91A1-44151F5B5AB1}"/>
    <hyperlink ref="Y1034" r:id="rId285" display="mailto:dirinfosyscec@minadef.gov.rw" xr:uid="{DC00C0B4-2063-441A-9AD0-DD8DD59E4C11}"/>
    <hyperlink ref="Y1043" r:id="rId286" display="mailto:dirinfosyscec@minadef.gov.rw" xr:uid="{3C3B1D01-7DA6-4C0C-80AB-33B5023A59F1}"/>
    <hyperlink ref="Y1046" r:id="rId287" display="mailto:dirinfosyscec@minadef.gov.rw" xr:uid="{95E980A9-8AF9-4D3C-8821-8705BCD95F3E}"/>
    <hyperlink ref="Y1033" r:id="rId288" display="mailto:dirinfosyscec@minadef.gov.rw" xr:uid="{488E5FEC-97AA-4314-A258-36DA40846AB6}"/>
    <hyperlink ref="Y1058" r:id="rId289" display="mailto:dirinfosyscec@minadef.gov.rw" xr:uid="{78842FB9-D56B-4D8D-89D1-ABA9BCED963F}"/>
    <hyperlink ref="Y1101" r:id="rId290" display="mailto:dirinfosyscec@minadef.gov.rw" xr:uid="{1664012D-B230-41BC-8B15-A4BF954C96D2}"/>
    <hyperlink ref="Y1095" r:id="rId291" display="mailto:dirinfosyscec@minadef.gov.rw" xr:uid="{8CE0498F-A489-4AD0-9EB7-F58A70A747F9}"/>
    <hyperlink ref="Y1039" r:id="rId292" display="mailto:dirinfosyscec@minadef.gov.rw" xr:uid="{F938C27F-6337-4D78-945C-9084DD576B83}"/>
    <hyperlink ref="Y1086" r:id="rId293" display="mailto:dirinfosyscec@minadef.gov.rw" xr:uid="{FC2C5FCE-80E3-44D6-A859-4F16BEE41249}"/>
    <hyperlink ref="Y1085" r:id="rId294" display="mailto:dirinfosyscec@minadef.gov.rw" xr:uid="{03032688-FD2E-4AB9-9562-B2DEE641A8D4}"/>
    <hyperlink ref="Y1051" r:id="rId295" display="mailto:dirinfosyscec@minadef.gov.rw" xr:uid="{4CE31637-3EB8-4FBA-B8D8-C31EEE00F911}"/>
    <hyperlink ref="Y1057" r:id="rId296" display="mailto:dirinfosyscec@minadef.gov.rw" xr:uid="{EEA83616-BE52-48C6-9318-2EE55C728706}"/>
    <hyperlink ref="Y1071" r:id="rId297" display="mailto:dirinfosyscec@minadef.gov.rw" xr:uid="{B7C26CB1-2A3B-467D-B45E-90E6D4A3FEF0}"/>
    <hyperlink ref="Y1100" r:id="rId298" display="mailto:dirinfosyscec@minadef.gov.rw" xr:uid="{DD98B55C-52A8-47BF-9E6D-38FCAB4335DF}"/>
    <hyperlink ref="Y1056" r:id="rId299" display="mailto:dirinfosyscec@minadef.gov.rw" xr:uid="{B9BEA15D-2A27-4A26-A38D-959A667D9775}"/>
    <hyperlink ref="Y1074" r:id="rId300" display="mailto:dirinfosyscec@minadef.gov.rw" xr:uid="{9828E216-4C32-4C56-AF03-6E47C42627AB}"/>
    <hyperlink ref="Y1090" r:id="rId301" display="mailto:dirinfosyscec@minadef.gov.rw" xr:uid="{DB461E0E-571C-4FE0-A739-238F8399B1D8}"/>
    <hyperlink ref="Y1070" r:id="rId302" display="mailto:dirinfosyscec@minadef.gov.rw" xr:uid="{BDE01C66-CD84-42E6-98DD-D9BE9EF48E88}"/>
    <hyperlink ref="Y1055" r:id="rId303" display="mailto:dirinfosyscec@minadef.gov.rw" xr:uid="{A279D0EF-8EE1-40C4-BBE0-8229EC8AAA87}"/>
    <hyperlink ref="Y1054" r:id="rId304" display="mailto:dirinfosyscec@minadef.gov.rw" xr:uid="{6EC8298C-8F49-4FFE-BCC0-7F69AD2CA74B}"/>
    <hyperlink ref="Y1053" r:id="rId305" display="mailto:dirinfosyscec@minadef.gov.rw" xr:uid="{92BB5DDB-5ED4-472A-89C6-5AE9E3EB1067}"/>
    <hyperlink ref="Y1052" r:id="rId306" display="mailto:dirinfosyscec@minadef.gov.rw" xr:uid="{3AF7D83E-FE50-4342-AC18-37A49266F5CB}"/>
    <hyperlink ref="Y591" r:id="rId307" xr:uid="{6D2831CC-8ACE-4080-B440-813E60DE0288}"/>
    <hyperlink ref="Y590" r:id="rId308" xr:uid="{2AD39179-14F9-41AF-A41C-BB655627E611}"/>
    <hyperlink ref="Y134" r:id="rId309" xr:uid="{4850F1B7-C147-4664-B51F-F4A9801E2740}"/>
    <hyperlink ref="Y135" r:id="rId310" xr:uid="{AEA58532-9F9F-4EFB-B8BC-BCE151D271C3}"/>
    <hyperlink ref="Y408" r:id="rId311" xr:uid="{63CA108C-6C3E-4D34-8AF3-81C83B2CEEFF}"/>
    <hyperlink ref="Y438" r:id="rId312" xr:uid="{00C4265A-D540-4381-9873-DCE8442A61FD}"/>
    <hyperlink ref="Y407" r:id="rId313" xr:uid="{FABDEED2-B940-4EC7-B8F0-DB6803AF8E20}"/>
    <hyperlink ref="Y437" r:id="rId314" xr:uid="{466A2E5C-5A22-42DB-A155-0B2807E8FF46}"/>
    <hyperlink ref="Y436" r:id="rId315" xr:uid="{3B76F538-B762-4FE1-9046-8ADC7DD82700}"/>
    <hyperlink ref="Y452" r:id="rId316" xr:uid="{164845B7-76B8-4F8C-BF4C-8F9B4FCFA74E}"/>
    <hyperlink ref="Y451" r:id="rId317" xr:uid="{660374C9-CC54-4CFD-9A1D-11CF5A60CCE1}"/>
    <hyperlink ref="Y435" r:id="rId318" xr:uid="{C192BD63-F330-4F31-AD69-53CC8CF279C6}"/>
    <hyperlink ref="Y420" r:id="rId319" xr:uid="{49E05F54-8E3F-4D8F-BA33-E60482A1FFAF}"/>
    <hyperlink ref="Y406" r:id="rId320" xr:uid="{B699F34D-1E70-4B89-A5E5-81466B9347FD}"/>
    <hyperlink ref="Y434" r:id="rId321" xr:uid="{66354645-979B-4298-93ED-82672C1B1848}"/>
    <hyperlink ref="Y419" r:id="rId322" xr:uid="{93343C97-486E-4194-85EA-0C764CD779F6}"/>
    <hyperlink ref="Y418" r:id="rId323" xr:uid="{95A901AD-B655-4752-97DE-FFC15833FC7E}"/>
    <hyperlink ref="Y405" r:id="rId324" xr:uid="{422F62EF-A706-4C3E-A667-6FA26A79B9C0}"/>
    <hyperlink ref="Y417" r:id="rId325" xr:uid="{5BA72A3D-F41D-4A0F-BC2C-45BCB68CA25F}"/>
    <hyperlink ref="Y416" r:id="rId326" xr:uid="{84BD7A9E-5200-4440-98F5-B218B4B952B0}"/>
    <hyperlink ref="Y433" r:id="rId327" xr:uid="{678DF280-BF7C-4748-AA12-DF240A8EA4B1}"/>
    <hyperlink ref="Y450" r:id="rId328" xr:uid="{CCCE388B-D347-433A-AA10-7D7DC71BBD0D}"/>
    <hyperlink ref="Y404" r:id="rId329" xr:uid="{6E2F60EE-5DB6-40A6-835F-5A0B416455A0}"/>
    <hyperlink ref="Y403" r:id="rId330" xr:uid="{4485B5BA-8418-4E52-906D-AC717B862336}"/>
    <hyperlink ref="Y402" r:id="rId331" xr:uid="{5B6C1796-7FAE-4E46-BF82-FC63235CA368}"/>
    <hyperlink ref="Y432" r:id="rId332" xr:uid="{D6234B1B-3046-4157-A848-5FBF85662FA3}"/>
    <hyperlink ref="Y449" r:id="rId333" xr:uid="{6504646E-5B39-4F90-A6C5-647670E85BB6}"/>
    <hyperlink ref="Y401" r:id="rId334" xr:uid="{114C23E5-9B59-4184-BF2D-2CF46E8FD64C}"/>
    <hyperlink ref="Y431" r:id="rId335" xr:uid="{070659AD-54D0-43BD-8B25-47872DB7D1F0}"/>
    <hyperlink ref="Y745" r:id="rId336" xr:uid="{3A007DFC-55F0-4D61-8948-5ABCBAB879E0}"/>
    <hyperlink ref="Y1990" r:id="rId337" xr:uid="{C490EEF4-9454-4E2F-A98D-59ED1B8ACA47}"/>
    <hyperlink ref="Y509" r:id="rId338" xr:uid="{FABDF1CF-D37A-4215-9F48-7A9A8A8BBFD2}"/>
    <hyperlink ref="Y1348" r:id="rId339" xr:uid="{63C8D2EF-A8E8-4B1F-BFEC-88CDE0FEC547}"/>
    <hyperlink ref="Y1288" r:id="rId340" xr:uid="{B086FD1B-4ABB-40DB-90A1-7D744476FCB5}"/>
    <hyperlink ref="Y192" r:id="rId341" xr:uid="{59CB0097-FDE9-4904-98C1-8E1D07E279DC}"/>
    <hyperlink ref="Y1430:Y1433" r:id="rId342" display="it@minisports.gov.rw" xr:uid="{15C1B014-9A57-4CE7-A993-CC66E2832A9B}"/>
    <hyperlink ref="Y1406" r:id="rId343" xr:uid="{62B8D15D-9F4C-4AD2-96A7-F60E30CC435F}"/>
    <hyperlink ref="Y830" r:id="rId344" xr:uid="{1E4CBC77-1C06-43D1-AD35-FBBEE3D57A2D}"/>
    <hyperlink ref="Y1224" r:id="rId345" xr:uid="{A9D05E9B-BC64-4530-A4FE-480346F06285}"/>
    <hyperlink ref="Y638:Y639" r:id="rId346" display="it@minisports.gov.rw" xr:uid="{48E050FB-3AB1-46B4-8F6B-16123A53391B}"/>
    <hyperlink ref="Y1227" r:id="rId347" xr:uid="{9866DCEB-A161-442D-8142-75C656844486}"/>
    <hyperlink ref="Y2260" r:id="rId348" display="wilson.kabagambe@rcs.gov.rw" xr:uid="{D3B4BB7C-526D-4C13-A948-B54954D4B225}"/>
    <hyperlink ref="Y2259" r:id="rId349" display="wilson.kabagambe@rcs.gov.rw" xr:uid="{1779E33C-BE92-4CFB-BEA3-46AB9786D4C0}"/>
    <hyperlink ref="Y2257" r:id="rId350" xr:uid="{02D1546E-668C-436D-82E3-17FE3458DB83}"/>
    <hyperlink ref="Y458" r:id="rId351" xr:uid="{FFA1C440-E9CD-470C-B8F2-57F21AB1BE5F}"/>
    <hyperlink ref="Y118" r:id="rId352" xr:uid="{00707779-41A5-45CF-8E74-A3D0C8B02F01}"/>
    <hyperlink ref="Y841" r:id="rId353" xr:uid="{23EEB1FC-42FD-4C37-A889-5D293CC27C30}"/>
    <hyperlink ref="Y628" r:id="rId354" xr:uid="{82280A29-3B35-4770-BE5F-9DA981F42476}"/>
    <hyperlink ref="Y525" r:id="rId355" xr:uid="{28F54125-2CDF-4346-B89E-A7A5A4EBAB45}"/>
    <hyperlink ref="Y854" r:id="rId356" xr:uid="{0084C339-2738-44D2-861E-5BF80857ECB6}"/>
    <hyperlink ref="Y1488" r:id="rId357" xr:uid="{D79498B1-C711-43A1-9F60-A7956CBE6097}"/>
    <hyperlink ref="Y1883" r:id="rId358" xr:uid="{1A0C2F7E-F79E-420E-B44E-7B2FE5C3337B}"/>
    <hyperlink ref="Y1828:Y1846" r:id="rId359" display="patrick.ntwali@imbank.co.rw " xr:uid="{8BB9FB33-8A73-4935-98CE-7BA027622CC5}"/>
    <hyperlink ref="Y1351" r:id="rId360" xr:uid="{76DD5FF8-460E-4C46-9B11-3F58E618D917}"/>
    <hyperlink ref="Y1861" r:id="rId361" display="mailto:ekwizera@minagri.gov.rw" xr:uid="{AF3B21C8-2C5F-4A09-A9DF-4B19781181E1}"/>
    <hyperlink ref="Y1467" r:id="rId362" xr:uid="{268FB345-0ED2-4B45-AA9C-9CA9BF4334B3}"/>
    <hyperlink ref="Y16" r:id="rId363" xr:uid="{3FEC14C7-27E9-46B2-91E6-E174BAA9DAE1}"/>
    <hyperlink ref="Y3" r:id="rId364" xr:uid="{550D478F-4CD0-4E89-B94A-20178CA5E812}"/>
    <hyperlink ref="Y4" r:id="rId365" xr:uid="{424FD6AF-73FA-4C4E-8C55-7B1C3819E7C7}"/>
    <hyperlink ref="Y1696" r:id="rId366" xr:uid="{681CD2D5-3D84-415B-97C5-7AD9F1531C54}"/>
    <hyperlink ref="Y1697" r:id="rId367" xr:uid="{1D726E19-EEF9-4EAE-A461-A797BF3C2717}"/>
    <hyperlink ref="Y1699" r:id="rId368" xr:uid="{38DC642E-9429-4BB6-BEAE-46DCECF0CF5B}"/>
    <hyperlink ref="Y1698" r:id="rId369" xr:uid="{3A8728A9-0819-43B2-A182-35788333E747}"/>
    <hyperlink ref="Y1433" r:id="rId370" xr:uid="{2AF7F9D2-DCA7-465F-B467-79859C55082E}"/>
    <hyperlink ref="Y1434" r:id="rId371" xr:uid="{C5A61544-0067-4F9E-B975-775353B34549}"/>
    <hyperlink ref="Y119" r:id="rId372" xr:uid="{2EAE6526-6CD3-4775-B5D1-A1DDD3D85F80}"/>
    <hyperlink ref="Y536" r:id="rId373" xr:uid="{4FF85F15-8A03-4465-9BB9-5C1B2F957E60}"/>
    <hyperlink ref="Y535" r:id="rId374" xr:uid="{DA1D7B3C-08BA-4093-867F-04315C1943D7}"/>
    <hyperlink ref="Y1161" r:id="rId375" display="mailto:ictmusanze@musanze.gov.rw" xr:uid="{BDDFDDFE-01FD-433D-AC13-623BCDF94993}"/>
    <hyperlink ref="Y553" r:id="rId376" display="mailto:cuwamahoro@migeprof.gov.rw" xr:uid="{BFBE7AFD-7FF4-4D3B-AEC3-55108DEFE437}"/>
    <hyperlink ref="Y1738:Y1739" r:id="rId377" display="mailto:gedeon.intwari@rcb.rw" xr:uid="{30C04761-26E1-4557-B0CB-8AFE0CC49FF5}"/>
    <hyperlink ref="Y1333" r:id="rId378" display="crwagasore@migration.gov.rw" xr:uid="{F4C49489-C0AD-4512-AB36-FC7B24B2C7FD}"/>
    <hyperlink ref="Y1601:Y1604" r:id="rId379" display="jbosco.dusabimana@nrs.gov.rw" xr:uid="{B6FDBB2C-CF80-4771-A156-660BD1191A7C}"/>
    <hyperlink ref="Y736:Y750" r:id="rId380" display="crwagasore@migration.gov.rw" xr:uid="{5B4315E2-7813-4AA1-A643-47F86ABFA6FB}"/>
    <hyperlink ref="Y752:Y776" r:id="rId381" display="crwagasore@migration.gov.rw" xr:uid="{004052E3-A1FE-4B3B-9EA0-2B208BCA4297}"/>
    <hyperlink ref="Y2275" r:id="rId382" xr:uid="{9BE93E89-CFC5-4567-B1ED-1F4179EEA446}"/>
    <hyperlink ref="Y2276" r:id="rId383" xr:uid="{C3CE21CE-80A8-4ACC-AC20-C729FA8158E2}"/>
    <hyperlink ref="Y1196" r:id="rId384" xr:uid="{6F633EB9-B67A-4A7D-91F9-BD2A56BF6ABB}"/>
    <hyperlink ref="Y1876" r:id="rId385" xr:uid="{E859AA90-D077-490A-AE87-421EB784C293}"/>
    <hyperlink ref="Y1877" r:id="rId386" xr:uid="{4681CC67-D628-45F8-832A-16A19932E4E3}"/>
    <hyperlink ref="Y1875" r:id="rId387" xr:uid="{B942FDA5-C036-424C-9719-4523E6B4A62E}"/>
    <hyperlink ref="Y1733:Y1737" r:id="rId388" display="crwagasore@migration.gov.rw" xr:uid="{EDE7B646-E0FF-4799-9C8F-6845655F2CA9}"/>
    <hyperlink ref="Y864" r:id="rId389" xr:uid="{CECE5E26-DFEE-48A1-97B1-D0AB1AF5D59A}"/>
    <hyperlink ref="Y1755" r:id="rId390" xr:uid="{04EC8544-EA1B-4E01-B567-D8479C0803F6}"/>
    <hyperlink ref="Y956:Y998" r:id="rId391" display="crwagasore@migration.gov.rw" xr:uid="{21AFAE6C-B89E-425D-87CF-038E1BC751A1}"/>
    <hyperlink ref="Y627" r:id="rId392" xr:uid="{78D1FFBA-7F66-4D37-B614-D7E7B5936867}"/>
    <hyperlink ref="Y626" r:id="rId393" xr:uid="{1C789FA3-F3A4-4824-B43C-24CEEFD8C05E}"/>
    <hyperlink ref="Y625" r:id="rId394" xr:uid="{C3355F55-0FA9-4301-B028-B0F98C9EA194}"/>
    <hyperlink ref="Y69" r:id="rId395" xr:uid="{6918ED61-1112-41EA-A9A1-FD644A82B4BD}"/>
    <hyperlink ref="Y68" r:id="rId396" xr:uid="{3E65215A-F670-4595-A56C-BBDCEDCA6B77}"/>
    <hyperlink ref="Y67" r:id="rId397" xr:uid="{24599853-DBD0-4623-868C-F564BD8D3796}"/>
    <hyperlink ref="Y66" r:id="rId398" xr:uid="{DF239977-C508-4B8F-BD8C-D73FAB9A81CB}"/>
    <hyperlink ref="Y65" r:id="rId399" xr:uid="{87ECAB34-C867-4940-A2A0-C3282188D2C6}"/>
    <hyperlink ref="Y2186" r:id="rId400" xr:uid="{49C28997-C819-4448-BD1E-CBCCE2994428}"/>
    <hyperlink ref="Y2221" r:id="rId401" xr:uid="{E161B861-4474-4126-86F6-9B90A445A364}"/>
    <hyperlink ref="Y2187" r:id="rId402" xr:uid="{48E8657D-55AB-4317-A0E4-D4C0D834D57B}"/>
    <hyperlink ref="Y367" r:id="rId403" xr:uid="{49B634D0-B259-4313-83EC-267B4C44EA45}"/>
    <hyperlink ref="Y366" r:id="rId404" xr:uid="{0463EA60-C63B-444D-A35F-799EDDF46136}"/>
    <hyperlink ref="Y456" r:id="rId405" xr:uid="{20FC967A-3840-4295-8045-ED69D6586EE6}"/>
    <hyperlink ref="Y455" r:id="rId406" xr:uid="{BF259BD1-252D-4B79-9C78-D2C901CB595C}"/>
    <hyperlink ref="Y795" r:id="rId407" xr:uid="{25BC7592-4661-4D28-9459-E9B8B03B68D3}"/>
    <hyperlink ref="Y453" r:id="rId408" xr:uid="{49B1A59B-6611-48E9-B7EF-BA8F83BDBA4C}"/>
    <hyperlink ref="Y1415" r:id="rId409" xr:uid="{67A65942-85AF-4C27-874F-B88A0EDC651D}"/>
    <hyperlink ref="Y1984" r:id="rId410" xr:uid="{E31D1217-7B55-4171-B3F7-E5C829D48350}"/>
    <hyperlink ref="Y1983" r:id="rId411" xr:uid="{A3BDB2DC-B23F-4EDC-A85A-007545264C00}"/>
    <hyperlink ref="Y1981" r:id="rId412" xr:uid="{2D1A8DFA-0975-4001-84A9-6795A50D4253}"/>
    <hyperlink ref="Y1980" r:id="rId413" xr:uid="{FC65D052-E017-43D8-90C2-705970F49A95}"/>
    <hyperlink ref="Y1982" r:id="rId414" xr:uid="{AE198E39-5372-4F2A-B661-4F967EB50E87}"/>
    <hyperlink ref="Y877" r:id="rId415" xr:uid="{82C56569-5912-4462-A248-F931F20FD6FB}"/>
    <hyperlink ref="Y1868" r:id="rId416" display="judith.umulinga@udl.rw" xr:uid="{0F330DE9-3316-44FA-BF26-775A9B80A338}"/>
    <hyperlink ref="Y1866" r:id="rId417" xr:uid="{2509B354-3913-48E1-B6B8-986E82A9775F}"/>
    <hyperlink ref="Y1452" r:id="rId418" xr:uid="{7F003FF9-76D6-4C64-A983-50E4A3C9076B}"/>
    <hyperlink ref="Y1268" r:id="rId419" xr:uid="{83320A04-C618-461B-9189-EF5E05C10D08}"/>
    <hyperlink ref="Y1384" r:id="rId420" xr:uid="{1B31F022-3791-492E-AAA8-86CA6153E0F7}"/>
    <hyperlink ref="Y2054" r:id="rId421" xr:uid="{AB05B643-9E87-4F01-BE06-FEF6280CA6CA}"/>
    <hyperlink ref="Y1946" r:id="rId422" xr:uid="{A155968A-D594-48FF-8E5B-21517B4BFDE4}"/>
    <hyperlink ref="Y1917" r:id="rId423" xr:uid="{31838067-8AF8-4034-9D36-0D3BD4FA244E}"/>
    <hyperlink ref="Y1945" r:id="rId424" xr:uid="{2A68D387-5777-4122-B1B5-4EF5305382B5}"/>
    <hyperlink ref="Y506" r:id="rId425" xr:uid="{F05413D7-3512-4918-A40C-828463A49C81}"/>
    <hyperlink ref="Y505" r:id="rId426" xr:uid="{00972884-6FBD-4450-B568-7605709F784E}"/>
    <hyperlink ref="Y504" r:id="rId427" xr:uid="{DBCE9907-CF23-458A-B9D9-AD91100793FF}"/>
    <hyperlink ref="Y507" r:id="rId428" xr:uid="{9B44456D-0334-4254-9F31-65B38A195930}"/>
    <hyperlink ref="Y1430" r:id="rId429" xr:uid="{CF882C5A-23D4-4B47-A31F-CA4C547B0D5F}"/>
    <hyperlink ref="Y508" r:id="rId430" xr:uid="{34D64DB8-4200-4E86-8F07-65FC301F731C}"/>
    <hyperlink ref="Y503" r:id="rId431" xr:uid="{4C53E843-25F8-4C23-8990-4C06736ACC6E}"/>
    <hyperlink ref="Y1475" r:id="rId432" xr:uid="{E9C5EA05-BC48-4688-B232-293E24D47CF7}"/>
    <hyperlink ref="Y304" r:id="rId433" xr:uid="{857FC396-496D-4FF4-8471-9B9CE7A0007A}"/>
    <hyperlink ref="Y305" r:id="rId434" xr:uid="{DEC55590-6968-4274-830A-6FE82D3B9059}"/>
    <hyperlink ref="Y306" r:id="rId435" xr:uid="{1043A1FF-2D01-420D-A56D-57E75B31C040}"/>
    <hyperlink ref="Y303" r:id="rId436" xr:uid="{82D680CF-EA78-4433-BD58-7EA35A847150}"/>
    <hyperlink ref="Y2223" r:id="rId437" xr:uid="{14DCCD48-5A2E-4019-9555-FEE027E70C9A}"/>
    <hyperlink ref="Y2016" r:id="rId438" xr:uid="{D33185B9-26FC-4694-89AF-A8165F0E6413}"/>
    <hyperlink ref="Y2015" r:id="rId439" xr:uid="{C253707D-0F9F-4711-A0CE-3C66D61D8164}"/>
    <hyperlink ref="Y1272" r:id="rId440" xr:uid="{ADEF47A6-9F5F-41C2-8301-5E68F18C515C}"/>
    <hyperlink ref="Y1270" r:id="rId441" xr:uid="{246FD34B-05FC-4CDE-883C-6A1D228AB373}"/>
    <hyperlink ref="Y1271" r:id="rId442" xr:uid="{418A3979-9B42-40B1-B801-4A4CA3727059}"/>
    <hyperlink ref="Y2000" r:id="rId443" xr:uid="{7C19527C-DADB-4EC2-BE2A-9771D0430AFE}"/>
    <hyperlink ref="Y1999" r:id="rId444" xr:uid="{5DDB06DA-25B6-4317-B368-9EB3B5F38F16}"/>
    <hyperlink ref="Y1998" r:id="rId445" xr:uid="{531F7F16-C8B4-4CE2-A192-ECD42EA82BC0}"/>
    <hyperlink ref="Y1997" r:id="rId446" xr:uid="{294DDD89-8FC6-447F-94FB-C39C523344D5}"/>
    <hyperlink ref="Y1996" r:id="rId447" xr:uid="{6779444D-AC31-44D2-BBAC-CF8E627EF77A}"/>
    <hyperlink ref="Y1995" r:id="rId448" xr:uid="{CD97C95F-B8C0-4844-9941-92838A95AB34}"/>
    <hyperlink ref="Y2001" r:id="rId449" xr:uid="{607BB7F2-2522-4A07-AC64-8ADC8A2E9525}"/>
    <hyperlink ref="Y1947" r:id="rId450" xr:uid="{D41E42C1-0857-40DA-9B7D-C09FD0C63E46}"/>
    <hyperlink ref="Y1949" r:id="rId451" xr:uid="{858C3DF3-B42E-42D4-AF7C-59916EC877CC}"/>
    <hyperlink ref="Y1948" r:id="rId452" xr:uid="{1381EE42-ECAA-4373-B4B5-74AF06666A5E}"/>
    <hyperlink ref="Y454" r:id="rId453" xr:uid="{37D625AB-3DE8-4F6B-9B61-812C4D78A232}"/>
    <hyperlink ref="Y352" r:id="rId454" xr:uid="{2771A8C4-9CAE-4F89-A70A-865D27110309}"/>
    <hyperlink ref="Y351" r:id="rId455" xr:uid="{165B3127-5234-4686-A65F-44860217BC0F}"/>
    <hyperlink ref="Y353" r:id="rId456" xr:uid="{E2F256B9-8A2C-4103-B5C7-4C884A08CD81}"/>
    <hyperlink ref="Y350" r:id="rId457" xr:uid="{695ED6AF-597E-4015-98E1-CEC63E85EA65}"/>
    <hyperlink ref="Y348" r:id="rId458" xr:uid="{753671B9-A850-4DE0-94DE-4CE032094E1F}"/>
    <hyperlink ref="Y349" r:id="rId459" xr:uid="{AEDB4FDB-2FDD-40C8-87EA-04B10A988CF1}"/>
    <hyperlink ref="Y117" r:id="rId460" xr:uid="{BFC3107E-905B-4F56-935D-68074B474AAF}"/>
    <hyperlink ref="Y116" r:id="rId461" xr:uid="{24439321-FA5E-4B67-B430-B3D0B33E552A}"/>
    <hyperlink ref="Y112" r:id="rId462" xr:uid="{070E549D-07C8-4DE6-A20E-AE3538212631}"/>
    <hyperlink ref="Y111" r:id="rId463" xr:uid="{323AFF09-3896-4DDC-856C-38188CC96A6F}"/>
    <hyperlink ref="Y113" r:id="rId464" xr:uid="{FAFFD0B5-13D7-424F-84FD-3C4AF3408937}"/>
    <hyperlink ref="Y885" r:id="rId465" xr:uid="{613E4231-1691-45F2-9C27-1AEEE3CBBF13}"/>
    <hyperlink ref="Y888" r:id="rId466" xr:uid="{B2DBFCE8-B805-4037-880D-ED912DAFAF6D}"/>
    <hyperlink ref="Y886" r:id="rId467" xr:uid="{C74A8928-5458-4927-8A1D-AE5FE4C4A139}"/>
    <hyperlink ref="Y887" r:id="rId468" xr:uid="{E06ACEA1-6075-4658-A597-F7633542B164}"/>
    <hyperlink ref="Y2018" r:id="rId469" xr:uid="{1F0FA544-84F5-4FA5-8D62-E7AD93D5E303}"/>
    <hyperlink ref="Z2181:Z2184" r:id="rId470" display="wilson.kabagambe@rcs.gov.rw" xr:uid="{15FD0FCC-AE06-4C04-97A3-78C76EE74AE7}"/>
    <hyperlink ref="Z2176:Z2177" r:id="rId471" display="mailto:ENgirinshuti@bnr.rw" xr:uid="{6652C724-45C9-454B-99CB-1552CA0A241D}"/>
    <hyperlink ref="Y1752" r:id="rId472" xr:uid="{EB7ED065-6529-4C8C-942B-E91C8A676CF8}"/>
    <hyperlink ref="Y316" r:id="rId473" xr:uid="{EA284B7F-34D0-49BD-B83E-71165DAEF592}"/>
    <hyperlink ref="Y510" r:id="rId474" xr:uid="{0FA57486-F934-4B3A-B731-3B327AD43315}"/>
    <hyperlink ref="Y2281" r:id="rId475" xr:uid="{2E2A2AFF-C011-4C47-BDDD-EB5C37CF4290}"/>
    <hyperlink ref="Y1450" r:id="rId476" xr:uid="{662E5460-E7E3-42EC-80D1-5D461DA5850F}"/>
    <hyperlink ref="Y1451" r:id="rId477" xr:uid="{C00B0148-7EB9-4F2B-B772-0F02DBC53DDC}"/>
    <hyperlink ref="Y15" r:id="rId478" xr:uid="{C4800F5B-4475-41DD-891F-8BA8993F8683}"/>
    <hyperlink ref="Y14" r:id="rId479" xr:uid="{7EED8FA4-A9B1-43DC-9CF7-B3E531C69B23}"/>
    <hyperlink ref="Y17" r:id="rId480" xr:uid="{9F92ADFA-3283-4B85-8EB6-B22981163D06}"/>
    <hyperlink ref="Y1927:Y1928" r:id="rId481" display="faustin.rushema@accessbankplc.com " xr:uid="{A495A403-B22A-482D-BD8D-AF68C94B77B7}"/>
    <hyperlink ref="Y584" r:id="rId482" xr:uid="{C2F08AC4-D661-4633-8AFA-FB6786DDEBE2}"/>
    <hyperlink ref="Y1886" r:id="rId483" xr:uid="{012A8D37-FF68-4891-BF8F-D7519C6D18C5}"/>
    <hyperlink ref="Y1887" r:id="rId484" xr:uid="{FF38359B-9039-433F-9409-2F830961823A}"/>
    <hyperlink ref="Y2065" r:id="rId485" xr:uid="{55BCAA84-1315-407C-9002-C6C803222C48}"/>
    <hyperlink ref="Y1922:Y1924" r:id="rId486" display="ictsandrine@easternprovince.gov.rw " xr:uid="{348F45D9-69D0-494B-8C28-BD18C39EA532}"/>
    <hyperlink ref="Y1280" r:id="rId487" xr:uid="{73797A31-2A6D-43C4-9EF3-4B1C095E67D8}"/>
    <hyperlink ref="Y127" r:id="rId488" xr:uid="{2BD1DBE2-DBFE-4158-B903-877B1F4AE441}"/>
    <hyperlink ref="Y1341" r:id="rId489" xr:uid="{FBA8CAFD-552A-46D6-93C0-6A87D9187C25}"/>
    <hyperlink ref="Y1913" r:id="rId490" xr:uid="{F518FA64-D3CF-4F1C-A648-23ECEC677AE7}"/>
    <hyperlink ref="Y1915:Y1916" r:id="rId491" display="ndubasector@yahoo.com" xr:uid="{56304AD9-EEF4-4CD8-B2EC-CB99E7C448E6}"/>
    <hyperlink ref="Y2219" r:id="rId492" xr:uid="{59C0F1A1-7CEE-42EA-AD1A-3A4668CB5242}"/>
    <hyperlink ref="Y850" r:id="rId493" xr:uid="{471BA232-AB0C-4396-B2ED-53B41A4E4BA0}"/>
    <hyperlink ref="Y2024" r:id="rId494" xr:uid="{C14EB4CE-79FA-450B-A2E1-0160032E3670}"/>
    <hyperlink ref="Y1702" r:id="rId495" xr:uid="{2C3CE207-DE5E-44FD-A89B-8D38BEC9241C}"/>
    <hyperlink ref="Y157" r:id="rId496" xr:uid="{273EED96-4A13-40FC-A134-B663F6F718B7}"/>
    <hyperlink ref="Y2251" r:id="rId497" xr:uid="{F11E12B9-0A1D-4484-A622-5E52A29B0291}"/>
    <hyperlink ref="Y1463" r:id="rId498" xr:uid="{C09F988B-2978-4389-BED2-5B98E7462243}"/>
    <hyperlink ref="Y1462" r:id="rId499" xr:uid="{18587FC6-B3F9-45C5-94C3-96ED4BD0A52A}"/>
    <hyperlink ref="Y2055" r:id="rId500" display="nderasector@gasabo.gov.rw" xr:uid="{2EAAD62C-668A-4C72-BAD3-81CC0CDC9DE2}"/>
    <hyperlink ref="Y2056" r:id="rId501" xr:uid="{9D031E3D-F13A-49DA-9BF1-3827B91EDA1E}"/>
    <hyperlink ref="Y1414" r:id="rId502" xr:uid="{8E67ADD7-99D6-4CA4-AAD4-7208963C32D6}"/>
    <hyperlink ref="Y1877:Y1882" r:id="rId503" display="ict@kamonyi.gov.rw" xr:uid="{94B60DC2-8003-44BC-8FBE-D81264532174}"/>
    <hyperlink ref="Y1961" r:id="rId504" xr:uid="{AB674020-83CF-41AD-AAB9-0F15745CC10D}"/>
    <hyperlink ref="Y1486" r:id="rId505" xr:uid="{6B69111E-E110-49A4-A172-D560544CB0DE}"/>
    <hyperlink ref="Y1435" r:id="rId506" xr:uid="{36A26E97-D1D7-48BB-BF46-6DF046D93288}"/>
    <hyperlink ref="Y234" r:id="rId507" xr:uid="{250888E2-EF81-45BC-9408-258E124F4E6C}"/>
    <hyperlink ref="Y579" r:id="rId508" xr:uid="{1C768E88-2077-4E10-9F7B-0EA05D86237A}"/>
    <hyperlink ref="Y1922" r:id="rId509" xr:uid="{8A950F9E-3AC5-4CB3-94C7-102343D047B6}"/>
    <hyperlink ref="Y1951" r:id="rId510" xr:uid="{99B5D50F-DA88-473A-A346-B87B654222C1}"/>
    <hyperlink ref="Y1275" r:id="rId511" xr:uid="{4897CDF5-D29B-4221-990A-94952FAF630B}"/>
    <hyperlink ref="Y151" r:id="rId512" xr:uid="{1A340F93-95FA-41D1-AA28-872B3EAB9973}"/>
    <hyperlink ref="Y152" r:id="rId513" xr:uid="{1DF926D4-1CA5-42A7-81B6-2D5B6CC7232C}"/>
    <hyperlink ref="Y1880" r:id="rId514" xr:uid="{E25CFE54-7F1E-4EDD-B1C1-733B04E9B326}"/>
    <hyperlink ref="Y1881" r:id="rId515" xr:uid="{5FCF3D85-47E1-4670-B6AA-C2D3F5ABB5BD}"/>
    <hyperlink ref="Y1859:Y1862" r:id="rId516" display="rubavudistrict@rubavu.gov.rw " xr:uid="{7E18A1D6-1F28-4F17-9DD0-98CAADA0EC11}"/>
    <hyperlink ref="Y1003" r:id="rId517" xr:uid="{FEF3AF9C-A078-43C1-8948-0D75096B0632}"/>
    <hyperlink ref="Y1847:Y1857" r:id="rId518" display="jeanpaul.mahene@gasabo.gov.rw " xr:uid="{784C391A-1259-483B-BE21-195FF04C015E}"/>
    <hyperlink ref="Y1893" r:id="rId519" xr:uid="{7C1DF359-F35A-4A43-9AA1-7AA94AEE2A09}"/>
    <hyperlink ref="Y1361" r:id="rId520" xr:uid="{7A675DE0-1E35-4D4F-BA31-26050A769F3E}"/>
    <hyperlink ref="Y1824:Y1826" r:id="rId521" display="corporate@rwamagana.gov.rw" xr:uid="{939BC08C-9CC6-44C7-B019-AB85F3F6B3ED}"/>
    <hyperlink ref="Y233" r:id="rId522" xr:uid="{3AF65B1C-CBDF-4397-B1B8-E2217C7B0257}"/>
    <hyperlink ref="Y1821:Y1822" r:id="rId523" display="uwachan12@gmail.com " xr:uid="{DD0D5068-85E6-4C9A-ABE5-06B35AE605DF}"/>
    <hyperlink ref="Y346" r:id="rId524" xr:uid="{73D3B4DF-761E-4953-B8B7-9EA59FD42104}"/>
    <hyperlink ref="Y1818:Y1819" r:id="rId525" display="gatsatasector@yahoo.com" xr:uid="{EDE1DA34-F2FD-4E94-81BD-0E18549B0008}"/>
    <hyperlink ref="Y1401" r:id="rId526" xr:uid="{CA20ACA1-05CD-4E3C-80F6-D8ECC7129CFC}"/>
    <hyperlink ref="Y589" r:id="rId527" xr:uid="{C5DA8F5E-FFCB-48E3-A77C-5BC25D17B161}"/>
    <hyperlink ref="Y1809:Y1813" r:id="rId528" display="patrice.mvuyekure@ngoma.gov.rw" xr:uid="{1598EF34-C16A-44CF-B842-3F989960E275}"/>
    <hyperlink ref="Y1907" r:id="rId529" xr:uid="{2C0CBC7A-0F51-42AA-8AB2-AFAA8756F6E5}"/>
    <hyperlink ref="Y1856" r:id="rId530" xr:uid="{43F22215-2D13-47DA-A2A0-63A7E9F1179B}"/>
    <hyperlink ref="Y1855" r:id="rId531" xr:uid="{89A44E64-AE75-49A2-83FB-0C963B3D31C6}"/>
    <hyperlink ref="Y1281" r:id="rId532" xr:uid="{50B4429B-A415-4C2A-9FC7-75778EB76C7B}"/>
    <hyperlink ref="Y1282" r:id="rId533" xr:uid="{86AC8D99-5187-42D1-965E-3B619B34B59E}"/>
    <hyperlink ref="Y1795:Y1802" r:id="rId534" display="jeanne.niyonsaba@kicukiro.gov.rw" xr:uid="{60752502-401A-435E-A6D0-AC02BE44DC94}"/>
    <hyperlink ref="Y174" r:id="rId535" xr:uid="{1BBF7FFE-4AEA-4A5D-8593-8A02E359E087}"/>
    <hyperlink ref="Y1791:Y1792" r:id="rId536" display="gatera02@gmail.com " xr:uid="{9C89E79E-EE60-48E6-9282-ECF09C7F1694}"/>
    <hyperlink ref="Y2254" r:id="rId537" xr:uid="{9EE71B20-6D67-45B5-928F-057962314E42}"/>
    <hyperlink ref="Y531" r:id="rId538" xr:uid="{23C7BD78-857F-40F7-BF52-3D8708CC4FEF}"/>
    <hyperlink ref="Y241" r:id="rId539" xr:uid="{AC448D67-CDD7-45D3-811B-8E0A55A635BB}"/>
    <hyperlink ref="Y64" r:id="rId540" xr:uid="{3922B0E7-D005-4341-8994-B6794725C248}"/>
    <hyperlink ref="Y379" r:id="rId541" xr:uid="{4746F86E-0BA2-4403-B318-20A1055326CE}"/>
    <hyperlink ref="Y1780:Y1782" r:id="rId542" display="prosper.ndutiye@flyzipline.com " xr:uid="{A5C876F9-4B95-4D38-A908-ED50D9FCDDBE}"/>
    <hyperlink ref="Y270" r:id="rId543" xr:uid="{28F388C4-4A54-4FE1-B03B-E08C6CA69ABE}"/>
    <hyperlink ref="Y1771:Y1778" r:id="rId544" display="robertbita4@gmail.com " xr:uid="{F77DFB10-8FD8-4125-BC3E-21C1384A7B23}"/>
    <hyperlink ref="Y1924" r:id="rId545" xr:uid="{DBE7E789-686A-49A5-8B69-C8F5395B3D8B}"/>
    <hyperlink ref="Y1767:Y1769" r:id="rId546" display="prosper.hakizimana@nyarugenge.gov.rw " xr:uid="{8B04C427-D135-4507-BC97-4226EF2BC151}"/>
    <hyperlink ref="Y155" r:id="rId547" xr:uid="{6B6D2B75-A3AD-4B68-A232-65D379570258}"/>
    <hyperlink ref="Y59" r:id="rId548" xr:uid="{861B50E8-BE93-4E61-AE42-E110547575D6}"/>
    <hyperlink ref="Y1763:Y1764" r:id="rId549" display="murenzi.igor@mastersteel.co " xr:uid="{89B03DAC-8519-47B5-855F-EC0BAFBFC4FE}"/>
    <hyperlink ref="Y28" r:id="rId550" xr:uid="{B0015CA6-017D-43BE-A1B2-112C809A373E}"/>
    <hyperlink ref="Y1756:Y1761" r:id="rId551" display="ict@kamonyi.gov.rw" xr:uid="{E1A8ABC1-38D4-478C-852D-1DABE1704F6E}"/>
    <hyperlink ref="Y1976" r:id="rId552" xr:uid="{BE5AAEC9-6073-489B-88B0-AD6D8C782928}"/>
    <hyperlink ref="Y1269" r:id="rId553" xr:uid="{2DF5C4CB-60E6-4D9E-86D1-DCCF24B37D20}"/>
    <hyperlink ref="Y153" r:id="rId554" xr:uid="{62C78E1D-FD8E-4E81-A333-C11402EA0FF0}"/>
    <hyperlink ref="Y1745:Y1754" r:id="rId555" display="Rene.MUGENZA@bpr.rw " xr:uid="{8CAA340B-43F9-4C8B-A0B9-AE24BA8C9545}"/>
    <hyperlink ref="Y126" r:id="rId556" xr:uid="{5D88D432-BFAD-429F-BBE9-ED51622F746B}"/>
    <hyperlink ref="Y1381" r:id="rId557" display="mailto:JMbonyumugenzi@rw.ci.org" xr:uid="{AEB06663-FC6A-48E2-8632-B16654BE2739}"/>
    <hyperlink ref="Y96" r:id="rId558" xr:uid="{DAC321A0-F1BF-45A5-B791-527D94E95EB7}"/>
    <hyperlink ref="Y1336" r:id="rId559" xr:uid="{D66F4769-B2C7-4265-B430-72A7F69EE50B}"/>
    <hyperlink ref="Y1732:Y1736" r:id="rId560" display="ictofficer@kirehe.gov.rw" xr:uid="{F76D1EF2-5FBE-4881-B2B2-ECF8A835FE00}"/>
    <hyperlink ref="Y2226" r:id="rId561" xr:uid="{853110DD-2CBC-4130-A2A1-B2B70827AC9B}"/>
    <hyperlink ref="Y1416" r:id="rId562" xr:uid="{516DA471-DCAC-439C-896F-2D4604E42441}"/>
    <hyperlink ref="Y1725:Y1729" r:id="rId563" display="ictofficer@huye.gov.rw " xr:uid="{674C8366-C4C2-41E8-B81D-1314A05C442A}"/>
    <hyperlink ref="Y2059" r:id="rId564" xr:uid="{E0F5B846-C047-4CB7-8211-55461AEC62AE}"/>
    <hyperlink ref="Y1713:Y1723" r:id="rId565" display="rvuningoma@kigalicity.gov.rw " xr:uid="{B4FF686F-0D8E-4D33-A80B-04C93E21288D}"/>
    <hyperlink ref="Y46" r:id="rId566" xr:uid="{A0AF394C-DD96-4282-B769-4174F04C5A0E}"/>
    <hyperlink ref="Y159" r:id="rId567" xr:uid="{300CD843-991C-4600-A915-8B1AA31B2637}"/>
    <hyperlink ref="Y158" r:id="rId568" xr:uid="{5F7E90BB-1194-4221-91B7-54CE6CB5F550}"/>
    <hyperlink ref="Y1703:Y1708" r:id="rId569" display="ict@ruhango.gov.rw" xr:uid="{34027D06-EEA9-426B-9AFA-4E9464705ABC}"/>
    <hyperlink ref="Y2071" r:id="rId570" xr:uid="{2C01F8D2-CD24-4EAA-85D5-94AFBE7A372C}"/>
    <hyperlink ref="Y1696:Y1701" r:id="rId571" display="ictrutsiro@rutsiro.gov.rw " xr:uid="{CF9D9757-E092-4678-873C-3D68D78DA705}"/>
    <hyperlink ref="Y35" r:id="rId572" xr:uid="{6E98DC8F-B375-4CE7-A4E4-9F074264BCD4}"/>
    <hyperlink ref="Y9" r:id="rId573" xr:uid="{4A2317F4-FBFA-468E-B5D3-BA94BA97BF2E}"/>
    <hyperlink ref="Y1576:Y1579" r:id="rId574" display="info@rwandafda.gov.rw" xr:uid="{FF90AA8B-CFA5-443B-A222-950CEBFE54BB}"/>
    <hyperlink ref="Y253" r:id="rId575" xr:uid="{C3DB1311-B3E4-41B6-8A54-1741D53F7D0A}"/>
    <hyperlink ref="Y2091" r:id="rId576" xr:uid="{8AF85814-136D-4215-9AB5-564FECAC228E}"/>
    <hyperlink ref="Y1273" r:id="rId577" xr:uid="{0343CBEC-0777-4786-B870-FF5BAA3E5283}"/>
    <hyperlink ref="Y1278" r:id="rId578" xr:uid="{70689064-4330-44B1-B937-81A17EC97C46}"/>
    <hyperlink ref="Y1374" r:id="rId579" xr:uid="{83A0ECF4-E601-4694-9E98-636D1B928E5D}"/>
    <hyperlink ref="Y715" r:id="rId580" xr:uid="{B4EB5F0E-0C2C-4A69-880A-F7786D162C68}"/>
    <hyperlink ref="Y734" r:id="rId581" xr:uid="{85273685-C9AE-46BB-A96B-6901AC7EE39A}"/>
    <hyperlink ref="Y740" r:id="rId582" xr:uid="{3FE80FA6-C37C-46B6-ADC7-D3841DAC685E}"/>
    <hyperlink ref="Y743" r:id="rId583" xr:uid="{98007FF4-3CA7-4749-8F1E-E4DF1B75B4E8}"/>
    <hyperlink ref="Y733" r:id="rId584" xr:uid="{AB049203-303A-49C3-860D-F5FF6F63597B}"/>
    <hyperlink ref="Y714" r:id="rId585" xr:uid="{1B3035FF-0659-4E72-8F3E-F07EEFADE252}"/>
    <hyperlink ref="Y732" r:id="rId586" xr:uid="{6CB6F3CE-760C-4FA4-8A51-7A1A1059E8DB}"/>
    <hyperlink ref="Y710" r:id="rId587" xr:uid="{A21AA9C1-F575-499B-9F5E-30CC4A076488}"/>
    <hyperlink ref="Y731" r:id="rId588" xr:uid="{08141F6A-C57C-422A-82AF-E59405E2632C}"/>
    <hyperlink ref="Y713" r:id="rId589" xr:uid="{44B9D265-5BD2-4565-BBC2-EEE6A512739C}"/>
    <hyperlink ref="Y708" r:id="rId590" xr:uid="{7C86254A-1F3B-4EB1-A956-A6AA725B199B}"/>
    <hyperlink ref="Y707" r:id="rId591" xr:uid="{F74C4DCC-94F9-43F0-B49A-06C8ADB87D6B}"/>
    <hyperlink ref="Y712" r:id="rId592" xr:uid="{D41D33CA-AF16-42C8-BFFA-113E8555F0B6}"/>
    <hyperlink ref="Y711" r:id="rId593" xr:uid="{99008397-5A6E-419C-A3D5-0C4CFBA727F7}"/>
    <hyperlink ref="Y706" r:id="rId594" xr:uid="{4F028834-4FB5-4500-925C-41F343C60D24}"/>
    <hyperlink ref="Y719" r:id="rId595" xr:uid="{72D5D54F-466C-4634-9B34-13882D54F08A}"/>
    <hyperlink ref="Y717" r:id="rId596" xr:uid="{657920ED-646F-4578-848D-23CDE7FE5D10}"/>
    <hyperlink ref="Y716" r:id="rId597" xr:uid="{0B934974-E384-4F5B-A94F-BAF780334FF2}"/>
    <hyperlink ref="Y709" r:id="rId598" xr:uid="{56989ED8-C51B-4117-B4B2-8D9A0A1F3AED}"/>
    <hyperlink ref="Y730" r:id="rId599" xr:uid="{76DC51AD-3D52-4D64-89A3-5218AF7F77E5}"/>
    <hyperlink ref="Y722" r:id="rId600" xr:uid="{F844872F-5D10-495A-9276-4E05061CC1FE}"/>
    <hyperlink ref="Y721" r:id="rId601" xr:uid="{397444EE-A1F4-4AD4-8B02-55629806FB01}"/>
    <hyperlink ref="Y726" r:id="rId602" xr:uid="{83551B2A-3B6D-45F9-A368-BFD3D16CC683}"/>
    <hyperlink ref="Y735" r:id="rId603" xr:uid="{6309B233-1E4E-4A16-BCEB-831FC1E77585}"/>
    <hyperlink ref="Y741" r:id="rId604" xr:uid="{85A37F6F-6D7C-41CB-BB8B-18FE2F98F294}"/>
    <hyperlink ref="Y724" r:id="rId605" xr:uid="{C581990D-9ED2-4027-861E-CC92F44E7E77}"/>
    <hyperlink ref="Y739" r:id="rId606" xr:uid="{0697D6DD-3F02-43B6-8E43-02BA48AA9103}"/>
    <hyperlink ref="Y742" r:id="rId607" xr:uid="{0EBC2E23-FE6A-438D-9D0C-220BF3DAC51A}"/>
    <hyperlink ref="Y736" r:id="rId608" xr:uid="{E5F205D2-9E6B-47EA-AF8C-0FBA194891BE}"/>
    <hyperlink ref="Y737" r:id="rId609" xr:uid="{BE59D02B-2E30-4684-B0A0-C1E90030C31A}"/>
    <hyperlink ref="Y720" r:id="rId610" xr:uid="{2E38AFD5-E7B2-4A5E-A0A8-E36F97154F8A}"/>
    <hyperlink ref="Y728" r:id="rId611" xr:uid="{78A60472-4D09-4F32-AC8F-336BFFB9391C}"/>
    <hyperlink ref="Y725" r:id="rId612" xr:uid="{1477CA3E-9430-4CBC-BF0B-4FA871578FDC}"/>
    <hyperlink ref="Y729" r:id="rId613" xr:uid="{5CE674EC-15D9-4D56-82CE-3EB0C2CBE26C}"/>
    <hyperlink ref="Y727" r:id="rId614" xr:uid="{6AC7AD3E-1C63-471B-8C4E-FBC9E7ABEC5B}"/>
    <hyperlink ref="Y718" r:id="rId615" xr:uid="{8A0285E8-AC21-4EF9-9BCA-6288362E5223}"/>
    <hyperlink ref="Y744" r:id="rId616" xr:uid="{0183578D-63B8-449A-906E-CF9E04D034BB}"/>
    <hyperlink ref="Y723" r:id="rId617" xr:uid="{A185323E-5D87-4BAE-AC81-CB55FDA506EC}"/>
    <hyperlink ref="Y738" r:id="rId618" xr:uid="{C4AA1260-1DD9-4A3B-8223-78CD074FA3E2}"/>
    <hyperlink ref="Y816" r:id="rId619" xr:uid="{110D8F71-5048-4918-A5EA-02B7EAFB46C0}"/>
    <hyperlink ref="Y1221" r:id="rId620" xr:uid="{8229D9EF-CB5C-4C32-930F-9AB8ED2368E3}"/>
    <hyperlink ref="Y1552:Y1564" r:id="rId621" display="samuel.kagiraneza@rbc.gov.rw" xr:uid="{6153C1B8-A46E-4E8C-B52D-89D7652B3685}"/>
    <hyperlink ref="Y355" r:id="rId622" xr:uid="{CE6AF195-FACD-4512-8BBA-A429BC93D89A}"/>
    <hyperlink ref="Y136" r:id="rId623" xr:uid="{08A8FC77-52CF-4855-B2D4-2E1A03EEB839}"/>
    <hyperlink ref="Y132" r:id="rId624" xr:uid="{174E4359-5600-4201-937E-38A3F410CDE1}"/>
    <hyperlink ref="Y521" r:id="rId625" xr:uid="{3806DA06-246D-4F20-BCD2-14D0235CF28D}"/>
    <hyperlink ref="Y519" r:id="rId626" xr:uid="{25310C54-3108-4926-AEC5-6868AE795CEB}"/>
    <hyperlink ref="Y520" r:id="rId627" xr:uid="{D57A113F-05C2-4F8A-B9E5-9B024C7661F9}"/>
    <hyperlink ref="Y518" r:id="rId628" xr:uid="{BD429B11-F5E4-4E87-9DF1-9DAEEF79C036}"/>
    <hyperlink ref="Y1959" r:id="rId629" xr:uid="{CCE261C1-9140-4324-B98D-FDB363F29FDE}"/>
    <hyperlink ref="Y2289" r:id="rId630" xr:uid="{287973E4-5090-40D6-A0E0-83B62894F8EF}"/>
    <hyperlink ref="Y1418" r:id="rId631" display="semanaeric01@gmail.com" xr:uid="{A437D092-593D-4B1C-B24B-97BDDFE97C69}"/>
    <hyperlink ref="Y2261" r:id="rId632" xr:uid="{38127B0B-E43F-4AF1-9F90-4AF4D6E85288}"/>
    <hyperlink ref="Y1419" r:id="rId633" xr:uid="{83BF6912-763C-425C-B53A-670753436055}"/>
    <hyperlink ref="Y1491" r:id="rId634" xr:uid="{DCDCAF61-F3DF-4A8E-A08E-B1A9974F45E7}"/>
    <hyperlink ref="Y2269" r:id="rId635" xr:uid="{20ACA70F-89EF-4300-8A4A-F2833770C247}"/>
    <hyperlink ref="Y1030" r:id="rId636" xr:uid="{31E08DC2-12D8-4663-A12C-F957E4464EE6}"/>
    <hyperlink ref="Y448" r:id="rId637" xr:uid="{F116B1BD-DB69-43A0-81D3-DB13A50FBB80}"/>
    <hyperlink ref="Y447" r:id="rId638" xr:uid="{EE384A78-2638-4275-B560-83FA677E2D4B}"/>
    <hyperlink ref="Y446" r:id="rId639" xr:uid="{C9227EE6-6465-49DC-82F7-A2CC80CD444B}"/>
    <hyperlink ref="Y415" r:id="rId640" xr:uid="{269D5C8C-D217-4A1C-9F15-893DB279DA46}"/>
    <hyperlink ref="Y414" r:id="rId641" xr:uid="{60E96FA2-DF6D-4271-9D9B-65C59D31091A}"/>
    <hyperlink ref="Y413" r:id="rId642" xr:uid="{DF4573B1-C6D2-4667-980D-49A8CC8D3D83}"/>
    <hyperlink ref="Y412" r:id="rId643" xr:uid="{54C0A22C-7F11-4D22-A106-378F05A16C4A}"/>
    <hyperlink ref="Y411" r:id="rId644" xr:uid="{7C00CB7F-6533-4858-B621-5B59908075EF}"/>
    <hyperlink ref="Y410" r:id="rId645" xr:uid="{5F7FC1CB-C318-4486-88DE-38EBAE9A9C2E}"/>
    <hyperlink ref="Y409" r:id="rId646" xr:uid="{99DAB655-0DA4-4558-8AD4-A5744ADDA25F}"/>
    <hyperlink ref="Y400" r:id="rId647" xr:uid="{24FFB3F4-383D-4C8B-A6D3-C730D58EA274}"/>
    <hyperlink ref="Y399" r:id="rId648" xr:uid="{9F64CC80-0301-4650-9739-674BA5CCD99E}"/>
    <hyperlink ref="Y398" r:id="rId649" xr:uid="{75012E05-AE37-4C03-ACCA-C31B7C46674F}"/>
    <hyperlink ref="Y397" r:id="rId650" xr:uid="{E47F374B-D150-4B35-81DA-DBF62B4F0CD0}"/>
    <hyperlink ref="Y396" r:id="rId651" xr:uid="{62B049BA-DA0E-4EB3-AD67-4FAD25439FBD}"/>
    <hyperlink ref="Y395" r:id="rId652" xr:uid="{8F4F8EEC-8066-4562-8526-6190697D3483}"/>
    <hyperlink ref="Y394" r:id="rId653" xr:uid="{AD95D510-7705-410A-A867-F198185A9CE5}"/>
    <hyperlink ref="Y393" r:id="rId654" xr:uid="{02226526-22B6-4CA7-8BD1-5B980FC40909}"/>
    <hyperlink ref="Y392" r:id="rId655" xr:uid="{F2CB39E7-5AC0-4114-A1C0-A69009CA3C4C}"/>
    <hyperlink ref="Y391" r:id="rId656" xr:uid="{3190C89F-96DA-4F08-AB9B-B70E6093E415}"/>
    <hyperlink ref="Y390" r:id="rId657" xr:uid="{74D68FCB-8EF2-42DB-80DF-1323B532CF29}"/>
    <hyperlink ref="Y430" r:id="rId658" xr:uid="{B1AD3459-98F6-49AA-AD17-9AEC557A1E71}"/>
    <hyperlink ref="Y429" r:id="rId659" xr:uid="{B8DA06A4-1BDD-4F96-89E6-1FD786188CAE}"/>
    <hyperlink ref="Y428" r:id="rId660" xr:uid="{ECC47FE6-26F4-4EC7-80FC-A8A66B2827A5}"/>
    <hyperlink ref="Y427" r:id="rId661" xr:uid="{30C0BC72-EA50-4C77-92DE-45FC253750E6}"/>
    <hyperlink ref="Y426" r:id="rId662" xr:uid="{DF526E25-4920-46A7-88A8-15042545ACD7}"/>
    <hyperlink ref="Y425" r:id="rId663" xr:uid="{8A26DB4A-F37F-4E29-B4BF-1B2461D45BCE}"/>
    <hyperlink ref="Y424" r:id="rId664" xr:uid="{8C03CCD7-3602-41A9-9335-8AEB2DDD8B8B}"/>
    <hyperlink ref="Y423" r:id="rId665" xr:uid="{8DC1F14D-9ACB-4D78-BA8D-F41C06BE1E29}"/>
    <hyperlink ref="Y422" r:id="rId666" xr:uid="{32CF39BB-25F2-4F79-96CF-52F846841095}"/>
    <hyperlink ref="Y421" r:id="rId667" xr:uid="{A81D0BA4-6007-4125-B3AA-5B4BDC8596A2}"/>
    <hyperlink ref="Y445" r:id="rId668" xr:uid="{B8C033B8-48B6-4692-AC0E-83B042E0E3FD}"/>
    <hyperlink ref="Y444" r:id="rId669" xr:uid="{DCCD446A-3D6E-46B4-ADE4-29EBE36E9A88}"/>
    <hyperlink ref="Y443" r:id="rId670" xr:uid="{25FE0EF4-4885-4574-BC26-71C8C1AEE1D8}"/>
    <hyperlink ref="Y442" r:id="rId671" xr:uid="{438C9439-8A2A-4D0F-AA71-50DEC6BD8392}"/>
    <hyperlink ref="Y441" r:id="rId672" xr:uid="{928DAB98-162F-4B49-8CEC-561BB1A4F953}"/>
    <hyperlink ref="Y440" r:id="rId673" xr:uid="{BEEA83E7-F3F0-45EE-AEB0-B0E69E6FF56A}"/>
    <hyperlink ref="Y439" r:id="rId674" xr:uid="{160FB095-7642-4244-9A56-3E7B470E65B5}"/>
    <hyperlink ref="Y1465" r:id="rId675" xr:uid="{4E14724C-FA63-4313-9E0A-F2450ABBECC2}"/>
    <hyperlink ref="Y182" r:id="rId676" xr:uid="{A492D799-AB13-4575-8393-C4AF14F3D81E}"/>
    <hyperlink ref="Y260" r:id="rId677" xr:uid="{2DE9C200-C9DF-4BFA-BC66-6D36AA3BD319}"/>
    <hyperlink ref="Y2282" r:id="rId678" xr:uid="{98ABA1E4-E68C-4576-9DF5-E4A042A520A6}"/>
    <hyperlink ref="Y488" r:id="rId679" xr:uid="{532EF2A3-D348-4E6A-BD3A-E10254E851C2}"/>
    <hyperlink ref="Y2253" r:id="rId680" xr:uid="{A3032250-FB26-4FF5-97C2-09E985913167}"/>
    <hyperlink ref="Y1526:Y1527" r:id="rId681" display="mukamahoro07@gmail.com" xr:uid="{D6B958E1-CEFA-4A2C-8E80-FE72ED93AE93}"/>
    <hyperlink ref="Y564" r:id="rId682" xr:uid="{63885995-BDB4-4518-B7CF-D55B5523CC77}"/>
    <hyperlink ref="Y2279" r:id="rId683" xr:uid="{9B7D7483-C2DC-4CE9-BA77-AA36AED96CA0}"/>
    <hyperlink ref="Y1519:Y1523" r:id="rId684" display="d.gatete@rmh.rw" xr:uid="{E151A6EB-3B02-420A-A535-D99020DF8F6E}"/>
    <hyperlink ref="Y881" r:id="rId685" xr:uid="{3AF2F609-27BE-49CE-8BF2-BE61A6561999}"/>
    <hyperlink ref="Y1516:Y1517" r:id="rId686" display="rwamagana.hospital@moh.gov.rw" xr:uid="{1102F87A-A4D4-462C-BE25-32B7DE393472}"/>
    <hyperlink ref="Y1915" r:id="rId687" xr:uid="{7D807734-475F-45C8-90B7-5F4F5C96A71C}"/>
    <hyperlink ref="Y1513:Y1514" r:id="rId688" display="umuconso@gmail.com" xr:uid="{B6E90B2B-BEFD-4AE2-B551-050FFFB8AB90}"/>
    <hyperlink ref="Y252" r:id="rId689" xr:uid="{B9599D02-731A-4054-BA8B-4188BC99AC37}"/>
    <hyperlink ref="Y1454:Y1455" r:id="rId690" display="ngaboyamahinafaustin77@gmail.com" xr:uid="{F4A966DD-A038-4D7F-9F81-06112704787E}"/>
    <hyperlink ref="X1454:X1455" r:id="rId691" display="umuconso@gmail.com" xr:uid="{8D29E714-422E-42A2-B7BD-08384FE82D14}"/>
    <hyperlink ref="Y2278" r:id="rId692" xr:uid="{2915FE9F-455E-4D09-9482-B57F09259327}"/>
    <hyperlink ref="Y2277" r:id="rId693" xr:uid="{6B69D06A-1E63-4509-89D5-F845A38EC0B8}"/>
    <hyperlink ref="Y814" r:id="rId694" xr:uid="{276AD242-15A5-4FEF-BB3B-1267C0D04895}"/>
    <hyperlink ref="Y1168" r:id="rId695" xr:uid="{13223066-BEC2-4B2D-8E95-F4F81D3225EA}"/>
    <hyperlink ref="Y384" r:id="rId696" xr:uid="{2AE04DED-FBB4-40BA-8491-70B488780335}"/>
    <hyperlink ref="Y383" r:id="rId697" xr:uid="{825C1BCB-7180-4E08-98F9-A58FA59B34A3}"/>
    <hyperlink ref="Y1963" r:id="rId698" xr:uid="{E75833C4-19F4-445A-935B-6CCB2EB0F7CE}"/>
    <hyperlink ref="Y1964" r:id="rId699" xr:uid="{CBD9D3E5-D9B2-4637-B915-D72CC186FEF2}"/>
    <hyperlink ref="Y1962" r:id="rId700" xr:uid="{C49F4535-B7AC-401B-8145-415EF6C9DE08}"/>
    <hyperlink ref="Y1865" r:id="rId701" xr:uid="{06555DAB-CCB7-446A-ADE3-2AF91E531D59}"/>
    <hyperlink ref="Y1864" r:id="rId702" xr:uid="{3EE0F20E-EC17-489E-97C5-31BAF514FE7B}"/>
    <hyperlink ref="Y1979" r:id="rId703" xr:uid="{56F9ACDC-BF28-465A-A0DA-C3CBF543F104}"/>
    <hyperlink ref="Y1166" r:id="rId704" xr:uid="{C31AF32E-38DD-4B12-AFFB-048992157DCA}"/>
    <hyperlink ref="Y1165" r:id="rId705" xr:uid="{CFBC39DC-11FE-4A24-B660-CB97DF2DFF72}"/>
    <hyperlink ref="Y860" r:id="rId706" xr:uid="{B72305E8-92CC-42B0-BF28-79580A3A385D}"/>
    <hyperlink ref="Y2194" r:id="rId707" xr:uid="{48B2BB82-F9E7-4097-8DB5-3B605B40F5CC}"/>
    <hyperlink ref="Y2195" r:id="rId708" xr:uid="{D3B2BF39-BB04-4E9E-9A0D-0CE18CC2099F}"/>
    <hyperlink ref="Y186" r:id="rId709" xr:uid="{45FED6F6-204D-43A4-B678-6428B1984F18}"/>
    <hyperlink ref="Y185" r:id="rId710" xr:uid="{E7A63543-9CB7-4BF8-B9A2-63191B959302}"/>
    <hyperlink ref="Y1754" r:id="rId711" xr:uid="{97BD5762-4BC3-4289-AD91-31436E557048}"/>
    <hyperlink ref="Y2274" r:id="rId712" xr:uid="{BA79211F-88B0-4739-AB7C-DAF8C18B834D}"/>
    <hyperlink ref="Y2273" r:id="rId713" xr:uid="{A4B61FCE-846F-45DD-BAE2-F167A27B124C}"/>
    <hyperlink ref="Y1494:Y1495" r:id="rId714" display="murunda.hospital@moh.gov.rw" xr:uid="{03037D92-D59F-4041-8F05-E31AD726B641}"/>
    <hyperlink ref="Y683" r:id="rId715" xr:uid="{48B0D19F-2897-4D3A-A3F0-F87B8B91FD49}"/>
    <hyperlink ref="Y1978" r:id="rId716" xr:uid="{F8EBE2EE-CBBA-4F66-BCF4-1675C6A32AB4}"/>
    <hyperlink ref="Y1152" r:id="rId717" xr:uid="{F75D821E-B907-4A70-8469-9ADD16338098}"/>
    <hyperlink ref="Y1151" r:id="rId718" xr:uid="{946A56DE-6770-4F39-9A42-A56CB8717719}"/>
    <hyperlink ref="Y1286" r:id="rId719" xr:uid="{C1112B20-F390-4C4E-AAF5-9362F60DA11A}"/>
    <hyperlink ref="Y1487:Y1488" r:id="rId720" display="muhima.hospital@moh.gov.rw" xr:uid="{5CF901BC-F0F4-4BF5-991B-DA284BC36686}"/>
    <hyperlink ref="Y1383" r:id="rId721" xr:uid="{56B0481D-DD93-40E1-BEFC-7B859F33A84E}"/>
    <hyperlink ref="Y1484:Y1485" r:id="rId722" display="mugonero.hospital@moh.gov.rw" xr:uid="{77C35FCE-D0F7-416D-9855-B005F0FD9E05}"/>
    <hyperlink ref="Y2081" r:id="rId723" xr:uid="{1EF98FC8-89CA-40A3-AC21-C9EB235A32D2}"/>
    <hyperlink ref="Y58" r:id="rId724" xr:uid="{1ADEFE0E-4C03-4B41-9ABC-D5A0792346F1}"/>
    <hyperlink ref="Y57" r:id="rId725" xr:uid="{47E5FD0D-FAD7-41C0-9AED-B7AD02BAE642}"/>
    <hyperlink ref="Y1145" r:id="rId726" xr:uid="{28F41B7A-E751-4189-B666-D3D5B6934B29}"/>
    <hyperlink ref="Y183" r:id="rId727" xr:uid="{7D5519B2-D57A-4420-986C-C1E94A4B86BA}"/>
    <hyperlink ref="Y1146" r:id="rId728" xr:uid="{687764AC-D9A1-4768-B4A0-81973D176907}"/>
    <hyperlink ref="Y2272" r:id="rId729" xr:uid="{F53139E5-39A5-4BF7-99C8-BFDE9E15C7CA}"/>
    <hyperlink ref="Y1144" r:id="rId730" xr:uid="{8C196899-844C-4E12-B6B7-53D6723C3F53}"/>
    <hyperlink ref="Y1143" r:id="rId731" xr:uid="{6B75B9E6-6F3C-4F01-A979-8B1660C77D17}"/>
    <hyperlink ref="Y1120" r:id="rId732" xr:uid="{D479DA4D-9909-4841-9D8A-447B3EC3AEDF}"/>
    <hyperlink ref="Y1121" r:id="rId733" xr:uid="{70AEE76C-593A-4233-841B-D35AC47EC992}"/>
    <hyperlink ref="Y1119" r:id="rId734" xr:uid="{19AA201D-164A-4E4A-9D91-A0EB636F44F5}"/>
    <hyperlink ref="Y1118" r:id="rId735" xr:uid="{D539F224-4C32-4FDE-AAED-4DBB6869E64F}"/>
    <hyperlink ref="Y492" r:id="rId736" xr:uid="{93BC0942-AEC0-4A65-BBD9-D18585566968}"/>
    <hyperlink ref="Y491" r:id="rId737" xr:uid="{311DF630-7835-42EB-9277-BC514F28D2EF}"/>
    <hyperlink ref="Y490" r:id="rId738" xr:uid="{2B917B2B-5D83-4315-9054-2F3E71E2A323}"/>
    <hyperlink ref="Y1142" r:id="rId739" xr:uid="{DCF616FE-7478-4457-BF41-4EB6626F9F2A}"/>
    <hyperlink ref="Y1141" r:id="rId740" xr:uid="{038D2E60-9AFD-4703-B0B0-B4E81426E00D}"/>
    <hyperlink ref="Y825" r:id="rId741" xr:uid="{A8F43680-ECC0-458D-89F0-D07614B9C718}"/>
    <hyperlink ref="Y824" r:id="rId742" xr:uid="{9DD2F98C-DFF6-4B83-9ED1-0F60920B120E}"/>
    <hyperlink ref="Y823" r:id="rId743" xr:uid="{4C92CF99-116F-4DA2-AB8F-16E849E7693B}"/>
    <hyperlink ref="Y822" r:id="rId744" xr:uid="{52EB0A8A-6CC0-4665-863D-22894A6B0E42}"/>
    <hyperlink ref="Y1140" r:id="rId745" xr:uid="{39482730-34F2-47E1-9173-7D1AF9A0A0F5}"/>
    <hyperlink ref="Y1139" r:id="rId746" xr:uid="{73F8B9A5-572E-46E3-8B0E-1D1683321E27}"/>
    <hyperlink ref="Y1953" r:id="rId747" xr:uid="{A8695150-0202-4F1F-8325-8A44C24002A9}"/>
    <hyperlink ref="Y1991" r:id="rId748" xr:uid="{C05DED0B-384C-4DA0-B797-7DAB78F75A28}"/>
    <hyperlink ref="Y173" r:id="rId749" xr:uid="{B667B4D5-8B7B-414A-8B2F-E06F0A3B57C1}"/>
    <hyperlink ref="Y1950" r:id="rId750" xr:uid="{CD9BF5BF-0A0F-401D-94EC-9C4D213395CF}"/>
    <hyperlink ref="Y1138" r:id="rId751" xr:uid="{56D22571-C383-41F0-AC1F-488A97F96B1F}"/>
    <hyperlink ref="Y1137" r:id="rId752" xr:uid="{C9CA3F64-5AFB-4778-8EE6-11921270AD4A}"/>
    <hyperlink ref="Y1952" r:id="rId753" xr:uid="{B449B02B-3607-41D7-9CDE-E3C53FB2D493}"/>
    <hyperlink ref="X821" r:id="rId754" display="umuconso@gmail.com" xr:uid="{6DBACB3F-7FD1-4819-BF1B-0CDD2F14D28A}"/>
    <hyperlink ref="Y821" r:id="rId755" xr:uid="{0F73F0DA-A12B-411D-9397-62F2C4FD9F1A}"/>
    <hyperlink ref="Y2188" r:id="rId756" xr:uid="{0B1662C7-67A8-4CAC-BBE5-4638F2D03A1A}"/>
    <hyperlink ref="Y1879" r:id="rId757" xr:uid="{C91C681F-1095-44C7-A98B-27CEE5E217ED}"/>
    <hyperlink ref="Y247" r:id="rId758" xr:uid="{4522E0A0-F588-4E17-A4DF-A75DBB60EDC5}"/>
    <hyperlink ref="Y246" r:id="rId759" xr:uid="{14B7D534-19CE-42DF-A907-A7516A0CCAAD}"/>
    <hyperlink ref="Y172" r:id="rId760" xr:uid="{53933E09-16C1-4CA5-B2D7-EC1520BE879A}"/>
    <hyperlink ref="Y2089" r:id="rId761" xr:uid="{86C2BF45-AE5C-4AEC-A59A-6BAA56762F96}"/>
    <hyperlink ref="Y1988" r:id="rId762" xr:uid="{61F003A1-2A41-4F11-B6EB-D9F0268EF6F0}"/>
    <hyperlink ref="Y2088" r:id="rId763" xr:uid="{6B317952-77EF-46A4-AA2B-AA3234337B71}"/>
    <hyperlink ref="Y2249" r:id="rId764" xr:uid="{5E8623F1-379C-414E-92A9-39F6A3CE83AE}"/>
    <hyperlink ref="Y516" r:id="rId765" xr:uid="{04EF079E-4281-4572-B774-A0B5DAEC8B81}"/>
    <hyperlink ref="Y1440:Y1442" r:id="rId766" display="ggitwehospital@gmail.com" xr:uid="{A56583C4-E32E-42A0-B1B1-6816809E5816}"/>
    <hyperlink ref="Y2270" r:id="rId767" xr:uid="{AA72880B-8993-4E9B-9E1B-3904D5940480}"/>
    <hyperlink ref="Y1434:Y1437" r:id="rId768" display="gisenyi.hospital@moh.gov.rw" xr:uid="{F5F142EF-AF84-4D69-AD66-5D510ACB4056}"/>
    <hyperlink ref="Y368" r:id="rId769" xr:uid="{663845C5-022A-4872-B873-0D006876CFCC}"/>
    <hyperlink ref="Y354" r:id="rId770" xr:uid="{70D4B3BB-D4CE-4CD9-81AB-F56A88681BB3}"/>
    <hyperlink ref="Y1938" r:id="rId771" xr:uid="{3E5DF720-F151-4EA3-A35E-7A52839162B9}"/>
    <hyperlink ref="Y2213" r:id="rId772" xr:uid="{0C8EA02D-CD30-4278-A13F-2549641A306A}"/>
    <hyperlink ref="Y1428:Y1429" r:id="rId773" display="gahini.hospital@moh.gov.rw" xr:uid="{916526FA-42B0-400A-AEF4-7A8A7B6135A4}"/>
    <hyperlink ref="Y820" r:id="rId774" xr:uid="{7BE2BF30-EC1A-470D-B40E-16761C55977F}"/>
    <hyperlink ref="Y2224" r:id="rId775" xr:uid="{37581AA8-CCC9-4EB3-8A24-1AC07AC48FFE}"/>
    <hyperlink ref="Y1421:Y1424" r:id="rId776" display="info@chub.rw;gada@chub.rw" xr:uid="{E7A39709-A4E5-418C-AED2-041CEC5AD669}"/>
    <hyperlink ref="Y256" r:id="rId777" xr:uid="{F7287DD5-F81B-4456-B27A-F088160B05F2}"/>
    <hyperlink ref="Y1418:Y1419" r:id="rId778" display="ndera.hospital@moh.gov.rw" xr:uid="{B3D68873-D73B-4996-9263-2810C71356FE}"/>
    <hyperlink ref="Y2215" r:id="rId779" xr:uid="{F143DAFE-E613-40C7-B1C1-CF87025B920B}"/>
    <hyperlink ref="Y1415:Y1416" r:id="rId780" display="chrisneza@gmail.com" xr:uid="{DFC5143C-05C0-4AE9-BF76-C6E6D0341FBE}"/>
    <hyperlink ref="Y1325" r:id="rId781" xr:uid="{09618547-C572-4BE3-ABAA-5965789BDDB8}"/>
    <hyperlink ref="Y1334" r:id="rId782" xr:uid="{0DF57F55-DC7E-4A79-9439-1646D51A368C}"/>
    <hyperlink ref="Y2256" r:id="rId783" xr:uid="{49A30F21-04F3-4D84-B8F5-24E1A4291C4D}"/>
    <hyperlink ref="Y1126" r:id="rId784" xr:uid="{B0C3CD28-4E97-4DB4-94A6-25B0E8BC05D8}"/>
    <hyperlink ref="Y1125" r:id="rId785" xr:uid="{6F3215C6-AC3D-40AD-B8C2-D184F6093305}"/>
    <hyperlink ref="Y1395" r:id="rId786" xr:uid="{0FE2F369-4C44-44E5-AAAD-0ABCC9881431}"/>
    <hyperlink ref="Y916:Y921" r:id="rId787" display="jmatovu@minisports.gov.rw" xr:uid="{9754139F-DA02-4FFE-A081-AFD5D6EB57BA}"/>
    <hyperlink ref="Y843" r:id="rId788" xr:uid="{619ADCA0-31F6-49D0-B3B4-62A5E65074A0}"/>
    <hyperlink ref="Y1364:Y1365" r:id="rId789" display="munezero.diane@duhamic.org.rw" xr:uid="{6F078E25-D32B-48DD-94A2-AEA64FE33772}"/>
    <hyperlink ref="Y1245:Y1246" r:id="rId790" display="hassanm@psf.org.rw" xr:uid="{A7C573AA-1B09-4779-A542-1D517BD3C29E}"/>
    <hyperlink ref="Y1921" r:id="rId791" xr:uid="{03C1A876-1A66-4A9B-B00D-FFF2C6B6E7B1}"/>
    <hyperlink ref="Y1888" r:id="rId792" xr:uid="{D411B1CD-86D3-4C5A-8CEC-9EB03EA687CF}"/>
    <hyperlink ref="Y1919" r:id="rId793" xr:uid="{B6ED7A39-4F5E-4A6A-9DAE-6AC896887E8C}"/>
    <hyperlink ref="Y1918" r:id="rId794" xr:uid="{EE585ACA-FF3A-4AC0-BBEF-1486727B30A4}"/>
    <hyperlink ref="Y44" r:id="rId795" xr:uid="{71A50D9B-21B1-44B8-BE80-B2CCD77BCEF3}"/>
    <hyperlink ref="Y826" r:id="rId796" xr:uid="{99F98F04-184C-4BFA-92C3-40A7F4B2D8CF}"/>
    <hyperlink ref="Y862:Y886" r:id="rId797" display="ictofficer@gisagara.gov.rw" xr:uid="{C904F528-7F7E-4DDD-AC70-1FE7DFB2A81D}"/>
    <hyperlink ref="Y800:Y805" r:id="rId798" display="pascal.ndikubwimana@nyabihu.gov.rw" xr:uid="{1DD8256F-7921-4AB5-8324-3CE05F8A7053}"/>
    <hyperlink ref="Y855" r:id="rId799" xr:uid="{EB817206-FF97-41DD-BEDD-5843CA0D0D6E}"/>
    <hyperlink ref="Y797:Y798" r:id="rId800" display="ombudsinfo@ombudsman.gov.rw" xr:uid="{F01934F1-CE5E-460B-9BF1-A21D25AE8A12}"/>
    <hyperlink ref="Y865" r:id="rId801" xr:uid="{8EF6B06A-A03E-4202-984F-C791A39E5BCD}"/>
    <hyperlink ref="Y262" r:id="rId802" xr:uid="{396EEAC8-A7E6-49F0-9122-0E0A0BC9C066}"/>
    <hyperlink ref="Y513" r:id="rId803" xr:uid="{FEB7C6FC-B55C-4C92-A2B9-9E16E65CB3A7}"/>
    <hyperlink ref="Y1276" r:id="rId804" xr:uid="{774ED2FF-347F-4548-9F1C-F7C2DD4D2849}"/>
    <hyperlink ref="Y1277" r:id="rId805" xr:uid="{59CB4106-B3DA-4F7A-9028-6274DED26EAF}"/>
    <hyperlink ref="Y1882" r:id="rId806" xr:uid="{C86870A0-1183-499B-BB33-BC88456B8647}"/>
    <hyperlink ref="Y1368:Y1369" r:id="rId807" display="fmubiligi@rppa.gov.rw" xr:uid="{FBD3B4DD-5E85-437C-9B71-399FAAE9204C}"/>
    <hyperlink ref="Y511" r:id="rId808" xr:uid="{DAC1039D-BF33-46EF-893B-FF4C7C43BFD5}"/>
    <hyperlink ref="Y1324" r:id="rId809" xr:uid="{5E341772-B10A-42BA-8AB0-24D86AA27C4D}"/>
    <hyperlink ref="Y867" r:id="rId810" xr:uid="{A504CB07-D7FA-48BF-A4F9-02E91DF3BBBA}"/>
    <hyperlink ref="Y646" r:id="rId811" xr:uid="{21279057-B720-4BA4-A051-8457BBE98E13}"/>
    <hyperlink ref="Y1335" r:id="rId812" xr:uid="{099D0CED-137A-456E-8593-A15A633E403E}"/>
    <hyperlink ref="Y544" r:id="rId813" xr:uid="{12F1845B-15E2-4265-BB78-EDB7A255376C}"/>
    <hyperlink ref="Y813" r:id="rId814" xr:uid="{71659A42-A116-404B-9B64-76E1C5485C34}"/>
    <hyperlink ref="Y517" r:id="rId815" xr:uid="{9D6EB68A-8778-4037-B358-C9302C54C48C}"/>
    <hyperlink ref="Y1400" r:id="rId816" xr:uid="{CBEDF340-B140-43C8-81A0-4EE03EBD8B1C}"/>
    <hyperlink ref="Y690" r:id="rId817" xr:uid="{A12FE922-2B3A-4048-80B0-10A3437FC614}"/>
    <hyperlink ref="Y689" r:id="rId818" xr:uid="{7C82809D-70EE-483F-861A-0CFDACA789CA}"/>
    <hyperlink ref="Y1287" r:id="rId819" xr:uid="{6482C3CB-E5C0-4387-B05F-3657A1FB151A}"/>
    <hyperlink ref="Y529" r:id="rId820" xr:uid="{9D190305-3DF9-4D78-AA6B-32DF86C3D36F}"/>
    <hyperlink ref="Y369" r:id="rId821" xr:uid="{5BBDF85B-09F1-4E55-B969-9734B04F75D8}"/>
    <hyperlink ref="Y1901" r:id="rId822" xr:uid="{74A69942-5AA6-447B-BB7F-D1477D0206E7}"/>
    <hyperlink ref="Y2027" r:id="rId823" xr:uid="{5BB7123D-30A0-4957-AB78-96588352BD35}"/>
    <hyperlink ref="Y2026" r:id="rId824" xr:uid="{B134D6D1-869B-4E3F-9D50-A6F59B644EF1}"/>
    <hyperlink ref="Y1936" r:id="rId825" xr:uid="{B31483A9-4366-4643-ACBF-F094472E4F69}"/>
    <hyperlink ref="Y1937" r:id="rId826" xr:uid="{BBE42FA8-C565-4958-AB72-142035C88232}"/>
    <hyperlink ref="Y2196" r:id="rId827" xr:uid="{734DF97C-8E01-471B-9519-3932BECBB7C9}"/>
    <hyperlink ref="Y2062" r:id="rId828" xr:uid="{E4FD01BF-4633-48D6-9E25-565E35BA3B42}"/>
    <hyperlink ref="Y935:Y939" r:id="rId829" display="willy.nsabiyumva@nida.gov.rw" xr:uid="{1C08DDF2-5C0A-4C2D-AB5D-56A2C2E8F277}"/>
    <hyperlink ref="Y187" r:id="rId830" xr:uid="{A7D9A85E-03D4-4634-B6DB-AFFA89EC1C5E}"/>
    <hyperlink ref="Y860:Y861" r:id="rId831" display="rmutabazi@minema.gov.rw" xr:uid="{581CC57F-7266-45ED-B1A2-B3895F00C9CA}"/>
    <hyperlink ref="Y837" r:id="rId832" xr:uid="{BF10949A-91F3-45D8-BE96-3B7099B7E1F1}"/>
    <hyperlink ref="Y857:Y859" r:id="rId833" display="ictofficer@gisagara.gov.rw " xr:uid="{C2DB4007-7967-48CF-B807-20006987FD08}"/>
    <hyperlink ref="Y2141" r:id="rId834" xr:uid="{4DEEB241-186B-4D2B-911E-31055A3420DD}"/>
    <hyperlink ref="Y1170" r:id="rId835" xr:uid="{62E3A354-EB9D-45CB-BA95-E5404B635C70}"/>
    <hyperlink ref="Y1169" r:id="rId836" xr:uid="{149334A4-A1F9-4694-980A-DB74B4310D82}"/>
    <hyperlink ref="Y1249:Y1251" r:id="rId837" display="josette.mukarukundo@parliament.gov.rw" xr:uid="{7CBB9F3F-0A99-48EA-B67D-B554A9DBF852}"/>
    <hyperlink ref="Y97" r:id="rId838" xr:uid="{D1C7E5CC-3779-49FA-A06D-749823CA4895}"/>
    <hyperlink ref="Y2266" r:id="rId839" display="mailto:modeste.nsanzimana@northernprovince.gov.rw" xr:uid="{A3FBBEC9-1F87-4A85-8E10-1EA30CD2EF9C}"/>
    <hyperlink ref="Y168" r:id="rId840" xr:uid="{0D243369-2C41-46D9-B9F3-357BC540532D}"/>
    <hyperlink ref="Y1261:Y1262" r:id="rId841" display="jack@africastalking.com" xr:uid="{7606DB6E-4C5A-46C4-AC07-50CCC77BAB7C}"/>
    <hyperlink ref="Y486" r:id="rId842" xr:uid="{E91FF14D-36BB-4866-BEC0-629E632CC93A}"/>
    <hyperlink ref="Y263" r:id="rId843" xr:uid="{3D5EDFB6-192A-4E72-80B9-E46AC9B5DDED}"/>
    <hyperlink ref="Y257" r:id="rId844" xr:uid="{2B89FF52-6800-40F5-A86A-958AF49C2674}"/>
    <hyperlink ref="Y1399" r:id="rId845" xr:uid="{DFFE2497-6E4A-4E22-BC32-7B819BBD2F83}"/>
    <hyperlink ref="Y18" r:id="rId846" display="rbob@mvend.co.rw" xr:uid="{A959CF55-A5DB-44B2-A980-7C9BC109B626}"/>
    <hyperlink ref="Y1347" r:id="rId847" xr:uid="{18909262-1FC7-4220-8177-72327560D62F}"/>
    <hyperlink ref="Y265" r:id="rId848" xr:uid="{E9968400-099E-4C25-B1D2-9DD347BE6190}"/>
    <hyperlink ref="Y264" r:id="rId849" xr:uid="{B215521B-C023-445B-8932-05780B90A0B0}"/>
    <hyperlink ref="Y1209" r:id="rId850" xr:uid="{D86C5D3D-6190-4757-AFFB-3816FAE856EA}"/>
    <hyperlink ref="Y457" r:id="rId851" xr:uid="{89BF1861-9F20-4626-8B61-9A211F48D7CC}"/>
    <hyperlink ref="Y1753" r:id="rId852" xr:uid="{0D6C12A4-BB22-4CCF-8009-7B8CFB344C3F}"/>
    <hyperlink ref="Y1863" r:id="rId853" xr:uid="{22E3C75A-6536-4F5B-9CBB-06442036E71B}"/>
    <hyperlink ref="Y1862" r:id="rId854" xr:uid="{E0C27A8D-DDA4-47BD-A86B-204B96268B23}"/>
    <hyperlink ref="Y923:Y926" r:id="rId855" display="romalice.ishimwe@mininfra.gov.rw" xr:uid="{01106FA9-F15B-401B-BE7A-38C5BEA92CF4}"/>
    <hyperlink ref="Y370" r:id="rId856" xr:uid="{4C3F5DBB-E93D-4F7A-88D3-85DE880AC43E}"/>
    <hyperlink ref="Y2193" r:id="rId857" xr:uid="{154041F0-A87C-4CDE-862A-CE006AAF91A1}"/>
    <hyperlink ref="Y1233:Y1235" r:id="rId858" display="psonga@rema.gov.rw" xr:uid="{C08BE043-68C2-4DC0-AB65-A8F7161DF0E6}"/>
    <hyperlink ref="Y1870" r:id="rId859" xr:uid="{06E84C96-F52B-4858-BDA8-4CDD2090EDE6}"/>
    <hyperlink ref="Y810" r:id="rId860" xr:uid="{C7BC6E29-7597-4C4B-A2ED-390B22FEBA22}"/>
    <hyperlink ref="Y807" r:id="rId861" xr:uid="{F3AB1F4E-4894-48E8-8A4E-C6CF18757170}"/>
    <hyperlink ref="Y928:Y933" r:id="rId862" display="ictmusanze@musanze.gov.rw" xr:uid="{5D513BFC-D0D7-472C-98C3-380BE314477D}"/>
    <hyperlink ref="Y1156" r:id="rId863" xr:uid="{CC894CE8-EFB7-40EE-8425-3C4275182333}"/>
    <hyperlink ref="Y849" r:id="rId864" xr:uid="{0E9D70FF-03C5-4059-B00F-6C4925F8A74E}"/>
    <hyperlink ref="Y832" r:id="rId865" xr:uid="{B593D114-125A-476C-AB02-D6DFDFA36817}"/>
    <hyperlink ref="Y835" r:id="rId866" xr:uid="{90D84A8A-A0F4-41A4-B726-400ABCE2E11B}"/>
    <hyperlink ref="Y834" r:id="rId867" xr:uid="{867EF38F-1F5F-465D-B266-969054693020}"/>
    <hyperlink ref="Y836" r:id="rId868" xr:uid="{7192395F-CAB5-4263-9835-5E6C40284F63}"/>
    <hyperlink ref="Y833" r:id="rId869" xr:uid="{1B3F8DD0-A411-4CF0-9223-623A88441832}"/>
    <hyperlink ref="Y1264:Y1278" r:id="rId870" display="augustin.ndayambaje@rab.gov.rw" xr:uid="{90812D8F-F68C-49C1-8619-D2797F0D153F}"/>
    <hyperlink ref="Y1301" r:id="rId871" xr:uid="{FBABFFC5-FABA-4736-AB58-D5304C4C8898}"/>
    <hyperlink ref="Y1014" r:id="rId872" xr:uid="{09310B8B-814A-45F3-AC36-10FBBA378828}"/>
    <hyperlink ref="Y76" r:id="rId873" xr:uid="{DB257BEB-A0C3-40BE-8AA4-47C7EB291CD6}"/>
    <hyperlink ref="Y77" r:id="rId874" xr:uid="{BF85AA46-DDAB-43D6-A46F-CE449DE9BCDD}"/>
    <hyperlink ref="Y60" r:id="rId875" xr:uid="{971C402A-69A0-42BA-9176-42B93A12AEB5}"/>
    <hyperlink ref="Y514" r:id="rId876" xr:uid="{4E9E03CC-4F42-48B9-B356-09B21ADFA825}"/>
    <hyperlink ref="Y1001" r:id="rId877" xr:uid="{D9A3A996-35B8-4184-9A1A-E35A182A9D45}"/>
    <hyperlink ref="Y71" r:id="rId878" xr:uid="{C1D6DBEF-EA6F-4675-A8AE-9E3F134F953B}"/>
    <hyperlink ref="Y1321" r:id="rId879" xr:uid="{2A4D79B8-0D6A-440D-9A3A-ACD926506F04}"/>
    <hyperlink ref="Y1000" r:id="rId880" xr:uid="{6294223A-90C8-4560-BA98-471C44A2EA8E}"/>
    <hyperlink ref="Y364" r:id="rId881" xr:uid="{FD6C7138-8E35-4FDC-AEDB-1F8061F4803C}"/>
    <hyperlink ref="Y998" r:id="rId882" xr:uid="{BA8AF1BE-0A35-4EDB-B942-7D931AAACDAB}"/>
    <hyperlink ref="Y992" r:id="rId883" xr:uid="{A88AA848-2D26-475E-AAD8-CA56E0D1ACF3}"/>
    <hyperlink ref="Y961" r:id="rId884" xr:uid="{528E534B-DC52-4BB7-B151-9AB7F8FD7086}"/>
    <hyperlink ref="Y956" r:id="rId885" xr:uid="{846C93FB-6DE1-4F83-95AE-55C49ADBA4AD}"/>
    <hyperlink ref="Y963" r:id="rId886" xr:uid="{C3A1E4C4-1241-48AE-A8CB-DD129FF38B80}"/>
    <hyperlink ref="Y957" r:id="rId887" xr:uid="{54EB0CD8-DD0A-4B24-AD6A-BE42F1A96B3F}"/>
    <hyperlink ref="Y962" r:id="rId888" xr:uid="{4C60E64B-B5EA-4977-B90F-AA1114BDC908}"/>
    <hyperlink ref="Y955" r:id="rId889" xr:uid="{A4EC836D-98C8-4F89-B300-507FD101B9CB}"/>
    <hyperlink ref="Y954" r:id="rId890" xr:uid="{F91E9C47-1246-4756-978F-CA9A17110734}"/>
    <hyperlink ref="Y960" r:id="rId891" xr:uid="{6378A9A3-9A80-4185-B6FD-175C34D456BB}"/>
    <hyperlink ref="Y968" r:id="rId892" xr:uid="{0673957C-DF0A-42E7-9490-ACFFF8D18FAB}"/>
    <hyperlink ref="Y958" r:id="rId893" xr:uid="{8460735A-F8E4-47B5-8018-559342838DF9}"/>
    <hyperlink ref="Y989" r:id="rId894" xr:uid="{6AF8B42A-1639-4048-BE9D-221D1CC290A8}"/>
    <hyperlink ref="Y988" r:id="rId895" xr:uid="{A77B6728-E288-46DA-BEFA-2E5E18E550C2}"/>
    <hyperlink ref="Y974" r:id="rId896" xr:uid="{EA6FE789-D0B3-4F5A-86FE-64F30D25DEA2}"/>
    <hyperlink ref="Y979" r:id="rId897" xr:uid="{74440B26-2E78-44FF-9511-C3A78A648063}"/>
    <hyperlink ref="Y966" r:id="rId898" xr:uid="{BDF4576D-70BA-45A2-BDD3-E5F5B37D3D23}"/>
    <hyperlink ref="Y973" r:id="rId899" xr:uid="{54389E14-A66A-459E-8139-F98F6D41A56F}"/>
    <hyperlink ref="Y969" r:id="rId900" xr:uid="{B9ED9478-12E5-46E2-85EF-8C16A58C8125}"/>
    <hyperlink ref="Y972" r:id="rId901" xr:uid="{C9EBA71D-EB96-44D9-AB3C-F302C6C4AA11}"/>
    <hyperlink ref="Y964" r:id="rId902" xr:uid="{97CA67D9-19E0-43D6-8030-8FA8F520C0CA}"/>
    <hyperlink ref="Y970" r:id="rId903" xr:uid="{882E3411-B1E8-4BF0-94A0-F32D23EEF395}"/>
    <hyperlink ref="Y990" r:id="rId904" xr:uid="{DD1A5A47-EDB7-44A1-B6A7-A705B4BF8B1E}"/>
    <hyperlink ref="Y994" r:id="rId905" xr:uid="{34EA7E6E-0F4F-47DE-A82E-30F235D1B24B}"/>
    <hyperlink ref="Y981" r:id="rId906" xr:uid="{C15DA881-B36B-467A-BC83-F5A5F1FF3A30}"/>
    <hyperlink ref="Y984" r:id="rId907" xr:uid="{2EF7464C-52A7-4CB4-B9F7-9B9C7D779E29}"/>
    <hyperlink ref="Y978" r:id="rId908" xr:uid="{CED70A41-7102-43C1-9E2B-D0C5FCE4703C}"/>
    <hyperlink ref="Y983" r:id="rId909" xr:uid="{3C0EB813-10BE-4155-8401-CA27ED53563A}"/>
    <hyperlink ref="Y980" r:id="rId910" xr:uid="{1F43403D-0CCA-41B6-A6A7-B9E28EA7DA50}"/>
    <hyperlink ref="Y975" r:id="rId911" xr:uid="{366B8327-9D9F-4541-838E-5C201AB53777}"/>
    <hyperlink ref="Y991" r:id="rId912" xr:uid="{A830AFE2-3534-4865-8319-9A9C1CCC6DAA}"/>
    <hyperlink ref="Y993" r:id="rId913" xr:uid="{B3C6424D-1288-4B2E-BD11-E180B1670F79}"/>
    <hyperlink ref="Y986" r:id="rId914" xr:uid="{E77B61D9-6B8D-4CC8-AF32-55E8E3124248}"/>
    <hyperlink ref="Y995" r:id="rId915" xr:uid="{E102371D-B0A9-475B-ADE2-573AEC6C53F7}"/>
    <hyperlink ref="Y982" r:id="rId916" xr:uid="{E9459B6D-E5C3-486C-A4F8-F00A03DBB666}"/>
    <hyperlink ref="Y977" r:id="rId917" xr:uid="{430051DF-367B-46DC-8CDB-2B988F7B9014}"/>
    <hyperlink ref="Y971" r:id="rId918" xr:uid="{512DC99A-D757-42E8-B519-27138A53BD8E}"/>
    <hyperlink ref="Y965" r:id="rId919" xr:uid="{FECE333A-DBCE-46DF-9482-18E531C34A6F}"/>
    <hyperlink ref="Y976" r:id="rId920" xr:uid="{7EA9CA5C-22F0-4BC4-9B70-85CEAC860ED7}"/>
    <hyperlink ref="Y967" r:id="rId921" xr:uid="{7972A374-6197-483A-BED8-B2322FA0D3F1}"/>
    <hyperlink ref="Y959" r:id="rId922" xr:uid="{004456E3-DE7B-4833-B4F9-E6A52D139FAC}"/>
    <hyperlink ref="Y987" r:id="rId923" xr:uid="{38BE3424-A27C-4D91-A9E0-4C236224F81C}"/>
    <hyperlink ref="Y997" r:id="rId924" xr:uid="{977F7987-2E49-4F8F-9347-06A69868ACC7}"/>
    <hyperlink ref="Y996" r:id="rId925" xr:uid="{21DB90D8-939C-4D18-8049-ABDFC8F22E94}"/>
    <hyperlink ref="Y2178" r:id="rId926" xr:uid="{86680BE1-4772-421D-8713-4AE388BD004F}"/>
    <hyperlink ref="Y219" r:id="rId927" xr:uid="{106641D4-F6D6-495F-8280-5B9E21EAC850}"/>
    <hyperlink ref="Y896:Y909" r:id="rId928" display="engabo@minaffet.gov.rw" xr:uid="{B2D5427A-5D88-48EC-87A4-B2950AC97F28}"/>
    <hyperlink ref="Y1407" r:id="rId929" xr:uid="{A3B9DE5F-A0C8-438E-9883-7AC2324B7660}"/>
    <hyperlink ref="Y1454" r:id="rId930" xr:uid="{317EFFFA-B54E-4C6C-B48D-97BCBE70996F}"/>
    <hyperlink ref="Y2211" r:id="rId931" display="mailto:thierry.mugisha@umwalimusacco.rw" xr:uid="{A7E935C6-1357-45F1-B74D-A2BEE1824C1E}"/>
    <hyperlink ref="Y720:Y726" r:id="rId932" display="mailto:network@nyamagabe.gov.rw" xr:uid="{2E524BF2-4CD1-4F17-A8E0-4C50311F0FDF}"/>
    <hyperlink ref="Y631" r:id="rId933" display="mailto:network@nyamagabe.gov.rw" xr:uid="{7FED7EC4-DEEC-4BE8-9F06-3C5C9DF3538C}"/>
    <hyperlink ref="Y534:Y538" r:id="rId934" display="jude.rwaka@rwandair.com" xr:uid="{C2C8BC6B-2CA8-4ACD-B82C-B9909D0FA131}"/>
    <hyperlink ref="Y1327" r:id="rId935" xr:uid="{0B400E87-2C9B-4699-B3E4-B82DEC831F72}"/>
    <hyperlink ref="Y298" r:id="rId936" display="mailto:exec@nyanza.gov.rw" xr:uid="{8D11AE08-B117-4D29-ABA4-A3B110E39F56}"/>
    <hyperlink ref="Y684:Y688" r:id="rId937" display="mailto:exec@nyanza.gov.rw" xr:uid="{E761B393-F28D-46F1-AF38-1DF60A7072EE}"/>
    <hyperlink ref="Y297" r:id="rId938" display="mailto:exec@nyanza.gov.rw" xr:uid="{6658D54C-777E-430E-A9C6-813CFF17B8E5}"/>
    <hyperlink ref="Y643:Y648" r:id="rId939" display="nzigiye.hyacinthe@ngororero.gov.rw" xr:uid="{453C37C3-69DC-46C1-BC00-A8291E8C1B94}"/>
    <hyperlink ref="Y373" r:id="rId940" xr:uid="{2C7CFCB1-D3DA-44DF-A3E3-CDEDB60D44D9}"/>
    <hyperlink ref="Y1474" r:id="rId941" display="mailto:placide.mutuyimana@wfp.org" xr:uid="{D2949676-CB5C-4288-85D7-455D4FB8DAE3}"/>
    <hyperlink ref="Y1811" r:id="rId942" xr:uid="{D528B6E1-2B7A-4EA4-9D19-50D95CFAFCC8}"/>
    <hyperlink ref="Y80" r:id="rId943" display="mailto:ictofficer@southernprovince.gov.rw" xr:uid="{9AFDCC3E-0BFD-4D90-BB96-D725C880AE6A}"/>
    <hyperlink ref="Y79" r:id="rId944" display="mailto:ictofficer@southernprovince.gov.rw" xr:uid="{84B14D33-82F7-4CDB-A0DF-F457863112FD}"/>
    <hyperlink ref="Y78" r:id="rId945" display="mailto:ictofficer@southernprovince.gov.rw" xr:uid="{5EE286D9-F7D6-4506-8CD0-9F2ECEA386F0}"/>
    <hyperlink ref="Y527" r:id="rId946" display="mailto:brice.rukirande@rfl.rw" xr:uid="{D85C2E75-AA82-4871-A50D-C8E6C53B0E4E}"/>
    <hyperlink ref="Y1339" r:id="rId947" display="mailto:emmy.bucyana@rha.gov.rw" xr:uid="{9E391513-BE58-4915-965B-AA625BD361C4}"/>
    <hyperlink ref="Y1338" r:id="rId948" display="mailto:emmy.bucyana@rha.gov.rw" xr:uid="{4025FE4F-8BA4-40D7-9BF6-159397607437}"/>
    <hyperlink ref="Y1337" r:id="rId949" display="mailto:emmy.bucyana@rha.gov.rw" xr:uid="{BDC006AA-49E0-4433-9367-05FDC1367F3A}"/>
    <hyperlink ref="Y1303" r:id="rId950" xr:uid="{5B3ACF83-2F5E-4B8F-AED6-B8F669C2CCF3}"/>
    <hyperlink ref="Y1912" r:id="rId951" xr:uid="{F3F1BF39-62ED-49A9-B055-5C466B1234F7}"/>
    <hyperlink ref="Y1304" r:id="rId952" xr:uid="{39CE1484-19BB-4848-AF44-5BA709579207}"/>
    <hyperlink ref="Y584:Y590" r:id="rId953" display="mailto:karongidistrict@karongi.gov.rw" xr:uid="{E46F43E1-17B8-4658-BC77-9A926FDEE9F1}"/>
    <hyperlink ref="Y1421" r:id="rId954" display="mailto:karongidistrict@karongi.gov.rw" xr:uid="{506BD931-A1D1-4503-8501-F0EED73D42FA}"/>
    <hyperlink ref="X1421" r:id="rId955" display="mailto:karongidistrict@karongi.gov.rw" xr:uid="{15D41A13-3A99-4B41-B20A-E6CB15A0EDEF}"/>
    <hyperlink ref="Y549:Y565" r:id="rId956" display="mailto:JeanPierre.Ndayisaba@rlma.rw" xr:uid="{F7272D92-98AE-43C6-874F-B8BEB8096918}"/>
    <hyperlink ref="Y1839" r:id="rId957" display="mailto:JeanPierre.Ndayisaba@rlma.rw" xr:uid="{80694630-B7F7-4024-B82D-BA071CB425A0}"/>
    <hyperlink ref="Y381" r:id="rId958" display="mailto:rmutabazi@ralga.rw" xr:uid="{0B8FB561-2C11-477F-9D07-6BE2A32A3DAD}"/>
    <hyperlink ref="Y382" r:id="rId959" display="mailto:rmutabazi@ralga.rw" xr:uid="{904FCC8C-122C-42FD-B2C0-B6B715DCFC46}"/>
    <hyperlink ref="Y1164" r:id="rId960" display="mailto:m.mediatrice@naeb.gov.rw" xr:uid="{C4FEC38C-B943-42AA-AAEC-046AE450C657}"/>
    <hyperlink ref="Y1163" r:id="rId961" xr:uid="{1E823FE8-98EE-416F-8564-C9A3A0C4959F}"/>
    <hyperlink ref="Y2268" r:id="rId962" display="mailto:modeste.nsanzimana@northernprovince.gov.rw" xr:uid="{69A17099-242B-4512-AC62-2E284E91FA04}"/>
    <hyperlink ref="Y2267" r:id="rId963" display="mailto:modeste.nsanzimana@northernprovince.gov.rw" xr:uid="{0A22BE29-6F88-4EE3-8E5C-ABDA84441DF0}"/>
    <hyperlink ref="Y1457" r:id="rId964" display="mailto:fabrice.tubanenimana@nirda.gov.rw" xr:uid="{EB8DF2E1-43B6-4255-90A8-D250CFCDF9E3}"/>
    <hyperlink ref="Y1456" r:id="rId965" display="mailto:fabrice.tubanenimana@nirda.gov.rw" xr:uid="{82EB679D-E41C-4EDB-A6BA-F506C5E6F90C}"/>
    <hyperlink ref="Y1459" r:id="rId966" display="mailto:fabrice.tubanenimana@nirda.gov.rw" xr:uid="{0DBD971F-5DCA-4C03-A3C0-50A653B449AF}"/>
    <hyperlink ref="Y1458" r:id="rId967" xr:uid="{B0239C48-DEC9-40A0-942F-3E47AC4305D7}"/>
    <hyperlink ref="Y506:Y507" r:id="rId968" display="mailto:jeandamour.habiyambere@loda.gov.rw" xr:uid="{983827C6-8C4A-49D3-A713-E8FD60940285}"/>
    <hyperlink ref="Y1283" r:id="rId969" display="mailto:jeandamour.habiyambere@loda.gov.rw" xr:uid="{3E87C45F-4160-4995-8FE6-234B3923DB08}"/>
    <hyperlink ref="Y2098" r:id="rId970" display="mailto:bpaulin@copedgroup.com" xr:uid="{3B526E82-1D44-4754-A88C-69D172E13516}"/>
    <hyperlink ref="Y440:Y460" r:id="rId971" display="mailto:ENgirinshuti@bnr.rw" xr:uid="{AE0CB056-4535-4826-A00F-76A80E7F0196}"/>
    <hyperlink ref="Y2028" r:id="rId972" display="mailto:ENgirinshuti@bnr.rw" xr:uid="{223A37DD-6983-4371-921A-526FEA3B90D7}"/>
    <hyperlink ref="Y677" r:id="rId973" xr:uid="{E47C9F70-7E76-4AF5-8B88-CD65FC9D9071}"/>
    <hyperlink ref="Y670" r:id="rId974" xr:uid="{334EA08E-96C0-44E6-B238-A46EABB6439C}"/>
    <hyperlink ref="Y436:Y437" r:id="rId975" display="o.hategeka@bdf.rw" xr:uid="{D3DD9506-CBAC-4512-92C1-F5FB51B09E7F}"/>
    <hyperlink ref="Y430:Y431" r:id="rId976" display="o.hategeka@bdf.rw" xr:uid="{E2EB9018-F32A-441B-923F-9AA0C0F1927F}"/>
    <hyperlink ref="Y428:Y429" r:id="rId977" display="o.hategeka@bdf.rw" xr:uid="{17341DD0-E50C-4658-8FD0-935A45F156EA}"/>
    <hyperlink ref="Y425:Y426" r:id="rId978" display="o.hategeka@bdf.rw" xr:uid="{CA5DD107-68D7-4B36-AF4A-C5968809A33E}"/>
    <hyperlink ref="Y422:Y423" r:id="rId979" display="o.hategeka@bdf.rw" xr:uid="{C541A991-BBB8-40BC-A430-0D5BD5CCDF95}"/>
    <hyperlink ref="Y419:Y420" r:id="rId980" display="o.hategeka@bdf.rw" xr:uid="{72A1B6B4-C6EB-4B14-8D5F-F8B1ADAFDF57}"/>
    <hyperlink ref="Y416:Y417" r:id="rId981" display="o.hategeka@bdf.rw" xr:uid="{BA27C791-1273-4198-9A38-FB433D62A5FE}"/>
    <hyperlink ref="Y671" r:id="rId982" xr:uid="{56E5B9FC-865D-4EB2-A254-2B6BB885D2FE}"/>
    <hyperlink ref="Y666" r:id="rId983" xr:uid="{74BF0F8D-9205-416D-A0A9-B1ADF95832C3}"/>
    <hyperlink ref="Y663" r:id="rId984" xr:uid="{47A3FBF1-2C99-4BAC-BC89-545F518936DD}"/>
    <hyperlink ref="Y661" r:id="rId985" xr:uid="{A7BC8FB1-E26F-499E-BB1C-3C10B6183D7F}"/>
    <hyperlink ref="Y657" r:id="rId986" xr:uid="{AD99A9F3-E96C-4ECB-861A-D5F027FDFD35}"/>
    <hyperlink ref="Y654" r:id="rId987" xr:uid="{C3B380E9-C206-4E6E-91FE-403634E88415}"/>
    <hyperlink ref="Y651" r:id="rId988" xr:uid="{12FC9332-CA69-4711-AD63-243770C176E0}"/>
    <hyperlink ref="Y678" r:id="rId989" xr:uid="{AAE84C74-E47A-4B79-B54A-8DD64BEFE7B9}"/>
    <hyperlink ref="Y412:Y413" r:id="rId990" display="o.hategeka@bdf.rw" xr:uid="{EFB08140-4D94-4A94-B1BA-925A88B33921}"/>
    <hyperlink ref="Y675" r:id="rId991" xr:uid="{73149313-870A-4DB9-84F7-1FACD48C49E4}"/>
    <hyperlink ref="Y408:Y410" r:id="rId992" display="mailto:danny@akageraaviation.com" xr:uid="{E6EC7579-009F-4076-8EC8-E3424E1BBE24}"/>
    <hyperlink ref="Y1943" r:id="rId993" display="mailto:danny@akageraaviation.com" xr:uid="{7733E900-0B89-4072-9A06-5BD52DD6A900}"/>
    <hyperlink ref="Y1375" r:id="rId994" display="mailto:rubenhaba6@gmail.com" xr:uid="{AC25A806-7DF8-4C5C-A6E2-D9417DF3F0FD}"/>
    <hyperlink ref="Y314" r:id="rId995" xr:uid="{93E59BA5-6C5B-44D2-9852-F663378AFCD0}"/>
    <hyperlink ref="Y1972" r:id="rId996" display="ngendapr@yahoo.fr" xr:uid="{70A6DC3E-E80E-476B-B452-345CAA9A03F2}"/>
    <hyperlink ref="Y1970" r:id="rId997" display="ngendapr@yahoo.fr" xr:uid="{7744AAB3-6E28-4FAE-8669-CF1AE0772971}"/>
    <hyperlink ref="Y1082" r:id="rId998" display="mailto:dirinfosyscec@minadef.gov.rw" xr:uid="{F14E5E1D-09C7-43BD-9D92-449428DF68AC}"/>
    <hyperlink ref="Y1080" r:id="rId999" display="mailto:dirinfosyscec@minadef.gov.rw" xr:uid="{C109CF83-83B6-4CAE-A571-C6BC2115641B}"/>
    <hyperlink ref="Y1068" r:id="rId1000" display="mailto:dirinfosyscec@minadef.gov.rw" xr:uid="{CB1BF731-D574-4C48-AF39-847D7AFAD8A0}"/>
    <hyperlink ref="Y1083" r:id="rId1001" display="mailto:dirinfosyscec@minadef.gov.rw" xr:uid="{4E4EBF3C-BF90-4E4C-8715-2316CB82DE25}"/>
    <hyperlink ref="Y1078" r:id="rId1002" display="mailto:dirinfosyscec@minadef.gov.rw" xr:uid="{B389FCD3-C3C8-460F-B76C-3255D9CEC806}"/>
    <hyperlink ref="Y1065" r:id="rId1003" display="mailto:dirinfosyscec@minadef.gov.rw" xr:uid="{EDF5AD1C-C011-4497-A537-28A41E68B9A2}"/>
    <hyperlink ref="Y1032" r:id="rId1004" display="mailto:dirinfosyscec@minadef.gov.rw" xr:uid="{546D6FA1-E754-4AF4-8B02-3D505E922CCE}"/>
    <hyperlink ref="Y1081" r:id="rId1005" display="mailto:dirinfosyscec@minadef.gov.rw" xr:uid="{9D6EF074-2105-44ED-89D5-1554B0A56B0D}"/>
    <hyperlink ref="Y1088" r:id="rId1006" display="mailto:dirinfosyscec@minadef.gov.rw" xr:uid="{FA8E008B-0F71-4B34-A571-C123875C0F33}"/>
    <hyperlink ref="Y1076" r:id="rId1007" display="mailto:dirinfosyscec@minadef.gov.rw" xr:uid="{EF27DC60-FE2E-48CB-A2EE-7C509B08A27F}"/>
    <hyperlink ref="Y1089" r:id="rId1008" display="mailto:dirinfosyscec@minadef.gov.rw" xr:uid="{7A01EF1B-0465-434F-B1A0-07AF3810D5DD}"/>
    <hyperlink ref="Y1045" r:id="rId1009" display="mailto:dirinfosyscec@minadef.gov.rw" xr:uid="{219EBDFE-6961-4EA5-A030-5109047F8C26}"/>
    <hyperlink ref="Y1073" r:id="rId1010" display="mailto:dirinfosyscec@minadef.gov.rw" xr:uid="{21AACDAC-F2D8-4FEA-A18B-78652AB9A29E}"/>
    <hyperlink ref="Y1079" r:id="rId1011" display="mailto:dirinfosyscec@minadef.gov.rw" xr:uid="{AA365992-E5A5-4DF6-963D-80542297E3F7}"/>
    <hyperlink ref="Y1091" r:id="rId1012" display="mailto:dirinfosyscec@minadef.gov.rw" xr:uid="{765F0DBF-83FA-486B-959E-4C6CEEF60667}"/>
    <hyperlink ref="Y1087" r:id="rId1013" display="mailto:dirinfosyscec@minadef.gov.rw" xr:uid="{FEA666EE-0791-4C94-A740-14B11695D0B4}"/>
    <hyperlink ref="Y1096" r:id="rId1014" display="mailto:dirinfosyscec@minadef.gov.rw" xr:uid="{63532A57-84D3-4F66-AFA7-F333227DC8E4}"/>
    <hyperlink ref="Y1077" r:id="rId1015" display="mailto:dirinfosyscec@minadef.gov.rw" xr:uid="{B40D5392-1023-4D98-9CB1-FE7BE7C238D2}"/>
    <hyperlink ref="Y1069" r:id="rId1016" display="mailto:dirinfosyscec@minadef.gov.rw" xr:uid="{B52EA404-ADC4-4B5F-A02A-59D8D09256CB}"/>
    <hyperlink ref="Y1063" r:id="rId1017" display="mailto:dirinfosyscec@minadef.gov.rw" xr:uid="{309BA4BF-5B86-4399-B01B-3C65A9D309AC}"/>
    <hyperlink ref="Y1092" r:id="rId1018" display="mailto:dirinfosyscec@minadef.gov.rw" xr:uid="{B1FF9E89-BD12-43C0-8852-A026C551D81B}"/>
    <hyperlink ref="Y1072" r:id="rId1019" display="mailto:dirinfosyscec@minadef.gov.rw" xr:uid="{6F369423-4C78-40AE-BFB9-E280C9965AB5}"/>
    <hyperlink ref="Y1099" r:id="rId1020" display="mailto:dirinfosyscec@minadef.gov.rw" xr:uid="{F79631B1-E6BB-4E63-ADCA-080D449410D7}"/>
    <hyperlink ref="Y1097" r:id="rId1021" display="mailto:dirinfosyscec@minadef.gov.rw" xr:uid="{C7165061-88CF-4B60-91CD-01DA287FAE3A}"/>
    <hyperlink ref="Y1067" r:id="rId1022" display="mailto:dirinfosyscec@minadef.gov.rw" xr:uid="{E301D518-3DE1-4A5E-BB13-50186816875C}"/>
    <hyperlink ref="Y1064" r:id="rId1023" display="mailto:dirinfosyscec@minadef.gov.rw" xr:uid="{DCEE1253-E59A-47A3-988F-B97423E27AFF}"/>
    <hyperlink ref="Y1094" r:id="rId1024" display="mailto:dirinfosyscec@minadef.gov.rw" xr:uid="{90AE052E-AA53-4ECD-A053-6C1F9DB51E0B}"/>
    <hyperlink ref="Y1062" r:id="rId1025" display="mailto:dirinfosyscec@minadef.gov.rw" xr:uid="{783BABFD-EA0F-452C-BDC5-CC973A87CDB9}"/>
    <hyperlink ref="Y1059" r:id="rId1026" display="mailto:dirinfosyscec@minadef.gov.rw" xr:uid="{ECE7AF7E-275E-47E9-B8BD-12BE59BCD2A0}"/>
    <hyperlink ref="Y1060" r:id="rId1027" display="mailto:dirinfosyscec@minadef.gov.rw" xr:uid="{47906778-280B-4B45-807B-5D892BEBED76}"/>
    <hyperlink ref="Y1050" r:id="rId1028" display="mailto:dirinfosyscec@minadef.gov.rw" xr:uid="{A1D275E7-8F2B-4E8B-9D4F-043BFDA9D072}"/>
    <hyperlink ref="Y1061" r:id="rId1029" display="mailto:dirinfosyscec@minadef.gov.rw" xr:uid="{47DD0197-3BEC-495B-BD0F-D798CC141D14}"/>
    <hyperlink ref="Y1093" r:id="rId1030" display="mailto:dirinfosyscec@minadef.gov.rw" xr:uid="{A0E32A44-B367-43A3-9A4E-2B60C727FB47}"/>
    <hyperlink ref="Y1098" r:id="rId1031" display="mailto:dirinfosyscec@minadef.gov.rw" xr:uid="{13ECB0C1-7FE3-4465-8544-221D42185041}"/>
    <hyperlink ref="Y571" r:id="rId1032" display="mailto:dirinfosyscec@minadef.gov.rw" xr:uid="{EEAAE0F6-9576-488F-9BED-6AB8E452E5AA}"/>
    <hyperlink ref="Y574" r:id="rId1033" display="mailto:dirinfosyscec@minadef.gov.rw" xr:uid="{F7DC939D-FAC0-4002-93C9-0F37B0A3CBD5}"/>
    <hyperlink ref="Y576" r:id="rId1034" display="mailto:dirinfosyscec@minadef.gov.rw" xr:uid="{54FDD388-3991-4C7E-84A1-8AF9B1334FD0}"/>
    <hyperlink ref="Y578" r:id="rId1035" display="mailto:dirinfosyscec@minadef.gov.rw" xr:uid="{12302130-7B08-4D26-9784-70F5F823DEB8}"/>
    <hyperlink ref="Y573" r:id="rId1036" display="mailto:dirinfosyscec@minadef.gov.rw" xr:uid="{6B0D141F-D9D8-4764-B838-75F7CC669AC5}"/>
    <hyperlink ref="Y575" r:id="rId1037" display="mailto:dirinfosyscec@minadef.gov.rw" xr:uid="{90B35981-AF45-48A3-A53E-7CA206BC38CD}"/>
    <hyperlink ref="Y227" r:id="rId1038" display="mailto:christine.uzamukunda@rmi.rw" xr:uid="{31A95E8E-6EFB-4CD9-9CAC-A6DDD4AEF877}"/>
    <hyperlink ref="Y220" r:id="rId1039" display="mailto:christine.uzamukunda@rmi.rw" xr:uid="{1AD15B51-C077-48D7-9999-0424163220DA}"/>
    <hyperlink ref="Y221" r:id="rId1040" display="mailto:christine.uzamukunda@rmi.rw" xr:uid="{BDE4BE7A-72AC-4624-9B07-564A3B73324A}"/>
    <hyperlink ref="Y222" r:id="rId1041" display="mailto:christine.uzamukunda@rmi.rw" xr:uid="{528741CE-E0A4-4BAA-AD86-316E723D6617}"/>
    <hyperlink ref="Y223" r:id="rId1042" display="mailto:christine.uzamukunda@rmi.rw" xr:uid="{46107F9C-694F-4E2A-B969-A2E4BB2076A7}"/>
    <hyperlink ref="Y224" r:id="rId1043" display="mailto:christine.uzamukunda@rmi.rw" xr:uid="{5FA817E6-C441-4FAE-968C-C3CDC4794FB1}"/>
    <hyperlink ref="Y226" r:id="rId1044" display="mailto:christine.uzamukunda@rmi.rw" xr:uid="{496F3847-840B-4B70-BBDA-3E08C69A81EC}"/>
    <hyperlink ref="Y225" r:id="rId1045" display="mailto:christine.uzamukunda@rmi.rw" xr:uid="{1DBCF3FA-B222-498B-B501-82B005BD2D08}"/>
    <hyperlink ref="Y489" r:id="rId1046" xr:uid="{CF8694B7-EF87-4E1A-A754-0EF70017CCF0}"/>
    <hyperlink ref="Y1958" r:id="rId1047" xr:uid="{4FE264CD-FBE3-42BA-B2D8-811852811516}"/>
    <hyperlink ref="Y70" r:id="rId1048" xr:uid="{B3057ADF-459D-4BFA-B1F0-1656684B4793}"/>
    <hyperlink ref="Y29" r:id="rId1049" xr:uid="{12DBBDEE-4DB1-4B05-AC05-5FB2F2851E7A}"/>
    <hyperlink ref="Y1903" r:id="rId1050" xr:uid="{1554FF6C-52E3-42F9-80B4-BAB8D446C914}"/>
    <hyperlink ref="Y1904" r:id="rId1051" xr:uid="{E82F3553-0056-451A-BB8F-444B14C81EB6}"/>
    <hyperlink ref="Y1902" r:id="rId1052" xr:uid="{0C4AE019-F697-4E30-ACD0-D787503CC5AE}"/>
    <hyperlink ref="Y629" r:id="rId1053" xr:uid="{4ECB4004-E5E9-4291-91F0-D89676B02B7B}"/>
    <hyperlink ref="Y2248" r:id="rId1054" xr:uid="{E59321B3-64C8-40D9-9F21-5E89382E4041}"/>
    <hyperlink ref="Y1274" r:id="rId1055" xr:uid="{07396F3F-0A8B-46DB-86DC-BD838A75A6DD}"/>
    <hyperlink ref="Y592" r:id="rId1056" xr:uid="{329B02A5-6C04-49BC-8D90-5478370EDDFE}"/>
    <hyperlink ref="Y593" r:id="rId1057" xr:uid="{1BE862A2-E55B-4EC5-96B3-60E7C7203295}"/>
    <hyperlink ref="Y56" r:id="rId1058" xr:uid="{378CD2CB-20A4-48C5-82E3-05A898AF7657}"/>
    <hyperlink ref="Y550" r:id="rId1059" xr:uid="{23AE8A0F-06C6-4437-A4FD-62769D887AFF}"/>
    <hyperlink ref="Y551" r:id="rId1060" xr:uid="{1B8710C8-1266-4AF1-B541-011BA780706E}"/>
    <hyperlink ref="Y530" r:id="rId1061" xr:uid="{5212C6A2-3916-411E-B2A4-5336A069B31D}"/>
    <hyperlink ref="Y2288" r:id="rId1062" display="twagiramunguserge@gmail.com;dfa@kp.ac.rw;info@kp.ac.rw" xr:uid="{6BF3A8AD-B0E0-4151-BE0E-B029A699734C}"/>
    <hyperlink ref="Y1492" r:id="rId1063" xr:uid="{11D37002-A554-458E-AB8A-DC9502E89E33}"/>
    <hyperlink ref="Y478" r:id="rId1064" xr:uid="{7651FF84-4DF5-491B-B321-EA2B92CF1091}"/>
    <hyperlink ref="Y2264" r:id="rId1065" xr:uid="{AEA3BF8C-9C93-40D6-8BA0-9154E55545F7}"/>
    <hyperlink ref="Y1124" r:id="rId1066" xr:uid="{B4C78F39-D878-4E36-8B4B-6C575D664FD3}"/>
    <hyperlink ref="Y1021" r:id="rId1067" xr:uid="{9B5F6D29-3EA7-4E7C-B6F0-B2FDDE3114E1}"/>
    <hyperlink ref="Y2082" r:id="rId1068" xr:uid="{0F398D96-C9D3-4954-96D4-5D31A5366768}"/>
    <hyperlink ref="Y2285" r:id="rId1069" xr:uid="{42C4AB0A-CC7E-44F7-A37D-BEC88CBE2FD5}"/>
    <hyperlink ref="Y343:Y344" r:id="rId1070" display="ngendapr@yahoo.fr" xr:uid="{E4F00A2D-E3A2-44B6-8DB6-F353D05C8814}"/>
    <hyperlink ref="Y818" r:id="rId1071" xr:uid="{820F9592-DBDE-4EF2-A337-DFD7963C9454}"/>
    <hyperlink ref="Y261" r:id="rId1072" xr:uid="{1505753C-C7B6-4BD6-BC7F-CCF27C32F44C}"/>
    <hyperlink ref="Y1129" r:id="rId1073" xr:uid="{A68BD177-C879-4880-AE71-EB20FBD2DE7C}"/>
    <hyperlink ref="Y2084" r:id="rId1074" xr:uid="{04B3F5E3-3B95-4BB4-BAEE-F05B60ED9108}"/>
    <hyperlink ref="Y2286" r:id="rId1075" xr:uid="{10E93C45-7C92-435B-B050-F30940B269C0}"/>
    <hyperlink ref="Y681" r:id="rId1076" xr:uid="{3BED157E-46C2-4026-B3D9-B3EA1329818E}"/>
    <hyperlink ref="Y2086" r:id="rId1077" xr:uid="{825E43FC-969A-40DA-8873-AEA659656733}"/>
    <hyperlink ref="Y549" r:id="rId1078" xr:uid="{C28E67CF-CF95-4494-95DC-9D70F73BB104}"/>
    <hyperlink ref="Y588" r:id="rId1079" xr:uid="{C58BADFC-3F79-4C6B-B4B1-5D2C96B9BD01}"/>
    <hyperlink ref="Y543" r:id="rId1080" xr:uid="{7D069B6C-37BF-4CEA-A22B-FDBBAE4B2EB4}"/>
    <hyperlink ref="Y1122" r:id="rId1081" xr:uid="{7F61B93B-7C6D-418A-9501-6D099E07F947}"/>
    <hyperlink ref="Y1489" r:id="rId1082" xr:uid="{3B70806E-5A1E-43CB-9EEF-483696E83FAE}"/>
    <hyperlink ref="Y235" r:id="rId1083" xr:uid="{FE176AC6-FC19-4DC4-9B98-428ED1CA2669}"/>
    <hyperlink ref="Y55" r:id="rId1084" xr:uid="{EAD7FD61-F555-4051-B3C8-D64729784B3E}"/>
    <hyperlink ref="Y269" r:id="rId1085" xr:uid="{A99F0DC0-719D-4149-9781-44463C8E9DE7}"/>
    <hyperlink ref="Y1127" r:id="rId1086" xr:uid="{F738695B-2E6E-4E1F-9FE6-BE2ED940C1F8}"/>
    <hyperlink ref="Y2085" r:id="rId1087" xr:uid="{90955810-159C-4D2A-ADA5-FEF18B2C9686}"/>
    <hyperlink ref="Y1167" r:id="rId1088" xr:uid="{7FCCBD69-3C70-4466-8BAD-650F6BD3F2A7}"/>
    <hyperlink ref="Y2283" r:id="rId1089" xr:uid="{C9A500E2-3704-4DB9-9493-A9E5BC320A6F}"/>
    <hyperlink ref="Y2265" r:id="rId1090" xr:uid="{36C8ADAD-E307-4B19-AD57-64561D2B59ED}"/>
    <hyperlink ref="Y2020" r:id="rId1091" xr:uid="{65DC2294-F6DA-41BC-8777-E544A4ADFE17}"/>
    <hyperlink ref="Y528" r:id="rId1092" xr:uid="{62E50CCE-4658-4894-AEF6-DFE4895E4291}"/>
    <hyperlink ref="Y1872" r:id="rId1093" display="euwiringiyimana@rp.ac.rw" xr:uid="{5BDF583B-9A44-4C77-AED3-BB71C8C363B7}"/>
    <hyperlink ref="Y1490" r:id="rId1094" xr:uid="{0A31B85E-54BB-4FA6-88C7-64E34E965693}"/>
    <hyperlink ref="Y2083" r:id="rId1095" xr:uid="{4AB0CBE4-0FCD-4BF8-93E3-DED3E7F669DB}"/>
    <hyperlink ref="Y1404" r:id="rId1096" xr:uid="{D6AEF273-3A91-40CB-8094-7911F6A2E04C}"/>
    <hyperlink ref="Y1382" r:id="rId1097" xr:uid="{98A83E11-D488-4846-B825-902671146C8D}"/>
    <hyperlink ref="Y1255" r:id="rId1098" xr:uid="{32294879-A9F6-4946-9BDA-BEEA424625CC}"/>
    <hyperlink ref="Y91" r:id="rId1099" xr:uid="{B533724A-808B-4380-9831-E898B04634C6}"/>
    <hyperlink ref="Y1136" r:id="rId1100" xr:uid="{4C90F19B-F282-4431-AD2E-9149060B849A}"/>
    <hyperlink ref="Y2284" r:id="rId1101" xr:uid="{434D2AEE-FD2F-45CE-B141-0E0779E9477F}"/>
    <hyperlink ref="Y1429" r:id="rId1102" xr:uid="{6DB602EE-EB7E-4815-8049-615605921BE9}"/>
    <hyperlink ref="Y167" r:id="rId1103" xr:uid="{19AA48F5-FF34-4447-8ADF-6DA091D3B029}"/>
    <hyperlink ref="Y1128" r:id="rId1104" xr:uid="{BFAE8F92-1172-4CBA-A178-42890279E81D}"/>
    <hyperlink ref="Y171" r:id="rId1105" xr:uid="{B083AD77-8722-4635-AAA9-CDABD9A9A76A}"/>
    <hyperlink ref="Y311" r:id="rId1106" xr:uid="{5BCF8E83-DC74-4F60-A1AE-A49A277F25BD}"/>
    <hyperlink ref="Y1969" r:id="rId1107" display="ngendapr@yahoo.fr" xr:uid="{0A61AA0F-64D6-4A6E-8AEC-0F354F23FB5E}"/>
    <hyperlink ref="Y500" r:id="rId1108" xr:uid="{0E16CD77-82B5-467F-9A09-CB4DE8B4F3AE}"/>
    <hyperlink ref="Y688" r:id="rId1109" xr:uid="{0CC2004D-DD01-49AA-9E69-A0E5244837CB}"/>
    <hyperlink ref="Y640" r:id="rId1110" xr:uid="{DEEA1521-8966-48FC-B3AB-2036EAEE3AB6}"/>
    <hyperlink ref="Y1247" r:id="rId1111" xr:uid="{EE72703F-07B0-426B-A284-E088B420297E}"/>
    <hyperlink ref="Y1212" r:id="rId1112" xr:uid="{AF1B9557-1FAC-4EE6-99EC-055A466A5229}"/>
    <hyperlink ref="Y1332" r:id="rId1113" xr:uid="{57548840-649E-40B1-984B-00E9F580BBBD}"/>
    <hyperlink ref="Y501" r:id="rId1114" xr:uid="{6968F818-8F67-4E96-8BF9-1BD2E59E4161}"/>
    <hyperlink ref="Y502" r:id="rId1115" xr:uid="{59A933FA-E7F6-4B61-82E8-0999414858A5}"/>
    <hyperlink ref="Y493" r:id="rId1116" xr:uid="{D836172D-3CE0-4327-BA14-66D0D739AC38}"/>
    <hyperlink ref="Y494" r:id="rId1117" xr:uid="{43426995-BDD1-4D7A-95AC-4832EEEDDAEB}"/>
    <hyperlink ref="Y497" r:id="rId1118" xr:uid="{27895A43-1201-46AD-8BC3-A2A5C419E5FE}"/>
    <hyperlink ref="Y499" r:id="rId1119" xr:uid="{27779C6F-7D74-4F72-9D5C-0744A2547FBD}"/>
    <hyperlink ref="Y496" r:id="rId1120" xr:uid="{21A55DAF-1DA3-4779-AA35-798FCD2558FE}"/>
    <hyperlink ref="Y495" r:id="rId1121" xr:uid="{28D4DE23-07B8-460A-AF27-0954CEBC6777}"/>
    <hyperlink ref="Y498" r:id="rId1122" xr:uid="{BB826F5F-44BC-4549-907D-08F40943C680}"/>
    <hyperlink ref="Y569" r:id="rId1123" xr:uid="{96FE0ED6-818E-40CF-815A-79177B3D0183}"/>
    <hyperlink ref="Y1208" r:id="rId1124" xr:uid="{0B0D586A-1719-4082-BEF7-094E393B7267}"/>
    <hyperlink ref="Y11" r:id="rId1125" xr:uid="{412C7478-C9A7-47A1-AB6A-1A2C72F8191F}"/>
    <hyperlink ref="Y2023" r:id="rId1126" xr:uid="{63B602B3-ACA7-447F-BC8A-BC0D1CEF93D7}"/>
    <hyperlink ref="Y2022" r:id="rId1127" xr:uid="{BC167A94-FEE7-4CA6-A06D-6C1ADA99EDB9}"/>
    <hyperlink ref="Y2021" r:id="rId1128" xr:uid="{B4A1EF52-BC54-4ADD-B55F-68E6F921E2C8}"/>
    <hyperlink ref="Y2019" r:id="rId1129" xr:uid="{B51574FC-B4C5-46CE-B0BA-74E6C76003F9}"/>
    <hyperlink ref="Y2006" r:id="rId1130" xr:uid="{6F91F8FF-B5A8-486C-83F2-B2C670E638AC}"/>
    <hyperlink ref="Y2005" r:id="rId1131" xr:uid="{17404BFB-4AE5-4152-9DAC-76061128B492}"/>
    <hyperlink ref="Y275" r:id="rId1132" xr:uid="{39AE87B2-CDE6-455E-88FC-68473FB19CE4}"/>
    <hyperlink ref="Y245" r:id="rId1133" xr:uid="{AB047531-BE69-4A3A-BAB0-195CD6744D30}"/>
    <hyperlink ref="Y2004" r:id="rId1134" xr:uid="{759C38A1-C47D-457A-96BE-3003EF257CA2}"/>
    <hyperlink ref="Y647" r:id="rId1135" xr:uid="{1B04C021-5530-4B66-87EA-D9FA2787975B}"/>
    <hyperlink ref="Y868" r:id="rId1136" xr:uid="{1319FB4D-1127-4086-B117-2ACEB8278FD3}"/>
    <hyperlink ref="Y587" r:id="rId1137" xr:uid="{1D9DBE35-DC42-476D-B862-AC6C8258CE6B}"/>
    <hyperlink ref="Y586" r:id="rId1138" xr:uid="{52B949D9-0E87-4F3B-982A-4C3D00C8A35D}"/>
    <hyperlink ref="Y585" r:id="rId1139" xr:uid="{E231C552-4A82-484F-B5FB-E343DBF18D0B}"/>
    <hyperlink ref="Y106" r:id="rId1140" xr:uid="{D953DA28-1202-4F48-ADBC-F9EAE85419A3}"/>
    <hyperlink ref="Y104" r:id="rId1141" xr:uid="{E6D7432B-A281-465F-890B-8D22D2862B73}"/>
    <hyperlink ref="Y107" r:id="rId1142" xr:uid="{992E39A7-886F-45AB-9894-179C1A53C90E}"/>
    <hyperlink ref="Y103" r:id="rId1143" xr:uid="{FCC7478D-08D6-418A-A52A-5C225AB3C1CD}"/>
    <hyperlink ref="Y105" r:id="rId1144" xr:uid="{A22A9471-F4B2-4C77-B1C3-533ADD469875}"/>
    <hyperlink ref="Y102" r:id="rId1145" xr:uid="{CBB48540-FBE5-43A5-AE31-6D48025F8623}"/>
    <hyperlink ref="Y108" r:id="rId1146" xr:uid="{FED5FC79-0715-4C63-92FC-BED840EBB6D2}"/>
    <hyperlink ref="Y684" r:id="rId1147" xr:uid="{ED45D60C-DFCD-455B-8930-AA8EEAB2D050}"/>
    <hyperlink ref="Y1885" r:id="rId1148" xr:uid="{7D70BD68-151E-4417-9A69-0BFFB07FC678}"/>
    <hyperlink ref="Y2068" r:id="rId1149" xr:uid="{CC1D727E-A819-4724-8021-6AD87566B3B4}"/>
    <hyperlink ref="Y861" r:id="rId1150" xr:uid="{2EFD0ED1-FA01-461A-A0D8-886DCF04B64A}"/>
    <hyperlink ref="Y862" r:id="rId1151" xr:uid="{6C3463FC-2973-4EA1-9EF0-FC6817B2EA11}"/>
    <hyperlink ref="Y1254" r:id="rId1152" xr:uid="{F2C34B77-4308-454D-A666-6BF6A46EF224}"/>
    <hyperlink ref="Y1249" r:id="rId1153" xr:uid="{1D0F66EE-3AC9-4C56-B42B-602FA4F26503}"/>
    <hyperlink ref="Y1248" r:id="rId1154" xr:uid="{5E1C9AF5-A209-402C-9C01-8775F65E2EE8}"/>
    <hyperlink ref="Y1432" r:id="rId1155" xr:uid="{12284E63-8E95-4728-AE15-31F9B6A58350}"/>
    <hyperlink ref="Y2067" r:id="rId1156" xr:uid="{456DCA5E-571B-481A-9317-97D1AD4D914D}"/>
    <hyperlink ref="Y380" r:id="rId1157" xr:uid="{BDD38B8D-7628-4405-B9FF-B55D029D400F}"/>
    <hyperlink ref="Y198" r:id="rId1158" xr:uid="{104DC9D6-B8D0-481F-86CB-432B5E25100B}"/>
    <hyperlink ref="Y2119" r:id="rId1159" xr:uid="{34CA568E-1EF8-4AB7-ABC7-E4F0C8ECA828}"/>
    <hyperlink ref="Y2112" r:id="rId1160" xr:uid="{1D92A59E-6591-4FB6-B724-E2FCD0E87438}"/>
    <hyperlink ref="Y2126" r:id="rId1161" xr:uid="{A99E9110-08CA-4118-9CD4-6D2D9AEA644F}"/>
    <hyperlink ref="Y2101" r:id="rId1162" xr:uid="{EAEA7433-6ABA-4A62-BCF8-6FF7DB9170BF}"/>
    <hyperlink ref="Y2115" r:id="rId1163" xr:uid="{A3AB4852-E335-48AA-893D-DA9EEFAAC824}"/>
    <hyperlink ref="Y2111" r:id="rId1164" xr:uid="{B12E23D2-31EA-436F-85DC-D423DA6115D8}"/>
    <hyperlink ref="Y2125" r:id="rId1165" xr:uid="{13F5C354-0848-46C2-B3DC-686F34E71562}"/>
    <hyperlink ref="Y2109" r:id="rId1166" xr:uid="{198F261C-2283-47C5-8057-D70768B056A6}"/>
    <hyperlink ref="Y2123" r:id="rId1167" xr:uid="{61CAF1A4-3A65-4390-B3C5-E54264B2CC2A}"/>
    <hyperlink ref="Y2114" r:id="rId1168" xr:uid="{205D0CF2-BDD2-4BDF-A25A-F568120B550D}"/>
    <hyperlink ref="Y2128" r:id="rId1169" xr:uid="{54837163-81A6-4C58-8004-1697D4BB1F6F}"/>
    <hyperlink ref="Y2105" r:id="rId1170" xr:uid="{C81D3844-4942-401F-BA7F-2684A92ADD4D}"/>
    <hyperlink ref="Y2120" r:id="rId1171" xr:uid="{7ACDCA4B-E751-4E4D-BB3E-551E37969DB0}"/>
    <hyperlink ref="Y2108" r:id="rId1172" xr:uid="{3564DBA2-D555-4492-96E5-02BE50F81F1F}"/>
    <hyperlink ref="Y2122" r:id="rId1173" xr:uid="{F16E972E-38A8-4F00-9778-BF6F0E20AFB4}"/>
    <hyperlink ref="Y2110" r:id="rId1174" xr:uid="{4E15EAA5-1CFE-4569-ABBF-197218645FAA}"/>
    <hyperlink ref="Y2124" r:id="rId1175" xr:uid="{32E2A5A6-C665-4164-8EA9-DF517B5C7B38}"/>
    <hyperlink ref="Y2103" r:id="rId1176" xr:uid="{7C229119-E1F8-4714-9D8D-EDBA5D3222B7}"/>
    <hyperlink ref="Y2117" r:id="rId1177" xr:uid="{509619BE-ED4E-4398-9B63-3B46877B875A}"/>
    <hyperlink ref="Y2102" r:id="rId1178" xr:uid="{11A62F5B-CEEC-4B01-B664-97397D84A8C8}"/>
    <hyperlink ref="Y2116" r:id="rId1179" xr:uid="{95CC7D97-9D97-453C-8C4C-EB846192EB13}"/>
    <hyperlink ref="Y2104" r:id="rId1180" xr:uid="{64DF7C5E-57CB-4BC2-B66F-DBF4E60F7C60}"/>
    <hyperlink ref="Y2118" r:id="rId1181" xr:uid="{DA59DE3B-FF89-4B72-9D7A-C1570772E354}"/>
    <hyperlink ref="Y2113" r:id="rId1182" xr:uid="{A7A436D9-A549-4440-BD3E-004D1DFD94A1}"/>
    <hyperlink ref="Y2127" r:id="rId1183" xr:uid="{1F34A6EC-FCF0-48CC-A03C-486185FD263C}"/>
    <hyperlink ref="Y2106" r:id="rId1184" xr:uid="{2B0149A9-5E0E-4855-82DF-DCD40AB8DDA1}"/>
    <hyperlink ref="Y2121" r:id="rId1185" xr:uid="{96E582D0-1AAD-484F-B8D5-1444F64BA4C5}"/>
    <hyperlink ref="Y2129" r:id="rId1186" xr:uid="{52D0A8DD-CBCF-4F49-AAA6-DF7E7BAA801C}"/>
    <hyperlink ref="Y2130" r:id="rId1187" xr:uid="{15E2640D-703F-4D2F-9FCE-CEB7DA6332FA}"/>
    <hyperlink ref="Y197" r:id="rId1188" xr:uid="{5EC24806-C60F-485E-A122-099662B3F685}"/>
    <hyperlink ref="Y280" r:id="rId1189" xr:uid="{079D9A0B-69A6-4A4F-9293-9566E8374039}"/>
    <hyperlink ref="Y196" r:id="rId1190" xr:uid="{B96023A3-8911-49C4-9FB2-A531449DF500}"/>
    <hyperlink ref="Y22" r:id="rId1191" xr:uid="{038EDDFF-70FA-4B04-AC2E-38977D34ACB9}"/>
    <hyperlink ref="Y23" r:id="rId1192" xr:uid="{A8B1C747-3B00-41E2-9D69-A767D09D1D10}"/>
    <hyperlink ref="Y26" r:id="rId1193" xr:uid="{DD621406-B05D-43F3-B4F2-29F3A1A5C033}"/>
    <hyperlink ref="Y25" r:id="rId1194" xr:uid="{38A2C886-9247-4DFF-AF9C-65C5356AAEC7}"/>
    <hyperlink ref="Y24" r:id="rId1195" xr:uid="{5B8477F6-9274-45E2-9E4A-8441D21B1B69}"/>
    <hyperlink ref="Y184" r:id="rId1196" xr:uid="{F6E17694-ADAC-418F-A308-C959830F16AC}"/>
    <hyperlink ref="Y1246" r:id="rId1197" xr:uid="{71558DE7-9989-4F5F-89C0-00BE20D9E057}"/>
    <hyperlink ref="Y1235" r:id="rId1198" xr:uid="{C424228D-5150-418D-96CB-0F12FCB96C2D}"/>
    <hyperlink ref="Y1234" r:id="rId1199" xr:uid="{6755FC30-53A4-474D-9B82-8E5B0714B685}"/>
    <hyperlink ref="Y1241" r:id="rId1200" xr:uid="{DC898472-7278-4742-B04E-AAFAB6294D8C}"/>
    <hyperlink ref="Y1233" r:id="rId1201" xr:uid="{65FE8695-FB22-462F-A006-BC259A5B9422}"/>
    <hyperlink ref="Y1228" r:id="rId1202" xr:uid="{406403BE-64D6-4820-AA54-EC311B9E217C}"/>
    <hyperlink ref="Y1232" r:id="rId1203" xr:uid="{5BBE584A-C69B-49D2-B933-7D850A88E48B}"/>
    <hyperlink ref="Y1231" r:id="rId1204" xr:uid="{7B1CB0D1-2682-445E-A8B2-ED960018A47F}"/>
    <hyperlink ref="Y1230" r:id="rId1205" xr:uid="{340A9523-982D-4ACF-BD86-A29833C06C2D}"/>
    <hyperlink ref="Y1229" r:id="rId1206" xr:uid="{4CC2AA2E-ED69-45CB-91D4-4E6E5A576940}"/>
    <hyperlink ref="Y1240" r:id="rId1207" xr:uid="{793EA4DA-8D0E-42A7-B3BD-24DBAEBEC711}"/>
    <hyperlink ref="Y1245" r:id="rId1208" xr:uid="{6F328B78-71CD-4677-9568-B5F682C57DA4}"/>
    <hyperlink ref="Y1239" r:id="rId1209" xr:uid="{BD9D94A6-18DD-44E1-B847-F917968671C0}"/>
    <hyperlink ref="Y1244" r:id="rId1210" xr:uid="{2E3BDC59-503D-4B3B-8D75-88462F587CEB}"/>
    <hyperlink ref="Y1238" r:id="rId1211" xr:uid="{0AA56D21-9A0A-4CF2-AC68-FE2CB889854F}"/>
    <hyperlink ref="Y1237" r:id="rId1212" xr:uid="{37AA6225-EECD-4DFA-B26A-A499B99DAF84}"/>
    <hyperlink ref="Y1236" r:id="rId1213" xr:uid="{1FD99FD8-92EB-4DB6-99D6-2C1D7AC5A989}"/>
    <hyperlink ref="Y1243" r:id="rId1214" xr:uid="{05C82A50-54FF-43C1-A0A0-B16C4B58C30D}"/>
    <hyperlink ref="Y1242" r:id="rId1215" xr:uid="{C9666839-D3A2-47DF-A14B-144371F35C18}"/>
    <hyperlink ref="Y313" r:id="rId1216" xr:uid="{70290CDF-9BF8-47E9-905B-17C268198C30}"/>
    <hyperlink ref="Y483" r:id="rId1217" xr:uid="{496F18FE-0C47-4AA3-A435-CECB7147ECF3}"/>
    <hyperlink ref="Y481" r:id="rId1218" xr:uid="{7ECAC1DA-5AA3-44AF-9379-C9FFEB89162D}"/>
    <hyperlink ref="Y480" r:id="rId1219" xr:uid="{C2BA292E-8467-437A-B2CD-5DA54F6C23F7}"/>
    <hyperlink ref="Y482" r:id="rId1220" xr:uid="{2413E017-F49B-4DF3-8CA6-703ECFB17E95}"/>
    <hyperlink ref="Y787" r:id="rId1221" xr:uid="{A1489BEF-0B36-472E-99C0-45E80C2B7C91}"/>
    <hyperlink ref="Y792" r:id="rId1222" xr:uid="{244BE4B9-7A21-4940-AD74-28A26FB59117}"/>
    <hyperlink ref="Y790" r:id="rId1223" xr:uid="{A87D3A8E-D2EE-4F41-B74F-BB4273090F2E}"/>
    <hyperlink ref="Y789" r:id="rId1224" xr:uid="{71606BFD-5DEB-46DE-9068-32BDF5494C38}"/>
    <hyperlink ref="Y794" r:id="rId1225" xr:uid="{D81EFD06-3A83-4FD2-99D5-73D0CDC9E86E}"/>
    <hyperlink ref="Y793" r:id="rId1226" xr:uid="{A77DED7A-B737-4DBE-A758-68F963410271}"/>
    <hyperlink ref="Y791" r:id="rId1227" xr:uid="{7C38BCE3-4638-46A9-B9F1-9E235A11862E}"/>
    <hyperlink ref="Y788" r:id="rId1228" xr:uid="{C68B872F-0E0E-4667-86D2-DF300AF46AE3}"/>
    <hyperlink ref="Y780" r:id="rId1229" xr:uid="{BD3EB31E-CEB5-4684-A4C2-64C704C5C5C5}"/>
    <hyperlink ref="Y763" r:id="rId1230" xr:uid="{4B6AE7BD-7957-4F99-BF6D-99780AFE97B9}"/>
    <hyperlink ref="Y761" r:id="rId1231" xr:uid="{1EE04524-3FA2-4094-9C58-8C7AE811B748}"/>
    <hyperlink ref="Y754" r:id="rId1232" xr:uid="{29AD8FDD-A699-4BD0-88E6-F68F954341F1}"/>
    <hyperlink ref="Y1024" r:id="rId1233" xr:uid="{C56493FE-CD64-4391-BB14-BE0A4A7D200F}"/>
    <hyperlink ref="Y760" r:id="rId1234" xr:uid="{EE838506-CFB2-4E87-BD2D-54ABBC5F1071}"/>
    <hyperlink ref="Y1023" r:id="rId1235" xr:uid="{1F59C81E-F9B0-43F2-BDFC-4CDD415C7EF1}"/>
    <hyperlink ref="Y759" r:id="rId1236" xr:uid="{FE43751B-A211-46A9-A34B-1C5A262667E8}"/>
    <hyperlink ref="Y764" r:id="rId1237" xr:uid="{4A760FC3-6184-4A0C-96A1-EF81D24B4265}"/>
    <hyperlink ref="Y751" r:id="rId1238" xr:uid="{6F8D91F5-6D73-407D-AEB6-D189DADEDF0C}"/>
    <hyperlink ref="Y1027" r:id="rId1239" xr:uid="{5A0192EE-D25D-447D-AFBE-D9BED21C767C}"/>
    <hyperlink ref="Y1025" r:id="rId1240" xr:uid="{05854B08-0F2A-408B-BA6F-27F5BE748010}"/>
    <hyperlink ref="Y755" r:id="rId1241" xr:uid="{28C5B8D9-3133-4CDC-A444-4072026DA45B}"/>
    <hyperlink ref="Y766" r:id="rId1242" xr:uid="{4F3BF717-270F-46F0-B1AB-C7148312F8CA}"/>
    <hyperlink ref="Y753" r:id="rId1243" xr:uid="{022F32AC-F247-4ECC-B3D0-58DD32DA7F05}"/>
    <hyperlink ref="Y762" r:id="rId1244" xr:uid="{4398EC1A-D8A1-4E5C-976C-0B1D914B1207}"/>
    <hyperlink ref="Y1026" r:id="rId1245" xr:uid="{B74446D1-FEB6-48FD-AFA5-0B939642F477}"/>
    <hyperlink ref="Y770" r:id="rId1246" xr:uid="{D0FC8804-C68D-4B24-A093-DB48AF772AF4}"/>
    <hyperlink ref="Y752" r:id="rId1247" xr:uid="{46E04C0E-A741-46A3-807E-F11308D0BF38}"/>
    <hyperlink ref="Y1022" r:id="rId1248" xr:uid="{AB9498EC-CC41-4922-9B71-D95AB465630A}"/>
    <hyperlink ref="Y768" r:id="rId1249" xr:uid="{FB88ABAF-7835-4857-84F9-0048FC7F2457}"/>
    <hyperlink ref="Y750" r:id="rId1250" xr:uid="{72A0E368-1E1C-4323-B54C-E7F5984B3CEF}"/>
    <hyperlink ref="Y765" r:id="rId1251" xr:uid="{4B8B51BF-E659-4841-A39A-2F063704C77F}"/>
    <hyperlink ref="Y757" r:id="rId1252" xr:uid="{32233008-BE85-49E2-91C3-7CDC583F05A4}"/>
    <hyperlink ref="Y749" r:id="rId1253" xr:uid="{D143D765-317F-425D-8930-30536DED0937}"/>
    <hyperlink ref="Y758" r:id="rId1254" xr:uid="{2AC95F49-EE9F-463C-9AD0-8EDD74BE2DE3}"/>
    <hyperlink ref="Y767" r:id="rId1255" xr:uid="{96A1D2D6-DAD2-4320-88B1-88D64848B829}"/>
    <hyperlink ref="Y774" r:id="rId1256" xr:uid="{A27CE98C-4810-4092-AE22-700A835E6957}"/>
    <hyperlink ref="Y771" r:id="rId1257" xr:uid="{2E9979C9-C2A5-4561-9368-B82E0949B02A}"/>
    <hyperlink ref="Y1029" r:id="rId1258" xr:uid="{2C1BBC57-7877-4516-B3A3-C821BA84DDA6}"/>
    <hyperlink ref="Y785" r:id="rId1259" xr:uid="{26677EA1-2B15-4007-B22C-C6164214A2D9}"/>
    <hyperlink ref="Y779" r:id="rId1260" xr:uid="{6D4643CB-935A-423A-90AB-A1D89D95439D}"/>
    <hyperlink ref="Y786" r:id="rId1261" xr:uid="{ADD390D6-43A4-4729-9E5E-A96C3A222A49}"/>
    <hyperlink ref="Y1028" r:id="rId1262" xr:uid="{982A0081-6C58-474C-9298-86960057A716}"/>
    <hyperlink ref="Y782" r:id="rId1263" xr:uid="{59842D10-A948-4024-A5F8-A4719E0F0B16}"/>
    <hyperlink ref="Y769" r:id="rId1264" xr:uid="{85D44DDA-D927-4E4F-B609-6A9C87D3AE0B}"/>
    <hyperlink ref="Y777" r:id="rId1265" xr:uid="{F19B07EC-656C-4D4B-B5A0-F2170BBB29B5}"/>
    <hyperlink ref="Y781" r:id="rId1266" xr:uid="{20D11FB8-C2F0-47E5-B3BE-10699710CED3}"/>
    <hyperlink ref="Y778" r:id="rId1267" xr:uid="{1496FADD-90C3-4757-8854-C3BF41D5C55F}"/>
    <hyperlink ref="Y773" r:id="rId1268" xr:uid="{060E4229-34CA-42D4-99F9-7C7F5CEECA10}"/>
    <hyperlink ref="Y756" r:id="rId1269" xr:uid="{339D6A3A-EC38-4CF4-96F1-9D96D1E0E409}"/>
    <hyperlink ref="Y776" r:id="rId1270" xr:uid="{81F45C3A-FCDA-4380-93C7-83BDFFC05F48}"/>
    <hyperlink ref="Y783" r:id="rId1271" xr:uid="{AB21A701-F0A6-49B4-A1BF-4FD28B507148}"/>
    <hyperlink ref="Y784" r:id="rId1272" xr:uid="{67B4E818-5DBB-438E-9255-BD4807B49B7C}"/>
    <hyperlink ref="Y772" r:id="rId1273" xr:uid="{9222A344-F148-4E5C-8A8B-D2DE8E97ABA9}"/>
    <hyperlink ref="Y775" r:id="rId1274" xr:uid="{8F718BDD-5E6F-4001-BD20-2416D8464BC6}"/>
    <hyperlink ref="Y649" r:id="rId1275" xr:uid="{0080C0B4-3694-4C80-8566-448D38DED860}"/>
    <hyperlink ref="Y648" r:id="rId1276" xr:uid="{2E313467-62C9-4A78-B98A-B71B98BBFC06}"/>
    <hyperlink ref="Y563" r:id="rId1277" xr:uid="{3BD04A11-DB0E-4E8D-9239-24F615A57F17}"/>
    <hyperlink ref="Y12" r:id="rId1278" xr:uid="{15ECF105-698A-4177-9067-04C6B9D1E36D}"/>
    <hyperlink ref="Y1942" r:id="rId1279" xr:uid="{B8A82575-6D4D-4E73-A34C-63E6857E6798}"/>
    <hyperlink ref="Y365" r:id="rId1280" xr:uid="{D5CC98D0-90E3-4850-955C-F8C45754E7AB}"/>
    <hyperlink ref="Y537" r:id="rId1281" xr:uid="{2D5B81FA-9A54-4805-92D8-E4388C9143FD}"/>
    <hyperlink ref="Y566" r:id="rId1282" xr:uid="{C42FA799-49C6-4823-81A8-06311120E7FD}"/>
    <hyperlink ref="Y570" r:id="rId1283" xr:uid="{AED3A50A-C3C1-4D68-9EB3-C43CD040B874}"/>
    <hyperlink ref="Y567" r:id="rId1284" xr:uid="{CE314DEE-2914-40E9-8A8B-B1684B666BC0}"/>
    <hyperlink ref="Y565" r:id="rId1285" xr:uid="{204669A4-5262-4DDC-BBB9-D7599C707699}"/>
    <hyperlink ref="Y1449" r:id="rId1286" xr:uid="{96C85127-0B33-47EC-860D-31B48D4B5A1D}"/>
    <hyperlink ref="Y1994" r:id="rId1287" xr:uid="{CFDCB6F0-6493-4065-81CC-2E29BAFB61B6}"/>
    <hyperlink ref="Y1993" r:id="rId1288" xr:uid="{E474AD60-21A3-4541-9CD7-45C3FCFF7279}"/>
    <hyperlink ref="Y1992" r:id="rId1289" xr:uid="{7F566C1A-300C-4D66-9426-18F096CE4332}"/>
    <hyperlink ref="Y1213" r:id="rId1290" xr:uid="{B53B7A07-AE34-41B4-A1E0-CA24B700C3C8}"/>
    <hyperlink ref="Y1211" r:id="rId1291" xr:uid="{1EAAABA7-AF1A-4116-8BAE-26CC3F82C9DD}"/>
    <hyperlink ref="Y682" r:id="rId1292" xr:uid="{CB0A89B7-17E8-4D13-A046-75711158F09C}"/>
    <hyperlink ref="Y1210" r:id="rId1293" xr:uid="{EE49723E-0837-4A7E-9ED7-2818654D6B4A}"/>
    <hyperlink ref="Y598" r:id="rId1294" xr:uid="{56BD77B1-AC04-46CD-9481-6ABA4D4FC62D}"/>
    <hyperlink ref="Y599" r:id="rId1295" xr:uid="{D9D8C849-7F85-41AC-85B2-6A7FFAFBA5FB}"/>
    <hyperlink ref="Y597" r:id="rId1296" xr:uid="{A511AA35-704E-4FF7-B19D-42C6A2726338}"/>
    <hyperlink ref="Y554" r:id="rId1297" xr:uid="{C5C8A5ED-01DD-45C1-A154-06A514551116}"/>
    <hyperlink ref="Y552" r:id="rId1298" xr:uid="{54374050-4AF4-4C32-9E97-31DADEB4853B}"/>
    <hyperlink ref="Y1223" r:id="rId1299" xr:uid="{579675EE-B9A4-49C1-BBF8-3BE988A5C062}"/>
    <hyperlink ref="Y1307" r:id="rId1300" xr:uid="{EA173C00-F76B-46EA-897D-5232CAC6A868}"/>
    <hyperlink ref="Y1315" r:id="rId1301" xr:uid="{6598BAB5-8A9D-481C-A40F-590745600289}"/>
    <hyperlink ref="Y1316" r:id="rId1302" xr:uid="{A72C935F-3B80-47B0-B83A-A35597D8245D}"/>
    <hyperlink ref="Y1310" r:id="rId1303" xr:uid="{2DB148E7-C888-419E-BC9F-3817A7EA341B}"/>
    <hyperlink ref="Y1309" r:id="rId1304" xr:uid="{F55AB829-C3BF-44C9-AEDB-416A40ADB121}"/>
    <hyperlink ref="Y1314" r:id="rId1305" xr:uid="{BF5563EE-0606-4D53-8BFB-587808D1C62B}"/>
    <hyperlink ref="Y1313" r:id="rId1306" xr:uid="{2A9544F9-DC3A-4C59-B248-D277ACC05B72}"/>
    <hyperlink ref="Y1312" r:id="rId1307" xr:uid="{73B2A1CE-6F93-4914-8ED4-D02076531DE1}"/>
    <hyperlink ref="Y1306" r:id="rId1308" xr:uid="{7F254D68-9DE7-4BB7-AE26-FACCD17A7E7E}"/>
    <hyperlink ref="Y1318" r:id="rId1309" xr:uid="{555D1ECE-E25D-47B9-BEB2-63503EF3A2B0}"/>
    <hyperlink ref="Y1311" r:id="rId1310" xr:uid="{B1B3BF0F-05D1-473D-B510-F8BBDBF0CBC4}"/>
    <hyperlink ref="Y1317" r:id="rId1311" xr:uid="{9629B003-EA52-4F77-A1A0-D4086E792785}"/>
    <hyperlink ref="Y1319" r:id="rId1312" xr:uid="{AC1169B5-2A36-4DF9-9FB6-DFFFC1828908}"/>
    <hyperlink ref="Y1308" r:id="rId1313" xr:uid="{62B25821-5515-47DE-B128-109E5F8643A1}"/>
    <hyperlink ref="Y5" r:id="rId1314" xr:uid="{BCD89076-6E04-4A65-9364-B55450DD6199}"/>
    <hyperlink ref="Y7" r:id="rId1315" xr:uid="{A80ECA9C-32A1-4221-A449-1D60CEA32441}"/>
    <hyperlink ref="Y6" r:id="rId1316" xr:uid="{14DB6288-A06D-40F8-971A-6855D9173CDE}"/>
    <hyperlink ref="Y343" r:id="rId1317" xr:uid="{1BB65485-B30F-464E-91A5-FA43A2B3FCE5}"/>
    <hyperlink ref="Y342" r:id="rId1318" xr:uid="{50588ED8-9FF5-484D-BECE-B1CDA378665B}"/>
    <hyperlink ref="Y1257" r:id="rId1319" xr:uid="{9AC09DE4-7C47-4204-97C9-F6E01AC0BE7C}"/>
    <hyperlink ref="Y515" r:id="rId1320" xr:uid="{AA201905-71BA-4903-A9ED-4416CC0C5294}"/>
    <hyperlink ref="Y1703" r:id="rId1321" xr:uid="{E666725D-AB12-4138-AC49-276551F5AA14}"/>
    <hyperlink ref="Y680" r:id="rId1322" xr:uid="{D2100B5B-FA06-41A8-90DE-9D872372FBAA}"/>
    <hyperlink ref="Y581" r:id="rId1323" xr:uid="{468E5CED-A788-412C-9138-7EAEC3ED03BB}"/>
    <hyperlink ref="Z581" r:id="rId1324" display="tel:+250788307098" xr:uid="{6DDECB21-2621-4180-AC36-BC93F80B8E3E}"/>
    <hyperlink ref="Y580" r:id="rId1325" xr:uid="{DA2D4D0C-D771-4450-BF9B-A94477AC0D78}"/>
    <hyperlink ref="Z580" r:id="rId1326" display="tel:+250788307098" xr:uid="{EEC0B895-3C11-465B-814E-C4B24F371588}"/>
    <hyperlink ref="Y259" r:id="rId1327" xr:uid="{21FCDAF3-F2FD-4AD1-9C49-C5DF5C618603}"/>
    <hyperlink ref="Y308" r:id="rId1328" xr:uid="{1AD01CFE-063E-4D94-869C-EC748B459DFA}"/>
    <hyperlink ref="Y542" r:id="rId1329" xr:uid="{1B75817D-27FA-406E-997E-FDD624205686}"/>
    <hyperlink ref="Y541" r:id="rId1330" xr:uid="{E70376B4-18EC-4F4E-B805-A8158A10D038}"/>
    <hyperlink ref="Y1354" r:id="rId1331" xr:uid="{041CD6D8-C2D2-4D4D-BC7B-910ACF1327DB}"/>
    <hyperlink ref="Y338" r:id="rId1332" xr:uid="{515147A9-8FBB-4588-949B-276ECB27F1B1}"/>
    <hyperlink ref="Y643" r:id="rId1333" xr:uid="{3EB87091-557B-43DF-9560-627AD1B1EF69}"/>
    <hyperlink ref="Y642" r:id="rId1334" xr:uid="{979E04D1-B097-4540-8FD4-D6F9417C4A40}"/>
    <hyperlink ref="Y641" r:id="rId1335" xr:uid="{6649C814-3B2B-4EC3-B5ED-F29226958E91}"/>
    <hyperlink ref="Y92" r:id="rId1336" xr:uid="{740710D3-3746-47C3-838A-32AD0F42C9BE}"/>
    <hyperlink ref="Y86" r:id="rId1337" xr:uid="{82C9382A-40FD-4350-8532-A93B7C9B44CB}"/>
    <hyperlink ref="Y85" r:id="rId1338" xr:uid="{9A486686-EDA1-4829-841D-8CFC1C2D8DC8}"/>
    <hyperlink ref="Y88" r:id="rId1339" xr:uid="{F8852E8B-8E5E-4642-A8A4-203084E36A75}"/>
    <hyperlink ref="Y84" r:id="rId1340" xr:uid="{8A0789EB-5338-4AC6-A1D5-11FF29F31484}"/>
    <hyperlink ref="Y83" r:id="rId1341" xr:uid="{487E4146-883A-469E-BF5F-9A3E9BBE5C5F}"/>
    <hyperlink ref="Y94" r:id="rId1342" xr:uid="{7599E3FF-5266-4718-A52B-90B24B8049BB}"/>
    <hyperlink ref="Y95" r:id="rId1343" xr:uid="{E074340C-B04E-4AC4-A497-4AAB192D931B}"/>
    <hyperlink ref="Y89" r:id="rId1344" xr:uid="{1A30FC32-86BB-4E73-B290-ADF9558328C3}"/>
    <hyperlink ref="Y87" r:id="rId1345" xr:uid="{D0C61586-D55B-4E4E-B071-27550FB22DB6}"/>
    <hyperlink ref="Y82" r:id="rId1346" xr:uid="{B244982A-11F7-4D8D-8961-6295AEE76A0E}"/>
    <hyperlink ref="Y81" r:id="rId1347" xr:uid="{1E411CC7-697D-44B9-A051-AA9715208ECA}"/>
    <hyperlink ref="Y561" r:id="rId1348" xr:uid="{FAC82A35-7086-4AB1-B667-ACCE1976EC3C}"/>
    <hyperlink ref="Y559" r:id="rId1349" xr:uid="{0C3BCA2F-6F5C-4A98-A8F5-1A08EDEA9F61}"/>
    <hyperlink ref="Y558" r:id="rId1350" xr:uid="{4DEE3541-2EE3-47C1-A392-DC6CA66960DE}"/>
    <hyperlink ref="Y557" r:id="rId1351" xr:uid="{388E370A-B5A6-46F4-BBB9-E425B293357C}"/>
    <hyperlink ref="Y556" r:id="rId1352" xr:uid="{95A09DDE-E75E-423F-9456-8838C79764DD}"/>
    <hyperlink ref="Y562" r:id="rId1353" xr:uid="{1A502410-4F60-4FFA-91B2-B7D0511988C1}"/>
    <hyperlink ref="Y747" r:id="rId1354" xr:uid="{006DB7E9-535C-4C74-969B-6E74B1C80A73}"/>
    <hyperlink ref="Y746" r:id="rId1355" xr:uid="{4B08508A-BAB3-4664-B019-970DF4FE0C87}"/>
    <hyperlink ref="Y2057" r:id="rId1356" xr:uid="{389B6CD9-412D-4C6E-AAB5-4577F272E584}"/>
    <hyperlink ref="Y1848" r:id="rId1357" xr:uid="{B2BF3F36-1C86-492C-AAE3-11072D214ED2}"/>
    <hyperlink ref="Y1849" r:id="rId1358" xr:uid="{39FE125B-3715-4610-BABA-E318810F3959}"/>
    <hyperlink ref="Y1850" r:id="rId1359" xr:uid="{C77287A1-AA0F-480D-AF28-FEE0EC039EC3}"/>
    <hyperlink ref="Y1851" r:id="rId1360" xr:uid="{20C66E93-40EE-4544-B9D5-34F264F72E37}"/>
    <hyperlink ref="Y1852" r:id="rId1361" xr:uid="{CDB02F82-42B7-48DB-A269-DA2CA6229265}"/>
    <hyperlink ref="Y1853" r:id="rId1362" xr:uid="{9204D2BE-FA17-4848-A7E1-588F845DEBE1}"/>
    <hyperlink ref="Y1854" r:id="rId1363" xr:uid="{7EB8E5D7-24F9-4E74-95E4-1BEC3FDF5DDB}"/>
    <hyperlink ref="Y2290" r:id="rId1364" xr:uid="{50C9ECE4-175B-4917-AD29-93657B41AF29}"/>
    <hyperlink ref="Y1493" r:id="rId1365" xr:uid="{EB67AA58-974E-4038-95BD-ED9CCAA817F6}"/>
    <hyperlink ref="Y1900" r:id="rId1366" xr:uid="{ECAF57C1-626A-4CB6-BECA-AF3D8DB68EA6}"/>
    <hyperlink ref="Y114" r:id="rId1367" xr:uid="{2EC97C47-F835-4CA3-A0EA-DDA576283757}"/>
    <hyperlink ref="Y115" r:id="rId1368" xr:uid="{0E719797-49FC-46D4-A7B0-F845BEDF732E}"/>
    <hyperlink ref="Y90" r:id="rId1369" xr:uid="{599F185B-E70F-45FC-94D3-5E0C75E98A03}"/>
    <hyperlink ref="Y2292" r:id="rId1370" xr:uid="{6FCDCBE3-A877-4495-84BC-75A5ED8E75B9}"/>
    <hyperlink ref="Y2314" r:id="rId1371" display="info@chub.rw;gada@chub.rw" xr:uid="{D2BE7D8D-2D3D-42D1-9C42-00A7721F58B3}"/>
    <hyperlink ref="Y2315" r:id="rId1372" display="gahini.hospital@moh.gov.rw" xr:uid="{BFB454D9-4A33-4A91-87C6-9688C00C1617}"/>
    <hyperlink ref="Y2316" r:id="rId1373" display="corporate@rwamagana.gov.rw" xr:uid="{22831F81-796E-4344-AD22-D052AB750BFD}"/>
  </hyperlinks>
  <pageMargins left="0.7" right="0.7" top="0.75" bottom="0.75" header="0.3" footer="0.3"/>
  <pageSetup orientation="landscape" r:id="rId1374"/>
  <tableParts count="1">
    <tablePart r:id="rId1375"/>
  </tableParts>
  <extLst>
    <ext xmlns:x14="http://schemas.microsoft.com/office/spreadsheetml/2009/9/main" uri="{CCE6A557-97BC-4b89-ADB6-D9C93CAAB3DF}">
      <x14:dataValidations xmlns:xm="http://schemas.microsoft.com/office/excel/2006/main" count="7">
        <x14:dataValidation type="list" allowBlank="1" showInputMessage="1" showErrorMessage="1" errorTitle="Insert AM Last Name" error="Insert AM Last Name" xr:uid="{FFB7F3E1-13DA-497C-B5F8-D5B5C6CE35B7}">
          <x14:formula1>
            <xm:f>Settings!$M$2:$M$14</xm:f>
          </x14:formula1>
          <xm:sqref>X2267 W2:W2316</xm:sqref>
        </x14:dataValidation>
        <x14:dataValidation type="list" allowBlank="1" showInputMessage="1" showErrorMessage="1" xr:uid="{330C4471-ABA1-47A3-8359-706E947F34AE}">
          <x14:formula1>
            <xm:f>Settings!$I$2:$I$33</xm:f>
          </x14:formula1>
          <xm:sqref>I2:I2351</xm:sqref>
        </x14:dataValidation>
        <x14:dataValidation type="list" allowBlank="1" showInputMessage="1" showErrorMessage="1" xr:uid="{8613F53C-D17C-463B-82C2-1A43AC5D186D}">
          <x14:formula1>
            <xm:f>Settings!$A$2:$A$38</xm:f>
          </x14:formula1>
          <xm:sqref>D2:D2351</xm:sqref>
        </x14:dataValidation>
        <x14:dataValidation type="list" allowBlank="1" showInputMessage="1" showErrorMessage="1" xr:uid="{144DBAAC-DDA5-4906-98BF-3845E46B7E02}">
          <x14:formula1>
            <xm:f>Settings!$C$2:$C$13</xm:f>
          </x14:formula1>
          <xm:sqref>E2:E2351</xm:sqref>
        </x14:dataValidation>
        <x14:dataValidation type="list" allowBlank="1" showInputMessage="1" showErrorMessage="1" xr:uid="{0CE8D3E6-90FD-4EB2-AF3D-7445A3A5B232}">
          <x14:formula1>
            <xm:f>Settings!$E$2:$E$43</xm:f>
          </x14:formula1>
          <xm:sqref>F2:F2351</xm:sqref>
        </x14:dataValidation>
        <x14:dataValidation type="list" allowBlank="1" showInputMessage="1" showErrorMessage="1" xr:uid="{54984809-9F9E-437B-833A-4C934CE0ED8D}">
          <x14:formula1>
            <xm:f>Settings!$G$2:$G$17</xm:f>
          </x14:formula1>
          <xm:sqref>H2:H2351</xm:sqref>
        </x14:dataValidation>
        <x14:dataValidation type="list" allowBlank="1" showInputMessage="1" showErrorMessage="1" xr:uid="{CB355EC7-0153-42C8-BD4F-8BE4984C964C}">
          <x14:formula1>
            <xm:f>Settings!$K$2:$K$6</xm:f>
          </x14:formula1>
          <xm:sqref>Q2:Q2351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B5477-6696-4E13-9451-2A797374535D}">
  <dimension ref="A1:M38"/>
  <sheetViews>
    <sheetView showGridLines="0" topLeftCell="A5" workbookViewId="0">
      <selection activeCell="I24" sqref="I24"/>
    </sheetView>
  </sheetViews>
  <sheetFormatPr defaultRowHeight="14.4" x14ac:dyDescent="0.3"/>
  <cols>
    <col min="1" max="1" width="35.109375" style="3" bestFit="1" customWidth="1"/>
    <col min="3" max="3" width="19.88671875" style="3" bestFit="1" customWidth="1"/>
    <col min="5" max="5" width="19.88671875" style="3" bestFit="1" customWidth="1"/>
    <col min="7" max="7" width="11.6640625" style="3" bestFit="1" customWidth="1"/>
    <col min="9" max="9" width="31.88671875" style="3" bestFit="1" customWidth="1"/>
    <col min="11" max="11" width="13.44140625" bestFit="1" customWidth="1"/>
    <col min="13" max="13" width="12.109375" bestFit="1" customWidth="1"/>
  </cols>
  <sheetData>
    <row r="1" spans="1:13" x14ac:dyDescent="0.3">
      <c r="A1" s="4" t="s">
        <v>492</v>
      </c>
      <c r="C1" s="4" t="s">
        <v>478</v>
      </c>
      <c r="E1" s="4" t="s">
        <v>493</v>
      </c>
      <c r="G1" s="4" t="s">
        <v>495</v>
      </c>
      <c r="I1" s="4" t="s">
        <v>496</v>
      </c>
      <c r="K1" s="4" t="s">
        <v>3793</v>
      </c>
      <c r="M1" s="4" t="s">
        <v>3794</v>
      </c>
    </row>
    <row r="2" spans="1:13" x14ac:dyDescent="0.3">
      <c r="A2" s="2" t="s">
        <v>540</v>
      </c>
      <c r="C2" s="2" t="s">
        <v>9</v>
      </c>
      <c r="E2" s="2" t="s">
        <v>822</v>
      </c>
      <c r="G2" s="6" t="s">
        <v>5</v>
      </c>
      <c r="I2" s="2" t="s">
        <v>115</v>
      </c>
      <c r="K2" s="8" t="s">
        <v>3795</v>
      </c>
      <c r="M2" s="7" t="s">
        <v>15</v>
      </c>
    </row>
    <row r="3" spans="1:13" x14ac:dyDescent="0.3">
      <c r="A3" s="2" t="s">
        <v>545</v>
      </c>
      <c r="C3" s="2" t="s">
        <v>10</v>
      </c>
      <c r="E3" s="2" t="s">
        <v>527</v>
      </c>
      <c r="G3" s="2" t="s">
        <v>2</v>
      </c>
      <c r="I3" s="2" t="s">
        <v>134</v>
      </c>
      <c r="K3" s="8" t="s">
        <v>520</v>
      </c>
      <c r="M3" s="7" t="s">
        <v>18</v>
      </c>
    </row>
    <row r="4" spans="1:13" x14ac:dyDescent="0.3">
      <c r="A4" s="2" t="s">
        <v>653</v>
      </c>
      <c r="C4" s="2"/>
      <c r="E4" s="2" t="s">
        <v>517</v>
      </c>
      <c r="G4" s="2" t="s">
        <v>3</v>
      </c>
      <c r="I4" s="2" t="s">
        <v>131</v>
      </c>
      <c r="K4" s="8" t="s">
        <v>3796</v>
      </c>
      <c r="M4" s="7" t="s">
        <v>14</v>
      </c>
    </row>
    <row r="5" spans="1:13" ht="15" x14ac:dyDescent="0.35">
      <c r="A5" s="2" t="s">
        <v>735</v>
      </c>
      <c r="C5"/>
      <c r="E5" s="2" t="s">
        <v>888</v>
      </c>
      <c r="G5" s="5" t="s">
        <v>4</v>
      </c>
      <c r="I5" s="2" t="s">
        <v>117</v>
      </c>
      <c r="K5" s="8" t="s">
        <v>504</v>
      </c>
      <c r="M5" s="7" t="s">
        <v>20</v>
      </c>
    </row>
    <row r="6" spans="1:13" x14ac:dyDescent="0.3">
      <c r="A6" s="2" t="s">
        <v>516</v>
      </c>
      <c r="C6"/>
      <c r="E6" s="2" t="s">
        <v>631</v>
      </c>
      <c r="G6" s="2" t="s">
        <v>6</v>
      </c>
      <c r="I6" s="2" t="s">
        <v>438</v>
      </c>
      <c r="K6" s="8" t="s">
        <v>857</v>
      </c>
      <c r="M6" s="7" t="s">
        <v>12</v>
      </c>
    </row>
    <row r="7" spans="1:13" x14ac:dyDescent="0.3">
      <c r="A7" s="2" t="s">
        <v>761</v>
      </c>
      <c r="C7"/>
      <c r="E7" s="2" t="s">
        <v>2560</v>
      </c>
      <c r="G7" s="1" t="s">
        <v>7</v>
      </c>
      <c r="I7" s="2" t="s">
        <v>123</v>
      </c>
      <c r="M7" s="7" t="s">
        <v>3797</v>
      </c>
    </row>
    <row r="8" spans="1:13" x14ac:dyDescent="0.3">
      <c r="A8" s="2" t="s">
        <v>808</v>
      </c>
      <c r="C8"/>
      <c r="E8" s="2" t="s">
        <v>601</v>
      </c>
      <c r="G8" s="2"/>
      <c r="I8" s="2" t="s">
        <v>116</v>
      </c>
      <c r="M8" s="7" t="s">
        <v>16</v>
      </c>
    </row>
    <row r="9" spans="1:13" x14ac:dyDescent="0.3">
      <c r="A9" s="2" t="s">
        <v>616</v>
      </c>
      <c r="C9"/>
      <c r="E9" s="2" t="s">
        <v>3401</v>
      </c>
      <c r="G9"/>
      <c r="I9" s="2" t="s">
        <v>1823</v>
      </c>
      <c r="M9" s="7" t="s">
        <v>13</v>
      </c>
    </row>
    <row r="10" spans="1:13" x14ac:dyDescent="0.3">
      <c r="A10" s="2" t="s">
        <v>873</v>
      </c>
      <c r="C10"/>
      <c r="E10" s="2" t="s">
        <v>688</v>
      </c>
      <c r="G10"/>
      <c r="I10" s="2" t="s">
        <v>118</v>
      </c>
      <c r="M10" s="7" t="s">
        <v>21</v>
      </c>
    </row>
    <row r="11" spans="1:13" x14ac:dyDescent="0.3">
      <c r="A11" s="2" t="s">
        <v>619</v>
      </c>
      <c r="C11"/>
      <c r="E11" s="2" t="s">
        <v>1203</v>
      </c>
      <c r="G11"/>
      <c r="I11" s="2" t="s">
        <v>136</v>
      </c>
      <c r="M11" s="7" t="s">
        <v>17</v>
      </c>
    </row>
    <row r="12" spans="1:13" x14ac:dyDescent="0.3">
      <c r="A12" s="2" t="s">
        <v>875</v>
      </c>
      <c r="C12"/>
      <c r="E12" s="2" t="s">
        <v>560</v>
      </c>
      <c r="G12"/>
      <c r="I12" s="2" t="s">
        <v>126</v>
      </c>
      <c r="M12" s="7" t="s">
        <v>19</v>
      </c>
    </row>
    <row r="13" spans="1:13" x14ac:dyDescent="0.3">
      <c r="A13" s="2" t="s">
        <v>769</v>
      </c>
      <c r="C13"/>
      <c r="E13" s="2" t="s">
        <v>693</v>
      </c>
      <c r="G13"/>
      <c r="I13" s="2" t="s">
        <v>120</v>
      </c>
      <c r="M13" s="7" t="s">
        <v>3798</v>
      </c>
    </row>
    <row r="14" spans="1:13" x14ac:dyDescent="0.3">
      <c r="A14" s="2" t="s">
        <v>579</v>
      </c>
      <c r="C14"/>
      <c r="E14" s="2" t="s">
        <v>1536</v>
      </c>
      <c r="G14"/>
      <c r="I14" s="2" t="s">
        <v>121</v>
      </c>
    </row>
    <row r="15" spans="1:13" x14ac:dyDescent="0.3">
      <c r="A15" s="2" t="s">
        <v>532</v>
      </c>
      <c r="C15"/>
      <c r="E15" s="2" t="s">
        <v>663</v>
      </c>
      <c r="G15"/>
      <c r="I15" s="2" t="s">
        <v>137</v>
      </c>
    </row>
    <row r="16" spans="1:13" x14ac:dyDescent="0.3">
      <c r="A16" s="2" t="s">
        <v>739</v>
      </c>
      <c r="C16"/>
      <c r="E16" s="2" t="s">
        <v>729</v>
      </c>
      <c r="G16"/>
      <c r="I16" s="2" t="s">
        <v>3799</v>
      </c>
    </row>
    <row r="17" spans="1:9" x14ac:dyDescent="0.3">
      <c r="A17" s="2" t="s">
        <v>526</v>
      </c>
      <c r="C17"/>
      <c r="E17" s="2" t="s">
        <v>969</v>
      </c>
      <c r="G17"/>
      <c r="I17" s="2" t="s">
        <v>3800</v>
      </c>
    </row>
    <row r="18" spans="1:9" x14ac:dyDescent="0.3">
      <c r="A18" s="2" t="s">
        <v>586</v>
      </c>
      <c r="C18"/>
      <c r="E18" s="1" t="s">
        <v>1518</v>
      </c>
      <c r="G18"/>
      <c r="I18" s="2" t="s">
        <v>3801</v>
      </c>
    </row>
    <row r="19" spans="1:9" x14ac:dyDescent="0.3">
      <c r="A19" s="2" t="s">
        <v>929</v>
      </c>
      <c r="C19"/>
      <c r="E19" s="2"/>
      <c r="G19"/>
      <c r="I19" s="2" t="s">
        <v>3828</v>
      </c>
    </row>
    <row r="20" spans="1:9" x14ac:dyDescent="0.3">
      <c r="A20" s="2" t="s">
        <v>848</v>
      </c>
      <c r="C20"/>
      <c r="E20"/>
      <c r="G20"/>
      <c r="I20"/>
    </row>
    <row r="21" spans="1:9" x14ac:dyDescent="0.3">
      <c r="A21" s="2" t="s">
        <v>759</v>
      </c>
      <c r="C21"/>
      <c r="E21"/>
      <c r="G21"/>
      <c r="I21"/>
    </row>
    <row r="22" spans="1:9" x14ac:dyDescent="0.3">
      <c r="A22" s="2" t="s">
        <v>810</v>
      </c>
      <c r="C22"/>
      <c r="E22"/>
      <c r="G22"/>
      <c r="I22"/>
    </row>
    <row r="23" spans="1:9" x14ac:dyDescent="0.3">
      <c r="A23" s="2" t="s">
        <v>662</v>
      </c>
      <c r="C23"/>
      <c r="E23"/>
      <c r="G23"/>
      <c r="I23"/>
    </row>
    <row r="24" spans="1:9" x14ac:dyDescent="0.3">
      <c r="A24" s="2" t="s">
        <v>1719</v>
      </c>
      <c r="C24"/>
      <c r="E24"/>
      <c r="G24"/>
      <c r="I24"/>
    </row>
    <row r="25" spans="1:9" x14ac:dyDescent="0.3">
      <c r="A25" s="2" t="s">
        <v>645</v>
      </c>
      <c r="C25"/>
      <c r="E25"/>
      <c r="G25"/>
      <c r="I25"/>
    </row>
    <row r="26" spans="1:9" x14ac:dyDescent="0.3">
      <c r="A26" s="2" t="s">
        <v>630</v>
      </c>
      <c r="C26"/>
      <c r="E26"/>
      <c r="G26"/>
      <c r="I26"/>
    </row>
    <row r="27" spans="1:9" x14ac:dyDescent="0.3">
      <c r="A27" s="2" t="s">
        <v>771</v>
      </c>
      <c r="C27"/>
      <c r="E27"/>
      <c r="G27"/>
      <c r="I27"/>
    </row>
    <row r="28" spans="1:9" x14ac:dyDescent="0.3">
      <c r="A28" s="2" t="s">
        <v>1140</v>
      </c>
      <c r="C28"/>
      <c r="E28"/>
      <c r="G28"/>
      <c r="I28"/>
    </row>
    <row r="29" spans="1:9" x14ac:dyDescent="0.3">
      <c r="A29" s="2" t="s">
        <v>1280</v>
      </c>
      <c r="C29"/>
      <c r="E29"/>
      <c r="G29"/>
      <c r="I29"/>
    </row>
    <row r="30" spans="1:9" x14ac:dyDescent="0.3">
      <c r="A30" s="2" t="s">
        <v>946</v>
      </c>
      <c r="C30"/>
      <c r="E30"/>
      <c r="G30"/>
      <c r="I30"/>
    </row>
    <row r="31" spans="1:9" ht="15" x14ac:dyDescent="0.35">
      <c r="A31" s="5" t="s">
        <v>3802</v>
      </c>
      <c r="C31"/>
      <c r="E31"/>
      <c r="G31"/>
      <c r="I31"/>
    </row>
    <row r="32" spans="1:9" x14ac:dyDescent="0.3">
      <c r="A32" s="2" t="s">
        <v>542</v>
      </c>
      <c r="C32"/>
      <c r="E32"/>
      <c r="G32"/>
      <c r="I32"/>
    </row>
    <row r="33" spans="1:1" x14ac:dyDescent="0.3">
      <c r="A33" s="2" t="s">
        <v>2018</v>
      </c>
    </row>
    <row r="34" spans="1:1" x14ac:dyDescent="0.3">
      <c r="A34" s="2" t="s">
        <v>2062</v>
      </c>
    </row>
    <row r="35" spans="1:1" x14ac:dyDescent="0.3">
      <c r="A35" s="2" t="s">
        <v>600</v>
      </c>
    </row>
    <row r="36" spans="1:1" x14ac:dyDescent="0.3">
      <c r="A36" s="2" t="s">
        <v>2690</v>
      </c>
    </row>
    <row r="37" spans="1:1" x14ac:dyDescent="0.3">
      <c r="A37" s="2" t="s">
        <v>2427</v>
      </c>
    </row>
    <row r="38" spans="1:1" x14ac:dyDescent="0.3">
      <c r="A38" s="2" t="s">
        <v>1499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5401-2F41-4D5E-B640-52BCD135A1CB}">
  <dimension ref="B2:D516"/>
  <sheetViews>
    <sheetView showGridLines="0" topLeftCell="A3" workbookViewId="0">
      <selection activeCell="C34" sqref="C34"/>
    </sheetView>
  </sheetViews>
  <sheetFormatPr defaultColWidth="9.109375" defaultRowHeight="13.2" x14ac:dyDescent="0.25"/>
  <cols>
    <col min="1" max="1" width="2.88671875" style="88" customWidth="1"/>
    <col min="2" max="2" width="20.6640625" style="88" bestFit="1" customWidth="1"/>
    <col min="3" max="3" width="15.21875" style="91" bestFit="1" customWidth="1"/>
    <col min="4" max="4" width="7.5546875" style="92" bestFit="1" customWidth="1"/>
    <col min="5" max="16384" width="9.109375" style="88"/>
  </cols>
  <sheetData>
    <row r="2" spans="2:4" x14ac:dyDescent="0.25">
      <c r="B2" s="86" t="s">
        <v>0</v>
      </c>
      <c r="C2" s="88" t="s">
        <v>3803</v>
      </c>
      <c r="D2" s="88" t="s">
        <v>3804</v>
      </c>
    </row>
    <row r="3" spans="2:4" x14ac:dyDescent="0.25">
      <c r="B3" s="89" t="s">
        <v>3642</v>
      </c>
      <c r="C3" s="87">
        <v>1133351640.3715124</v>
      </c>
      <c r="D3" s="87">
        <v>2028</v>
      </c>
    </row>
    <row r="4" spans="2:4" x14ac:dyDescent="0.25">
      <c r="B4" s="90" t="s">
        <v>12</v>
      </c>
      <c r="C4" s="87">
        <v>257431917.63969588</v>
      </c>
      <c r="D4" s="87">
        <v>256</v>
      </c>
    </row>
    <row r="5" spans="2:4" x14ac:dyDescent="0.25">
      <c r="B5" s="90" t="s">
        <v>17</v>
      </c>
      <c r="C5" s="87">
        <v>209915695.46108478</v>
      </c>
      <c r="D5" s="87">
        <v>271</v>
      </c>
    </row>
    <row r="6" spans="2:4" x14ac:dyDescent="0.25">
      <c r="B6" s="90" t="s">
        <v>19</v>
      </c>
      <c r="C6" s="87">
        <v>131354590.82761812</v>
      </c>
      <c r="D6" s="87">
        <v>347</v>
      </c>
    </row>
    <row r="7" spans="2:4" x14ac:dyDescent="0.25">
      <c r="B7" s="90" t="s">
        <v>13</v>
      </c>
      <c r="C7" s="87">
        <v>130375579.84889619</v>
      </c>
      <c r="D7" s="87">
        <v>208</v>
      </c>
    </row>
    <row r="8" spans="2:4" x14ac:dyDescent="0.25">
      <c r="B8" s="90" t="s">
        <v>20</v>
      </c>
      <c r="C8" s="87">
        <v>130053298.86692213</v>
      </c>
      <c r="D8" s="87">
        <v>418</v>
      </c>
    </row>
    <row r="9" spans="2:4" x14ac:dyDescent="0.25">
      <c r="B9" s="90" t="s">
        <v>21</v>
      </c>
      <c r="C9" s="87">
        <v>107887358.9523737</v>
      </c>
      <c r="D9" s="87">
        <v>265</v>
      </c>
    </row>
    <row r="10" spans="2:4" x14ac:dyDescent="0.25">
      <c r="B10" s="90" t="s">
        <v>18</v>
      </c>
      <c r="C10" s="87">
        <v>102274733.10999943</v>
      </c>
      <c r="D10" s="87">
        <v>169</v>
      </c>
    </row>
    <row r="11" spans="2:4" x14ac:dyDescent="0.25">
      <c r="B11" s="90" t="s">
        <v>16</v>
      </c>
      <c r="C11" s="87">
        <v>36399474.287293844</v>
      </c>
      <c r="D11" s="87">
        <v>63</v>
      </c>
    </row>
    <row r="12" spans="2:4" x14ac:dyDescent="0.25">
      <c r="B12" s="90" t="s">
        <v>14</v>
      </c>
      <c r="C12" s="87">
        <v>18004432.377628371</v>
      </c>
      <c r="D12" s="87">
        <v>17</v>
      </c>
    </row>
    <row r="13" spans="2:4" x14ac:dyDescent="0.25">
      <c r="B13" s="90" t="s">
        <v>15</v>
      </c>
      <c r="C13" s="87">
        <v>9654559</v>
      </c>
      <c r="D13" s="87">
        <v>14</v>
      </c>
    </row>
    <row r="14" spans="2:4" x14ac:dyDescent="0.25">
      <c r="B14" s="89" t="s">
        <v>3807</v>
      </c>
      <c r="C14" s="87">
        <v>349225276.24943447</v>
      </c>
      <c r="D14" s="87">
        <v>210</v>
      </c>
    </row>
    <row r="15" spans="2:4" x14ac:dyDescent="0.25">
      <c r="B15" s="90" t="s">
        <v>21</v>
      </c>
      <c r="C15" s="87">
        <v>184611901.27593219</v>
      </c>
      <c r="D15" s="87">
        <v>15</v>
      </c>
    </row>
    <row r="16" spans="2:4" x14ac:dyDescent="0.25">
      <c r="B16" s="90" t="s">
        <v>12</v>
      </c>
      <c r="C16" s="87">
        <v>55323944.384180516</v>
      </c>
      <c r="D16" s="87">
        <v>37</v>
      </c>
    </row>
    <row r="17" spans="2:4" x14ac:dyDescent="0.25">
      <c r="B17" s="90" t="s">
        <v>18</v>
      </c>
      <c r="C17" s="87">
        <v>52521569.271694914</v>
      </c>
      <c r="D17" s="87">
        <v>75</v>
      </c>
    </row>
    <row r="18" spans="2:4" x14ac:dyDescent="0.25">
      <c r="B18" s="90" t="s">
        <v>13</v>
      </c>
      <c r="C18" s="87">
        <v>23706274.203559324</v>
      </c>
      <c r="D18" s="87">
        <v>19</v>
      </c>
    </row>
    <row r="19" spans="2:4" x14ac:dyDescent="0.25">
      <c r="B19" s="90" t="s">
        <v>20</v>
      </c>
      <c r="C19" s="87">
        <v>15306566.936949152</v>
      </c>
      <c r="D19" s="87">
        <v>29</v>
      </c>
    </row>
    <row r="20" spans="2:4" x14ac:dyDescent="0.25">
      <c r="B20" s="90" t="s">
        <v>16</v>
      </c>
      <c r="C20" s="87">
        <v>7380338.9922033902</v>
      </c>
      <c r="D20" s="87">
        <v>6</v>
      </c>
    </row>
    <row r="21" spans="2:4" x14ac:dyDescent="0.25">
      <c r="B21" s="90" t="s">
        <v>19</v>
      </c>
      <c r="C21" s="87">
        <v>6834257.4649150167</v>
      </c>
      <c r="D21" s="87">
        <v>24</v>
      </c>
    </row>
    <row r="22" spans="2:4" x14ac:dyDescent="0.25">
      <c r="B22" s="90" t="s">
        <v>17</v>
      </c>
      <c r="C22" s="87">
        <v>3540423.7199999997</v>
      </c>
      <c r="D22" s="87">
        <v>5</v>
      </c>
    </row>
    <row r="23" spans="2:4" x14ac:dyDescent="0.25">
      <c r="B23" s="89" t="s">
        <v>3826</v>
      </c>
      <c r="C23" s="87">
        <v>65312003</v>
      </c>
      <c r="D23" s="87">
        <v>16</v>
      </c>
    </row>
    <row r="24" spans="2:4" x14ac:dyDescent="0.25">
      <c r="B24" s="90" t="s">
        <v>21</v>
      </c>
      <c r="C24" s="87">
        <v>30355083</v>
      </c>
      <c r="D24" s="87">
        <v>3</v>
      </c>
    </row>
    <row r="25" spans="2:4" x14ac:dyDescent="0.25">
      <c r="B25" s="90" t="s">
        <v>3798</v>
      </c>
      <c r="C25" s="87">
        <v>25924350</v>
      </c>
      <c r="D25" s="87">
        <v>6</v>
      </c>
    </row>
    <row r="26" spans="2:4" x14ac:dyDescent="0.25">
      <c r="B26" s="90" t="s">
        <v>20</v>
      </c>
      <c r="C26" s="87">
        <v>6300000</v>
      </c>
      <c r="D26" s="87">
        <v>1</v>
      </c>
    </row>
    <row r="27" spans="2:4" x14ac:dyDescent="0.25">
      <c r="B27" s="90" t="s">
        <v>12</v>
      </c>
      <c r="C27" s="87">
        <v>1367570</v>
      </c>
      <c r="D27" s="87">
        <v>1</v>
      </c>
    </row>
    <row r="28" spans="2:4" x14ac:dyDescent="0.25">
      <c r="B28" s="90" t="s">
        <v>16</v>
      </c>
      <c r="C28" s="87">
        <v>424875</v>
      </c>
      <c r="D28" s="87">
        <v>2</v>
      </c>
    </row>
    <row r="29" spans="2:4" x14ac:dyDescent="0.25">
      <c r="B29" s="90" t="s">
        <v>15</v>
      </c>
      <c r="C29" s="87">
        <v>313375</v>
      </c>
      <c r="D29" s="87">
        <v>1</v>
      </c>
    </row>
    <row r="30" spans="2:4" x14ac:dyDescent="0.25">
      <c r="B30" s="90" t="s">
        <v>17</v>
      </c>
      <c r="C30" s="87">
        <v>313375</v>
      </c>
      <c r="D30" s="87">
        <v>1</v>
      </c>
    </row>
    <row r="31" spans="2:4" x14ac:dyDescent="0.25">
      <c r="B31" s="90" t="s">
        <v>14</v>
      </c>
      <c r="C31" s="87">
        <v>313375</v>
      </c>
      <c r="D31" s="87">
        <v>1</v>
      </c>
    </row>
    <row r="32" spans="2:4" x14ac:dyDescent="0.25">
      <c r="B32" s="89" t="s">
        <v>3805</v>
      </c>
      <c r="C32" s="87">
        <v>21974358.065556027</v>
      </c>
      <c r="D32" s="87">
        <v>61</v>
      </c>
    </row>
    <row r="33" spans="2:4" x14ac:dyDescent="0.25">
      <c r="B33" s="90" t="s">
        <v>17</v>
      </c>
      <c r="C33" s="87">
        <v>5909149.8699999992</v>
      </c>
      <c r="D33" s="87">
        <v>8</v>
      </c>
    </row>
    <row r="34" spans="2:4" x14ac:dyDescent="0.25">
      <c r="B34" s="90" t="s">
        <v>19</v>
      </c>
      <c r="C34" s="87">
        <v>5837533.9964406779</v>
      </c>
      <c r="D34" s="87">
        <v>22</v>
      </c>
    </row>
    <row r="35" spans="2:4" x14ac:dyDescent="0.25">
      <c r="B35" s="90" t="s">
        <v>20</v>
      </c>
      <c r="C35" s="87">
        <v>5376016.6228813566</v>
      </c>
      <c r="D35" s="87">
        <v>23</v>
      </c>
    </row>
    <row r="36" spans="2:4" x14ac:dyDescent="0.25">
      <c r="B36" s="90" t="s">
        <v>12</v>
      </c>
      <c r="C36" s="87">
        <v>3981657.5762339998</v>
      </c>
      <c r="D36" s="87">
        <v>5</v>
      </c>
    </row>
    <row r="37" spans="2:4" x14ac:dyDescent="0.25">
      <c r="B37" s="90" t="s">
        <v>13</v>
      </c>
      <c r="C37" s="87">
        <v>870000</v>
      </c>
      <c r="D37" s="87">
        <v>3</v>
      </c>
    </row>
    <row r="38" spans="2:4" x14ac:dyDescent="0.25">
      <c r="B38" s="89" t="s">
        <v>3806</v>
      </c>
      <c r="C38" s="87">
        <v>20178255.610169999</v>
      </c>
      <c r="D38" s="87">
        <v>35</v>
      </c>
    </row>
    <row r="39" spans="2:4" x14ac:dyDescent="0.25">
      <c r="B39" s="90" t="s">
        <v>21</v>
      </c>
      <c r="C39" s="87">
        <v>9604803.1400000006</v>
      </c>
      <c r="D39" s="87">
        <v>14</v>
      </c>
    </row>
    <row r="40" spans="2:4" x14ac:dyDescent="0.25">
      <c r="B40" s="90" t="s">
        <v>17</v>
      </c>
      <c r="C40" s="87">
        <v>4944664.33</v>
      </c>
      <c r="D40" s="87">
        <v>5</v>
      </c>
    </row>
    <row r="41" spans="2:4" x14ac:dyDescent="0.25">
      <c r="B41" s="90" t="s">
        <v>18</v>
      </c>
      <c r="C41" s="87">
        <v>2640000</v>
      </c>
      <c r="D41" s="87">
        <v>4</v>
      </c>
    </row>
    <row r="42" spans="2:4" x14ac:dyDescent="0.25">
      <c r="B42" s="90" t="s">
        <v>20</v>
      </c>
      <c r="C42" s="87">
        <v>1478785</v>
      </c>
      <c r="D42" s="87">
        <v>4</v>
      </c>
    </row>
    <row r="43" spans="2:4" x14ac:dyDescent="0.25">
      <c r="B43" s="90" t="s">
        <v>16</v>
      </c>
      <c r="C43" s="87">
        <v>510000</v>
      </c>
      <c r="D43" s="87">
        <v>1</v>
      </c>
    </row>
    <row r="44" spans="2:4" x14ac:dyDescent="0.25">
      <c r="B44" s="90" t="s">
        <v>12</v>
      </c>
      <c r="C44" s="87">
        <v>436613.14017000003</v>
      </c>
      <c r="D44" s="87">
        <v>4</v>
      </c>
    </row>
    <row r="45" spans="2:4" x14ac:dyDescent="0.25">
      <c r="B45" s="90" t="s">
        <v>13</v>
      </c>
      <c r="C45" s="87">
        <v>360000</v>
      </c>
      <c r="D45" s="87">
        <v>2</v>
      </c>
    </row>
    <row r="46" spans="2:4" x14ac:dyDescent="0.25">
      <c r="B46" s="90" t="s">
        <v>15</v>
      </c>
      <c r="C46" s="87">
        <v>203390</v>
      </c>
      <c r="D46" s="87">
        <v>1</v>
      </c>
    </row>
    <row r="47" spans="2:4" x14ac:dyDescent="0.25">
      <c r="B47" s="89" t="s">
        <v>8</v>
      </c>
      <c r="C47" s="87">
        <v>1590041533.2966526</v>
      </c>
      <c r="D47" s="87">
        <v>2350</v>
      </c>
    </row>
    <row r="48" spans="2:4" ht="14.4" x14ac:dyDescent="0.3">
      <c r="B48"/>
      <c r="C48"/>
      <c r="D48"/>
    </row>
    <row r="49" spans="2:4" ht="14.4" x14ac:dyDescent="0.3">
      <c r="B49"/>
      <c r="C49"/>
      <c r="D49" s="93"/>
    </row>
    <row r="50" spans="2:4" ht="14.4" x14ac:dyDescent="0.3">
      <c r="B50"/>
      <c r="C50"/>
      <c r="D50" s="93"/>
    </row>
    <row r="51" spans="2:4" ht="14.4" x14ac:dyDescent="0.3">
      <c r="B51"/>
      <c r="C51"/>
      <c r="D51" s="93"/>
    </row>
    <row r="52" spans="2:4" ht="14.4" x14ac:dyDescent="0.3">
      <c r="B52"/>
      <c r="C52"/>
      <c r="D52" s="93"/>
    </row>
    <row r="53" spans="2:4" ht="14.4" x14ac:dyDescent="0.3">
      <c r="B53"/>
      <c r="C53"/>
      <c r="D53" s="93"/>
    </row>
    <row r="54" spans="2:4" ht="14.4" x14ac:dyDescent="0.3">
      <c r="B54"/>
      <c r="C54"/>
      <c r="D54" s="93"/>
    </row>
    <row r="55" spans="2:4" ht="14.4" x14ac:dyDescent="0.3">
      <c r="B55"/>
      <c r="C55"/>
      <c r="D55" s="93"/>
    </row>
    <row r="56" spans="2:4" ht="14.4" x14ac:dyDescent="0.3">
      <c r="B56"/>
      <c r="C56"/>
      <c r="D56" s="93"/>
    </row>
    <row r="57" spans="2:4" ht="14.4" x14ac:dyDescent="0.3">
      <c r="B57"/>
      <c r="C57"/>
      <c r="D57" s="93"/>
    </row>
    <row r="58" spans="2:4" ht="14.4" x14ac:dyDescent="0.3">
      <c r="B58"/>
      <c r="C58"/>
      <c r="D58" s="93"/>
    </row>
    <row r="59" spans="2:4" ht="14.4" x14ac:dyDescent="0.3">
      <c r="B59"/>
      <c r="C59"/>
      <c r="D59" s="93"/>
    </row>
    <row r="60" spans="2:4" ht="14.4" x14ac:dyDescent="0.3">
      <c r="B60"/>
      <c r="C60"/>
      <c r="D60" s="93"/>
    </row>
    <row r="61" spans="2:4" ht="14.4" x14ac:dyDescent="0.3">
      <c r="B61"/>
      <c r="C61"/>
      <c r="D61" s="93"/>
    </row>
    <row r="62" spans="2:4" ht="14.4" x14ac:dyDescent="0.3">
      <c r="B62"/>
      <c r="C62"/>
      <c r="D62" s="93"/>
    </row>
    <row r="63" spans="2:4" ht="14.4" x14ac:dyDescent="0.3">
      <c r="B63"/>
      <c r="C63"/>
      <c r="D63" s="93"/>
    </row>
    <row r="64" spans="2:4" ht="14.4" x14ac:dyDescent="0.3">
      <c r="B64"/>
      <c r="C64"/>
      <c r="D64" s="93"/>
    </row>
    <row r="65" spans="2:4" ht="14.4" x14ac:dyDescent="0.3">
      <c r="B65"/>
      <c r="C65"/>
      <c r="D65" s="93"/>
    </row>
    <row r="66" spans="2:4" ht="14.4" x14ac:dyDescent="0.3">
      <c r="B66"/>
      <c r="C66"/>
      <c r="D66" s="93"/>
    </row>
    <row r="67" spans="2:4" ht="14.4" x14ac:dyDescent="0.3">
      <c r="B67"/>
      <c r="C67"/>
      <c r="D67" s="93"/>
    </row>
    <row r="68" spans="2:4" ht="14.4" x14ac:dyDescent="0.3">
      <c r="B68"/>
      <c r="C68"/>
      <c r="D68" s="93"/>
    </row>
    <row r="69" spans="2:4" ht="14.4" x14ac:dyDescent="0.3">
      <c r="B69"/>
      <c r="C69"/>
      <c r="D69" s="93"/>
    </row>
    <row r="70" spans="2:4" ht="14.4" x14ac:dyDescent="0.3">
      <c r="B70"/>
      <c r="C70"/>
      <c r="D70" s="93"/>
    </row>
    <row r="71" spans="2:4" ht="14.4" x14ac:dyDescent="0.3">
      <c r="B71"/>
      <c r="C71"/>
      <c r="D71" s="93"/>
    </row>
    <row r="72" spans="2:4" ht="14.4" x14ac:dyDescent="0.3">
      <c r="B72"/>
      <c r="C72"/>
      <c r="D72" s="93"/>
    </row>
    <row r="73" spans="2:4" ht="14.4" x14ac:dyDescent="0.3">
      <c r="B73"/>
      <c r="C73"/>
      <c r="D73" s="93"/>
    </row>
    <row r="74" spans="2:4" ht="14.4" x14ac:dyDescent="0.3">
      <c r="B74"/>
      <c r="C74"/>
      <c r="D74" s="93"/>
    </row>
    <row r="75" spans="2:4" ht="14.4" x14ac:dyDescent="0.3">
      <c r="B75"/>
      <c r="C75"/>
      <c r="D75" s="93"/>
    </row>
    <row r="76" spans="2:4" ht="14.4" x14ac:dyDescent="0.3">
      <c r="B76"/>
      <c r="C76"/>
      <c r="D76" s="93"/>
    </row>
    <row r="77" spans="2:4" ht="14.4" x14ac:dyDescent="0.3">
      <c r="B77"/>
      <c r="C77"/>
      <c r="D77" s="93"/>
    </row>
    <row r="78" spans="2:4" ht="14.4" x14ac:dyDescent="0.3">
      <c r="B78"/>
      <c r="C78"/>
      <c r="D78" s="93"/>
    </row>
    <row r="79" spans="2:4" ht="14.4" x14ac:dyDescent="0.3">
      <c r="B79"/>
      <c r="C79"/>
      <c r="D79" s="93"/>
    </row>
    <row r="80" spans="2:4" ht="14.4" x14ac:dyDescent="0.3">
      <c r="B80"/>
      <c r="C80"/>
      <c r="D80" s="93"/>
    </row>
    <row r="81" spans="2:4" ht="14.4" x14ac:dyDescent="0.3">
      <c r="B81"/>
      <c r="C81"/>
      <c r="D81" s="93"/>
    </row>
    <row r="82" spans="2:4" ht="14.4" x14ac:dyDescent="0.3">
      <c r="B82"/>
      <c r="C82"/>
      <c r="D82" s="93"/>
    </row>
    <row r="83" spans="2:4" ht="14.4" x14ac:dyDescent="0.3">
      <c r="B83"/>
      <c r="C83"/>
      <c r="D83" s="93"/>
    </row>
    <row r="84" spans="2:4" ht="14.4" x14ac:dyDescent="0.3">
      <c r="B84"/>
      <c r="C84"/>
      <c r="D84" s="93"/>
    </row>
    <row r="85" spans="2:4" ht="14.4" x14ac:dyDescent="0.3">
      <c r="B85"/>
      <c r="C85"/>
      <c r="D85" s="93"/>
    </row>
    <row r="86" spans="2:4" ht="14.4" x14ac:dyDescent="0.3">
      <c r="B86"/>
      <c r="C86"/>
      <c r="D86" s="93"/>
    </row>
    <row r="87" spans="2:4" ht="14.4" x14ac:dyDescent="0.3">
      <c r="B87"/>
      <c r="C87"/>
      <c r="D87" s="93"/>
    </row>
    <row r="88" spans="2:4" ht="14.4" x14ac:dyDescent="0.3">
      <c r="B88"/>
      <c r="C88"/>
      <c r="D88" s="93"/>
    </row>
    <row r="89" spans="2:4" ht="14.4" x14ac:dyDescent="0.3">
      <c r="B89"/>
      <c r="C89"/>
      <c r="D89" s="93"/>
    </row>
    <row r="90" spans="2:4" ht="14.4" x14ac:dyDescent="0.3">
      <c r="B90"/>
      <c r="C90"/>
      <c r="D90" s="93"/>
    </row>
    <row r="91" spans="2:4" ht="14.4" x14ac:dyDescent="0.3">
      <c r="B91"/>
      <c r="C91"/>
      <c r="D91" s="93"/>
    </row>
    <row r="92" spans="2:4" ht="14.4" x14ac:dyDescent="0.3">
      <c r="B92"/>
      <c r="C92"/>
      <c r="D92" s="93"/>
    </row>
    <row r="93" spans="2:4" ht="14.4" x14ac:dyDescent="0.3">
      <c r="B93"/>
      <c r="C93"/>
      <c r="D93" s="93"/>
    </row>
    <row r="94" spans="2:4" ht="14.4" x14ac:dyDescent="0.3">
      <c r="B94"/>
      <c r="C94"/>
      <c r="D94" s="93"/>
    </row>
    <row r="95" spans="2:4" ht="14.4" x14ac:dyDescent="0.3">
      <c r="B95"/>
      <c r="C95"/>
      <c r="D95" s="93"/>
    </row>
    <row r="96" spans="2:4" ht="14.4" x14ac:dyDescent="0.3">
      <c r="B96"/>
      <c r="C96"/>
      <c r="D96" s="93"/>
    </row>
    <row r="97" spans="2:4" ht="14.4" x14ac:dyDescent="0.3">
      <c r="B97"/>
      <c r="C97"/>
      <c r="D97" s="93"/>
    </row>
    <row r="98" spans="2:4" ht="14.4" x14ac:dyDescent="0.3">
      <c r="B98"/>
      <c r="C98"/>
      <c r="D98" s="93"/>
    </row>
    <row r="99" spans="2:4" ht="14.4" x14ac:dyDescent="0.3">
      <c r="B99"/>
      <c r="C99"/>
      <c r="D99" s="93"/>
    </row>
    <row r="100" spans="2:4" ht="14.4" x14ac:dyDescent="0.3">
      <c r="B100"/>
      <c r="C100"/>
      <c r="D100" s="93"/>
    </row>
    <row r="101" spans="2:4" ht="14.4" x14ac:dyDescent="0.3">
      <c r="B101"/>
      <c r="C101"/>
      <c r="D101" s="93"/>
    </row>
    <row r="102" spans="2:4" ht="14.4" x14ac:dyDescent="0.3">
      <c r="B102"/>
      <c r="C102"/>
      <c r="D102" s="93"/>
    </row>
    <row r="103" spans="2:4" ht="14.4" x14ac:dyDescent="0.3">
      <c r="B103"/>
      <c r="C103"/>
      <c r="D103" s="93"/>
    </row>
    <row r="104" spans="2:4" ht="14.4" x14ac:dyDescent="0.3">
      <c r="B104"/>
      <c r="C104"/>
      <c r="D104" s="93"/>
    </row>
    <row r="105" spans="2:4" ht="14.4" x14ac:dyDescent="0.3">
      <c r="B105"/>
      <c r="C105"/>
      <c r="D105" s="93"/>
    </row>
    <row r="106" spans="2:4" ht="14.4" x14ac:dyDescent="0.3">
      <c r="B106"/>
      <c r="C106"/>
      <c r="D106" s="93"/>
    </row>
    <row r="107" spans="2:4" ht="14.4" x14ac:dyDescent="0.3">
      <c r="B107"/>
      <c r="C107"/>
      <c r="D107" s="93"/>
    </row>
    <row r="108" spans="2:4" ht="14.4" x14ac:dyDescent="0.3">
      <c r="B108"/>
      <c r="C108"/>
      <c r="D108" s="93"/>
    </row>
    <row r="109" spans="2:4" ht="14.4" x14ac:dyDescent="0.3">
      <c r="B109"/>
      <c r="C109"/>
      <c r="D109" s="93"/>
    </row>
    <row r="110" spans="2:4" ht="14.4" x14ac:dyDescent="0.3">
      <c r="B110"/>
      <c r="C110"/>
      <c r="D110" s="93"/>
    </row>
    <row r="111" spans="2:4" ht="14.4" x14ac:dyDescent="0.3">
      <c r="B111"/>
      <c r="C111"/>
      <c r="D111" s="93"/>
    </row>
    <row r="112" spans="2:4" ht="14.4" x14ac:dyDescent="0.3">
      <c r="B112"/>
      <c r="C112"/>
      <c r="D112" s="93"/>
    </row>
    <row r="113" spans="2:4" ht="14.4" x14ac:dyDescent="0.3">
      <c r="B113"/>
      <c r="C113"/>
      <c r="D113" s="93"/>
    </row>
    <row r="114" spans="2:4" ht="14.4" x14ac:dyDescent="0.3">
      <c r="B114"/>
      <c r="C114"/>
      <c r="D114" s="93"/>
    </row>
    <row r="115" spans="2:4" ht="14.4" x14ac:dyDescent="0.3">
      <c r="B115"/>
      <c r="C115"/>
      <c r="D115" s="93"/>
    </row>
    <row r="116" spans="2:4" ht="14.4" x14ac:dyDescent="0.3">
      <c r="B116"/>
      <c r="C116"/>
      <c r="D116" s="93"/>
    </row>
    <row r="117" spans="2:4" ht="14.4" x14ac:dyDescent="0.3">
      <c r="B117"/>
      <c r="C117"/>
      <c r="D117" s="93"/>
    </row>
    <row r="118" spans="2:4" ht="14.4" x14ac:dyDescent="0.3">
      <c r="B118"/>
      <c r="C118"/>
      <c r="D118" s="93"/>
    </row>
    <row r="119" spans="2:4" ht="14.4" x14ac:dyDescent="0.3">
      <c r="B119"/>
      <c r="C119"/>
      <c r="D119" s="93"/>
    </row>
    <row r="120" spans="2:4" ht="14.4" x14ac:dyDescent="0.3">
      <c r="B120"/>
      <c r="C120"/>
      <c r="D120" s="93"/>
    </row>
    <row r="121" spans="2:4" ht="14.4" x14ac:dyDescent="0.3">
      <c r="B121"/>
      <c r="C121"/>
      <c r="D121" s="93"/>
    </row>
    <row r="122" spans="2:4" ht="14.4" x14ac:dyDescent="0.3">
      <c r="B122"/>
      <c r="C122"/>
      <c r="D122" s="93"/>
    </row>
    <row r="123" spans="2:4" ht="14.4" x14ac:dyDescent="0.3">
      <c r="B123"/>
      <c r="C123"/>
      <c r="D123" s="93"/>
    </row>
    <row r="124" spans="2:4" ht="14.4" x14ac:dyDescent="0.3">
      <c r="B124"/>
      <c r="C124"/>
      <c r="D124" s="93"/>
    </row>
    <row r="125" spans="2:4" ht="14.4" x14ac:dyDescent="0.3">
      <c r="B125"/>
      <c r="C125"/>
      <c r="D125" s="93"/>
    </row>
    <row r="126" spans="2:4" ht="14.4" x14ac:dyDescent="0.3">
      <c r="B126"/>
      <c r="C126"/>
      <c r="D126" s="93"/>
    </row>
    <row r="127" spans="2:4" ht="14.4" x14ac:dyDescent="0.3">
      <c r="B127"/>
      <c r="C127"/>
      <c r="D127" s="93"/>
    </row>
    <row r="128" spans="2:4" ht="14.4" x14ac:dyDescent="0.3">
      <c r="B128"/>
      <c r="C128"/>
      <c r="D128" s="93"/>
    </row>
    <row r="129" spans="2:4" ht="14.4" x14ac:dyDescent="0.3">
      <c r="B129"/>
      <c r="C129"/>
      <c r="D129" s="93"/>
    </row>
    <row r="130" spans="2:4" ht="14.4" x14ac:dyDescent="0.3">
      <c r="B130"/>
      <c r="C130"/>
      <c r="D130" s="93"/>
    </row>
    <row r="131" spans="2:4" ht="14.4" x14ac:dyDescent="0.3">
      <c r="B131"/>
      <c r="C131"/>
      <c r="D131" s="93"/>
    </row>
    <row r="132" spans="2:4" ht="14.4" x14ac:dyDescent="0.3">
      <c r="B132"/>
      <c r="C132"/>
      <c r="D132" s="93"/>
    </row>
    <row r="133" spans="2:4" ht="14.4" x14ac:dyDescent="0.3">
      <c r="B133"/>
      <c r="C133"/>
      <c r="D133" s="93"/>
    </row>
    <row r="134" spans="2:4" ht="14.4" x14ac:dyDescent="0.3">
      <c r="B134"/>
      <c r="C134"/>
      <c r="D134" s="93"/>
    </row>
    <row r="135" spans="2:4" ht="14.4" x14ac:dyDescent="0.3">
      <c r="B135"/>
      <c r="C135"/>
      <c r="D135" s="93"/>
    </row>
    <row r="136" spans="2:4" ht="14.4" x14ac:dyDescent="0.3">
      <c r="B136"/>
      <c r="C136"/>
      <c r="D136" s="93"/>
    </row>
    <row r="137" spans="2:4" ht="14.4" x14ac:dyDescent="0.3">
      <c r="B137"/>
      <c r="C137"/>
      <c r="D137" s="93"/>
    </row>
    <row r="138" spans="2:4" ht="14.4" x14ac:dyDescent="0.3">
      <c r="B138"/>
      <c r="C138"/>
      <c r="D138" s="93"/>
    </row>
    <row r="139" spans="2:4" ht="14.4" x14ac:dyDescent="0.3">
      <c r="B139"/>
      <c r="C139"/>
      <c r="D139" s="93"/>
    </row>
    <row r="140" spans="2:4" ht="14.4" x14ac:dyDescent="0.3">
      <c r="B140"/>
      <c r="C140"/>
      <c r="D140" s="93"/>
    </row>
    <row r="141" spans="2:4" ht="14.4" x14ac:dyDescent="0.3">
      <c r="B141"/>
      <c r="C141"/>
      <c r="D141" s="93"/>
    </row>
    <row r="142" spans="2:4" ht="14.4" x14ac:dyDescent="0.3">
      <c r="B142"/>
      <c r="C142"/>
      <c r="D142" s="93"/>
    </row>
    <row r="143" spans="2:4" ht="14.4" x14ac:dyDescent="0.3">
      <c r="B143"/>
      <c r="C143"/>
      <c r="D143" s="93"/>
    </row>
    <row r="144" spans="2:4" ht="14.4" x14ac:dyDescent="0.3">
      <c r="B144"/>
      <c r="C144"/>
      <c r="D144" s="93"/>
    </row>
    <row r="145" spans="2:4" ht="14.4" x14ac:dyDescent="0.3">
      <c r="B145"/>
      <c r="C145"/>
      <c r="D145" s="93"/>
    </row>
    <row r="146" spans="2:4" ht="14.4" x14ac:dyDescent="0.3">
      <c r="B146"/>
      <c r="C146"/>
      <c r="D146" s="93"/>
    </row>
    <row r="147" spans="2:4" ht="14.4" x14ac:dyDescent="0.3">
      <c r="B147"/>
      <c r="C147"/>
      <c r="D147" s="93"/>
    </row>
    <row r="148" spans="2:4" ht="14.4" x14ac:dyDescent="0.3">
      <c r="B148"/>
      <c r="C148"/>
      <c r="D148" s="93"/>
    </row>
    <row r="149" spans="2:4" ht="14.4" x14ac:dyDescent="0.3">
      <c r="B149"/>
      <c r="C149"/>
      <c r="D149" s="93"/>
    </row>
    <row r="150" spans="2:4" ht="14.4" x14ac:dyDescent="0.3">
      <c r="B150"/>
      <c r="C150"/>
      <c r="D150" s="93"/>
    </row>
    <row r="151" spans="2:4" ht="14.4" x14ac:dyDescent="0.3">
      <c r="B151"/>
      <c r="C151"/>
      <c r="D151" s="93"/>
    </row>
    <row r="152" spans="2:4" ht="14.4" x14ac:dyDescent="0.3">
      <c r="B152"/>
      <c r="C152"/>
      <c r="D152" s="93"/>
    </row>
    <row r="153" spans="2:4" ht="14.4" x14ac:dyDescent="0.3">
      <c r="B153"/>
      <c r="C153"/>
      <c r="D153" s="93"/>
    </row>
    <row r="154" spans="2:4" ht="14.4" x14ac:dyDescent="0.3">
      <c r="B154"/>
      <c r="C154"/>
      <c r="D154" s="93"/>
    </row>
    <row r="155" spans="2:4" ht="14.4" x14ac:dyDescent="0.3">
      <c r="B155"/>
      <c r="C155"/>
      <c r="D155" s="93"/>
    </row>
    <row r="156" spans="2:4" ht="14.4" x14ac:dyDescent="0.3">
      <c r="B156"/>
      <c r="C156"/>
      <c r="D156" s="93"/>
    </row>
    <row r="157" spans="2:4" ht="14.4" x14ac:dyDescent="0.3">
      <c r="B157"/>
      <c r="C157"/>
      <c r="D157" s="93"/>
    </row>
    <row r="158" spans="2:4" ht="14.4" x14ac:dyDescent="0.3">
      <c r="B158"/>
      <c r="C158"/>
      <c r="D158" s="93"/>
    </row>
    <row r="159" spans="2:4" ht="14.4" x14ac:dyDescent="0.3">
      <c r="B159"/>
      <c r="C159"/>
      <c r="D159" s="93"/>
    </row>
    <row r="160" spans="2:4" ht="14.4" x14ac:dyDescent="0.3">
      <c r="B160"/>
      <c r="C160"/>
      <c r="D160" s="93"/>
    </row>
    <row r="161" spans="2:4" ht="14.4" x14ac:dyDescent="0.3">
      <c r="B161"/>
      <c r="C161"/>
      <c r="D161" s="93"/>
    </row>
    <row r="162" spans="2:4" ht="14.4" x14ac:dyDescent="0.3">
      <c r="B162"/>
      <c r="C162"/>
      <c r="D162" s="93"/>
    </row>
    <row r="163" spans="2:4" ht="14.4" x14ac:dyDescent="0.3">
      <c r="B163"/>
      <c r="C163"/>
      <c r="D163" s="93"/>
    </row>
    <row r="164" spans="2:4" ht="14.4" x14ac:dyDescent="0.3">
      <c r="B164"/>
      <c r="C164"/>
      <c r="D164" s="93"/>
    </row>
    <row r="165" spans="2:4" ht="14.4" x14ac:dyDescent="0.3">
      <c r="B165"/>
      <c r="C165"/>
      <c r="D165" s="93"/>
    </row>
    <row r="166" spans="2:4" ht="14.4" x14ac:dyDescent="0.3">
      <c r="B166"/>
      <c r="C166"/>
      <c r="D166" s="93"/>
    </row>
    <row r="167" spans="2:4" ht="14.4" x14ac:dyDescent="0.3">
      <c r="B167"/>
      <c r="C167"/>
      <c r="D167" s="93"/>
    </row>
    <row r="168" spans="2:4" ht="14.4" x14ac:dyDescent="0.3">
      <c r="B168"/>
      <c r="C168"/>
      <c r="D168" s="93"/>
    </row>
    <row r="169" spans="2:4" ht="14.4" x14ac:dyDescent="0.3">
      <c r="B169"/>
      <c r="C169"/>
      <c r="D169" s="93"/>
    </row>
    <row r="170" spans="2:4" ht="14.4" x14ac:dyDescent="0.3">
      <c r="B170"/>
      <c r="C170"/>
      <c r="D170" s="93"/>
    </row>
    <row r="171" spans="2:4" ht="14.4" x14ac:dyDescent="0.3">
      <c r="B171"/>
      <c r="C171"/>
      <c r="D171" s="93"/>
    </row>
    <row r="172" spans="2:4" ht="14.4" x14ac:dyDescent="0.3">
      <c r="B172"/>
      <c r="C172"/>
      <c r="D172" s="93"/>
    </row>
    <row r="173" spans="2:4" ht="14.4" x14ac:dyDescent="0.3">
      <c r="B173"/>
      <c r="C173"/>
      <c r="D173" s="93"/>
    </row>
    <row r="174" spans="2:4" ht="14.4" x14ac:dyDescent="0.3">
      <c r="B174"/>
      <c r="C174"/>
      <c r="D174" s="93"/>
    </row>
    <row r="175" spans="2:4" ht="14.4" x14ac:dyDescent="0.3">
      <c r="B175"/>
      <c r="C175"/>
      <c r="D175" s="93"/>
    </row>
    <row r="176" spans="2:4" ht="14.4" x14ac:dyDescent="0.3">
      <c r="B176"/>
      <c r="C176"/>
      <c r="D176" s="93"/>
    </row>
    <row r="177" spans="2:4" ht="14.4" x14ac:dyDescent="0.3">
      <c r="B177"/>
      <c r="C177"/>
      <c r="D177" s="93"/>
    </row>
    <row r="178" spans="2:4" ht="14.4" x14ac:dyDescent="0.3">
      <c r="B178"/>
      <c r="C178"/>
      <c r="D178" s="93"/>
    </row>
    <row r="179" spans="2:4" ht="14.4" x14ac:dyDescent="0.3">
      <c r="B179"/>
      <c r="C179"/>
      <c r="D179" s="93"/>
    </row>
    <row r="180" spans="2:4" ht="14.4" x14ac:dyDescent="0.3">
      <c r="B180"/>
      <c r="C180"/>
      <c r="D180" s="93"/>
    </row>
    <row r="181" spans="2:4" ht="14.4" x14ac:dyDescent="0.3">
      <c r="B181"/>
      <c r="C181"/>
      <c r="D181" s="93"/>
    </row>
    <row r="182" spans="2:4" ht="14.4" x14ac:dyDescent="0.3">
      <c r="B182"/>
      <c r="C182"/>
      <c r="D182" s="93"/>
    </row>
    <row r="183" spans="2:4" ht="14.4" x14ac:dyDescent="0.3">
      <c r="B183"/>
      <c r="C183"/>
      <c r="D183" s="93"/>
    </row>
    <row r="184" spans="2:4" ht="14.4" x14ac:dyDescent="0.3">
      <c r="B184"/>
      <c r="C184"/>
      <c r="D184" s="93"/>
    </row>
    <row r="185" spans="2:4" ht="14.4" x14ac:dyDescent="0.3">
      <c r="B185"/>
      <c r="C185"/>
      <c r="D185" s="93"/>
    </row>
    <row r="186" spans="2:4" ht="14.4" x14ac:dyDescent="0.3">
      <c r="B186"/>
      <c r="C186"/>
      <c r="D186" s="93"/>
    </row>
    <row r="187" spans="2:4" ht="14.4" x14ac:dyDescent="0.3">
      <c r="B187"/>
      <c r="C187"/>
      <c r="D187" s="93"/>
    </row>
    <row r="188" spans="2:4" ht="14.4" x14ac:dyDescent="0.3">
      <c r="B188"/>
      <c r="C188"/>
      <c r="D188" s="93"/>
    </row>
    <row r="189" spans="2:4" ht="14.4" x14ac:dyDescent="0.3">
      <c r="B189"/>
      <c r="C189"/>
      <c r="D189" s="93"/>
    </row>
    <row r="190" spans="2:4" ht="14.4" x14ac:dyDescent="0.3">
      <c r="B190"/>
      <c r="C190"/>
      <c r="D190" s="93"/>
    </row>
    <row r="191" spans="2:4" ht="14.4" x14ac:dyDescent="0.3">
      <c r="B191"/>
      <c r="C191"/>
      <c r="D191" s="93"/>
    </row>
    <row r="192" spans="2:4" ht="14.4" x14ac:dyDescent="0.3">
      <c r="B192"/>
      <c r="C192"/>
      <c r="D192" s="93"/>
    </row>
    <row r="193" spans="2:4" ht="14.4" x14ac:dyDescent="0.3">
      <c r="B193"/>
      <c r="C193"/>
      <c r="D193" s="93"/>
    </row>
    <row r="194" spans="2:4" ht="14.4" x14ac:dyDescent="0.3">
      <c r="B194"/>
      <c r="C194"/>
      <c r="D194" s="93"/>
    </row>
    <row r="195" spans="2:4" ht="14.4" x14ac:dyDescent="0.3">
      <c r="B195"/>
      <c r="C195"/>
      <c r="D195" s="93"/>
    </row>
    <row r="196" spans="2:4" ht="14.4" x14ac:dyDescent="0.3">
      <c r="B196"/>
      <c r="C196"/>
      <c r="D196" s="93"/>
    </row>
    <row r="197" spans="2:4" ht="14.4" x14ac:dyDescent="0.3">
      <c r="B197"/>
      <c r="C197"/>
      <c r="D197" s="93"/>
    </row>
    <row r="198" spans="2:4" ht="14.4" x14ac:dyDescent="0.3">
      <c r="B198"/>
      <c r="C198"/>
      <c r="D198" s="93"/>
    </row>
    <row r="199" spans="2:4" ht="14.4" x14ac:dyDescent="0.3">
      <c r="B199"/>
      <c r="C199"/>
      <c r="D199" s="93"/>
    </row>
    <row r="200" spans="2:4" ht="14.4" x14ac:dyDescent="0.3">
      <c r="B200"/>
      <c r="C200"/>
      <c r="D200" s="93"/>
    </row>
    <row r="201" spans="2:4" ht="14.4" x14ac:dyDescent="0.3">
      <c r="B201"/>
      <c r="C201"/>
      <c r="D201" s="93"/>
    </row>
    <row r="202" spans="2:4" ht="14.4" x14ac:dyDescent="0.3">
      <c r="B202"/>
      <c r="C202"/>
      <c r="D202" s="93"/>
    </row>
    <row r="203" spans="2:4" ht="14.4" x14ac:dyDescent="0.3">
      <c r="B203"/>
      <c r="C203"/>
      <c r="D203" s="93"/>
    </row>
    <row r="204" spans="2:4" ht="14.4" x14ac:dyDescent="0.3">
      <c r="B204"/>
      <c r="C204"/>
      <c r="D204" s="93"/>
    </row>
    <row r="205" spans="2:4" ht="14.4" x14ac:dyDescent="0.3">
      <c r="B205"/>
      <c r="C205"/>
      <c r="D205" s="93"/>
    </row>
    <row r="206" spans="2:4" ht="14.4" x14ac:dyDescent="0.3">
      <c r="B206"/>
      <c r="C206"/>
      <c r="D206" s="93"/>
    </row>
    <row r="207" spans="2:4" ht="14.4" x14ac:dyDescent="0.3">
      <c r="B207"/>
      <c r="C207"/>
      <c r="D207" s="93"/>
    </row>
    <row r="208" spans="2:4" ht="14.4" x14ac:dyDescent="0.3">
      <c r="B208"/>
      <c r="C208"/>
      <c r="D208" s="93"/>
    </row>
    <row r="209" spans="2:4" ht="14.4" x14ac:dyDescent="0.3">
      <c r="B209"/>
      <c r="C209"/>
      <c r="D209" s="93"/>
    </row>
    <row r="210" spans="2:4" ht="14.4" x14ac:dyDescent="0.3">
      <c r="B210"/>
      <c r="C210"/>
      <c r="D210" s="93"/>
    </row>
    <row r="211" spans="2:4" ht="14.4" x14ac:dyDescent="0.3">
      <c r="B211"/>
      <c r="C211"/>
      <c r="D211" s="93"/>
    </row>
    <row r="212" spans="2:4" ht="14.4" x14ac:dyDescent="0.3">
      <c r="B212"/>
      <c r="C212"/>
      <c r="D212" s="93"/>
    </row>
    <row r="213" spans="2:4" ht="14.4" x14ac:dyDescent="0.3">
      <c r="B213"/>
      <c r="C213"/>
      <c r="D213" s="93"/>
    </row>
    <row r="214" spans="2:4" ht="14.4" x14ac:dyDescent="0.3">
      <c r="B214"/>
      <c r="C214"/>
      <c r="D214" s="93"/>
    </row>
    <row r="215" spans="2:4" ht="14.4" x14ac:dyDescent="0.3">
      <c r="B215"/>
      <c r="C215"/>
      <c r="D215" s="93"/>
    </row>
    <row r="216" spans="2:4" ht="14.4" x14ac:dyDescent="0.3">
      <c r="B216"/>
      <c r="C216"/>
      <c r="D216" s="93"/>
    </row>
    <row r="217" spans="2:4" ht="14.4" x14ac:dyDescent="0.3">
      <c r="B217"/>
      <c r="C217"/>
      <c r="D217" s="93"/>
    </row>
    <row r="218" spans="2:4" ht="14.4" x14ac:dyDescent="0.3">
      <c r="B218"/>
      <c r="C218"/>
      <c r="D218" s="93"/>
    </row>
    <row r="219" spans="2:4" ht="14.4" x14ac:dyDescent="0.3">
      <c r="B219"/>
      <c r="C219"/>
      <c r="D219" s="93"/>
    </row>
    <row r="220" spans="2:4" ht="14.4" x14ac:dyDescent="0.3">
      <c r="B220"/>
      <c r="C220"/>
      <c r="D220" s="93"/>
    </row>
    <row r="221" spans="2:4" ht="14.4" x14ac:dyDescent="0.3">
      <c r="B221"/>
      <c r="C221"/>
      <c r="D221" s="93"/>
    </row>
    <row r="222" spans="2:4" ht="14.4" x14ac:dyDescent="0.3">
      <c r="B222"/>
      <c r="C222"/>
      <c r="D222" s="93"/>
    </row>
    <row r="223" spans="2:4" ht="14.4" x14ac:dyDescent="0.3">
      <c r="B223"/>
      <c r="C223"/>
      <c r="D223" s="93"/>
    </row>
    <row r="224" spans="2:4" ht="14.4" x14ac:dyDescent="0.3">
      <c r="B224"/>
      <c r="C224"/>
      <c r="D224" s="93"/>
    </row>
    <row r="225" spans="2:4" ht="14.4" x14ac:dyDescent="0.3">
      <c r="B225"/>
      <c r="C225"/>
      <c r="D225" s="93"/>
    </row>
    <row r="226" spans="2:4" ht="14.4" x14ac:dyDescent="0.3">
      <c r="B226"/>
      <c r="C226"/>
      <c r="D226" s="93"/>
    </row>
    <row r="227" spans="2:4" ht="14.4" x14ac:dyDescent="0.3">
      <c r="B227"/>
      <c r="C227"/>
      <c r="D227" s="93"/>
    </row>
    <row r="228" spans="2:4" ht="14.4" x14ac:dyDescent="0.3">
      <c r="B228"/>
      <c r="C228"/>
      <c r="D228" s="93"/>
    </row>
    <row r="229" spans="2:4" ht="14.4" x14ac:dyDescent="0.3">
      <c r="B229"/>
      <c r="C229"/>
      <c r="D229" s="93"/>
    </row>
    <row r="230" spans="2:4" ht="14.4" x14ac:dyDescent="0.3">
      <c r="B230"/>
      <c r="C230"/>
      <c r="D230" s="93"/>
    </row>
    <row r="231" spans="2:4" ht="14.4" x14ac:dyDescent="0.3">
      <c r="B231"/>
      <c r="C231"/>
      <c r="D231" s="93"/>
    </row>
    <row r="232" spans="2:4" ht="14.4" x14ac:dyDescent="0.3">
      <c r="B232"/>
      <c r="C232"/>
      <c r="D232" s="93"/>
    </row>
    <row r="233" spans="2:4" ht="14.4" x14ac:dyDescent="0.3">
      <c r="B233"/>
      <c r="C233"/>
      <c r="D233" s="93"/>
    </row>
    <row r="234" spans="2:4" ht="14.4" x14ac:dyDescent="0.3">
      <c r="B234"/>
      <c r="C234"/>
      <c r="D234" s="93"/>
    </row>
    <row r="235" spans="2:4" ht="14.4" x14ac:dyDescent="0.3">
      <c r="B235"/>
      <c r="C235"/>
      <c r="D235" s="93"/>
    </row>
    <row r="236" spans="2:4" ht="14.4" x14ac:dyDescent="0.3">
      <c r="B236"/>
      <c r="C236"/>
      <c r="D236" s="93"/>
    </row>
    <row r="237" spans="2:4" ht="14.4" x14ac:dyDescent="0.3">
      <c r="B237"/>
      <c r="C237"/>
      <c r="D237" s="93"/>
    </row>
    <row r="238" spans="2:4" ht="14.4" x14ac:dyDescent="0.3">
      <c r="B238"/>
      <c r="C238"/>
      <c r="D238" s="93"/>
    </row>
    <row r="239" spans="2:4" ht="14.4" x14ac:dyDescent="0.3">
      <c r="B239"/>
      <c r="C239"/>
      <c r="D239" s="93"/>
    </row>
    <row r="240" spans="2:4" ht="14.4" x14ac:dyDescent="0.3">
      <c r="B240"/>
      <c r="C240"/>
      <c r="D240" s="93"/>
    </row>
    <row r="241" spans="2:4" ht="14.4" x14ac:dyDescent="0.3">
      <c r="B241"/>
      <c r="C241"/>
      <c r="D241" s="93"/>
    </row>
    <row r="242" spans="2:4" ht="14.4" x14ac:dyDescent="0.3">
      <c r="B242"/>
      <c r="C242"/>
      <c r="D242" s="93"/>
    </row>
    <row r="243" spans="2:4" ht="14.4" x14ac:dyDescent="0.3">
      <c r="B243"/>
      <c r="C243"/>
      <c r="D243" s="93"/>
    </row>
    <row r="244" spans="2:4" ht="14.4" x14ac:dyDescent="0.3">
      <c r="B244"/>
      <c r="C244"/>
      <c r="D244" s="93"/>
    </row>
    <row r="245" spans="2:4" ht="14.4" x14ac:dyDescent="0.3">
      <c r="B245"/>
      <c r="C245"/>
      <c r="D245" s="93"/>
    </row>
    <row r="246" spans="2:4" ht="14.4" x14ac:dyDescent="0.3">
      <c r="B246"/>
      <c r="C246"/>
      <c r="D246" s="93"/>
    </row>
    <row r="247" spans="2:4" ht="14.4" x14ac:dyDescent="0.3">
      <c r="B247"/>
      <c r="C247"/>
      <c r="D247" s="93"/>
    </row>
    <row r="248" spans="2:4" ht="14.4" x14ac:dyDescent="0.3">
      <c r="B248"/>
      <c r="C248"/>
      <c r="D248" s="93"/>
    </row>
    <row r="249" spans="2:4" ht="14.4" x14ac:dyDescent="0.3">
      <c r="B249"/>
      <c r="C249"/>
      <c r="D249" s="93"/>
    </row>
    <row r="250" spans="2:4" ht="14.4" x14ac:dyDescent="0.3">
      <c r="B250"/>
      <c r="C250"/>
      <c r="D250" s="93"/>
    </row>
    <row r="251" spans="2:4" ht="14.4" x14ac:dyDescent="0.3">
      <c r="B251"/>
      <c r="C251"/>
      <c r="D251" s="93"/>
    </row>
    <row r="252" spans="2:4" ht="14.4" x14ac:dyDescent="0.3">
      <c r="B252"/>
      <c r="C252"/>
      <c r="D252" s="93"/>
    </row>
    <row r="253" spans="2:4" ht="14.4" x14ac:dyDescent="0.3">
      <c r="B253"/>
      <c r="C253"/>
      <c r="D253" s="93"/>
    </row>
    <row r="254" spans="2:4" ht="14.4" x14ac:dyDescent="0.3">
      <c r="B254"/>
      <c r="C254"/>
      <c r="D254" s="93"/>
    </row>
    <row r="255" spans="2:4" ht="14.4" x14ac:dyDescent="0.3">
      <c r="B255"/>
      <c r="C255"/>
      <c r="D255" s="93"/>
    </row>
    <row r="256" spans="2:4" ht="14.4" x14ac:dyDescent="0.3">
      <c r="B256"/>
      <c r="C256"/>
      <c r="D256" s="93"/>
    </row>
    <row r="257" spans="2:4" ht="14.4" x14ac:dyDescent="0.3">
      <c r="B257"/>
      <c r="C257"/>
      <c r="D257" s="93"/>
    </row>
    <row r="258" spans="2:4" ht="14.4" x14ac:dyDescent="0.3">
      <c r="B258"/>
      <c r="C258"/>
      <c r="D258" s="93"/>
    </row>
    <row r="259" spans="2:4" ht="14.4" x14ac:dyDescent="0.3">
      <c r="B259"/>
      <c r="C259"/>
      <c r="D259" s="93"/>
    </row>
    <row r="260" spans="2:4" ht="14.4" x14ac:dyDescent="0.3">
      <c r="B260"/>
      <c r="C260"/>
      <c r="D260" s="93"/>
    </row>
    <row r="261" spans="2:4" ht="14.4" x14ac:dyDescent="0.3">
      <c r="B261"/>
      <c r="C261"/>
      <c r="D261" s="93"/>
    </row>
    <row r="262" spans="2:4" ht="14.4" x14ac:dyDescent="0.3">
      <c r="B262"/>
      <c r="C262"/>
      <c r="D262" s="93"/>
    </row>
    <row r="263" spans="2:4" ht="14.4" x14ac:dyDescent="0.3">
      <c r="B263"/>
      <c r="C263"/>
      <c r="D263" s="93"/>
    </row>
    <row r="264" spans="2:4" ht="14.4" x14ac:dyDescent="0.3">
      <c r="B264"/>
      <c r="C264"/>
      <c r="D264" s="93"/>
    </row>
    <row r="265" spans="2:4" ht="14.4" x14ac:dyDescent="0.3">
      <c r="B265"/>
      <c r="C265"/>
      <c r="D265" s="93"/>
    </row>
    <row r="266" spans="2:4" ht="14.4" x14ac:dyDescent="0.3">
      <c r="B266"/>
      <c r="C266"/>
      <c r="D266" s="93"/>
    </row>
    <row r="267" spans="2:4" ht="14.4" x14ac:dyDescent="0.3">
      <c r="B267"/>
      <c r="C267"/>
      <c r="D267" s="93"/>
    </row>
    <row r="268" spans="2:4" ht="14.4" x14ac:dyDescent="0.3">
      <c r="B268"/>
      <c r="C268"/>
      <c r="D268" s="93"/>
    </row>
    <row r="269" spans="2:4" ht="14.4" x14ac:dyDescent="0.3">
      <c r="B269"/>
      <c r="C269"/>
      <c r="D269" s="93"/>
    </row>
    <row r="270" spans="2:4" ht="14.4" x14ac:dyDescent="0.3">
      <c r="B270"/>
      <c r="C270"/>
      <c r="D270" s="93"/>
    </row>
    <row r="271" spans="2:4" ht="14.4" x14ac:dyDescent="0.3">
      <c r="B271"/>
      <c r="C271"/>
      <c r="D271" s="93"/>
    </row>
    <row r="272" spans="2:4" ht="14.4" x14ac:dyDescent="0.3">
      <c r="B272"/>
      <c r="C272"/>
      <c r="D272" s="93"/>
    </row>
    <row r="273" spans="2:4" ht="14.4" x14ac:dyDescent="0.3">
      <c r="B273"/>
      <c r="C273"/>
      <c r="D273" s="93"/>
    </row>
    <row r="274" spans="2:4" ht="14.4" x14ac:dyDescent="0.3">
      <c r="B274"/>
      <c r="C274"/>
      <c r="D274" s="93"/>
    </row>
    <row r="275" spans="2:4" ht="14.4" x14ac:dyDescent="0.3">
      <c r="B275"/>
      <c r="C275"/>
      <c r="D275" s="93"/>
    </row>
    <row r="276" spans="2:4" ht="14.4" x14ac:dyDescent="0.3">
      <c r="B276"/>
      <c r="C276"/>
      <c r="D276" s="93"/>
    </row>
    <row r="277" spans="2:4" ht="14.4" x14ac:dyDescent="0.3">
      <c r="B277"/>
      <c r="C277"/>
      <c r="D277" s="93"/>
    </row>
    <row r="278" spans="2:4" ht="14.4" x14ac:dyDescent="0.3">
      <c r="B278"/>
      <c r="C278"/>
      <c r="D278" s="93"/>
    </row>
    <row r="279" spans="2:4" ht="14.4" x14ac:dyDescent="0.3">
      <c r="B279"/>
      <c r="C279"/>
      <c r="D279" s="93"/>
    </row>
    <row r="280" spans="2:4" ht="14.4" x14ac:dyDescent="0.3">
      <c r="B280"/>
      <c r="C280"/>
      <c r="D280" s="93"/>
    </row>
    <row r="281" spans="2:4" ht="14.4" x14ac:dyDescent="0.3">
      <c r="B281"/>
      <c r="C281"/>
      <c r="D281" s="93"/>
    </row>
    <row r="282" spans="2:4" ht="14.4" x14ac:dyDescent="0.3">
      <c r="B282"/>
      <c r="C282"/>
      <c r="D282" s="93"/>
    </row>
    <row r="283" spans="2:4" ht="14.4" x14ac:dyDescent="0.3">
      <c r="B283"/>
      <c r="C283"/>
      <c r="D283" s="93"/>
    </row>
    <row r="284" spans="2:4" ht="14.4" x14ac:dyDescent="0.3">
      <c r="B284"/>
      <c r="C284"/>
      <c r="D284" s="93"/>
    </row>
    <row r="285" spans="2:4" ht="14.4" x14ac:dyDescent="0.3">
      <c r="B285"/>
      <c r="C285"/>
      <c r="D285" s="93"/>
    </row>
    <row r="286" spans="2:4" ht="14.4" x14ac:dyDescent="0.3">
      <c r="B286"/>
      <c r="C286"/>
      <c r="D286" s="93"/>
    </row>
    <row r="287" spans="2:4" ht="14.4" x14ac:dyDescent="0.3">
      <c r="B287"/>
      <c r="C287"/>
      <c r="D287" s="93"/>
    </row>
    <row r="288" spans="2:4" ht="14.4" x14ac:dyDescent="0.3">
      <c r="B288"/>
      <c r="C288"/>
      <c r="D288" s="93"/>
    </row>
    <row r="289" spans="2:4" ht="14.4" x14ac:dyDescent="0.3">
      <c r="B289"/>
      <c r="C289"/>
      <c r="D289" s="93"/>
    </row>
    <row r="290" spans="2:4" ht="14.4" x14ac:dyDescent="0.3">
      <c r="B290"/>
      <c r="C290"/>
      <c r="D290" s="93"/>
    </row>
    <row r="291" spans="2:4" ht="14.4" x14ac:dyDescent="0.3">
      <c r="B291"/>
      <c r="C291"/>
      <c r="D291" s="93"/>
    </row>
    <row r="292" spans="2:4" ht="14.4" x14ac:dyDescent="0.3">
      <c r="B292"/>
      <c r="C292"/>
      <c r="D292" s="93"/>
    </row>
    <row r="293" spans="2:4" ht="14.4" x14ac:dyDescent="0.3">
      <c r="B293"/>
      <c r="C293"/>
      <c r="D293" s="93"/>
    </row>
    <row r="294" spans="2:4" ht="14.4" x14ac:dyDescent="0.3">
      <c r="B294"/>
      <c r="C294"/>
      <c r="D294" s="93"/>
    </row>
    <row r="295" spans="2:4" ht="14.4" x14ac:dyDescent="0.3">
      <c r="B295"/>
      <c r="C295"/>
      <c r="D295" s="93"/>
    </row>
    <row r="296" spans="2:4" ht="14.4" x14ac:dyDescent="0.3">
      <c r="B296"/>
      <c r="C296"/>
      <c r="D296" s="93"/>
    </row>
    <row r="297" spans="2:4" ht="14.4" x14ac:dyDescent="0.3">
      <c r="B297"/>
      <c r="C297"/>
      <c r="D297" s="93"/>
    </row>
    <row r="298" spans="2:4" ht="14.4" x14ac:dyDescent="0.3">
      <c r="B298"/>
      <c r="C298"/>
      <c r="D298" s="93"/>
    </row>
    <row r="299" spans="2:4" ht="14.4" x14ac:dyDescent="0.3">
      <c r="B299"/>
      <c r="C299"/>
      <c r="D299" s="93"/>
    </row>
    <row r="300" spans="2:4" ht="14.4" x14ac:dyDescent="0.3">
      <c r="B300"/>
      <c r="C300"/>
      <c r="D300" s="93"/>
    </row>
    <row r="301" spans="2:4" ht="14.4" x14ac:dyDescent="0.3">
      <c r="B301"/>
      <c r="C301"/>
      <c r="D301" s="93"/>
    </row>
    <row r="302" spans="2:4" ht="14.4" x14ac:dyDescent="0.3">
      <c r="B302"/>
      <c r="C302"/>
      <c r="D302" s="93"/>
    </row>
    <row r="303" spans="2:4" ht="14.4" x14ac:dyDescent="0.3">
      <c r="B303"/>
      <c r="C303"/>
      <c r="D303" s="93"/>
    </row>
    <row r="304" spans="2:4" ht="14.4" x14ac:dyDescent="0.3">
      <c r="B304"/>
      <c r="C304"/>
      <c r="D304" s="93"/>
    </row>
    <row r="305" spans="2:4" ht="14.4" x14ac:dyDescent="0.3">
      <c r="B305"/>
      <c r="C305"/>
      <c r="D305" s="93"/>
    </row>
    <row r="306" spans="2:4" ht="14.4" x14ac:dyDescent="0.3">
      <c r="B306"/>
      <c r="C306"/>
      <c r="D306" s="93"/>
    </row>
    <row r="307" spans="2:4" ht="14.4" x14ac:dyDescent="0.3">
      <c r="B307"/>
      <c r="C307"/>
      <c r="D307" s="93"/>
    </row>
    <row r="308" spans="2:4" ht="14.4" x14ac:dyDescent="0.3">
      <c r="B308"/>
      <c r="C308"/>
      <c r="D308" s="93"/>
    </row>
    <row r="309" spans="2:4" ht="14.4" x14ac:dyDescent="0.3">
      <c r="B309"/>
      <c r="C309"/>
      <c r="D309" s="93"/>
    </row>
    <row r="310" spans="2:4" ht="14.4" x14ac:dyDescent="0.3">
      <c r="B310"/>
      <c r="C310"/>
      <c r="D310" s="93"/>
    </row>
    <row r="311" spans="2:4" ht="14.4" x14ac:dyDescent="0.3">
      <c r="B311"/>
      <c r="C311"/>
      <c r="D311" s="93"/>
    </row>
    <row r="312" spans="2:4" ht="14.4" x14ac:dyDescent="0.3">
      <c r="B312"/>
      <c r="C312"/>
      <c r="D312" s="93"/>
    </row>
    <row r="313" spans="2:4" ht="14.4" x14ac:dyDescent="0.3">
      <c r="B313"/>
      <c r="C313"/>
      <c r="D313" s="93"/>
    </row>
    <row r="314" spans="2:4" ht="14.4" x14ac:dyDescent="0.3">
      <c r="B314"/>
      <c r="C314"/>
      <c r="D314" s="93"/>
    </row>
    <row r="315" spans="2:4" ht="14.4" x14ac:dyDescent="0.3">
      <c r="B315"/>
      <c r="C315"/>
      <c r="D315" s="93"/>
    </row>
    <row r="316" spans="2:4" ht="14.4" x14ac:dyDescent="0.3">
      <c r="B316"/>
      <c r="C316"/>
      <c r="D316" s="93"/>
    </row>
    <row r="317" spans="2:4" ht="14.4" x14ac:dyDescent="0.3">
      <c r="B317"/>
      <c r="C317"/>
      <c r="D317" s="93"/>
    </row>
    <row r="318" spans="2:4" ht="14.4" x14ac:dyDescent="0.3">
      <c r="B318"/>
      <c r="C318"/>
      <c r="D318" s="93"/>
    </row>
    <row r="319" spans="2:4" ht="14.4" x14ac:dyDescent="0.3">
      <c r="B319"/>
      <c r="C319"/>
      <c r="D319" s="93"/>
    </row>
    <row r="320" spans="2:4" ht="14.4" x14ac:dyDescent="0.3">
      <c r="B320"/>
      <c r="C320"/>
      <c r="D320" s="93"/>
    </row>
    <row r="321" spans="2:4" ht="14.4" x14ac:dyDescent="0.3">
      <c r="B321"/>
      <c r="C321"/>
      <c r="D321" s="93"/>
    </row>
    <row r="322" spans="2:4" ht="14.4" x14ac:dyDescent="0.3">
      <c r="B322"/>
      <c r="C322"/>
      <c r="D322" s="93"/>
    </row>
    <row r="323" spans="2:4" ht="14.4" x14ac:dyDescent="0.3">
      <c r="B323"/>
      <c r="C323"/>
      <c r="D323" s="93"/>
    </row>
    <row r="324" spans="2:4" ht="14.4" x14ac:dyDescent="0.3">
      <c r="B324"/>
      <c r="C324"/>
      <c r="D324" s="93"/>
    </row>
    <row r="325" spans="2:4" ht="14.4" x14ac:dyDescent="0.3">
      <c r="B325"/>
      <c r="C325"/>
      <c r="D325" s="93"/>
    </row>
    <row r="326" spans="2:4" ht="14.4" x14ac:dyDescent="0.3">
      <c r="B326"/>
      <c r="C326"/>
      <c r="D326" s="93"/>
    </row>
    <row r="327" spans="2:4" ht="14.4" x14ac:dyDescent="0.3">
      <c r="B327"/>
      <c r="C327"/>
      <c r="D327" s="93"/>
    </row>
    <row r="328" spans="2:4" ht="14.4" x14ac:dyDescent="0.3">
      <c r="B328"/>
      <c r="C328"/>
      <c r="D328" s="93"/>
    </row>
    <row r="329" spans="2:4" ht="14.4" x14ac:dyDescent="0.3">
      <c r="B329"/>
      <c r="C329"/>
      <c r="D329" s="93"/>
    </row>
    <row r="330" spans="2:4" ht="14.4" x14ac:dyDescent="0.3">
      <c r="B330"/>
      <c r="C330"/>
      <c r="D330" s="93"/>
    </row>
    <row r="331" spans="2:4" ht="14.4" x14ac:dyDescent="0.3">
      <c r="B331"/>
      <c r="C331"/>
      <c r="D331" s="93"/>
    </row>
    <row r="332" spans="2:4" ht="14.4" x14ac:dyDescent="0.3">
      <c r="B332"/>
      <c r="C332"/>
      <c r="D332" s="93"/>
    </row>
    <row r="333" spans="2:4" ht="14.4" x14ac:dyDescent="0.3">
      <c r="B333"/>
      <c r="C333"/>
      <c r="D333" s="93"/>
    </row>
    <row r="334" spans="2:4" ht="14.4" x14ac:dyDescent="0.3">
      <c r="B334"/>
      <c r="C334"/>
      <c r="D334" s="93"/>
    </row>
    <row r="335" spans="2:4" ht="14.4" x14ac:dyDescent="0.3">
      <c r="B335"/>
      <c r="C335"/>
      <c r="D335" s="93"/>
    </row>
    <row r="336" spans="2:4" ht="14.4" x14ac:dyDescent="0.3">
      <c r="B336"/>
      <c r="C336"/>
      <c r="D336" s="93"/>
    </row>
    <row r="337" spans="2:4" ht="14.4" x14ac:dyDescent="0.3">
      <c r="B337"/>
      <c r="C337"/>
      <c r="D337" s="93"/>
    </row>
    <row r="338" spans="2:4" ht="14.4" x14ac:dyDescent="0.3">
      <c r="B338"/>
      <c r="C338"/>
      <c r="D338" s="93"/>
    </row>
    <row r="339" spans="2:4" ht="14.4" x14ac:dyDescent="0.3">
      <c r="B339"/>
      <c r="C339"/>
      <c r="D339" s="93"/>
    </row>
    <row r="340" spans="2:4" ht="14.4" x14ac:dyDescent="0.3">
      <c r="B340"/>
      <c r="C340"/>
      <c r="D340" s="93"/>
    </row>
    <row r="341" spans="2:4" ht="14.4" x14ac:dyDescent="0.3">
      <c r="B341"/>
      <c r="C341"/>
      <c r="D341" s="93"/>
    </row>
    <row r="342" spans="2:4" ht="14.4" x14ac:dyDescent="0.3">
      <c r="B342"/>
      <c r="C342"/>
      <c r="D342" s="93"/>
    </row>
    <row r="343" spans="2:4" ht="14.4" x14ac:dyDescent="0.3">
      <c r="B343"/>
      <c r="C343"/>
      <c r="D343" s="93"/>
    </row>
    <row r="344" spans="2:4" ht="14.4" x14ac:dyDescent="0.3">
      <c r="B344"/>
      <c r="C344"/>
      <c r="D344" s="93"/>
    </row>
    <row r="345" spans="2:4" ht="14.4" x14ac:dyDescent="0.3">
      <c r="B345"/>
      <c r="C345"/>
      <c r="D345" s="93"/>
    </row>
    <row r="346" spans="2:4" ht="14.4" x14ac:dyDescent="0.3">
      <c r="B346"/>
      <c r="C346"/>
      <c r="D346" s="93"/>
    </row>
    <row r="347" spans="2:4" ht="14.4" x14ac:dyDescent="0.3">
      <c r="B347"/>
      <c r="C347"/>
      <c r="D347" s="93"/>
    </row>
    <row r="348" spans="2:4" ht="14.4" x14ac:dyDescent="0.3">
      <c r="B348"/>
      <c r="C348"/>
      <c r="D348" s="93"/>
    </row>
    <row r="349" spans="2:4" ht="14.4" x14ac:dyDescent="0.3">
      <c r="B349"/>
      <c r="C349"/>
      <c r="D349" s="93"/>
    </row>
    <row r="350" spans="2:4" ht="14.4" x14ac:dyDescent="0.3">
      <c r="B350"/>
      <c r="C350"/>
      <c r="D350" s="93"/>
    </row>
    <row r="351" spans="2:4" ht="14.4" x14ac:dyDescent="0.3">
      <c r="B351"/>
      <c r="C351"/>
      <c r="D351" s="93"/>
    </row>
    <row r="352" spans="2:4" ht="14.4" x14ac:dyDescent="0.3">
      <c r="B352"/>
      <c r="C352"/>
      <c r="D352" s="93"/>
    </row>
    <row r="353" spans="2:4" ht="14.4" x14ac:dyDescent="0.3">
      <c r="B353"/>
      <c r="C353"/>
      <c r="D353" s="93"/>
    </row>
    <row r="354" spans="2:4" ht="14.4" x14ac:dyDescent="0.3">
      <c r="B354"/>
      <c r="C354"/>
      <c r="D354" s="93"/>
    </row>
    <row r="355" spans="2:4" ht="14.4" x14ac:dyDescent="0.3">
      <c r="B355"/>
      <c r="C355"/>
      <c r="D355" s="93"/>
    </row>
    <row r="356" spans="2:4" ht="14.4" x14ac:dyDescent="0.3">
      <c r="B356"/>
      <c r="C356"/>
      <c r="D356" s="93"/>
    </row>
    <row r="357" spans="2:4" ht="14.4" x14ac:dyDescent="0.3">
      <c r="B357"/>
      <c r="C357"/>
      <c r="D357" s="93"/>
    </row>
    <row r="358" spans="2:4" ht="14.4" x14ac:dyDescent="0.3">
      <c r="B358"/>
      <c r="C358"/>
      <c r="D358" s="93"/>
    </row>
    <row r="359" spans="2:4" ht="14.4" x14ac:dyDescent="0.3">
      <c r="B359"/>
      <c r="C359"/>
      <c r="D359" s="93"/>
    </row>
    <row r="360" spans="2:4" ht="14.4" x14ac:dyDescent="0.3">
      <c r="B360"/>
      <c r="C360"/>
      <c r="D360" s="93"/>
    </row>
    <row r="361" spans="2:4" ht="14.4" x14ac:dyDescent="0.3">
      <c r="B361"/>
      <c r="C361"/>
      <c r="D361" s="93"/>
    </row>
    <row r="362" spans="2:4" ht="14.4" x14ac:dyDescent="0.3">
      <c r="B362"/>
      <c r="C362"/>
      <c r="D362" s="93"/>
    </row>
    <row r="363" spans="2:4" ht="14.4" x14ac:dyDescent="0.3">
      <c r="B363"/>
      <c r="C363"/>
      <c r="D363" s="93"/>
    </row>
    <row r="364" spans="2:4" ht="14.4" x14ac:dyDescent="0.3">
      <c r="B364"/>
      <c r="C364"/>
      <c r="D364" s="93"/>
    </row>
    <row r="365" spans="2:4" ht="14.4" x14ac:dyDescent="0.3">
      <c r="B365"/>
      <c r="C365"/>
      <c r="D365" s="93"/>
    </row>
    <row r="366" spans="2:4" ht="14.4" x14ac:dyDescent="0.3">
      <c r="B366"/>
      <c r="C366"/>
      <c r="D366" s="93"/>
    </row>
    <row r="367" spans="2:4" ht="14.4" x14ac:dyDescent="0.3">
      <c r="B367"/>
      <c r="C367"/>
      <c r="D367" s="93"/>
    </row>
    <row r="368" spans="2:4" ht="14.4" x14ac:dyDescent="0.3">
      <c r="B368"/>
      <c r="C368"/>
      <c r="D368" s="93"/>
    </row>
    <row r="369" spans="2:4" ht="14.4" x14ac:dyDescent="0.3">
      <c r="B369"/>
      <c r="C369"/>
      <c r="D369" s="93"/>
    </row>
    <row r="370" spans="2:4" ht="14.4" x14ac:dyDescent="0.3">
      <c r="B370"/>
      <c r="C370"/>
      <c r="D370" s="93"/>
    </row>
    <row r="371" spans="2:4" ht="14.4" x14ac:dyDescent="0.3">
      <c r="B371"/>
      <c r="C371"/>
      <c r="D371" s="93"/>
    </row>
    <row r="372" spans="2:4" ht="14.4" x14ac:dyDescent="0.3">
      <c r="B372"/>
      <c r="C372"/>
      <c r="D372" s="93"/>
    </row>
    <row r="373" spans="2:4" ht="14.4" x14ac:dyDescent="0.3">
      <c r="B373"/>
      <c r="C373"/>
      <c r="D373" s="93"/>
    </row>
    <row r="374" spans="2:4" ht="14.4" x14ac:dyDescent="0.3">
      <c r="B374"/>
      <c r="C374"/>
      <c r="D374" s="93"/>
    </row>
    <row r="375" spans="2:4" ht="14.4" x14ac:dyDescent="0.3">
      <c r="B375"/>
      <c r="C375"/>
      <c r="D375" s="93"/>
    </row>
    <row r="376" spans="2:4" ht="14.4" x14ac:dyDescent="0.3">
      <c r="B376"/>
      <c r="C376"/>
      <c r="D376" s="93"/>
    </row>
    <row r="377" spans="2:4" ht="14.4" x14ac:dyDescent="0.3">
      <c r="B377"/>
      <c r="C377"/>
      <c r="D377" s="93"/>
    </row>
    <row r="378" spans="2:4" ht="14.4" x14ac:dyDescent="0.3">
      <c r="B378"/>
      <c r="C378"/>
      <c r="D378" s="93"/>
    </row>
    <row r="379" spans="2:4" ht="14.4" x14ac:dyDescent="0.3">
      <c r="B379"/>
      <c r="C379"/>
      <c r="D379" s="93"/>
    </row>
    <row r="380" spans="2:4" ht="14.4" x14ac:dyDescent="0.3">
      <c r="B380"/>
      <c r="C380"/>
      <c r="D380" s="93"/>
    </row>
    <row r="381" spans="2:4" ht="14.4" x14ac:dyDescent="0.3">
      <c r="B381"/>
      <c r="C381"/>
      <c r="D381" s="93"/>
    </row>
    <row r="382" spans="2:4" ht="14.4" x14ac:dyDescent="0.3">
      <c r="B382"/>
      <c r="C382"/>
      <c r="D382" s="93"/>
    </row>
    <row r="383" spans="2:4" ht="14.4" x14ac:dyDescent="0.3">
      <c r="B383"/>
      <c r="C383"/>
      <c r="D383" s="93"/>
    </row>
    <row r="384" spans="2:4" ht="14.4" x14ac:dyDescent="0.3">
      <c r="B384"/>
      <c r="C384"/>
      <c r="D384" s="93"/>
    </row>
    <row r="385" spans="2:4" ht="14.4" x14ac:dyDescent="0.3">
      <c r="B385"/>
      <c r="C385"/>
      <c r="D385" s="93"/>
    </row>
    <row r="386" spans="2:4" ht="14.4" x14ac:dyDescent="0.3">
      <c r="B386"/>
      <c r="C386"/>
      <c r="D386" s="93"/>
    </row>
    <row r="387" spans="2:4" ht="14.4" x14ac:dyDescent="0.3">
      <c r="B387"/>
      <c r="C387"/>
      <c r="D387" s="93"/>
    </row>
    <row r="388" spans="2:4" ht="14.4" x14ac:dyDescent="0.3">
      <c r="B388"/>
      <c r="C388"/>
      <c r="D388" s="93"/>
    </row>
    <row r="389" spans="2:4" ht="14.4" x14ac:dyDescent="0.3">
      <c r="B389"/>
      <c r="C389"/>
      <c r="D389" s="93"/>
    </row>
    <row r="390" spans="2:4" ht="14.4" x14ac:dyDescent="0.3">
      <c r="B390"/>
      <c r="C390"/>
      <c r="D390" s="93"/>
    </row>
    <row r="391" spans="2:4" ht="14.4" x14ac:dyDescent="0.3">
      <c r="B391"/>
      <c r="C391"/>
      <c r="D391" s="93"/>
    </row>
    <row r="392" spans="2:4" ht="14.4" x14ac:dyDescent="0.3">
      <c r="B392"/>
      <c r="C392"/>
      <c r="D392" s="93"/>
    </row>
    <row r="393" spans="2:4" ht="14.4" x14ac:dyDescent="0.3">
      <c r="B393"/>
      <c r="C393"/>
      <c r="D393" s="93"/>
    </row>
    <row r="394" spans="2:4" ht="14.4" x14ac:dyDescent="0.3">
      <c r="B394"/>
      <c r="C394"/>
      <c r="D394" s="93"/>
    </row>
    <row r="395" spans="2:4" ht="14.4" x14ac:dyDescent="0.3">
      <c r="B395"/>
      <c r="C395"/>
      <c r="D395" s="93"/>
    </row>
    <row r="396" spans="2:4" ht="14.4" x14ac:dyDescent="0.3">
      <c r="B396"/>
      <c r="C396"/>
      <c r="D396" s="93"/>
    </row>
    <row r="397" spans="2:4" ht="14.4" x14ac:dyDescent="0.3">
      <c r="B397"/>
      <c r="C397"/>
      <c r="D397" s="93"/>
    </row>
    <row r="398" spans="2:4" ht="14.4" x14ac:dyDescent="0.3">
      <c r="B398"/>
      <c r="C398"/>
      <c r="D398" s="93"/>
    </row>
    <row r="399" spans="2:4" ht="14.4" x14ac:dyDescent="0.3">
      <c r="B399"/>
      <c r="C399"/>
      <c r="D399" s="93"/>
    </row>
    <row r="400" spans="2:4" ht="14.4" x14ac:dyDescent="0.3">
      <c r="B400"/>
      <c r="C400"/>
      <c r="D400" s="93"/>
    </row>
    <row r="401" spans="2:4" ht="14.4" x14ac:dyDescent="0.3">
      <c r="B401"/>
      <c r="C401"/>
      <c r="D401" s="93"/>
    </row>
    <row r="402" spans="2:4" ht="14.4" x14ac:dyDescent="0.3">
      <c r="B402"/>
      <c r="C402"/>
      <c r="D402" s="93"/>
    </row>
    <row r="403" spans="2:4" ht="14.4" x14ac:dyDescent="0.3">
      <c r="B403"/>
      <c r="C403"/>
      <c r="D403" s="93"/>
    </row>
    <row r="404" spans="2:4" ht="14.4" x14ac:dyDescent="0.3">
      <c r="B404"/>
      <c r="C404"/>
      <c r="D404" s="93"/>
    </row>
    <row r="405" spans="2:4" ht="14.4" x14ac:dyDescent="0.3">
      <c r="B405"/>
      <c r="C405"/>
      <c r="D405" s="93"/>
    </row>
    <row r="406" spans="2:4" ht="14.4" x14ac:dyDescent="0.3">
      <c r="B406"/>
      <c r="C406"/>
      <c r="D406" s="93"/>
    </row>
    <row r="407" spans="2:4" ht="14.4" x14ac:dyDescent="0.3">
      <c r="B407"/>
      <c r="C407"/>
      <c r="D407" s="93"/>
    </row>
    <row r="408" spans="2:4" ht="14.4" x14ac:dyDescent="0.3">
      <c r="B408"/>
      <c r="C408"/>
      <c r="D408" s="93"/>
    </row>
    <row r="409" spans="2:4" ht="14.4" x14ac:dyDescent="0.3">
      <c r="B409"/>
      <c r="C409"/>
      <c r="D409" s="93"/>
    </row>
    <row r="410" spans="2:4" ht="14.4" x14ac:dyDescent="0.3">
      <c r="B410"/>
      <c r="C410"/>
      <c r="D410" s="93"/>
    </row>
    <row r="411" spans="2:4" ht="14.4" x14ac:dyDescent="0.3">
      <c r="B411"/>
      <c r="C411"/>
      <c r="D411" s="93"/>
    </row>
    <row r="412" spans="2:4" ht="14.4" x14ac:dyDescent="0.3">
      <c r="B412"/>
      <c r="C412"/>
      <c r="D412" s="93"/>
    </row>
    <row r="413" spans="2:4" ht="14.4" x14ac:dyDescent="0.3">
      <c r="B413"/>
      <c r="C413"/>
      <c r="D413" s="93"/>
    </row>
    <row r="414" spans="2:4" ht="14.4" x14ac:dyDescent="0.3">
      <c r="B414"/>
      <c r="C414"/>
      <c r="D414" s="93"/>
    </row>
    <row r="415" spans="2:4" ht="14.4" x14ac:dyDescent="0.3">
      <c r="B415"/>
      <c r="C415"/>
      <c r="D415" s="93"/>
    </row>
    <row r="416" spans="2:4" ht="14.4" x14ac:dyDescent="0.3">
      <c r="B416"/>
      <c r="C416"/>
      <c r="D416" s="93"/>
    </row>
    <row r="417" spans="2:4" ht="14.4" x14ac:dyDescent="0.3">
      <c r="B417"/>
      <c r="C417"/>
      <c r="D417" s="93"/>
    </row>
    <row r="418" spans="2:4" ht="14.4" x14ac:dyDescent="0.3">
      <c r="B418"/>
      <c r="C418"/>
      <c r="D418" s="93"/>
    </row>
    <row r="419" spans="2:4" ht="14.4" x14ac:dyDescent="0.3">
      <c r="B419"/>
      <c r="C419"/>
      <c r="D419" s="93"/>
    </row>
    <row r="420" spans="2:4" ht="14.4" x14ac:dyDescent="0.3">
      <c r="B420"/>
      <c r="C420"/>
      <c r="D420" s="93"/>
    </row>
    <row r="421" spans="2:4" ht="14.4" x14ac:dyDescent="0.3">
      <c r="B421"/>
      <c r="C421"/>
      <c r="D421" s="93"/>
    </row>
    <row r="422" spans="2:4" ht="14.4" x14ac:dyDescent="0.3">
      <c r="B422"/>
      <c r="C422"/>
      <c r="D422" s="93"/>
    </row>
    <row r="423" spans="2:4" ht="14.4" x14ac:dyDescent="0.3">
      <c r="B423"/>
      <c r="C423"/>
      <c r="D423" s="93"/>
    </row>
    <row r="424" spans="2:4" ht="14.4" x14ac:dyDescent="0.3">
      <c r="B424"/>
      <c r="C424"/>
      <c r="D424" s="93"/>
    </row>
    <row r="425" spans="2:4" ht="14.4" x14ac:dyDescent="0.3">
      <c r="B425"/>
      <c r="C425"/>
      <c r="D425" s="93"/>
    </row>
    <row r="426" spans="2:4" ht="14.4" x14ac:dyDescent="0.3">
      <c r="B426"/>
      <c r="C426"/>
      <c r="D426" s="93"/>
    </row>
    <row r="427" spans="2:4" ht="14.4" x14ac:dyDescent="0.3">
      <c r="B427"/>
      <c r="C427"/>
      <c r="D427" s="93"/>
    </row>
    <row r="428" spans="2:4" ht="14.4" x14ac:dyDescent="0.3">
      <c r="B428"/>
      <c r="C428"/>
      <c r="D428" s="93"/>
    </row>
    <row r="429" spans="2:4" ht="14.4" x14ac:dyDescent="0.3">
      <c r="B429"/>
      <c r="C429"/>
      <c r="D429" s="93"/>
    </row>
    <row r="430" spans="2:4" ht="14.4" x14ac:dyDescent="0.3">
      <c r="B430"/>
      <c r="C430"/>
      <c r="D430" s="93"/>
    </row>
    <row r="431" spans="2:4" ht="14.4" x14ac:dyDescent="0.3">
      <c r="B431"/>
      <c r="C431"/>
      <c r="D431" s="93"/>
    </row>
    <row r="432" spans="2:4" ht="14.4" x14ac:dyDescent="0.3">
      <c r="B432"/>
      <c r="C432"/>
      <c r="D432" s="93"/>
    </row>
    <row r="433" spans="2:4" ht="14.4" x14ac:dyDescent="0.3">
      <c r="B433"/>
      <c r="C433"/>
      <c r="D433" s="93"/>
    </row>
    <row r="434" spans="2:4" ht="14.4" x14ac:dyDescent="0.3">
      <c r="B434"/>
      <c r="C434"/>
      <c r="D434" s="93"/>
    </row>
    <row r="435" spans="2:4" ht="14.4" x14ac:dyDescent="0.3">
      <c r="B435"/>
      <c r="C435"/>
      <c r="D435" s="93"/>
    </row>
    <row r="436" spans="2:4" ht="14.4" x14ac:dyDescent="0.3">
      <c r="B436"/>
      <c r="C436"/>
      <c r="D436" s="93"/>
    </row>
    <row r="437" spans="2:4" ht="14.4" x14ac:dyDescent="0.3">
      <c r="B437"/>
      <c r="C437"/>
      <c r="D437" s="93"/>
    </row>
    <row r="438" spans="2:4" ht="14.4" x14ac:dyDescent="0.3">
      <c r="B438"/>
      <c r="C438"/>
      <c r="D438" s="93"/>
    </row>
    <row r="439" spans="2:4" ht="14.4" x14ac:dyDescent="0.3">
      <c r="B439"/>
      <c r="C439"/>
      <c r="D439" s="93"/>
    </row>
    <row r="440" spans="2:4" ht="14.4" x14ac:dyDescent="0.3">
      <c r="B440"/>
      <c r="C440"/>
      <c r="D440" s="93"/>
    </row>
    <row r="441" spans="2:4" ht="14.4" x14ac:dyDescent="0.3">
      <c r="B441"/>
      <c r="C441"/>
      <c r="D441" s="93"/>
    </row>
    <row r="442" spans="2:4" ht="14.4" x14ac:dyDescent="0.3">
      <c r="B442"/>
      <c r="C442"/>
      <c r="D442" s="93"/>
    </row>
    <row r="443" spans="2:4" ht="14.4" x14ac:dyDescent="0.3">
      <c r="B443"/>
      <c r="C443"/>
      <c r="D443" s="93"/>
    </row>
    <row r="444" spans="2:4" ht="14.4" x14ac:dyDescent="0.3">
      <c r="B444"/>
      <c r="C444"/>
      <c r="D444" s="93"/>
    </row>
    <row r="445" spans="2:4" ht="14.4" x14ac:dyDescent="0.3">
      <c r="B445"/>
      <c r="C445"/>
      <c r="D445" s="93"/>
    </row>
    <row r="446" spans="2:4" ht="14.4" x14ac:dyDescent="0.3">
      <c r="B446"/>
      <c r="C446"/>
      <c r="D446" s="93"/>
    </row>
    <row r="447" spans="2:4" ht="14.4" x14ac:dyDescent="0.3">
      <c r="B447"/>
      <c r="C447"/>
      <c r="D447" s="93"/>
    </row>
    <row r="448" spans="2:4" ht="14.4" x14ac:dyDescent="0.3">
      <c r="B448"/>
      <c r="C448"/>
      <c r="D448" s="93"/>
    </row>
    <row r="449" spans="2:4" ht="14.4" x14ac:dyDescent="0.3">
      <c r="B449"/>
      <c r="C449"/>
      <c r="D449" s="93"/>
    </row>
    <row r="450" spans="2:4" ht="14.4" x14ac:dyDescent="0.3">
      <c r="B450"/>
      <c r="C450"/>
      <c r="D450" s="93"/>
    </row>
    <row r="451" spans="2:4" ht="14.4" x14ac:dyDescent="0.3">
      <c r="B451"/>
      <c r="C451"/>
      <c r="D451" s="93"/>
    </row>
    <row r="452" spans="2:4" ht="14.4" x14ac:dyDescent="0.3">
      <c r="B452"/>
      <c r="C452"/>
      <c r="D452" s="93"/>
    </row>
    <row r="453" spans="2:4" ht="14.4" x14ac:dyDescent="0.3">
      <c r="B453"/>
      <c r="C453"/>
      <c r="D453" s="93"/>
    </row>
    <row r="454" spans="2:4" ht="14.4" x14ac:dyDescent="0.3">
      <c r="B454"/>
      <c r="C454"/>
      <c r="D454" s="93"/>
    </row>
    <row r="455" spans="2:4" ht="14.4" x14ac:dyDescent="0.3">
      <c r="B455"/>
      <c r="C455"/>
      <c r="D455" s="93"/>
    </row>
    <row r="456" spans="2:4" ht="14.4" x14ac:dyDescent="0.3">
      <c r="B456"/>
      <c r="C456"/>
      <c r="D456" s="93"/>
    </row>
    <row r="457" spans="2:4" ht="14.4" x14ac:dyDescent="0.3">
      <c r="B457"/>
      <c r="C457"/>
      <c r="D457" s="93"/>
    </row>
    <row r="458" spans="2:4" ht="14.4" x14ac:dyDescent="0.3">
      <c r="B458"/>
      <c r="C458"/>
      <c r="D458" s="93"/>
    </row>
    <row r="459" spans="2:4" ht="14.4" x14ac:dyDescent="0.3">
      <c r="B459"/>
      <c r="C459"/>
      <c r="D459" s="93"/>
    </row>
    <row r="460" spans="2:4" ht="14.4" x14ac:dyDescent="0.3">
      <c r="B460"/>
      <c r="C460"/>
      <c r="D460" s="93"/>
    </row>
    <row r="461" spans="2:4" ht="14.4" x14ac:dyDescent="0.3">
      <c r="B461"/>
      <c r="C461"/>
      <c r="D461" s="93"/>
    </row>
    <row r="462" spans="2:4" ht="14.4" x14ac:dyDescent="0.3">
      <c r="B462"/>
      <c r="C462"/>
      <c r="D462" s="93"/>
    </row>
    <row r="463" spans="2:4" ht="14.4" x14ac:dyDescent="0.3">
      <c r="B463"/>
      <c r="C463"/>
      <c r="D463" s="93"/>
    </row>
    <row r="464" spans="2:4" ht="14.4" x14ac:dyDescent="0.3">
      <c r="B464"/>
      <c r="C464"/>
      <c r="D464" s="93"/>
    </row>
    <row r="465" spans="2:4" ht="14.4" x14ac:dyDescent="0.3">
      <c r="B465"/>
      <c r="C465"/>
      <c r="D465" s="93"/>
    </row>
    <row r="466" spans="2:4" ht="14.4" x14ac:dyDescent="0.3">
      <c r="B466"/>
      <c r="C466"/>
      <c r="D466" s="93"/>
    </row>
    <row r="467" spans="2:4" ht="14.4" x14ac:dyDescent="0.3">
      <c r="B467"/>
      <c r="C467"/>
      <c r="D467" s="93"/>
    </row>
    <row r="468" spans="2:4" ht="14.4" x14ac:dyDescent="0.3">
      <c r="B468"/>
      <c r="C468"/>
      <c r="D468" s="93"/>
    </row>
    <row r="469" spans="2:4" ht="14.4" x14ac:dyDescent="0.3">
      <c r="B469"/>
      <c r="C469"/>
      <c r="D469" s="93"/>
    </row>
    <row r="470" spans="2:4" ht="14.4" x14ac:dyDescent="0.3">
      <c r="B470"/>
      <c r="C470"/>
      <c r="D470" s="93"/>
    </row>
    <row r="471" spans="2:4" ht="14.4" x14ac:dyDescent="0.3">
      <c r="B471"/>
      <c r="C471"/>
      <c r="D471" s="93"/>
    </row>
    <row r="472" spans="2:4" ht="14.4" x14ac:dyDescent="0.3">
      <c r="B472"/>
      <c r="C472"/>
      <c r="D472" s="93"/>
    </row>
    <row r="473" spans="2:4" ht="14.4" x14ac:dyDescent="0.3">
      <c r="B473"/>
      <c r="C473"/>
      <c r="D473" s="93"/>
    </row>
    <row r="474" spans="2:4" ht="14.4" x14ac:dyDescent="0.3">
      <c r="B474"/>
      <c r="C474"/>
      <c r="D474" s="93"/>
    </row>
    <row r="475" spans="2:4" ht="14.4" x14ac:dyDescent="0.3">
      <c r="B475"/>
      <c r="C475"/>
      <c r="D475" s="93"/>
    </row>
    <row r="476" spans="2:4" ht="14.4" x14ac:dyDescent="0.3">
      <c r="B476"/>
      <c r="C476"/>
      <c r="D476" s="93"/>
    </row>
    <row r="477" spans="2:4" ht="14.4" x14ac:dyDescent="0.3">
      <c r="B477"/>
      <c r="C477"/>
      <c r="D477" s="93"/>
    </row>
    <row r="478" spans="2:4" ht="14.4" x14ac:dyDescent="0.3">
      <c r="B478"/>
      <c r="C478"/>
      <c r="D478" s="93"/>
    </row>
    <row r="479" spans="2:4" ht="14.4" x14ac:dyDescent="0.3">
      <c r="B479"/>
      <c r="C479"/>
      <c r="D479" s="93"/>
    </row>
    <row r="480" spans="2:4" ht="14.4" x14ac:dyDescent="0.3">
      <c r="B480"/>
      <c r="C480"/>
      <c r="D480" s="93"/>
    </row>
    <row r="481" spans="2:4" ht="14.4" x14ac:dyDescent="0.3">
      <c r="B481"/>
      <c r="C481"/>
      <c r="D481" s="93"/>
    </row>
    <row r="482" spans="2:4" ht="14.4" x14ac:dyDescent="0.3">
      <c r="B482"/>
      <c r="C482"/>
      <c r="D482" s="93"/>
    </row>
    <row r="483" spans="2:4" ht="14.4" x14ac:dyDescent="0.3">
      <c r="B483"/>
      <c r="C483"/>
      <c r="D483" s="93"/>
    </row>
    <row r="484" spans="2:4" ht="14.4" x14ac:dyDescent="0.3">
      <c r="B484"/>
      <c r="C484"/>
      <c r="D484" s="93"/>
    </row>
    <row r="485" spans="2:4" ht="14.4" x14ac:dyDescent="0.3">
      <c r="B485"/>
      <c r="C485"/>
      <c r="D485" s="93"/>
    </row>
    <row r="486" spans="2:4" ht="14.4" x14ac:dyDescent="0.3">
      <c r="B486"/>
      <c r="C486"/>
      <c r="D486" s="93"/>
    </row>
    <row r="487" spans="2:4" ht="14.4" x14ac:dyDescent="0.3">
      <c r="B487"/>
      <c r="C487"/>
      <c r="D487" s="93"/>
    </row>
    <row r="488" spans="2:4" ht="14.4" x14ac:dyDescent="0.3">
      <c r="B488"/>
      <c r="C488"/>
      <c r="D488" s="93"/>
    </row>
    <row r="489" spans="2:4" ht="14.4" x14ac:dyDescent="0.3">
      <c r="B489"/>
      <c r="C489"/>
      <c r="D489" s="93"/>
    </row>
    <row r="490" spans="2:4" ht="14.4" x14ac:dyDescent="0.3">
      <c r="B490"/>
      <c r="C490"/>
      <c r="D490" s="93"/>
    </row>
    <row r="491" spans="2:4" ht="14.4" x14ac:dyDescent="0.3">
      <c r="B491"/>
      <c r="C491"/>
      <c r="D491" s="93"/>
    </row>
    <row r="492" spans="2:4" ht="14.4" x14ac:dyDescent="0.3">
      <c r="B492"/>
      <c r="C492"/>
      <c r="D492" s="93"/>
    </row>
    <row r="493" spans="2:4" ht="14.4" x14ac:dyDescent="0.3">
      <c r="B493"/>
      <c r="C493"/>
      <c r="D493" s="93"/>
    </row>
    <row r="494" spans="2:4" ht="14.4" x14ac:dyDescent="0.3">
      <c r="B494"/>
      <c r="C494"/>
      <c r="D494" s="93"/>
    </row>
    <row r="495" spans="2:4" ht="14.4" x14ac:dyDescent="0.3">
      <c r="B495"/>
      <c r="C495"/>
      <c r="D495" s="93"/>
    </row>
    <row r="496" spans="2:4" ht="14.4" x14ac:dyDescent="0.3">
      <c r="B496"/>
      <c r="C496"/>
      <c r="D496" s="93"/>
    </row>
    <row r="497" spans="2:4" ht="14.4" x14ac:dyDescent="0.3">
      <c r="B497"/>
      <c r="C497"/>
      <c r="D497" s="93"/>
    </row>
    <row r="498" spans="2:4" ht="14.4" x14ac:dyDescent="0.3">
      <c r="B498"/>
      <c r="C498"/>
      <c r="D498" s="93"/>
    </row>
    <row r="499" spans="2:4" ht="14.4" x14ac:dyDescent="0.3">
      <c r="B499"/>
      <c r="C499"/>
      <c r="D499" s="93"/>
    </row>
    <row r="500" spans="2:4" ht="14.4" x14ac:dyDescent="0.3">
      <c r="B500"/>
      <c r="C500"/>
      <c r="D500" s="93"/>
    </row>
    <row r="501" spans="2:4" ht="14.4" x14ac:dyDescent="0.3">
      <c r="B501"/>
      <c r="C501"/>
      <c r="D501" s="93"/>
    </row>
    <row r="502" spans="2:4" ht="14.4" x14ac:dyDescent="0.3">
      <c r="B502"/>
      <c r="C502"/>
      <c r="D502" s="93"/>
    </row>
    <row r="503" spans="2:4" ht="14.4" x14ac:dyDescent="0.3">
      <c r="B503"/>
      <c r="C503"/>
      <c r="D503" s="93"/>
    </row>
    <row r="504" spans="2:4" ht="14.4" x14ac:dyDescent="0.3">
      <c r="B504"/>
      <c r="C504"/>
      <c r="D504" s="93"/>
    </row>
    <row r="505" spans="2:4" ht="14.4" x14ac:dyDescent="0.3">
      <c r="B505"/>
      <c r="C505"/>
      <c r="D505" s="93"/>
    </row>
    <row r="506" spans="2:4" ht="14.4" x14ac:dyDescent="0.3">
      <c r="B506"/>
      <c r="C506"/>
      <c r="D506" s="93"/>
    </row>
    <row r="507" spans="2:4" ht="14.4" x14ac:dyDescent="0.3">
      <c r="B507"/>
      <c r="C507"/>
      <c r="D507" s="93"/>
    </row>
    <row r="508" spans="2:4" ht="14.4" x14ac:dyDescent="0.3">
      <c r="B508"/>
      <c r="C508"/>
      <c r="D508" s="93"/>
    </row>
    <row r="509" spans="2:4" ht="14.4" x14ac:dyDescent="0.3">
      <c r="B509"/>
      <c r="C509"/>
      <c r="D509" s="93"/>
    </row>
    <row r="510" spans="2:4" ht="14.4" x14ac:dyDescent="0.3">
      <c r="B510"/>
      <c r="C510"/>
      <c r="D510" s="93"/>
    </row>
    <row r="511" spans="2:4" ht="14.4" x14ac:dyDescent="0.3">
      <c r="B511"/>
      <c r="C511"/>
      <c r="D511" s="93"/>
    </row>
    <row r="512" spans="2:4" ht="14.4" x14ac:dyDescent="0.3">
      <c r="B512"/>
      <c r="C512"/>
      <c r="D512" s="93"/>
    </row>
    <row r="513" spans="2:4" ht="14.4" x14ac:dyDescent="0.3">
      <c r="B513"/>
      <c r="C513"/>
      <c r="D513" s="93"/>
    </row>
    <row r="514" spans="2:4" ht="14.4" x14ac:dyDescent="0.3">
      <c r="B514"/>
      <c r="C514"/>
      <c r="D514" s="93"/>
    </row>
    <row r="515" spans="2:4" ht="14.4" x14ac:dyDescent="0.3">
      <c r="B515"/>
      <c r="C515"/>
      <c r="D515" s="93"/>
    </row>
    <row r="516" spans="2:4" ht="14.4" x14ac:dyDescent="0.3">
      <c r="B516"/>
      <c r="C516"/>
      <c r="D516" s="9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500E4-85D5-4DBF-B641-8F2AFDC2BE5E}">
  <dimension ref="A1:C203"/>
  <sheetViews>
    <sheetView showGridLines="0" workbookViewId="0">
      <selection activeCell="D16" sqref="D16"/>
    </sheetView>
  </sheetViews>
  <sheetFormatPr defaultColWidth="8.88671875" defaultRowHeight="13.8" x14ac:dyDescent="0.25"/>
  <cols>
    <col min="1" max="1" width="49.88671875" style="100" bestFit="1" customWidth="1"/>
    <col min="2" max="2" width="20.21875" style="100" bestFit="1" customWidth="1"/>
    <col min="3" max="3" width="22.44140625" style="100" bestFit="1" customWidth="1"/>
    <col min="4" max="5" width="12" style="100" bestFit="1" customWidth="1"/>
    <col min="6" max="6" width="12.88671875" style="100" bestFit="1" customWidth="1"/>
    <col min="7" max="11" width="12" style="100" bestFit="1" customWidth="1"/>
    <col min="12" max="12" width="11.88671875" style="100" bestFit="1" customWidth="1"/>
    <col min="13" max="14" width="12" style="100" bestFit="1" customWidth="1"/>
    <col min="15" max="15" width="10" style="100" bestFit="1" customWidth="1"/>
    <col min="16" max="16" width="8" style="100" bestFit="1" customWidth="1"/>
    <col min="17" max="20" width="12" style="100" bestFit="1" customWidth="1"/>
    <col min="21" max="16384" width="8.88671875" style="100"/>
  </cols>
  <sheetData>
    <row r="1" spans="1:3" x14ac:dyDescent="0.25">
      <c r="A1" s="99" t="s">
        <v>493</v>
      </c>
      <c r="B1" s="100" t="s">
        <v>527</v>
      </c>
    </row>
    <row r="3" spans="1:3" ht="14.4" x14ac:dyDescent="0.3">
      <c r="A3" s="99" t="s">
        <v>0</v>
      </c>
      <c r="B3" s="100" t="s">
        <v>3808</v>
      </c>
      <c r="C3"/>
    </row>
    <row r="4" spans="1:3" ht="14.4" x14ac:dyDescent="0.3">
      <c r="A4" s="101" t="s">
        <v>129</v>
      </c>
      <c r="B4" s="113">
        <v>23963660</v>
      </c>
      <c r="C4"/>
    </row>
    <row r="5" spans="1:3" ht="14.4" x14ac:dyDescent="0.3">
      <c r="A5" s="101" t="s">
        <v>132</v>
      </c>
      <c r="B5" s="113">
        <v>17346556.779661018</v>
      </c>
      <c r="C5"/>
    </row>
    <row r="6" spans="1:3" ht="14.4" x14ac:dyDescent="0.3">
      <c r="A6" s="101" t="s">
        <v>135</v>
      </c>
      <c r="B6" s="113">
        <v>15537197.90960452</v>
      </c>
      <c r="C6"/>
    </row>
    <row r="7" spans="1:3" ht="14.4" x14ac:dyDescent="0.3">
      <c r="A7" s="101" t="s">
        <v>140</v>
      </c>
      <c r="B7" s="113">
        <v>13252345</v>
      </c>
      <c r="C7"/>
    </row>
    <row r="8" spans="1:3" ht="14.4" x14ac:dyDescent="0.3">
      <c r="A8" s="101" t="s">
        <v>142</v>
      </c>
      <c r="B8" s="113">
        <v>11980340</v>
      </c>
      <c r="C8"/>
    </row>
    <row r="9" spans="1:3" ht="14.4" x14ac:dyDescent="0.3">
      <c r="A9" s="101" t="s">
        <v>146</v>
      </c>
      <c r="B9" s="113">
        <v>9600000</v>
      </c>
      <c r="C9"/>
    </row>
    <row r="10" spans="1:3" ht="14.4" x14ac:dyDescent="0.3">
      <c r="A10" s="101" t="s">
        <v>168</v>
      </c>
      <c r="B10" s="113">
        <v>5414500</v>
      </c>
      <c r="C10"/>
    </row>
    <row r="11" spans="1:3" ht="14.4" x14ac:dyDescent="0.3">
      <c r="A11" s="101" t="s">
        <v>169</v>
      </c>
      <c r="B11" s="113">
        <v>5367872.881355932</v>
      </c>
      <c r="C11"/>
    </row>
    <row r="12" spans="1:3" ht="14.4" x14ac:dyDescent="0.3">
      <c r="A12" s="101" t="s">
        <v>5</v>
      </c>
      <c r="B12" s="113">
        <v>4628000</v>
      </c>
      <c r="C12"/>
    </row>
    <row r="13" spans="1:3" ht="14.4" x14ac:dyDescent="0.3">
      <c r="A13" s="101" t="s">
        <v>190</v>
      </c>
      <c r="B13" s="113">
        <v>4074923.6666666665</v>
      </c>
      <c r="C13"/>
    </row>
    <row r="14" spans="1:3" ht="14.4" x14ac:dyDescent="0.3">
      <c r="A14" s="101" t="s">
        <v>221</v>
      </c>
      <c r="B14" s="113">
        <v>2487000</v>
      </c>
      <c r="C14"/>
    </row>
    <row r="15" spans="1:3" ht="14.4" x14ac:dyDescent="0.3">
      <c r="A15" s="101" t="s">
        <v>250</v>
      </c>
      <c r="B15" s="113">
        <v>1800000</v>
      </c>
      <c r="C15"/>
    </row>
    <row r="16" spans="1:3" ht="14.4" x14ac:dyDescent="0.3">
      <c r="A16" s="101" t="s">
        <v>265</v>
      </c>
      <c r="B16" s="113">
        <v>1428000</v>
      </c>
      <c r="C16"/>
    </row>
    <row r="17" spans="1:3" ht="14.4" x14ac:dyDescent="0.3">
      <c r="A17" s="101" t="s">
        <v>269</v>
      </c>
      <c r="B17" s="113">
        <v>1350000</v>
      </c>
      <c r="C17"/>
    </row>
    <row r="18" spans="1:3" ht="14.4" x14ac:dyDescent="0.3">
      <c r="A18" s="101" t="s">
        <v>299</v>
      </c>
      <c r="B18" s="113">
        <v>965785</v>
      </c>
      <c r="C18"/>
    </row>
    <row r="19" spans="1:3" ht="14.4" x14ac:dyDescent="0.3">
      <c r="A19" s="101" t="s">
        <v>302</v>
      </c>
      <c r="B19" s="113">
        <v>938983</v>
      </c>
      <c r="C19"/>
    </row>
    <row r="20" spans="1:3" ht="14.4" x14ac:dyDescent="0.3">
      <c r="A20" s="101" t="s">
        <v>334</v>
      </c>
      <c r="B20" s="113">
        <v>700000</v>
      </c>
      <c r="C20"/>
    </row>
    <row r="21" spans="1:3" ht="14.4" x14ac:dyDescent="0.3">
      <c r="A21" s="101" t="s">
        <v>346</v>
      </c>
      <c r="B21" s="113">
        <v>570000</v>
      </c>
      <c r="C21"/>
    </row>
    <row r="22" spans="1:3" ht="14.4" x14ac:dyDescent="0.3">
      <c r="A22" s="101" t="s">
        <v>392</v>
      </c>
      <c r="B22" s="113">
        <v>294067.8</v>
      </c>
      <c r="C22"/>
    </row>
    <row r="23" spans="1:3" ht="14.4" x14ac:dyDescent="0.3">
      <c r="A23" s="101" t="s">
        <v>407</v>
      </c>
      <c r="B23" s="113">
        <v>228813.55932199999</v>
      </c>
      <c r="C23"/>
    </row>
    <row r="24" spans="1:3" ht="14.4" x14ac:dyDescent="0.3">
      <c r="A24" s="101" t="s">
        <v>409</v>
      </c>
      <c r="B24" s="113">
        <v>214252</v>
      </c>
      <c r="C24"/>
    </row>
    <row r="25" spans="1:3" ht="14.4" x14ac:dyDescent="0.3">
      <c r="A25" s="101" t="s">
        <v>462</v>
      </c>
      <c r="B25" s="113">
        <v>72033.898304999995</v>
      </c>
      <c r="C25"/>
    </row>
    <row r="26" spans="1:3" ht="14.4" x14ac:dyDescent="0.3">
      <c r="A26" s="101" t="s">
        <v>466</v>
      </c>
      <c r="B26" s="113">
        <v>61594.33</v>
      </c>
      <c r="C26"/>
    </row>
    <row r="27" spans="1:3" ht="14.4" x14ac:dyDescent="0.3">
      <c r="A27" s="101" t="s">
        <v>470</v>
      </c>
      <c r="B27" s="113">
        <v>53563</v>
      </c>
      <c r="C27"/>
    </row>
    <row r="28" spans="1:3" ht="14.4" x14ac:dyDescent="0.3">
      <c r="A28" s="101" t="s">
        <v>3771</v>
      </c>
      <c r="B28" s="113">
        <v>15451</v>
      </c>
      <c r="C28"/>
    </row>
    <row r="29" spans="1:3" ht="14.4" x14ac:dyDescent="0.3">
      <c r="A29" s="101" t="s">
        <v>8</v>
      </c>
      <c r="B29" s="113">
        <v>122344939.82491513</v>
      </c>
      <c r="C29"/>
    </row>
    <row r="30" spans="1:3" ht="16.8" x14ac:dyDescent="0.4">
      <c r="A30"/>
      <c r="B30"/>
      <c r="C30"/>
    </row>
    <row r="31" spans="1:3" ht="16.8" x14ac:dyDescent="0.4">
      <c r="A31"/>
      <c r="B31"/>
      <c r="C31"/>
    </row>
    <row r="32" spans="1:3" ht="16.8" x14ac:dyDescent="0.4">
      <c r="A32"/>
      <c r="B32"/>
      <c r="C32"/>
    </row>
    <row r="33" spans="1:3" ht="16.8" x14ac:dyDescent="0.4">
      <c r="A33"/>
      <c r="B33"/>
      <c r="C33"/>
    </row>
    <row r="34" spans="1:3" ht="16.8" x14ac:dyDescent="0.4">
      <c r="A34"/>
      <c r="B34"/>
      <c r="C34"/>
    </row>
    <row r="35" spans="1:3" ht="16.8" x14ac:dyDescent="0.4">
      <c r="A35"/>
      <c r="B35"/>
      <c r="C35"/>
    </row>
    <row r="36" spans="1:3" ht="16.8" x14ac:dyDescent="0.4">
      <c r="A36"/>
      <c r="B36"/>
      <c r="C36"/>
    </row>
    <row r="37" spans="1:3" ht="16.8" x14ac:dyDescent="0.4">
      <c r="A37"/>
      <c r="B37"/>
      <c r="C37"/>
    </row>
    <row r="38" spans="1:3" ht="16.8" x14ac:dyDescent="0.4">
      <c r="A38"/>
      <c r="B38"/>
      <c r="C38"/>
    </row>
    <row r="39" spans="1:3" ht="16.8" x14ac:dyDescent="0.4">
      <c r="A39"/>
      <c r="B39"/>
      <c r="C39"/>
    </row>
    <row r="40" spans="1:3" ht="16.8" x14ac:dyDescent="0.4">
      <c r="A40"/>
      <c r="B40"/>
      <c r="C40"/>
    </row>
    <row r="41" spans="1:3" ht="16.8" x14ac:dyDescent="0.4">
      <c r="A41"/>
      <c r="B41"/>
      <c r="C41"/>
    </row>
    <row r="42" spans="1:3" ht="16.8" x14ac:dyDescent="0.4">
      <c r="A42"/>
      <c r="B42"/>
      <c r="C42"/>
    </row>
    <row r="43" spans="1:3" ht="16.8" x14ac:dyDescent="0.4">
      <c r="A43"/>
      <c r="B43"/>
      <c r="C43"/>
    </row>
    <row r="44" spans="1:3" ht="16.8" x14ac:dyDescent="0.4">
      <c r="A44"/>
      <c r="B44"/>
      <c r="C44"/>
    </row>
    <row r="45" spans="1:3" ht="16.8" x14ac:dyDescent="0.4">
      <c r="A45"/>
      <c r="B45"/>
      <c r="C45"/>
    </row>
    <row r="46" spans="1:3" ht="16.8" x14ac:dyDescent="0.4">
      <c r="A46"/>
      <c r="B46"/>
      <c r="C46"/>
    </row>
    <row r="47" spans="1:3" ht="16.8" x14ac:dyDescent="0.4">
      <c r="A47"/>
      <c r="B47"/>
      <c r="C47"/>
    </row>
    <row r="48" spans="1:3" ht="16.8" x14ac:dyDescent="0.4">
      <c r="A48"/>
      <c r="B48"/>
      <c r="C48"/>
    </row>
    <row r="49" spans="1:3" ht="16.8" x14ac:dyDescent="0.4">
      <c r="A49"/>
      <c r="B49"/>
      <c r="C49"/>
    </row>
    <row r="50" spans="1:3" ht="16.8" x14ac:dyDescent="0.4">
      <c r="A50"/>
      <c r="B50"/>
      <c r="C50"/>
    </row>
    <row r="51" spans="1:3" ht="16.8" x14ac:dyDescent="0.4">
      <c r="A51"/>
      <c r="B51"/>
      <c r="C51"/>
    </row>
    <row r="52" spans="1:3" ht="16.8" x14ac:dyDescent="0.4">
      <c r="A52"/>
      <c r="B52"/>
      <c r="C52"/>
    </row>
    <row r="53" spans="1:3" ht="16.8" x14ac:dyDescent="0.4">
      <c r="A53"/>
      <c r="B53"/>
      <c r="C53"/>
    </row>
    <row r="54" spans="1:3" ht="16.8" x14ac:dyDescent="0.4">
      <c r="A54"/>
      <c r="B54"/>
      <c r="C54"/>
    </row>
    <row r="55" spans="1:3" ht="16.8" x14ac:dyDescent="0.4">
      <c r="A55"/>
      <c r="B55"/>
      <c r="C55"/>
    </row>
    <row r="56" spans="1:3" ht="16.8" x14ac:dyDescent="0.4">
      <c r="A56"/>
      <c r="B56"/>
      <c r="C56"/>
    </row>
    <row r="57" spans="1:3" ht="16.8" x14ac:dyDescent="0.4">
      <c r="A57"/>
      <c r="B57"/>
      <c r="C57"/>
    </row>
    <row r="58" spans="1:3" ht="16.8" x14ac:dyDescent="0.4">
      <c r="A58"/>
      <c r="B58"/>
      <c r="C58"/>
    </row>
    <row r="59" spans="1:3" ht="16.8" x14ac:dyDescent="0.4">
      <c r="A59"/>
      <c r="B59"/>
      <c r="C59"/>
    </row>
    <row r="60" spans="1:3" ht="16.8" x14ac:dyDescent="0.4">
      <c r="A60"/>
      <c r="B60"/>
      <c r="C60"/>
    </row>
    <row r="61" spans="1:3" ht="16.8" x14ac:dyDescent="0.4">
      <c r="A61"/>
      <c r="B61"/>
      <c r="C61"/>
    </row>
    <row r="62" spans="1:3" ht="16.8" x14ac:dyDescent="0.4">
      <c r="A62"/>
      <c r="B62"/>
      <c r="C62"/>
    </row>
    <row r="63" spans="1:3" ht="16.8" x14ac:dyDescent="0.4">
      <c r="A63"/>
      <c r="B63"/>
      <c r="C63"/>
    </row>
    <row r="64" spans="1:3" ht="16.8" x14ac:dyDescent="0.4">
      <c r="A64"/>
      <c r="B64"/>
      <c r="C64"/>
    </row>
    <row r="65" spans="1:3" ht="16.8" x14ac:dyDescent="0.4">
      <c r="A65"/>
      <c r="B65"/>
      <c r="C65"/>
    </row>
    <row r="66" spans="1:3" ht="16.8" x14ac:dyDescent="0.4">
      <c r="A66"/>
      <c r="B66"/>
      <c r="C66"/>
    </row>
    <row r="67" spans="1:3" ht="16.8" x14ac:dyDescent="0.4">
      <c r="A67"/>
      <c r="B67"/>
      <c r="C67"/>
    </row>
    <row r="68" spans="1:3" ht="16.8" x14ac:dyDescent="0.4">
      <c r="A68"/>
      <c r="B68"/>
      <c r="C68"/>
    </row>
    <row r="69" spans="1:3" ht="16.8" x14ac:dyDescent="0.4">
      <c r="A69"/>
      <c r="B69"/>
      <c r="C69"/>
    </row>
    <row r="70" spans="1:3" ht="16.8" x14ac:dyDescent="0.4">
      <c r="A70"/>
      <c r="B70"/>
      <c r="C70"/>
    </row>
    <row r="71" spans="1:3" ht="16.8" x14ac:dyDescent="0.4">
      <c r="A71"/>
      <c r="B71"/>
      <c r="C71"/>
    </row>
    <row r="72" spans="1:3" ht="16.8" x14ac:dyDescent="0.4">
      <c r="A72"/>
      <c r="B72"/>
      <c r="C72"/>
    </row>
    <row r="73" spans="1:3" ht="16.8" x14ac:dyDescent="0.4">
      <c r="A73"/>
      <c r="B73"/>
      <c r="C73"/>
    </row>
    <row r="74" spans="1:3" ht="16.8" x14ac:dyDescent="0.4">
      <c r="A74"/>
      <c r="B74"/>
      <c r="C74"/>
    </row>
    <row r="75" spans="1:3" ht="16.8" x14ac:dyDescent="0.4">
      <c r="A75"/>
      <c r="B75"/>
      <c r="C75"/>
    </row>
    <row r="76" spans="1:3" ht="16.8" x14ac:dyDescent="0.4">
      <c r="A76"/>
      <c r="B76"/>
      <c r="C76"/>
    </row>
    <row r="77" spans="1:3" ht="16.8" x14ac:dyDescent="0.4">
      <c r="A77"/>
      <c r="B77"/>
      <c r="C77"/>
    </row>
    <row r="78" spans="1:3" ht="16.8" x14ac:dyDescent="0.4">
      <c r="A78"/>
      <c r="B78"/>
      <c r="C78"/>
    </row>
    <row r="79" spans="1:3" ht="16.8" x14ac:dyDescent="0.4">
      <c r="A79"/>
      <c r="B79"/>
      <c r="C79"/>
    </row>
    <row r="80" spans="1:3" ht="16.8" x14ac:dyDescent="0.4">
      <c r="A80"/>
      <c r="B80"/>
      <c r="C80"/>
    </row>
    <row r="81" spans="1:3" ht="16.8" x14ac:dyDescent="0.4">
      <c r="A81"/>
      <c r="B81"/>
      <c r="C81"/>
    </row>
    <row r="82" spans="1:3" ht="16.8" x14ac:dyDescent="0.4">
      <c r="A82"/>
      <c r="B82"/>
      <c r="C82"/>
    </row>
    <row r="83" spans="1:3" ht="16.8" x14ac:dyDescent="0.4">
      <c r="A83"/>
      <c r="B83"/>
      <c r="C83"/>
    </row>
    <row r="84" spans="1:3" ht="16.8" x14ac:dyDescent="0.4">
      <c r="A84"/>
      <c r="B84"/>
      <c r="C84"/>
    </row>
    <row r="85" spans="1:3" ht="16.8" x14ac:dyDescent="0.4">
      <c r="A85"/>
      <c r="B85"/>
      <c r="C85"/>
    </row>
    <row r="86" spans="1:3" ht="16.8" x14ac:dyDescent="0.4">
      <c r="A86"/>
      <c r="B86"/>
      <c r="C86"/>
    </row>
    <row r="87" spans="1:3" ht="16.8" x14ac:dyDescent="0.4">
      <c r="A87"/>
      <c r="B87"/>
      <c r="C87"/>
    </row>
    <row r="88" spans="1:3" ht="16.8" x14ac:dyDescent="0.4">
      <c r="A88"/>
      <c r="B88"/>
      <c r="C88"/>
    </row>
    <row r="89" spans="1:3" ht="16.8" x14ac:dyDescent="0.4">
      <c r="A89"/>
      <c r="B89"/>
      <c r="C89"/>
    </row>
    <row r="90" spans="1:3" ht="16.8" x14ac:dyDescent="0.4">
      <c r="A90"/>
      <c r="B90"/>
      <c r="C90"/>
    </row>
    <row r="91" spans="1:3" ht="16.8" x14ac:dyDescent="0.4">
      <c r="A91"/>
      <c r="B91"/>
      <c r="C91"/>
    </row>
    <row r="92" spans="1:3" ht="16.8" x14ac:dyDescent="0.4">
      <c r="A92"/>
      <c r="B92"/>
      <c r="C92"/>
    </row>
    <row r="93" spans="1:3" ht="16.8" x14ac:dyDescent="0.4">
      <c r="A93"/>
      <c r="B93"/>
      <c r="C93"/>
    </row>
    <row r="94" spans="1:3" ht="16.8" x14ac:dyDescent="0.4">
      <c r="A94"/>
      <c r="B94"/>
      <c r="C94"/>
    </row>
    <row r="95" spans="1:3" ht="16.8" x14ac:dyDescent="0.4">
      <c r="A95"/>
      <c r="B95"/>
      <c r="C95"/>
    </row>
    <row r="96" spans="1:3" ht="16.8" x14ac:dyDescent="0.4">
      <c r="A96"/>
      <c r="B96"/>
    </row>
    <row r="97" spans="1:2" ht="16.8" x14ac:dyDescent="0.4">
      <c r="A97"/>
      <c r="B97"/>
    </row>
    <row r="98" spans="1:2" ht="16.8" x14ac:dyDescent="0.4">
      <c r="A98"/>
      <c r="B98"/>
    </row>
    <row r="99" spans="1:2" ht="16.8" x14ac:dyDescent="0.4">
      <c r="A99"/>
      <c r="B99"/>
    </row>
    <row r="100" spans="1:2" ht="16.8" x14ac:dyDescent="0.4">
      <c r="A100"/>
      <c r="B100"/>
    </row>
    <row r="101" spans="1:2" ht="16.8" x14ac:dyDescent="0.4">
      <c r="A101"/>
      <c r="B101"/>
    </row>
    <row r="102" spans="1:2" ht="16.8" x14ac:dyDescent="0.4">
      <c r="A102"/>
      <c r="B102"/>
    </row>
    <row r="103" spans="1:2" ht="16.8" x14ac:dyDescent="0.4">
      <c r="A103"/>
      <c r="B103"/>
    </row>
    <row r="104" spans="1:2" ht="16.8" x14ac:dyDescent="0.4">
      <c r="A104"/>
      <c r="B104"/>
    </row>
    <row r="105" spans="1:2" ht="16.8" x14ac:dyDescent="0.4">
      <c r="A105"/>
      <c r="B105"/>
    </row>
    <row r="106" spans="1:2" ht="16.8" x14ac:dyDescent="0.4">
      <c r="A106"/>
      <c r="B106"/>
    </row>
    <row r="107" spans="1:2" ht="16.8" x14ac:dyDescent="0.4">
      <c r="A107"/>
      <c r="B107"/>
    </row>
    <row r="108" spans="1:2" ht="16.8" x14ac:dyDescent="0.4">
      <c r="A108"/>
      <c r="B108"/>
    </row>
    <row r="109" spans="1:2" ht="16.8" x14ac:dyDescent="0.4">
      <c r="A109"/>
      <c r="B109"/>
    </row>
    <row r="110" spans="1:2" ht="16.8" x14ac:dyDescent="0.4">
      <c r="A110"/>
      <c r="B110"/>
    </row>
    <row r="111" spans="1:2" ht="16.8" x14ac:dyDescent="0.4">
      <c r="A111"/>
      <c r="B111"/>
    </row>
    <row r="112" spans="1:2" ht="16.8" x14ac:dyDescent="0.4">
      <c r="A112"/>
      <c r="B112"/>
    </row>
    <row r="113" spans="1:2" ht="16.8" x14ac:dyDescent="0.4">
      <c r="A113"/>
      <c r="B113"/>
    </row>
    <row r="114" spans="1:2" ht="16.8" x14ac:dyDescent="0.4">
      <c r="A114"/>
      <c r="B114"/>
    </row>
    <row r="115" spans="1:2" ht="16.8" x14ac:dyDescent="0.4">
      <c r="A115"/>
      <c r="B115"/>
    </row>
    <row r="116" spans="1:2" ht="16.8" x14ac:dyDescent="0.4">
      <c r="A116"/>
      <c r="B116"/>
    </row>
    <row r="117" spans="1:2" ht="16.8" x14ac:dyDescent="0.4">
      <c r="A117"/>
      <c r="B117"/>
    </row>
    <row r="118" spans="1:2" ht="16.8" x14ac:dyDescent="0.4">
      <c r="A118"/>
      <c r="B118"/>
    </row>
    <row r="119" spans="1:2" ht="16.8" x14ac:dyDescent="0.4">
      <c r="A119"/>
      <c r="B119"/>
    </row>
    <row r="120" spans="1:2" ht="16.8" x14ac:dyDescent="0.4">
      <c r="A120"/>
      <c r="B120"/>
    </row>
    <row r="121" spans="1:2" ht="16.8" x14ac:dyDescent="0.4">
      <c r="A121"/>
      <c r="B121"/>
    </row>
    <row r="122" spans="1:2" ht="16.8" x14ac:dyDescent="0.4">
      <c r="A122"/>
      <c r="B122"/>
    </row>
    <row r="123" spans="1:2" ht="16.8" x14ac:dyDescent="0.4">
      <c r="A123"/>
      <c r="B123"/>
    </row>
    <row r="124" spans="1:2" ht="16.8" x14ac:dyDescent="0.4">
      <c r="A124"/>
      <c r="B124"/>
    </row>
    <row r="125" spans="1:2" ht="16.8" x14ac:dyDescent="0.4">
      <c r="A125"/>
      <c r="B125"/>
    </row>
    <row r="126" spans="1:2" ht="16.8" x14ac:dyDescent="0.4">
      <c r="A126"/>
      <c r="B126"/>
    </row>
    <row r="127" spans="1:2" ht="16.8" x14ac:dyDescent="0.4">
      <c r="A127"/>
      <c r="B127"/>
    </row>
    <row r="128" spans="1:2" ht="16.8" x14ac:dyDescent="0.4">
      <c r="A128"/>
      <c r="B128"/>
    </row>
    <row r="129" spans="1:2" ht="16.8" x14ac:dyDescent="0.4">
      <c r="A129"/>
      <c r="B129"/>
    </row>
    <row r="130" spans="1:2" ht="16.8" x14ac:dyDescent="0.4">
      <c r="A130"/>
      <c r="B130"/>
    </row>
    <row r="131" spans="1:2" ht="16.8" x14ac:dyDescent="0.4">
      <c r="A131"/>
      <c r="B131"/>
    </row>
    <row r="132" spans="1:2" ht="16.8" x14ac:dyDescent="0.4">
      <c r="A132"/>
      <c r="B132"/>
    </row>
    <row r="133" spans="1:2" ht="16.8" x14ac:dyDescent="0.4">
      <c r="A133"/>
      <c r="B133"/>
    </row>
    <row r="134" spans="1:2" ht="16.8" x14ac:dyDescent="0.4">
      <c r="A134"/>
      <c r="B134"/>
    </row>
    <row r="135" spans="1:2" ht="16.8" x14ac:dyDescent="0.4">
      <c r="A135"/>
      <c r="B135"/>
    </row>
    <row r="136" spans="1:2" ht="16.8" x14ac:dyDescent="0.4">
      <c r="A136"/>
      <c r="B136"/>
    </row>
    <row r="137" spans="1:2" ht="16.8" x14ac:dyDescent="0.4">
      <c r="A137"/>
      <c r="B137"/>
    </row>
    <row r="138" spans="1:2" ht="16.8" x14ac:dyDescent="0.4">
      <c r="A138"/>
      <c r="B138"/>
    </row>
    <row r="139" spans="1:2" ht="16.8" x14ac:dyDescent="0.4">
      <c r="A139"/>
      <c r="B139"/>
    </row>
    <row r="140" spans="1:2" ht="16.8" x14ac:dyDescent="0.4">
      <c r="A140"/>
      <c r="B140"/>
    </row>
    <row r="141" spans="1:2" ht="16.8" x14ac:dyDescent="0.4">
      <c r="A141"/>
      <c r="B141"/>
    </row>
    <row r="142" spans="1:2" ht="16.8" x14ac:dyDescent="0.4">
      <c r="A142"/>
      <c r="B142"/>
    </row>
    <row r="143" spans="1:2" ht="16.8" x14ac:dyDescent="0.4">
      <c r="A143"/>
      <c r="B143"/>
    </row>
    <row r="144" spans="1:2" ht="16.8" x14ac:dyDescent="0.4">
      <c r="A144"/>
      <c r="B144"/>
    </row>
    <row r="145" spans="1:2" ht="16.8" x14ac:dyDescent="0.4">
      <c r="A145"/>
      <c r="B145"/>
    </row>
    <row r="146" spans="1:2" ht="16.8" x14ac:dyDescent="0.4">
      <c r="A146"/>
      <c r="B146"/>
    </row>
    <row r="147" spans="1:2" ht="16.8" x14ac:dyDescent="0.4">
      <c r="A147"/>
      <c r="B147"/>
    </row>
    <row r="148" spans="1:2" ht="16.8" x14ac:dyDescent="0.4">
      <c r="A148"/>
      <c r="B148"/>
    </row>
    <row r="149" spans="1:2" ht="16.8" x14ac:dyDescent="0.4">
      <c r="A149"/>
      <c r="B149"/>
    </row>
    <row r="150" spans="1:2" ht="16.8" x14ac:dyDescent="0.4">
      <c r="A150"/>
      <c r="B150"/>
    </row>
    <row r="151" spans="1:2" ht="16.8" x14ac:dyDescent="0.4">
      <c r="A151"/>
      <c r="B151"/>
    </row>
    <row r="152" spans="1:2" ht="16.8" x14ac:dyDescent="0.4">
      <c r="A152"/>
      <c r="B152"/>
    </row>
    <row r="153" spans="1:2" ht="16.8" x14ac:dyDescent="0.4">
      <c r="A153"/>
      <c r="B153"/>
    </row>
    <row r="154" spans="1:2" ht="16.8" x14ac:dyDescent="0.4">
      <c r="A154"/>
      <c r="B154"/>
    </row>
    <row r="155" spans="1:2" ht="16.8" x14ac:dyDescent="0.4">
      <c r="A155"/>
      <c r="B155"/>
    </row>
    <row r="156" spans="1:2" ht="16.8" x14ac:dyDescent="0.4">
      <c r="A156"/>
      <c r="B156"/>
    </row>
    <row r="157" spans="1:2" ht="16.8" x14ac:dyDescent="0.4">
      <c r="A157"/>
      <c r="B157"/>
    </row>
    <row r="158" spans="1:2" ht="16.8" x14ac:dyDescent="0.4">
      <c r="A158"/>
      <c r="B158"/>
    </row>
    <row r="159" spans="1:2" ht="16.8" x14ac:dyDescent="0.4">
      <c r="A159"/>
      <c r="B159"/>
    </row>
    <row r="160" spans="1:2" ht="16.8" x14ac:dyDescent="0.4">
      <c r="A160"/>
      <c r="B160"/>
    </row>
    <row r="161" spans="1:2" ht="16.8" x14ac:dyDescent="0.4">
      <c r="A161"/>
      <c r="B161"/>
    </row>
    <row r="162" spans="1:2" ht="16.8" x14ac:dyDescent="0.4">
      <c r="A162"/>
      <c r="B162"/>
    </row>
    <row r="163" spans="1:2" ht="16.8" x14ac:dyDescent="0.4">
      <c r="A163"/>
      <c r="B163"/>
    </row>
    <row r="164" spans="1:2" ht="16.8" x14ac:dyDescent="0.4">
      <c r="A164"/>
      <c r="B164"/>
    </row>
    <row r="165" spans="1:2" ht="16.8" x14ac:dyDescent="0.4">
      <c r="A165"/>
      <c r="B165"/>
    </row>
    <row r="166" spans="1:2" ht="16.8" x14ac:dyDescent="0.4">
      <c r="A166"/>
      <c r="B166"/>
    </row>
    <row r="167" spans="1:2" ht="16.8" x14ac:dyDescent="0.4">
      <c r="A167"/>
      <c r="B167"/>
    </row>
    <row r="168" spans="1:2" ht="16.8" x14ac:dyDescent="0.4">
      <c r="A168"/>
      <c r="B168"/>
    </row>
    <row r="169" spans="1:2" ht="16.8" x14ac:dyDescent="0.4">
      <c r="A169"/>
      <c r="B169"/>
    </row>
    <row r="170" spans="1:2" ht="16.8" x14ac:dyDescent="0.4">
      <c r="A170"/>
      <c r="B170"/>
    </row>
    <row r="171" spans="1:2" ht="16.8" x14ac:dyDescent="0.4">
      <c r="A171"/>
      <c r="B171"/>
    </row>
    <row r="172" spans="1:2" ht="16.8" x14ac:dyDescent="0.4">
      <c r="A172"/>
      <c r="B172"/>
    </row>
    <row r="173" spans="1:2" ht="16.8" x14ac:dyDescent="0.4">
      <c r="A173"/>
      <c r="B173"/>
    </row>
    <row r="174" spans="1:2" ht="16.8" x14ac:dyDescent="0.4">
      <c r="A174"/>
      <c r="B174"/>
    </row>
    <row r="175" spans="1:2" ht="16.8" x14ac:dyDescent="0.4">
      <c r="A175"/>
      <c r="B175"/>
    </row>
    <row r="176" spans="1:2" ht="16.8" x14ac:dyDescent="0.4">
      <c r="A176"/>
      <c r="B176"/>
    </row>
    <row r="177" spans="1:2" ht="16.8" x14ac:dyDescent="0.4">
      <c r="A177"/>
      <c r="B177"/>
    </row>
    <row r="178" spans="1:2" ht="16.8" x14ac:dyDescent="0.4">
      <c r="A178"/>
      <c r="B178"/>
    </row>
    <row r="179" spans="1:2" ht="16.8" x14ac:dyDescent="0.4">
      <c r="A179"/>
      <c r="B179"/>
    </row>
    <row r="180" spans="1:2" ht="16.8" x14ac:dyDescent="0.4">
      <c r="A180"/>
      <c r="B180"/>
    </row>
    <row r="181" spans="1:2" ht="16.8" x14ac:dyDescent="0.4">
      <c r="A181"/>
      <c r="B181"/>
    </row>
    <row r="182" spans="1:2" ht="16.8" x14ac:dyDescent="0.4">
      <c r="A182"/>
      <c r="B182"/>
    </row>
    <row r="183" spans="1:2" ht="16.8" x14ac:dyDescent="0.4">
      <c r="A183"/>
      <c r="B183"/>
    </row>
    <row r="184" spans="1:2" ht="16.8" x14ac:dyDescent="0.4">
      <c r="A184"/>
      <c r="B184"/>
    </row>
    <row r="185" spans="1:2" ht="16.8" x14ac:dyDescent="0.4">
      <c r="A185"/>
      <c r="B185"/>
    </row>
    <row r="186" spans="1:2" ht="16.8" x14ac:dyDescent="0.4">
      <c r="A186"/>
      <c r="B186"/>
    </row>
    <row r="187" spans="1:2" ht="16.8" x14ac:dyDescent="0.4">
      <c r="A187"/>
      <c r="B187"/>
    </row>
    <row r="188" spans="1:2" ht="16.8" x14ac:dyDescent="0.4">
      <c r="A188"/>
      <c r="B188"/>
    </row>
    <row r="189" spans="1:2" ht="16.8" x14ac:dyDescent="0.4">
      <c r="A189"/>
      <c r="B189"/>
    </row>
    <row r="190" spans="1:2" ht="16.8" x14ac:dyDescent="0.4">
      <c r="A190"/>
      <c r="B190"/>
    </row>
    <row r="191" spans="1:2" ht="16.8" x14ac:dyDescent="0.4">
      <c r="A191"/>
      <c r="B191"/>
    </row>
    <row r="192" spans="1:2" ht="16.8" x14ac:dyDescent="0.4">
      <c r="A192"/>
      <c r="B192"/>
    </row>
    <row r="193" spans="1:2" ht="16.8" x14ac:dyDescent="0.4">
      <c r="A193"/>
      <c r="B193"/>
    </row>
    <row r="194" spans="1:2" ht="16.8" x14ac:dyDescent="0.4">
      <c r="A194"/>
      <c r="B194"/>
    </row>
    <row r="195" spans="1:2" ht="16.8" x14ac:dyDescent="0.4">
      <c r="A195"/>
      <c r="B195"/>
    </row>
    <row r="196" spans="1:2" ht="16.8" x14ac:dyDescent="0.4">
      <c r="A196"/>
      <c r="B196"/>
    </row>
    <row r="197" spans="1:2" ht="16.8" x14ac:dyDescent="0.4">
      <c r="A197"/>
      <c r="B197"/>
    </row>
    <row r="198" spans="1:2" ht="16.8" x14ac:dyDescent="0.4">
      <c r="A198"/>
      <c r="B198"/>
    </row>
    <row r="199" spans="1:2" ht="16.8" x14ac:dyDescent="0.4">
      <c r="A199"/>
      <c r="B199"/>
    </row>
    <row r="200" spans="1:2" ht="16.8" x14ac:dyDescent="0.4">
      <c r="A200"/>
      <c r="B200"/>
    </row>
    <row r="201" spans="1:2" ht="16.8" x14ac:dyDescent="0.4">
      <c r="A201"/>
      <c r="B201"/>
    </row>
    <row r="202" spans="1:2" ht="16.8" x14ac:dyDescent="0.4">
      <c r="A202"/>
      <c r="B202"/>
    </row>
    <row r="203" spans="1:2" ht="16.8" x14ac:dyDescent="0.4">
      <c r="A203"/>
      <c r="B20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920796a-d0f4-421b-9702-be87978b4e1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5BEBC01EA63624BB98EC7824AF72AB1" ma:contentTypeVersion="15" ma:contentTypeDescription="Create a new document." ma:contentTypeScope="" ma:versionID="740beed97584f59b1dfbea2f3a943569">
  <xsd:schema xmlns:xsd="http://www.w3.org/2001/XMLSchema" xmlns:xs="http://www.w3.org/2001/XMLSchema" xmlns:p="http://schemas.microsoft.com/office/2006/metadata/properties" xmlns:ns3="2920796a-d0f4-421b-9702-be87978b4e15" xmlns:ns4="8215d80d-36be-42f7-925c-bd0ef1e3a660" targetNamespace="http://schemas.microsoft.com/office/2006/metadata/properties" ma:root="true" ma:fieldsID="c8221bd25f1eaef23bbb2f3f0974a3e6" ns3:_="" ns4:_="">
    <xsd:import namespace="2920796a-d0f4-421b-9702-be87978b4e15"/>
    <xsd:import namespace="8215d80d-36be-42f7-925c-bd0ef1e3a66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20796a-d0f4-421b-9702-be87978b4e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215d80d-36be-42f7-925c-bd0ef1e3a66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81A179-C730-4263-9763-35D3D4EC76C2}">
  <ds:schemaRefs>
    <ds:schemaRef ds:uri="http://schemas.microsoft.com/office/2006/metadata/properties"/>
    <ds:schemaRef ds:uri="http://schemas.microsoft.com/office/infopath/2007/PartnerControls"/>
    <ds:schemaRef ds:uri="2920796a-d0f4-421b-9702-be87978b4e15"/>
  </ds:schemaRefs>
</ds:datastoreItem>
</file>

<file path=customXml/itemProps2.xml><?xml version="1.0" encoding="utf-8"?>
<ds:datastoreItem xmlns:ds="http://schemas.openxmlformats.org/officeDocument/2006/customXml" ds:itemID="{54989E5C-A9B1-466A-8EBD-27FAA1638A89}">
  <ds:schemaRefs>
    <ds:schemaRef ds:uri="http://schemas.microsoft.com/sharepoint/v3/contenttype/forms"/>
  </ds:schemaRefs>
</ds:datastoreItem>
</file>

<file path=customXml/itemProps3.xml><?xml version="1.0" encoding="utf-8"?>
<ds:datastoreItem xmlns:ds="http://schemas.openxmlformats.org/officeDocument/2006/customXml" ds:itemID="{48CC22D3-835B-4947-B3B0-E3EEC3EBED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20796a-d0f4-421b-9702-be87978b4e15"/>
    <ds:schemaRef ds:uri="8215d80d-36be-42f7-925c-bd0ef1e3a6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Providers Reports</vt:lpstr>
      <vt:lpstr>GoR vs Private</vt:lpstr>
      <vt:lpstr>AM BW Accounts</vt:lpstr>
      <vt:lpstr>HLIS report</vt:lpstr>
      <vt:lpstr>Top Customers</vt:lpstr>
      <vt:lpstr>BW Breakdown</vt:lpstr>
      <vt:lpstr>Product Performance June-2023</vt:lpstr>
      <vt:lpstr>AM Performance June-2023</vt:lpstr>
      <vt:lpstr>June-2023 Sales Report</vt:lpstr>
      <vt:lpstr>Settings</vt:lpstr>
      <vt:lpstr>Contracts Statuses</vt:lpstr>
      <vt:lpstr>ISPs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Dalia</cp:lastModifiedBy>
  <cp:revision/>
  <dcterms:created xsi:type="dcterms:W3CDTF">2022-09-16T08:24:41Z</dcterms:created>
  <dcterms:modified xsi:type="dcterms:W3CDTF">2023-07-26T09:28:35Z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0x01010075BEBC01EA63624BB98EC7824AF72AB1</vt:lpwstr>
  </property>
  <property fmtid="{D5CDD505-2E9C-101B-9397-08002B2CF9AE}" pid="3" name="MediaServiceImageTags">
    <vt:lpwstr/>
  </property>
</Properties>
</file>