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6"/>
  <workbookPr defaultThemeVersion="166925"/>
  <mc:AlternateContent xmlns:mc="http://schemas.openxmlformats.org/markup-compatibility/2006">
    <mc:Choice Requires="x15">
      <x15ac:absPath xmlns:x15ac="http://schemas.microsoft.com/office/spreadsheetml/2010/11/ac" url="https://tamucs-my.sharepoint.com/personal/phundley17_tamu_edu/Documents/"/>
    </mc:Choice>
  </mc:AlternateContent>
  <xr:revisionPtr revIDLastSave="1855" documentId="11_E60897F41BE170836B02CE998F75CCDC64E183C8" xr6:coauthVersionLast="47" xr6:coauthVersionMax="47" xr10:uidLastSave="{218351B5-2D34-B148-A4CF-798A303D8912}"/>
  <bookViews>
    <workbookView xWindow="13960" yWindow="1400" windowWidth="12760" windowHeight="15060" activeTab="2" xr2:uid="{00000000-000D-0000-FFFF-FFFF00000000}"/>
  </bookViews>
  <sheets>
    <sheet name="HW6" sheetId="1" r:id="rId1"/>
    <sheet name="HW7(1)" sheetId="2" r:id="rId2"/>
    <sheet name="ProjectTask" sheetId="4" r:id="rId3"/>
    <sheet name="Constants" sheetId="5" r:id="rId4"/>
    <sheet name="HW7(2)"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 l="1"/>
  <c r="B282" i="4"/>
  <c r="B171" i="4"/>
  <c r="F341" i="4"/>
  <c r="F342" i="4" s="1"/>
  <c r="F343" i="4" s="1"/>
  <c r="F344" i="4" s="1"/>
  <c r="F345" i="4" s="1"/>
  <c r="F346" i="4" s="1"/>
  <c r="F347" i="4" s="1"/>
  <c r="F348" i="4" s="1"/>
  <c r="F340" i="4"/>
  <c r="F339" i="4"/>
  <c r="F338" i="4"/>
  <c r="G334" i="4"/>
  <c r="G331" i="4"/>
  <c r="G332" i="4"/>
  <c r="N81" i="2"/>
  <c r="N79" i="2"/>
  <c r="O79" i="2" s="1"/>
  <c r="T75" i="2"/>
  <c r="S75" i="2"/>
  <c r="R75" i="2"/>
  <c r="Q75" i="2"/>
  <c r="P75" i="2"/>
  <c r="O75" i="2"/>
  <c r="N75" i="2"/>
  <c r="L75" i="2"/>
  <c r="K75" i="2"/>
  <c r="L76" i="2" s="1"/>
  <c r="J75" i="2"/>
  <c r="K76" i="2" s="1"/>
  <c r="I75" i="2"/>
  <c r="J76" i="2" s="1"/>
  <c r="H75" i="2"/>
  <c r="I76" i="2" s="1"/>
  <c r="G75" i="2"/>
  <c r="H76" i="2" s="1"/>
  <c r="F75" i="2"/>
  <c r="G76" i="2" s="1"/>
  <c r="N74" i="2"/>
  <c r="L74" i="2"/>
  <c r="T74" i="2" s="1"/>
  <c r="K74" i="2"/>
  <c r="S74" i="2" s="1"/>
  <c r="J74" i="2"/>
  <c r="R74" i="2" s="1"/>
  <c r="I74" i="2"/>
  <c r="Q74" i="2" s="1"/>
  <c r="H74" i="2"/>
  <c r="P74" i="2" s="1"/>
  <c r="G74" i="2"/>
  <c r="O74" i="2" s="1"/>
  <c r="H71" i="2"/>
  <c r="G71" i="2"/>
  <c r="F71" i="2"/>
  <c r="L70" i="2"/>
  <c r="K70" i="2"/>
  <c r="L71" i="2" s="1"/>
  <c r="J70" i="2"/>
  <c r="K71" i="2" s="1"/>
  <c r="I70" i="2"/>
  <c r="J71" i="2" s="1"/>
  <c r="H70" i="2"/>
  <c r="I71" i="2" s="1"/>
  <c r="G70" i="2"/>
  <c r="L69" i="2"/>
  <c r="K69" i="2"/>
  <c r="J69" i="2"/>
  <c r="I69" i="2"/>
  <c r="H69" i="2"/>
  <c r="G69" i="2"/>
  <c r="N17" i="2"/>
  <c r="N50" i="2"/>
  <c r="N48" i="2"/>
  <c r="O48" i="2" s="1"/>
  <c r="T44" i="2"/>
  <c r="S44" i="2"/>
  <c r="R44" i="2"/>
  <c r="Q44" i="2"/>
  <c r="P44" i="2"/>
  <c r="O44" i="2"/>
  <c r="N44" i="2"/>
  <c r="L44" i="2"/>
  <c r="K44" i="2"/>
  <c r="L45" i="2" s="1"/>
  <c r="J44" i="2"/>
  <c r="K45" i="2" s="1"/>
  <c r="I44" i="2"/>
  <c r="J45" i="2" s="1"/>
  <c r="H44" i="2"/>
  <c r="I45" i="2" s="1"/>
  <c r="G44" i="2"/>
  <c r="H45" i="2" s="1"/>
  <c r="F44" i="2"/>
  <c r="F45" i="2" s="1"/>
  <c r="N43" i="2"/>
  <c r="L43" i="2"/>
  <c r="T43" i="2" s="1"/>
  <c r="K43" i="2"/>
  <c r="S43" i="2" s="1"/>
  <c r="J43" i="2"/>
  <c r="R43" i="2" s="1"/>
  <c r="I43" i="2"/>
  <c r="Q43" i="2" s="1"/>
  <c r="H43" i="2"/>
  <c r="P43" i="2" s="1"/>
  <c r="G43" i="2"/>
  <c r="O43" i="2" s="1"/>
  <c r="H40" i="2"/>
  <c r="G40" i="2"/>
  <c r="F40" i="2"/>
  <c r="L39" i="2"/>
  <c r="K39" i="2"/>
  <c r="L40" i="2" s="1"/>
  <c r="J39" i="2"/>
  <c r="K40" i="2" s="1"/>
  <c r="I39" i="2"/>
  <c r="J40" i="2" s="1"/>
  <c r="H39" i="2"/>
  <c r="I40" i="2" s="1"/>
  <c r="G39" i="2"/>
  <c r="L38" i="2"/>
  <c r="K38" i="2"/>
  <c r="J38" i="2"/>
  <c r="I38" i="2"/>
  <c r="H38" i="2"/>
  <c r="G38" i="2"/>
  <c r="B164" i="4"/>
  <c r="B345" i="4" a="1"/>
  <c r="B345" i="4"/>
  <c r="B342" i="4"/>
  <c r="B304" i="4"/>
  <c r="B303" i="4"/>
  <c r="B290" i="4"/>
  <c r="B296" i="4" s="1"/>
  <c r="B310" i="4" s="1"/>
  <c r="B270" i="4"/>
  <c r="B268" i="4"/>
  <c r="B266" i="4"/>
  <c r="B265" i="4"/>
  <c r="B258" i="4"/>
  <c r="B255" i="4"/>
  <c r="B253" i="4"/>
  <c r="B251" i="4"/>
  <c r="B215" i="4"/>
  <c r="B213" i="4"/>
  <c r="B212" i="4"/>
  <c r="B211" i="4"/>
  <c r="B210" i="4"/>
  <c r="B209" i="4"/>
  <c r="B208" i="4"/>
  <c r="B203" i="4"/>
  <c r="B194" i="4"/>
  <c r="B193" i="4"/>
  <c r="B177" i="4"/>
  <c r="B175" i="4"/>
  <c r="B174" i="4"/>
  <c r="B170" i="4"/>
  <c r="H170" i="4"/>
  <c r="F170" i="4"/>
  <c r="B165" i="4"/>
  <c r="B159" i="4"/>
  <c r="B158" i="4"/>
  <c r="B12" i="4"/>
  <c r="B11" i="4"/>
  <c r="B10" i="4"/>
  <c r="B147" i="4"/>
  <c r="B146" i="4"/>
  <c r="B142" i="4"/>
  <c r="B139" i="4"/>
  <c r="B135" i="4"/>
  <c r="B130" i="4"/>
  <c r="B126" i="4"/>
  <c r="B134" i="4" s="1"/>
  <c r="B137" i="4" s="1"/>
  <c r="B113" i="4"/>
  <c r="B111" i="4"/>
  <c r="B106" i="4"/>
  <c r="B144" i="4" s="1"/>
  <c r="K102" i="4"/>
  <c r="B95" i="4"/>
  <c r="B96" i="4" s="1"/>
  <c r="K101" i="4"/>
  <c r="K100" i="4"/>
  <c r="N92" i="4"/>
  <c r="N91" i="4"/>
  <c r="M92" i="4"/>
  <c r="M91" i="4"/>
  <c r="K99" i="4"/>
  <c r="K98" i="4"/>
  <c r="B92" i="4"/>
  <c r="B94" i="4" s="1"/>
  <c r="B99" i="4" s="1"/>
  <c r="B100" i="4" s="1"/>
  <c r="B87" i="4"/>
  <c r="B86" i="4"/>
  <c r="B22" i="4"/>
  <c r="B84" i="4"/>
  <c r="B62" i="4"/>
  <c r="B63" i="4" s="1"/>
  <c r="B55" i="4"/>
  <c r="B37" i="4"/>
  <c r="B38" i="4"/>
  <c r="B34" i="4"/>
  <c r="B39" i="4" s="1"/>
  <c r="G333" i="4" s="1"/>
  <c r="B33" i="4"/>
  <c r="N17" i="3"/>
  <c r="N15" i="3"/>
  <c r="O15" i="3" s="1"/>
  <c r="T11" i="3"/>
  <c r="S11" i="3"/>
  <c r="R11" i="3"/>
  <c r="Q11" i="3"/>
  <c r="P11" i="3"/>
  <c r="O11" i="3"/>
  <c r="N11" i="3"/>
  <c r="L11" i="3"/>
  <c r="K11" i="3"/>
  <c r="L12" i="3" s="1"/>
  <c r="J11" i="3"/>
  <c r="K12" i="3" s="1"/>
  <c r="I11" i="3"/>
  <c r="J12" i="3" s="1"/>
  <c r="H11" i="3"/>
  <c r="I12" i="3" s="1"/>
  <c r="G11" i="3"/>
  <c r="H12" i="3" s="1"/>
  <c r="F11" i="3"/>
  <c r="N10" i="3"/>
  <c r="L10" i="3"/>
  <c r="T10" i="3" s="1"/>
  <c r="K10" i="3"/>
  <c r="S10" i="3" s="1"/>
  <c r="J10" i="3"/>
  <c r="R10" i="3" s="1"/>
  <c r="I10" i="3"/>
  <c r="Q10" i="3" s="1"/>
  <c r="H10" i="3"/>
  <c r="P10" i="3" s="1"/>
  <c r="G10" i="3"/>
  <c r="O10" i="3" s="1"/>
  <c r="G7" i="3"/>
  <c r="F7" i="3"/>
  <c r="L6" i="3"/>
  <c r="K6" i="3"/>
  <c r="L7" i="3" s="1"/>
  <c r="J6" i="3"/>
  <c r="K7" i="3" s="1"/>
  <c r="I6" i="3"/>
  <c r="J7" i="3" s="1"/>
  <c r="H6" i="3"/>
  <c r="I7" i="3" s="1"/>
  <c r="G6" i="3"/>
  <c r="H7" i="3" s="1"/>
  <c r="L5" i="3"/>
  <c r="K5" i="3"/>
  <c r="J5" i="3"/>
  <c r="I5" i="3"/>
  <c r="H5" i="3"/>
  <c r="G5" i="3"/>
  <c r="R9" i="1"/>
  <c r="L7" i="2"/>
  <c r="K7" i="2"/>
  <c r="J7" i="2"/>
  <c r="I7" i="2"/>
  <c r="H7" i="2"/>
  <c r="G7" i="2"/>
  <c r="F7" i="2"/>
  <c r="L6" i="2"/>
  <c r="K6" i="2"/>
  <c r="J6" i="2"/>
  <c r="I6" i="2"/>
  <c r="H6" i="2"/>
  <c r="G6" i="2"/>
  <c r="H5" i="2"/>
  <c r="L5" i="2"/>
  <c r="K5" i="2"/>
  <c r="J5" i="2"/>
  <c r="I5" i="2"/>
  <c r="G5" i="2"/>
  <c r="G10" i="2"/>
  <c r="L11" i="2"/>
  <c r="K11" i="2"/>
  <c r="L12" i="2" s="1"/>
  <c r="J11" i="2"/>
  <c r="K12" i="2" s="1"/>
  <c r="I11" i="2"/>
  <c r="J12" i="2" s="1"/>
  <c r="H11" i="2"/>
  <c r="I12" i="2" s="1"/>
  <c r="G11" i="2"/>
  <c r="H12" i="2" s="1"/>
  <c r="F11" i="2"/>
  <c r="L10" i="2"/>
  <c r="K10" i="2"/>
  <c r="J10" i="2"/>
  <c r="I10" i="2"/>
  <c r="H10" i="2"/>
  <c r="N78" i="1"/>
  <c r="O78" i="1" s="1"/>
  <c r="R74" i="1"/>
  <c r="Q74" i="1"/>
  <c r="P74" i="1"/>
  <c r="O74" i="1"/>
  <c r="N74" i="1"/>
  <c r="L74" i="1"/>
  <c r="K74" i="1"/>
  <c r="L75" i="1" s="1"/>
  <c r="J74" i="1"/>
  <c r="K75" i="1" s="1"/>
  <c r="I74" i="1"/>
  <c r="J75" i="1" s="1"/>
  <c r="H74" i="1"/>
  <c r="I75" i="1" s="1"/>
  <c r="G74" i="1"/>
  <c r="H75" i="1" s="1"/>
  <c r="F74" i="1"/>
  <c r="N73" i="1"/>
  <c r="L73" i="1"/>
  <c r="K73" i="1"/>
  <c r="J73" i="1"/>
  <c r="R73" i="1" s="1"/>
  <c r="I73" i="1"/>
  <c r="Q73" i="1" s="1"/>
  <c r="H73" i="1"/>
  <c r="P73" i="1" s="1"/>
  <c r="G73" i="1"/>
  <c r="O73" i="1" s="1"/>
  <c r="N55" i="1"/>
  <c r="O55" i="1" s="1"/>
  <c r="R51" i="1"/>
  <c r="Q51" i="1"/>
  <c r="P51" i="1"/>
  <c r="O51" i="1"/>
  <c r="N51" i="1"/>
  <c r="L51" i="1"/>
  <c r="K51" i="1"/>
  <c r="L52" i="1" s="1"/>
  <c r="J51" i="1"/>
  <c r="K52" i="1" s="1"/>
  <c r="I51" i="1"/>
  <c r="J52" i="1" s="1"/>
  <c r="H51" i="1"/>
  <c r="I52" i="1" s="1"/>
  <c r="G51" i="1"/>
  <c r="H52" i="1" s="1"/>
  <c r="F51" i="1"/>
  <c r="N50" i="1"/>
  <c r="L50" i="1"/>
  <c r="K50" i="1"/>
  <c r="J50" i="1"/>
  <c r="R50" i="1" s="1"/>
  <c r="I50" i="1"/>
  <c r="Q50" i="1" s="1"/>
  <c r="H50" i="1"/>
  <c r="P50" i="1" s="1"/>
  <c r="G50" i="1"/>
  <c r="O50" i="1" s="1"/>
  <c r="N33" i="1"/>
  <c r="O33" i="1" s="1"/>
  <c r="R29" i="1"/>
  <c r="Q29" i="1"/>
  <c r="P29" i="1"/>
  <c r="O29" i="1"/>
  <c r="N29" i="1"/>
  <c r="L29" i="1"/>
  <c r="K29" i="1"/>
  <c r="L30" i="1" s="1"/>
  <c r="J29" i="1"/>
  <c r="K30" i="1" s="1"/>
  <c r="I29" i="1"/>
  <c r="J30" i="1" s="1"/>
  <c r="H29" i="1"/>
  <c r="I30" i="1" s="1"/>
  <c r="G29" i="1"/>
  <c r="H30" i="1" s="1"/>
  <c r="F29" i="1"/>
  <c r="N28" i="1"/>
  <c r="L28" i="1"/>
  <c r="K28" i="1"/>
  <c r="J28" i="1"/>
  <c r="R28" i="1" s="1"/>
  <c r="I28" i="1"/>
  <c r="Q28" i="1" s="1"/>
  <c r="H28" i="1"/>
  <c r="P28" i="1" s="1"/>
  <c r="G28" i="1"/>
  <c r="O28" i="1" s="1"/>
  <c r="R5" i="1"/>
  <c r="Q5" i="1"/>
  <c r="P5" i="1"/>
  <c r="O5" i="1"/>
  <c r="N5" i="1"/>
  <c r="N4" i="1"/>
  <c r="N9" i="1"/>
  <c r="L5" i="1"/>
  <c r="K5" i="1"/>
  <c r="L6" i="1" s="1"/>
  <c r="J5" i="1"/>
  <c r="K6" i="1" s="1"/>
  <c r="I5" i="1"/>
  <c r="J6" i="1" s="1"/>
  <c r="H5" i="1"/>
  <c r="I6" i="1" s="1"/>
  <c r="G5" i="1"/>
  <c r="H6" i="1" s="1"/>
  <c r="F5" i="1"/>
  <c r="G4" i="1"/>
  <c r="O4" i="1" s="1"/>
  <c r="L4" i="1"/>
  <c r="K4" i="1"/>
  <c r="J4" i="1"/>
  <c r="R4" i="1" s="1"/>
  <c r="I4" i="1"/>
  <c r="Q4" i="1" s="1"/>
  <c r="H4" i="1"/>
  <c r="P4" i="1" s="1"/>
  <c r="O9" i="1"/>
  <c r="O10" i="2" l="1"/>
  <c r="R79" i="2"/>
  <c r="P81" i="2"/>
  <c r="Q79" i="2"/>
  <c r="K85" i="2" s="1"/>
  <c r="P79" i="2"/>
  <c r="O81" i="2" s="1"/>
  <c r="Q81" i="2"/>
  <c r="R81" i="2" s="1"/>
  <c r="S79" i="2" s="1"/>
  <c r="F76" i="2"/>
  <c r="T79" i="2" s="1"/>
  <c r="K84" i="2" s="1"/>
  <c r="P10" i="2"/>
  <c r="R10" i="2"/>
  <c r="S10" i="2"/>
  <c r="N15" i="2"/>
  <c r="O15" i="2" s="1"/>
  <c r="Q15" i="2" s="1"/>
  <c r="K21" i="2" s="1"/>
  <c r="T10" i="2"/>
  <c r="R11" i="2"/>
  <c r="O11" i="2"/>
  <c r="N11" i="2"/>
  <c r="P11" i="2"/>
  <c r="Q11" i="2"/>
  <c r="N10" i="2"/>
  <c r="T11" i="2"/>
  <c r="S11" i="2"/>
  <c r="Q10" i="2"/>
  <c r="F75" i="4"/>
  <c r="B221" i="4" s="1"/>
  <c r="G45" i="2"/>
  <c r="T48" i="2" s="1"/>
  <c r="K53" i="2" s="1"/>
  <c r="R48" i="2"/>
  <c r="Q50" i="2" s="1"/>
  <c r="R50" i="2" s="1"/>
  <c r="S48" i="2" s="1"/>
  <c r="P50" i="2"/>
  <c r="P48" i="2"/>
  <c r="O50" i="2" s="1"/>
  <c r="Q48" i="2"/>
  <c r="K54" i="2" s="1"/>
  <c r="I67" i="4"/>
  <c r="I68" i="4"/>
  <c r="I66" i="4"/>
  <c r="B64" i="4"/>
  <c r="B73" i="4" s="1"/>
  <c r="B43" i="4"/>
  <c r="G335" i="4" s="1"/>
  <c r="B42" i="4"/>
  <c r="B40" i="4"/>
  <c r="B184" i="4" s="1"/>
  <c r="P15" i="3"/>
  <c r="O17" i="3" s="1"/>
  <c r="G12" i="3"/>
  <c r="F12" i="3"/>
  <c r="P17" i="3"/>
  <c r="T15" i="3"/>
  <c r="R15" i="3"/>
  <c r="Q15" i="3"/>
  <c r="Q17" i="3"/>
  <c r="R17" i="3" s="1"/>
  <c r="S15" i="3" s="1"/>
  <c r="G12" i="2"/>
  <c r="F12" i="2"/>
  <c r="P78" i="1"/>
  <c r="G75" i="1"/>
  <c r="F75" i="1"/>
  <c r="T78" i="1"/>
  <c r="R78" i="1"/>
  <c r="Q78" i="1"/>
  <c r="G6" i="1"/>
  <c r="F6" i="1"/>
  <c r="P55" i="1"/>
  <c r="G52" i="1"/>
  <c r="F52" i="1"/>
  <c r="T55" i="1"/>
  <c r="R55" i="1"/>
  <c r="Q55" i="1"/>
  <c r="P33" i="1"/>
  <c r="G30" i="1"/>
  <c r="F30" i="1"/>
  <c r="T33" i="1"/>
  <c r="R33" i="1"/>
  <c r="L38" i="1" s="1"/>
  <c r="L39" i="1" s="1"/>
  <c r="Q33" i="1"/>
  <c r="Q9" i="1"/>
  <c r="P9" i="1"/>
  <c r="P15" i="2" l="1"/>
  <c r="O17" i="2" s="1"/>
  <c r="P17" i="2"/>
  <c r="T15" i="2"/>
  <c r="K20" i="2" s="1"/>
  <c r="B189" i="4"/>
  <c r="B185" i="4"/>
  <c r="B75" i="4"/>
  <c r="B79" i="4"/>
  <c r="B76" i="4"/>
  <c r="B74" i="4"/>
  <c r="B80" i="4"/>
  <c r="B47" i="4"/>
  <c r="B44" i="4"/>
  <c r="S78" i="1"/>
  <c r="L62" i="1"/>
  <c r="L64" i="1" s="1"/>
  <c r="L61" i="1"/>
  <c r="S55" i="1"/>
  <c r="S33" i="1"/>
  <c r="S9" i="1"/>
  <c r="L40" i="1"/>
  <c r="L41" i="1"/>
  <c r="T9" i="1"/>
  <c r="R15" i="2"/>
  <c r="Q17" i="2" l="1"/>
  <c r="R17" i="2" s="1"/>
  <c r="B281" i="4"/>
  <c r="B285" i="4" s="1"/>
  <c r="S15" i="2"/>
  <c r="E305" i="4"/>
  <c r="B101" i="4"/>
  <c r="E103" i="4" s="1"/>
  <c r="G101" i="4"/>
  <c r="B305" i="4"/>
  <c r="B49" i="4"/>
  <c r="B50" i="4"/>
  <c r="B51" i="4" s="1"/>
  <c r="B322" i="4" s="1"/>
  <c r="G338" i="4" s="1"/>
  <c r="E307" i="4" l="1"/>
  <c r="B307" i="4"/>
  <c r="B309" i="4" s="1"/>
  <c r="B145" i="4"/>
  <c r="B110" i="4"/>
  <c r="B154" i="4"/>
  <c r="B155" i="4" s="1"/>
  <c r="B323" i="4" s="1"/>
  <c r="G339" i="4" s="1"/>
  <c r="B129" i="4" l="1"/>
  <c r="B112" i="4"/>
  <c r="B141" i="4" s="1"/>
  <c r="B140" i="4"/>
  <c r="B172" i="4" l="1"/>
  <c r="B173" i="4" s="1"/>
  <c r="B149" i="4"/>
  <c r="B150" i="4" s="1"/>
  <c r="G336" i="4" s="1"/>
  <c r="B151" i="4" l="1"/>
  <c r="B152" i="4" s="1"/>
  <c r="B179" i="4"/>
  <c r="B269" i="4"/>
  <c r="B222" i="4"/>
  <c r="B224" i="4" l="1"/>
  <c r="B226" i="4"/>
  <c r="D257" i="4" s="1"/>
  <c r="E257" i="4" s="1"/>
  <c r="B225" i="4"/>
  <c r="D253" i="4" s="1"/>
  <c r="B223" i="4"/>
  <c r="B178" i="4"/>
  <c r="B180" i="4" s="1"/>
  <c r="B181" i="4" s="1"/>
  <c r="B324" i="4" s="1"/>
  <c r="G341" i="4" s="1"/>
  <c r="B216" i="4"/>
  <c r="B186" i="4"/>
  <c r="B187" i="4" s="1"/>
  <c r="B274" i="4" s="1"/>
  <c r="B267" i="4"/>
  <c r="B197" i="4"/>
  <c r="B335" i="4"/>
  <c r="B337" i="4" l="1"/>
  <c r="B338" i="4" s="1"/>
  <c r="B336" i="4"/>
  <c r="G345" i="4" s="1"/>
  <c r="B195" i="4"/>
  <c r="B198" i="4" s="1"/>
  <c r="B331" i="4"/>
  <c r="B218" i="4"/>
  <c r="B217" i="4"/>
  <c r="B190" i="4"/>
  <c r="D251" i="4"/>
  <c r="B227" i="4"/>
  <c r="E251" i="4" l="1"/>
  <c r="E229" i="4"/>
  <c r="B219" i="4"/>
  <c r="B238" i="4"/>
  <c r="B229" i="4"/>
  <c r="B239" i="4"/>
  <c r="B199" i="4"/>
  <c r="B204" i="4" s="1"/>
  <c r="E205" i="4" l="1"/>
  <c r="B205" i="4"/>
  <c r="B271" i="4" s="1"/>
  <c r="G337" i="4" s="1"/>
  <c r="B230" i="4"/>
  <c r="E231" i="4" s="1"/>
  <c r="E230" i="4"/>
  <c r="B231" i="4" l="1"/>
  <c r="B234" i="4" s="1"/>
  <c r="B242" i="4"/>
  <c r="B235" i="4"/>
  <c r="B243" i="4" s="1"/>
  <c r="B246" i="4" l="1"/>
  <c r="C253" i="4" s="1"/>
  <c r="C254" i="4"/>
  <c r="E254" i="4" s="1"/>
  <c r="C256" i="4"/>
  <c r="E256" i="4" s="1"/>
  <c r="B245" i="4"/>
  <c r="C255" i="4" l="1"/>
  <c r="E255" i="4" s="1"/>
  <c r="B247" i="4"/>
  <c r="D252" i="4" s="1"/>
  <c r="E253" i="4"/>
  <c r="C258" i="4" l="1"/>
  <c r="E252" i="4"/>
  <c r="D258" i="4"/>
  <c r="E258" i="4" l="1"/>
  <c r="F253" i="4" l="1"/>
  <c r="H260" i="4" s="1"/>
  <c r="F257" i="4"/>
  <c r="L260" i="4" s="1"/>
  <c r="F251" i="4"/>
  <c r="F260" i="4" s="1"/>
  <c r="F256" i="4"/>
  <c r="K260" i="4" s="1"/>
  <c r="F254" i="4"/>
  <c r="I260" i="4" s="1"/>
  <c r="F255" i="4"/>
  <c r="J260" i="4" s="1"/>
  <c r="F252" i="4"/>
  <c r="G260" i="4" s="1"/>
  <c r="F258" i="4" l="1"/>
  <c r="G258" i="4"/>
  <c r="B260" i="4" s="1"/>
  <c r="B286" i="4" l="1"/>
  <c r="B287" i="4" s="1"/>
  <c r="B325" i="4" s="1"/>
  <c r="G342" i="4" s="1"/>
  <c r="B314" i="4"/>
  <c r="D315" i="4" s="1"/>
  <c r="E317" i="4" s="1"/>
  <c r="B291" i="4"/>
  <c r="B273" i="4"/>
  <c r="B298" i="4" s="1"/>
  <c r="B299" i="4" s="1"/>
  <c r="B300" i="4" s="1"/>
  <c r="B326" i="4" s="1"/>
  <c r="G343" i="4" s="1"/>
  <c r="E318" i="4" l="1"/>
  <c r="B327" i="4"/>
  <c r="B328" i="4" l="1"/>
  <c r="G344" i="4" s="1"/>
  <c r="G340" i="4"/>
  <c r="B332" i="4"/>
  <c r="G348" i="4" s="1"/>
  <c r="B333" i="4" l="1"/>
  <c r="B334" i="4" s="1"/>
  <c r="G346" i="4" s="1"/>
  <c r="G347" i="4" s="1"/>
  <c r="G330" i="4"/>
  <c r="G349" i="4"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<sst xmlns="http://schemas.openxmlformats.org/spreadsheetml/2006/main" count="2872" uniqueCount="531">
  <si>
    <t>Temps</t>
  </si>
  <si>
    <t>coefs</t>
  </si>
  <si>
    <t>a</t>
  </si>
  <si>
    <t>b</t>
  </si>
  <si>
    <t>c</t>
  </si>
  <si>
    <t>d</t>
  </si>
  <si>
    <t>e</t>
  </si>
  <si>
    <t>f</t>
  </si>
  <si>
    <t>g</t>
  </si>
  <si>
    <t>Gas</t>
  </si>
  <si>
    <t>α</t>
  </si>
  <si>
    <t>β</t>
  </si>
  <si>
    <t>γ</t>
  </si>
  <si>
    <t>δ</t>
  </si>
  <si>
    <t>ε</t>
  </si>
  <si>
    <t>ζ</t>
  </si>
  <si>
    <t>η</t>
  </si>
  <si>
    <t>  </t>
  </si>
  <si>
    <t>x 1</t>
  </si>
  <si>
    <r>
      <t>x 10</t>
    </r>
    <r>
      <rPr>
        <vertAlign val="superscript"/>
        <sz val="6"/>
        <color rgb="FF000000"/>
        <rFont val="Calibri"/>
        <family val="2"/>
      </rPr>
      <t>3</t>
    </r>
  </si>
  <si>
    <r>
      <t>x 10</t>
    </r>
    <r>
      <rPr>
        <vertAlign val="superscript"/>
        <sz val="6"/>
        <color rgb="FF000000"/>
        <rFont val="Calibri"/>
        <family val="2"/>
      </rPr>
      <t>6</t>
    </r>
  </si>
  <si>
    <r>
      <t>x 10</t>
    </r>
    <r>
      <rPr>
        <vertAlign val="superscript"/>
        <sz val="6"/>
        <color rgb="FF000000"/>
        <rFont val="Calibri"/>
        <family val="2"/>
      </rPr>
      <t>9</t>
    </r>
  </si>
  <si>
    <r>
      <t>x 10</t>
    </r>
    <r>
      <rPr>
        <vertAlign val="superscript"/>
        <sz val="6"/>
        <color rgb="FF000000"/>
        <rFont val="Calibri"/>
        <family val="2"/>
      </rPr>
      <t>12</t>
    </r>
  </si>
  <si>
    <r>
      <t>x 10</t>
    </r>
    <r>
      <rPr>
        <vertAlign val="superscript"/>
        <sz val="6"/>
        <color rgb="FF000000"/>
        <rFont val="Calibri"/>
        <family val="2"/>
      </rPr>
      <t>15</t>
    </r>
  </si>
  <si>
    <r>
      <t>x 10</t>
    </r>
    <r>
      <rPr>
        <vertAlign val="superscript"/>
        <sz val="6"/>
        <color rgb="FF000000"/>
        <rFont val="Calibri"/>
        <family val="2"/>
      </rPr>
      <t>18</t>
    </r>
  </si>
  <si>
    <r>
      <t>N</t>
    </r>
    <r>
      <rPr>
        <vertAlign val="subscript"/>
        <sz val="6"/>
        <color rgb="FF000000"/>
        <rFont val="Calibri"/>
        <family val="2"/>
      </rPr>
      <t>2</t>
    </r>
  </si>
  <si>
    <r>
      <t>O</t>
    </r>
    <r>
      <rPr>
        <vertAlign val="subscript"/>
        <sz val="6"/>
        <color rgb="FF000000"/>
        <rFont val="Calibri"/>
        <family val="2"/>
      </rPr>
      <t>2</t>
    </r>
  </si>
  <si>
    <t>Input</t>
  </si>
  <si>
    <t>Output</t>
  </si>
  <si>
    <r>
      <t>H</t>
    </r>
    <r>
      <rPr>
        <vertAlign val="subscript"/>
        <sz val="6"/>
        <color rgb="FF000000"/>
        <rFont val="Calibri"/>
        <family val="2"/>
      </rPr>
      <t>2</t>
    </r>
    <r>
      <rPr>
        <sz val="9"/>
        <color rgb="FF000000"/>
        <rFont val="Calibri"/>
        <family val="2"/>
      </rPr>
      <t>O</t>
    </r>
  </si>
  <si>
    <t>T</t>
  </si>
  <si>
    <t>P</t>
  </si>
  <si>
    <t>y-N2 mm</t>
  </si>
  <si>
    <t>y-O2 mm</t>
  </si>
  <si>
    <t>y-H2O mm</t>
  </si>
  <si>
    <t>y-H2 mm</t>
  </si>
  <si>
    <t>y-CO2 mm</t>
  </si>
  <si>
    <t>y-CO mm</t>
  </si>
  <si>
    <t>y-Ar mm</t>
  </si>
  <si>
    <t>M</t>
  </si>
  <si>
    <t>R</t>
  </si>
  <si>
    <t>Cp</t>
  </si>
  <si>
    <t>v</t>
  </si>
  <si>
    <t>h</t>
  </si>
  <si>
    <t>u</t>
  </si>
  <si>
    <t>s</t>
  </si>
  <si>
    <r>
      <t>H</t>
    </r>
    <r>
      <rPr>
        <vertAlign val="subscript"/>
        <sz val="6"/>
        <color rgb="FF000000"/>
        <rFont val="Calibri"/>
        <family val="2"/>
      </rPr>
      <t>2</t>
    </r>
  </si>
  <si>
    <r>
      <t>CO</t>
    </r>
    <r>
      <rPr>
        <vertAlign val="subscript"/>
        <sz val="6"/>
        <color rgb="FF000000"/>
        <rFont val="Calibri"/>
        <family val="2"/>
      </rPr>
      <t>2</t>
    </r>
  </si>
  <si>
    <t>CO</t>
  </si>
  <si>
    <t>Ar</t>
  </si>
  <si>
    <t>Guess T</t>
  </si>
  <si>
    <t>Tguess</t>
  </si>
  <si>
    <t>get h from that t</t>
  </si>
  <si>
    <t>Hguess</t>
  </si>
  <si>
    <t>that h - original h = dh</t>
  </si>
  <si>
    <t>dh</t>
  </si>
  <si>
    <t>dT get dh/Cp</t>
  </si>
  <si>
    <t>dT</t>
  </si>
  <si>
    <t>Tnew gets T+dT</t>
  </si>
  <si>
    <t>Tnew</t>
  </si>
  <si>
    <t>Repeat till dh = 0</t>
  </si>
  <si>
    <t>get s from that t</t>
  </si>
  <si>
    <t>Sguess</t>
  </si>
  <si>
    <t>that s - original s = ds</t>
  </si>
  <si>
    <t>ds</t>
  </si>
  <si>
    <t>ds gets Cp*LN(Tnew/Told)</t>
  </si>
  <si>
    <t>Tnew gets Told*e^(-ds/Cp)</t>
  </si>
  <si>
    <t>Repeat till ds = 0</t>
  </si>
  <si>
    <t>Cv</t>
  </si>
  <si>
    <t>Tref</t>
  </si>
  <si>
    <t>E of F</t>
  </si>
  <si>
    <t>h_T</t>
  </si>
  <si>
    <t>h_fm</t>
  </si>
  <si>
    <t>h_ref</t>
  </si>
  <si>
    <t>h_bar</t>
  </si>
  <si>
    <t>abs</t>
  </si>
  <si>
    <t>Values in Red are for the base condition in the Assignments Sheet</t>
  </si>
  <si>
    <t xml:space="preserve">
</t>
  </si>
  <si>
    <t>Engine Geometry</t>
  </si>
  <si>
    <t>No. Cyl</t>
  </si>
  <si>
    <t>No.</t>
  </si>
  <si>
    <t>Bore</t>
  </si>
  <si>
    <t>mm</t>
  </si>
  <si>
    <t>m</t>
  </si>
  <si>
    <t>Stroke</t>
  </si>
  <si>
    <t>Compress</t>
  </si>
  <si>
    <t>n/a</t>
  </si>
  <si>
    <t>Bore-Area</t>
  </si>
  <si>
    <t>m^2</t>
  </si>
  <si>
    <t>this is the cross-section area of a single piston</t>
  </si>
  <si>
    <t>V-DISP</t>
  </si>
  <si>
    <t>m^3</t>
  </si>
  <si>
    <t>These volume</t>
  </si>
  <si>
    <t>V-TDC</t>
  </si>
  <si>
    <t>are for </t>
  </si>
  <si>
    <t>V-BDC</t>
  </si>
  <si>
    <t>one piston</t>
  </si>
  <si>
    <t>Intake(2)</t>
  </si>
  <si>
    <t>Dia</t>
  </si>
  <si>
    <t>Ai (1)</t>
  </si>
  <si>
    <t>area of one intake valve port</t>
  </si>
  <si>
    <t>Minor Ls, K</t>
  </si>
  <si>
    <t>Exhaust (2)</t>
  </si>
  <si>
    <t>Ae (1)</t>
  </si>
  <si>
    <t>area of on exhaust valve port</t>
  </si>
  <si>
    <t>Rings</t>
  </si>
  <si>
    <t>gap</t>
  </si>
  <si>
    <t>space between ring and cylinder wall</t>
  </si>
  <si>
    <t>height</t>
  </si>
  <si>
    <t>the 'height' of the ring between which the oil flows</t>
  </si>
  <si>
    <t>A-shear</t>
  </si>
  <si>
    <t>the area of the piston ring circumference on which the shear stress acts</t>
  </si>
  <si>
    <t>Engine Speed</t>
  </si>
  <si>
    <t>RPM</t>
  </si>
  <si>
    <t>omega-dot</t>
  </si>
  <si>
    <t>rad/s</t>
  </si>
  <si>
    <t>crankshaft rotation rate in radians per seccond</t>
  </si>
  <si>
    <t>theta-dot</t>
  </si>
  <si>
    <t>deg/s</t>
  </si>
  <si>
    <t>crankshaft rotation rate in degees per seccond</t>
  </si>
  <si>
    <t>Flame Speed</t>
  </si>
  <si>
    <t>m/s</t>
  </si>
  <si>
    <t>DT-comb</t>
  </si>
  <si>
    <t>The time increment of the combustion process based on spark ignition at the center of the cylinder</t>
  </si>
  <si>
    <t>ms</t>
  </si>
  <si>
    <t>Advance</t>
  </si>
  <si>
    <t>deg</t>
  </si>
  <si>
    <t>The degress the crank angle advances between start and end of combustion</t>
  </si>
  <si>
    <t>Delta</t>
  </si>
  <si>
    <t>The distance the piston advances from TDC from start to end of combustion</t>
  </si>
  <si>
    <t>V-PEAK</t>
  </si>
  <si>
    <t>The maximum velocity of the piston based on time derivative of the sinusoidal slider-cranks position function</t>
  </si>
  <si>
    <t>V-RMS</t>
  </si>
  <si>
    <t>The root-mean-square of piston velocity</t>
  </si>
  <si>
    <t>Vdot-RMS</t>
  </si>
  <si>
    <t>m^3/s</t>
  </si>
  <si>
    <t>The volumetric flow rate for piston moving in cyclinder at RMS speed (one cylinder flow rate)</t>
  </si>
  <si>
    <t>Stroke Work</t>
  </si>
  <si>
    <t>Shear Rate</t>
  </si>
  <si>
    <t>(m/s)/m</t>
  </si>
  <si>
    <t>du/dy based on piston ring gap and RMS speed</t>
  </si>
  <si>
    <t>Oil Viscosity</t>
  </si>
  <si>
    <t>N-s/m^2</t>
  </si>
  <si>
    <t>Shear Stress</t>
  </si>
  <si>
    <t>N/m^2</t>
  </si>
  <si>
    <t>Shear Force</t>
  </si>
  <si>
    <t>N</t>
  </si>
  <si>
    <t>Work</t>
  </si>
  <si>
    <t>J</t>
  </si>
  <si>
    <t>Work = F X Distance; distance = stroke length </t>
  </si>
  <si>
    <t>Ambient Air</t>
  </si>
  <si>
    <t>To</t>
  </si>
  <si>
    <t>C</t>
  </si>
  <si>
    <t>K</t>
  </si>
  <si>
    <t>Po</t>
  </si>
  <si>
    <t>kPa</t>
  </si>
  <si>
    <t>RHo</t>
  </si>
  <si>
    <t>(%)</t>
  </si>
  <si>
    <t>Magnus Equation: Psat = a*exp(b*T/(T+c))</t>
  </si>
  <si>
    <t>Psat</t>
  </si>
  <si>
    <t>P-H2Oo</t>
  </si>
  <si>
    <t>y-H2O</t>
  </si>
  <si>
    <t>p</t>
  </si>
  <si>
    <t>n</t>
  </si>
  <si>
    <t>y</t>
  </si>
  <si>
    <t>Dry Air</t>
  </si>
  <si>
    <t>n2</t>
  </si>
  <si>
    <t>y-N2</t>
  </si>
  <si>
    <t>o2</t>
  </si>
  <si>
    <t>y-O2</t>
  </si>
  <si>
    <t>y-Ar</t>
  </si>
  <si>
    <t>H20</t>
  </si>
  <si>
    <t>SUM</t>
  </si>
  <si>
    <t>Humid Air</t>
  </si>
  <si>
    <t>These composition values will be computed after water vapor mole fraction is included in the air mixture</t>
  </si>
  <si>
    <r>
      <t>H</t>
    </r>
    <r>
      <rPr>
        <vertAlign val="subscript"/>
        <sz val="6"/>
        <color rgb="FF000000"/>
        <rFont val="Calibri"/>
        <family val="2"/>
      </rPr>
      <t>2</t>
    </r>
    <r>
      <rPr>
        <sz val="9"/>
        <color rgb="FF000000"/>
        <rFont val="Calibri"/>
        <family val="2"/>
      </rPr>
      <t>O (vap)</t>
    </r>
  </si>
  <si>
    <t>Make sure moles factions always sum to 1 exactly!</t>
  </si>
  <si>
    <t>hf</t>
  </si>
  <si>
    <t>(kg/kmol)</t>
  </si>
  <si>
    <t>(kJ/kmol)</t>
  </si>
  <si>
    <t>Fueling</t>
  </si>
  <si>
    <t>AFR</t>
  </si>
  <si>
    <t>hfg-fuel</t>
  </si>
  <si>
    <t>kJ/kg</t>
  </si>
  <si>
    <t>The value will come from constants page for mass-averge enthalpy of vaporization</t>
  </si>
  <si>
    <t>ho</t>
  </si>
  <si>
    <t>h1</t>
  </si>
  <si>
    <t>This value can be computed from 1st law assuming all the energy to vaporize the fuel is extracted from the humid air</t>
  </si>
  <si>
    <t>P1</t>
  </si>
  <si>
    <t>Pressure will be same as atmosphere</t>
  </si>
  <si>
    <t>T1</t>
  </si>
  <si>
    <t>P1 and h1 and composition can be fed to property calculator for T1, v1, and u1</t>
  </si>
  <si>
    <t>u1</t>
  </si>
  <si>
    <t>Fuel</t>
  </si>
  <si>
    <t>hf (vap)</t>
  </si>
  <si>
    <t>x (liq)</t>
  </si>
  <si>
    <r>
      <t>ρ </t>
    </r>
    <r>
      <rPr>
        <b/>
        <sz val="9"/>
        <color rgb="FF000000"/>
        <rFont val="Helvetica"/>
        <family val="2"/>
      </rPr>
      <t>(liq)</t>
    </r>
  </si>
  <si>
    <r>
      <t>h</t>
    </r>
    <r>
      <rPr>
        <b/>
        <vertAlign val="subscript"/>
        <sz val="6"/>
        <color rgb="FF000000"/>
        <rFont val="Calibri"/>
        <family val="2"/>
      </rPr>
      <t>fg</t>
    </r>
    <r>
      <rPr>
        <b/>
        <sz val="9"/>
        <color rgb="FF000000"/>
        <rFont val="Calibri"/>
        <family val="2"/>
      </rPr>
      <t> (liq)</t>
    </r>
  </si>
  <si>
    <r>
      <t>C</t>
    </r>
    <r>
      <rPr>
        <b/>
        <vertAlign val="subscript"/>
        <sz val="6"/>
        <color rgb="FF000000"/>
        <rFont val="Calibri"/>
        <family val="2"/>
      </rPr>
      <t>p</t>
    </r>
    <r>
      <rPr>
        <b/>
        <sz val="9"/>
        <color rgb="FF000000"/>
        <rFont val="Calibri"/>
        <family val="2"/>
      </rPr>
      <t>  (vap)</t>
    </r>
  </si>
  <si>
    <t>LHV (liq)</t>
  </si>
  <si>
    <t>v1</t>
  </si>
  <si>
    <t>m^3/kg</t>
  </si>
  <si>
    <t>kJ/kmol</t>
  </si>
  <si>
    <t>kJ/kg-K</t>
  </si>
  <si>
    <t>kg/L</t>
  </si>
  <si>
    <t>kJ/kg-R</t>
  </si>
  <si>
    <r>
      <t>C</t>
    </r>
    <r>
      <rPr>
        <vertAlign val="subscript"/>
        <sz val="6"/>
        <color rgb="FF000000"/>
        <rFont val="Calibri"/>
        <family val="2"/>
      </rPr>
      <t>2</t>
    </r>
    <r>
      <rPr>
        <sz val="9"/>
        <color rgb="FF000000"/>
        <rFont val="Calibri"/>
        <family val="2"/>
      </rPr>
      <t>H</t>
    </r>
    <r>
      <rPr>
        <vertAlign val="subscript"/>
        <sz val="6"/>
        <color rgb="FF000000"/>
        <rFont val="Calibri"/>
        <family val="2"/>
      </rPr>
      <t>3</t>
    </r>
    <r>
      <rPr>
        <sz val="9"/>
        <color rgb="FF000000"/>
        <rFont val="Calibri"/>
        <family val="2"/>
      </rPr>
      <t>OH (liq)</t>
    </r>
  </si>
  <si>
    <t>P2</t>
  </si>
  <si>
    <t>State 2 is the fuel vapor after vaporization from air, P2 will be atmospheric pressure</t>
  </si>
  <si>
    <r>
      <t>C</t>
    </r>
    <r>
      <rPr>
        <vertAlign val="subscript"/>
        <sz val="6"/>
        <color rgb="FF000000"/>
        <rFont val="Calibri"/>
        <family val="2"/>
      </rPr>
      <t>8</t>
    </r>
    <r>
      <rPr>
        <sz val="9"/>
        <color rgb="FF000000"/>
        <rFont val="Calibri"/>
        <family val="2"/>
      </rPr>
      <t>H</t>
    </r>
    <r>
      <rPr>
        <vertAlign val="subscript"/>
        <sz val="6"/>
        <color rgb="FF000000"/>
        <rFont val="Calibri"/>
        <family val="2"/>
      </rPr>
      <t>18</t>
    </r>
    <r>
      <rPr>
        <sz val="9"/>
        <color rgb="FF000000"/>
        <rFont val="Calibri"/>
        <family val="2"/>
      </rPr>
      <t> (liq)</t>
    </r>
  </si>
  <si>
    <t>T2=Tref</t>
  </si>
  <si>
    <t>Assume fuel vapor still at reference temperature</t>
  </si>
  <si>
    <t>Gasoline</t>
  </si>
  <si>
    <t>v2</t>
  </si>
  <si>
    <t>from IG law of fuel vapor</t>
  </si>
  <si>
    <t>mole-average values</t>
  </si>
  <si>
    <t>mass-average values</t>
  </si>
  <si>
    <t>h2</t>
  </si>
  <si>
    <t>from enthalpy of formation and temperature correction of fuel</t>
  </si>
  <si>
    <t>Ru</t>
  </si>
  <si>
    <t>kJ/kmol-K</t>
  </si>
  <si>
    <t>u2</t>
  </si>
  <si>
    <t>u = h - RT</t>
  </si>
  <si>
    <t>m/s^2</t>
  </si>
  <si>
    <t>Intake Minor Loss</t>
  </si>
  <si>
    <t>v-in</t>
  </si>
  <si>
    <t>mass average specific volume of fuel and air at intake valve</t>
  </si>
  <si>
    <t>rho-in</t>
  </si>
  <si>
    <t>1/vin</t>
  </si>
  <si>
    <t>V-in</t>
  </si>
  <si>
    <t>velocity based on volumetric flow rate (1/2 for one port) and area of intake port</t>
  </si>
  <si>
    <t>P-dyn</t>
  </si>
  <si>
    <t>Pa</t>
  </si>
  <si>
    <t>DP-in</t>
  </si>
  <si>
    <t>pressure drop from Patm to inside: Pinside = Patm - DP</t>
  </si>
  <si>
    <t>P3</t>
  </si>
  <si>
    <t>State 3 is the fresh air charge, thottled (isothermal process) to Pinside, same composition and temperature of state 1</t>
  </si>
  <si>
    <t>T3</t>
  </si>
  <si>
    <t>v3</t>
  </si>
  <si>
    <t>u3</t>
  </si>
  <si>
    <t>P4</t>
  </si>
  <si>
    <t>State 4 is the fuel vapor charge, throttled (isothermal process) to Pinside, same composiiton and temperature as state 2</t>
  </si>
  <si>
    <t>T4</t>
  </si>
  <si>
    <t>v4</t>
  </si>
  <si>
    <t>u4 = u2</t>
  </si>
  <si>
    <t>Intake Charging</t>
  </si>
  <si>
    <t>Dead Air (Exhaust Residual)</t>
  </si>
  <si>
    <t>This is the assume composition and state of the post-combustion gas at end of the previous cycle exhaust stroke</t>
  </si>
  <si>
    <t>T5</t>
  </si>
  <si>
    <t>P5</t>
  </si>
  <si>
    <t>Y-CO2</t>
  </si>
  <si>
    <t>v5</t>
  </si>
  <si>
    <t>You can use your property calculator for dead air composition, T and P are given</t>
  </si>
  <si>
    <t>s5</t>
  </si>
  <si>
    <t>m-dead</t>
  </si>
  <si>
    <t>kg</t>
  </si>
  <si>
    <t>P6</t>
  </si>
  <si>
    <t>The pressure of the dead air drops from P5 to the intake value.  The dead air expands (insentropic) before fresh air charge begins to flow into the cylinder.  The expansion of the dead air mass slightly reduces the volume that is available to fresh air/fuel charge</t>
  </si>
  <si>
    <t>s6 = s5</t>
  </si>
  <si>
    <t>T6 = T7 =</t>
  </si>
  <si>
    <t>States 6 and 7 are the same, they just indicate the shift in the position of the expanded dead air mass before and after the fresh fuel/air charge</t>
  </si>
  <si>
    <t>v6 = v7 =</t>
  </si>
  <si>
    <t>u6 = u7 =</t>
  </si>
  <si>
    <t>V6 = V7 =</t>
  </si>
  <si>
    <t>v6/v5</t>
  </si>
  <si>
    <t>V-charge</t>
  </si>
  <si>
    <t>V-charge is the volume that is available to fill with fresh fuel and air = (V-BDC - V7).  V7 is the extensive volume occupied by the dead air mass.</t>
  </si>
  <si>
    <t>T8 = T4</t>
  </si>
  <si>
    <t>The fuel state that has entered the cylinder is the same as state 4</t>
  </si>
  <si>
    <t>P8 = P4</t>
  </si>
  <si>
    <t>v8 = v4</t>
  </si>
  <si>
    <t>u8 = u4</t>
  </si>
  <si>
    <t>T9 = T3</t>
  </si>
  <si>
    <t>The fresh air state that has entered the cylinder is the same as state 3</t>
  </si>
  <si>
    <t>P9 = P3</t>
  </si>
  <si>
    <t>v9 = v3</t>
  </si>
  <si>
    <t>u9 = u3</t>
  </si>
  <si>
    <t>m-air-charge</t>
  </si>
  <si>
    <t>From the availale volume V-charge and the specified AFR, we can compute the total mass of fresh air and fuel that fill the V-charge volume.</t>
  </si>
  <si>
    <t>m-fuel</t>
  </si>
  <si>
    <t>W-intake</t>
  </si>
  <si>
    <t>kJ</t>
  </si>
  <si>
    <t>Pump work = Displaced Volume * Pressure Difference = V-charge * Dpinlet</t>
  </si>
  <si>
    <t>Isentropic Compression</t>
  </si>
  <si>
    <t>We will assume the specifc volume of each layer of "Neapolitan" stack is reduce by the compression ratio</t>
  </si>
  <si>
    <t>s10=s7=s5</t>
  </si>
  <si>
    <t>Use IG property calculator for the dead air given (s, v)</t>
  </si>
  <si>
    <t>v10=v7/rv</t>
  </si>
  <si>
    <t>T10</t>
  </si>
  <si>
    <t>P10</t>
  </si>
  <si>
    <t>u10</t>
  </si>
  <si>
    <t>s12=s9=s3</t>
  </si>
  <si>
    <t>Use IG property calculator for the fresh air given (s,v)</t>
  </si>
  <si>
    <t>v12=v9/rv</t>
  </si>
  <si>
    <t>T12</t>
  </si>
  <si>
    <t>P12</t>
  </si>
  <si>
    <t>u12</t>
  </si>
  <si>
    <t>k-fuel</t>
  </si>
  <si>
    <t>T11</t>
  </si>
  <si>
    <t>We can use constantant specific heat isentropic relationship for fuel vapor: (T11/T8) = (rv)^(k-1)</t>
  </si>
  <si>
    <t>v11 = v8/rv</t>
  </si>
  <si>
    <t>P11</t>
  </si>
  <si>
    <t>h11</t>
  </si>
  <si>
    <t>u11</t>
  </si>
  <si>
    <t>W-c-dead</t>
  </si>
  <si>
    <t>Compression work for dead air: m-dead*(u10-u7)</t>
  </si>
  <si>
    <t>W-c-fuel</t>
  </si>
  <si>
    <t>Compression work for fuel vapor: m-fuel*Cv*(T11-T8)</t>
  </si>
  <si>
    <t>W-c-air</t>
  </si>
  <si>
    <t>Compression work for the fresh air: m-air*(u12-u9)</t>
  </si>
  <si>
    <t>W-comp</t>
  </si>
  <si>
    <t>sum of the compression work for the three parts of the compressed gas</t>
  </si>
  <si>
    <t>Combustion End Volume and Heat Loss</t>
  </si>
  <si>
    <t>V14</t>
  </si>
  <si>
    <t>This volume computed from the delta advance of piston by end of combustion, the extra volume is add to V-TDC </t>
  </si>
  <si>
    <t>rc</t>
  </si>
  <si>
    <t>The cut-off ratio is V14/V-TDC</t>
  </si>
  <si>
    <t>m-react</t>
  </si>
  <si>
    <t>sum of all the masses of reactant = mass of products at state 14</t>
  </si>
  <si>
    <t>v14</t>
  </si>
  <si>
    <t>The specific volume at end of combusition, we need one more intensive variable (u14)</t>
  </si>
  <si>
    <t>Asurf</t>
  </si>
  <si>
    <t>The surface area exposed to the hot combustion products, needed for the heat loss model</t>
  </si>
  <si>
    <t>T-begin</t>
  </si>
  <si>
    <t>The mass-averge temperature of the reactants at the beginning of combustion</t>
  </si>
  <si>
    <t>Cv10</t>
  </si>
  <si>
    <t>Cv of the dead air at start of combustion</t>
  </si>
  <si>
    <t>Cv12</t>
  </si>
  <si>
    <t>Cv of the fresh air at start of combustion</t>
  </si>
  <si>
    <t>Cv11</t>
  </si>
  <si>
    <t>Cv of the fuel vapor at start of combustion</t>
  </si>
  <si>
    <t>Cv-avg</t>
  </si>
  <si>
    <t>mass-average of the reactants Cv</t>
  </si>
  <si>
    <t>Qin-est</t>
  </si>
  <si>
    <t>mass-fuel*LHV, the equivalent expected 'heat input' from combustion</t>
  </si>
  <si>
    <t>DT-est</t>
  </si>
  <si>
    <t>temperature rise of the reactants: Qin-est/(mprod*Cv-avg)</t>
  </si>
  <si>
    <t>T-avg</t>
  </si>
  <si>
    <t>(Tend + Tbegin)/2 = Tinfinity for Newtons Law of Cooling</t>
  </si>
  <si>
    <t>h-conv</t>
  </si>
  <si>
    <t>W/m^2-K</t>
  </si>
  <si>
    <t>Toil</t>
  </si>
  <si>
    <t>Qdot-out</t>
  </si>
  <si>
    <t>W</t>
  </si>
  <si>
    <t>Rate of heat loss from Newtons Law of Cooling</t>
  </si>
  <si>
    <t>Q-out</t>
  </si>
  <si>
    <t>Amount of heat loss based on the combustion duration, Dt</t>
  </si>
  <si>
    <t>Combustion Mass Balance</t>
  </si>
  <si>
    <t>M-10-dead</t>
  </si>
  <si>
    <t>kg/kmol</t>
  </si>
  <si>
    <t>Molecular weight of dead air</t>
  </si>
  <si>
    <t>N-10-dead</t>
  </si>
  <si>
    <t>kmol</t>
  </si>
  <si>
    <t>Moles of dead air</t>
  </si>
  <si>
    <t>N-N2</t>
  </si>
  <si>
    <t>Moles of N2 from the dead air</t>
  </si>
  <si>
    <t>N-CO2</t>
  </si>
  <si>
    <t>Moles CO2 from the dead air</t>
  </si>
  <si>
    <t>N-H2O</t>
  </si>
  <si>
    <t>Moles of H2O from the dead air</t>
  </si>
  <si>
    <t>Confirm sum</t>
  </si>
  <si>
    <t>M-11-fuel</t>
  </si>
  <si>
    <t>Molecular weight of the fuel vapor</t>
  </si>
  <si>
    <t>N-11-fuel</t>
  </si>
  <si>
    <t>Moles of fuel in the charge</t>
  </si>
  <si>
    <t>N-ethanol</t>
  </si>
  <si>
    <t>Moles of ethanol in the charge</t>
  </si>
  <si>
    <t>N-octane</t>
  </si>
  <si>
    <t>Moles of octane in the charge</t>
  </si>
  <si>
    <t>confirm the sum</t>
  </si>
  <si>
    <t>M-12-air</t>
  </si>
  <si>
    <t>Molecular weight of the fresh air</t>
  </si>
  <si>
    <t>N-12-air</t>
  </si>
  <si>
    <t>Moles of fresh air</t>
  </si>
  <si>
    <t>Moles of N2 from fresh air</t>
  </si>
  <si>
    <t>N-O2</t>
  </si>
  <si>
    <t>Moles of O2 from fresh air</t>
  </si>
  <si>
    <t>Moles of H2O from fresh air</t>
  </si>
  <si>
    <t>N-Ar</t>
  </si>
  <si>
    <t>Moles of Ar from fresh air</t>
  </si>
  <si>
    <t>N*O2</t>
  </si>
  <si>
    <t>Theoretical required moles of O2 needed to convert the moles of ethanol and octante to only CO2 and H2O</t>
  </si>
  <si>
    <t>Equivalence</t>
  </si>
  <si>
    <t>Ratio of actual moles O2 to required moles O2</t>
  </si>
  <si>
    <t>N-O2-Def</t>
  </si>
  <si>
    <t>Missing moles of O2, will be negative if AFR is 'large'</t>
  </si>
  <si>
    <t>Low AFR</t>
  </si>
  <si>
    <t>N-CO</t>
  </si>
  <si>
    <t>Use rule for Low AFR (4/3)*deficit</t>
  </si>
  <si>
    <t>N-H2</t>
  </si>
  <si>
    <t>High AFR</t>
  </si>
  <si>
    <t>Use rule for High AFR 0.1*carbon in fuel</t>
  </si>
  <si>
    <t>Use rule for High AFR 0.1*hydrogen in fuel</t>
  </si>
  <si>
    <t>Select mas</t>
  </si>
  <si>
    <t>Pick the larger of two estimates</t>
  </si>
  <si>
    <t>N-CO2-fuel</t>
  </si>
  <si>
    <t>Remainder of fuel carbon not in CO is then in CO2 (note additional CO2 comes from dead air)</t>
  </si>
  <si>
    <t>N-H2O-fuel</t>
  </si>
  <si>
    <t>Remainder of fuel hydrogen not in H2 is then in H2O (note additional H2O comes from fresh air)</t>
  </si>
  <si>
    <t>N-O2-rem</t>
  </si>
  <si>
    <t>Remaider of oxygen from the fressh air not used to create CO2, CO, and H2O from the fuel components</t>
  </si>
  <si>
    <t>The three columns 'Dead' 'Fuel' and 'Air' indicate the origin stream of the moles of each species that occurs in products.  Only shaded boxes will have values</t>
  </si>
  <si>
    <t>Sum products</t>
  </si>
  <si>
    <t>Dead</t>
  </si>
  <si>
    <t>Air</t>
  </si>
  <si>
    <t>yi</t>
  </si>
  <si>
    <t>Mi</t>
  </si>
  <si>
    <t>SUMS</t>
  </si>
  <si>
    <t>m-prod</t>
  </si>
  <si>
    <t>using molecular weight of products and total moles of products, compute mass of products</t>
  </si>
  <si>
    <t>m-products should EXACTLY match the total mass of reactants</t>
  </si>
  <si>
    <t>error</t>
  </si>
  <si>
    <t>the difference should be zero, or less than 10^-16</t>
  </si>
  <si>
    <t>1st Law-Combustion</t>
  </si>
  <si>
    <t>using the mass and internal energies of the three components at beginning of combustion</t>
  </si>
  <si>
    <t>m10</t>
  </si>
  <si>
    <t>dead air</t>
  </si>
  <si>
    <t>m11</t>
  </si>
  <si>
    <t>fuel vapor</t>
  </si>
  <si>
    <t>m12</t>
  </si>
  <si>
    <t>fresh air</t>
  </si>
  <si>
    <t>Qout</t>
  </si>
  <si>
    <t>subtract heat loss in 1st law</t>
  </si>
  <si>
    <t>u14</t>
  </si>
  <si>
    <t>this is the ending specific internal energy of the combustion products. </t>
  </si>
  <si>
    <t>this is the ending specific voluem of the combustion products.</t>
  </si>
  <si>
    <t>T14</t>
  </si>
  <si>
    <t>use your property calculator given u,v of the combustion products, and the composition determined above from the mole balance of the reaction</t>
  </si>
  <si>
    <t>P14</t>
  </si>
  <si>
    <t>R14</t>
  </si>
  <si>
    <t>s14</t>
  </si>
  <si>
    <t>T13</t>
  </si>
  <si>
    <t>T13 = T14*rc</t>
  </si>
  <si>
    <t>P13</t>
  </si>
  <si>
    <t>P13 = P14 for isobaric</t>
  </si>
  <si>
    <t>Combustion Work</t>
  </si>
  <si>
    <t>w-out-comb</t>
  </si>
  <si>
    <t>A small amount of work occurs during the isobaric phase of combustion: w = P(dV) = R*(T13-T14)</t>
  </si>
  <si>
    <t>W-out-comb</t>
  </si>
  <si>
    <t>W-out = mprod*w-out</t>
  </si>
  <si>
    <t>Power Stroke</t>
  </si>
  <si>
    <t>Isentropic expansion of the combustion products</t>
  </si>
  <si>
    <t>s15=s14</t>
  </si>
  <si>
    <t>v15=Vbdc/m</t>
  </si>
  <si>
    <t>T15</t>
  </si>
  <si>
    <t>use property calculator given (v,s) and same composition of combustion products</t>
  </si>
  <si>
    <t>P15</t>
  </si>
  <si>
    <t>u15</t>
  </si>
  <si>
    <t>s15</t>
  </si>
  <si>
    <t>w-out-pwr</t>
  </si>
  <si>
    <t>w-out = (u14-u15)</t>
  </si>
  <si>
    <t>W-out-pwr</t>
  </si>
  <si>
    <t>Exhaust Minor Loss</t>
  </si>
  <si>
    <t>v-e</t>
  </si>
  <si>
    <t>the specific volume of the exhuast can be estimated from the dead state 5 value</t>
  </si>
  <si>
    <t>rho-e</t>
  </si>
  <si>
    <t>density = 1/v</t>
  </si>
  <si>
    <t>V-e</t>
  </si>
  <si>
    <t>flow speed from volumetric flow rate at V-RMS / 2 (for two port) divided by area of exhaust port</t>
  </si>
  <si>
    <t>DP-e</t>
  </si>
  <si>
    <t>pressure drop of exhaust: P16 = Po + DP (back pressure rise)</t>
  </si>
  <si>
    <t>P16</t>
  </si>
  <si>
    <t>The hot combustion gase will expand down to P16 when the exhaust value opens, model as isentropic expansion</t>
  </si>
  <si>
    <t>s16=s15</t>
  </si>
  <si>
    <t>T16</t>
  </si>
  <si>
    <t>Use property calculator for (P,s) for combustion products expansion down to P16</t>
  </si>
  <si>
    <t>v16</t>
  </si>
  <si>
    <t>V16</t>
  </si>
  <si>
    <t>If V16 is greater than V-BDC -&gt; the residual pressure is sufficient to fully expell the exhaust gas without piston work.  If V16 &lt; V-BDC, then pump work must be used to expel V-expel = (V-BDC - V16)</t>
  </si>
  <si>
    <t>V-expel</t>
  </si>
  <si>
    <t>W-exhaust</t>
  </si>
  <si>
    <t>W-exhaust = V-expel*DP</t>
  </si>
  <si>
    <t>W-exh-prac</t>
  </si>
  <si>
    <t>Set W-exhaust = 0 if negative</t>
  </si>
  <si>
    <t>Work Summary</t>
  </si>
  <si>
    <t>W-stroke</t>
  </si>
  <si>
    <t>4 stroke works per cycle, negative</t>
  </si>
  <si>
    <t>1 pump work per cycle, negative</t>
  </si>
  <si>
    <t>1 compression work per cycle (from three gas components), negative</t>
  </si>
  <si>
    <t>W-comb</t>
  </si>
  <si>
    <t>1 combustion work per cycle (from the isobaric piston motion state 13 -&gt; 14), positive</t>
  </si>
  <si>
    <t>W-power</t>
  </si>
  <si>
    <t>1 power stroke per cycle, positive</t>
  </si>
  <si>
    <t>1 exhaust pump stroke, negative or zero</t>
  </si>
  <si>
    <t>Wnet</t>
  </si>
  <si>
    <t>sum of all work terms</t>
  </si>
  <si>
    <t>Performance Summary</t>
  </si>
  <si>
    <t>Qin-eq</t>
  </si>
  <si>
    <t>previously estimated in heat loss model</t>
  </si>
  <si>
    <t>Eff</t>
  </si>
  <si>
    <t>Wnet/Qin</t>
  </si>
  <si>
    <t>Power</t>
  </si>
  <si>
    <t>Wnet*RPM/120 for four-stroke engine</t>
  </si>
  <si>
    <t>kW</t>
  </si>
  <si>
    <t>mdot-fuel</t>
  </si>
  <si>
    <t>kg/s</t>
  </si>
  <si>
    <t>m-fuel*RPM/120 for four stroke engine</t>
  </si>
  <si>
    <t>g/s</t>
  </si>
  <si>
    <t>Vdot-fuel</t>
  </si>
  <si>
    <t>L/s</t>
  </si>
  <si>
    <t>mdot-fuel/density liquid fuel</t>
  </si>
  <si>
    <t>L/hr</t>
  </si>
  <si>
    <t>Vehicle Dynamics</t>
  </si>
  <si>
    <t>Speed</t>
  </si>
  <si>
    <t>mph</t>
  </si>
  <si>
    <t>Frontal Area</t>
  </si>
  <si>
    <t>CD</t>
  </si>
  <si>
    <t>rho-0</t>
  </si>
  <si>
    <t>kg/m^3</t>
  </si>
  <si>
    <t>Pdyn</t>
  </si>
  <si>
    <t>F-drag</t>
  </si>
  <si>
    <t>m-car</t>
  </si>
  <si>
    <t>W-car</t>
  </si>
  <si>
    <t>Cr</t>
  </si>
  <si>
    <t>F-roll</t>
  </si>
  <si>
    <t>F-net</t>
  </si>
  <si>
    <t>Wdot-mech</t>
  </si>
  <si>
    <t>Trans-Eff</t>
  </si>
  <si>
    <t>Wdot-crank</t>
  </si>
  <si>
    <t>For Case 2, engine RPM needs to be adjusted so that Wdot-crank = Power</t>
  </si>
  <si>
    <t>Neth</t>
  </si>
  <si>
    <t>Noct</t>
  </si>
  <si>
    <t>MM</t>
  </si>
  <si>
    <t>hmix</t>
  </si>
  <si>
    <t>Vbar-in</t>
  </si>
  <si>
    <t>Mfresh</t>
  </si>
  <si>
    <t>USE B260</t>
  </si>
  <si>
    <t>MEP</t>
  </si>
  <si>
    <t>s3</t>
  </si>
  <si>
    <t>If positive use</t>
  </si>
  <si>
    <t>if used D315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</si>
</sst>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1"/>
      <color theme="1"/>
      <name val="Calibri"/>
      <family val="2"/>
      <scheme val="minor"/>
    </font>
    <font>
      <sz val="11"/>
      <color theme="1"/>
      <name val="Calibri"/>
      <family val="2"/>
      <scheme val="minor"/>
    </font>
    <font>
      <b/>
      <sz val="9"/>
      <color rgb="FF000000"/>
      <name val="Calibri"/>
      <family val="2"/>
    </font>
    <font>
      <sz val="9"/>
      <color rgb="FF000000"/>
      <name val="Symbol"/>
      <charset val="2"/>
    </font>
    <font>
      <sz val="9"/>
      <color rgb="FF000000"/>
      <name val="Calibri"/>
      <family val="2"/>
    </font>
    <font>
      <vertAlign val="superscript"/>
      <sz val="6"/>
      <color rgb="FF000000"/>
      <name val="Calibri"/>
      <family val="2"/>
    </font>
    <font>
      <vertAlign val="subscript"/>
      <sz val="6"/>
      <color rgb="FF000000"/>
      <name val="Calibri"/>
      <family val="2"/>
    </font>
    <font>
      <sz val="9"/>
      <color rgb="FFFB0007"/>
      <name val="Calibri"/>
      <family val="2"/>
    </font>
    <font>
      <sz val="9"/>
      <color rgb="FF000000"/>
      <name val="Helvetica"/>
      <family val="2"/>
    </font>
    <font>
      <b/>
      <sz val="9"/>
      <color rgb="FF000000"/>
      <name val="Helvetica"/>
      <family val="2"/>
    </font>
    <font>
      <b/>
      <vertAlign val="subscript"/>
      <sz val="6"/>
      <color rgb="FF000000"/>
      <name val="Calibri"/>
      <family val="2"/>
    </font>
    <font>
      <sz val="11"/>
      <color rgb="FF00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FF0C1"/>
        <bgColor indexed="64"/>
      </patternFill>
    </fill>
    <fill>
      <patternFill patternType="solid">
        <fgColor rgb="FFDCECD2"/>
        <bgColor indexed="64"/>
      </patternFill>
    </fill>
    <fill>
      <patternFill patternType="solid">
        <fgColor rgb="FFD7E6F4"/>
        <bgColor indexed="64"/>
      </patternFill>
    </fill>
    <fill>
      <patternFill patternType="solid">
        <fgColor theme="8"/>
        <bgColor indexed="64"/>
      </patternFill>
    </fill>
    <fill>
      <patternFill patternType="solid">
        <fgColor theme="9"/>
        <bgColor indexed="64"/>
      </patternFill>
    </fill>
    <fill>
      <patternFill patternType="solid">
        <fgColor rgb="FF5B9BD5"/>
        <bgColor rgb="FF000000"/>
      </patternFill>
    </fill>
  </fills>
  <borders count="23">
    <border>
      <left/>
      <right/>
      <top/>
      <bottom/>
      <diagonal/>
    </border>
    <border>
      <left style="thin">
        <color rgb="FF9A9A9A"/>
      </left>
      <right style="thin">
        <color rgb="FF9A9A9A"/>
      </right>
      <top style="thick">
        <color rgb="FF000000"/>
      </top>
      <bottom style="thin">
        <color rgb="FF9A9A9A"/>
      </bottom>
      <diagonal/>
    </border>
    <border>
      <left style="thin">
        <color rgb="FF9A9A9A"/>
      </left>
      <right style="thin">
        <color rgb="FF9A9A9A"/>
      </right>
      <top style="thin">
        <color rgb="FF9A9A9A"/>
      </top>
      <bottom style="thick">
        <color rgb="FF000000"/>
      </bottom>
      <diagonal/>
    </border>
    <border>
      <left style="thin">
        <color rgb="FF9A9A9A"/>
      </left>
      <right style="thin">
        <color rgb="FF9A9A9A"/>
      </right>
      <top style="thin">
        <color rgb="FF9A9A9A"/>
      </top>
      <bottom style="thin">
        <color rgb="FF9A9A9A"/>
      </bottom>
      <diagonal/>
    </border>
    <border>
      <left style="thin">
        <color rgb="FF9A9A9A"/>
      </left>
      <right style="thin">
        <color rgb="FF9A9A9A"/>
      </right>
      <top style="thin">
        <color rgb="FF9A9A9A"/>
      </top>
      <bottom style="thin">
        <color rgb="FF000000"/>
      </bottom>
      <diagonal/>
    </border>
    <border>
      <left style="thin">
        <color rgb="FF9A9A9A"/>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9A9A9A"/>
      </right>
      <top style="thin">
        <color rgb="FF9A9A9A"/>
      </top>
      <bottom style="thin">
        <color rgb="FF9A9A9A"/>
      </bottom>
      <diagonal/>
    </border>
    <border>
      <left style="thin">
        <color rgb="FF9A9A9A"/>
      </left>
      <right style="thin">
        <color rgb="FF9A9A9A"/>
      </right>
      <top style="thin">
        <color rgb="FF000000"/>
      </top>
      <bottom style="thin">
        <color rgb="FF000000"/>
      </bottom>
      <diagonal/>
    </border>
    <border>
      <left style="thin">
        <color rgb="FF9A9A9A"/>
      </left>
      <right style="thin">
        <color rgb="FF9A9A9A"/>
      </right>
      <top style="thin">
        <color rgb="FF000000"/>
      </top>
      <bottom style="thin">
        <color rgb="FF9A9A9A"/>
      </bottom>
      <diagonal/>
    </border>
    <border>
      <left style="thin">
        <color rgb="FF9A9A9A"/>
      </left>
      <right style="thin">
        <color rgb="FF000000"/>
      </right>
      <top style="thin">
        <color rgb="FF9A9A9A"/>
      </top>
      <bottom style="thin">
        <color rgb="FF9A9A9A"/>
      </bottom>
      <diagonal/>
    </border>
    <border>
      <left style="thin">
        <color rgb="FF000000"/>
      </left>
      <right style="thin">
        <color rgb="FF000000"/>
      </right>
      <top style="thin">
        <color rgb="FF9A9A9A"/>
      </top>
      <bottom style="thin">
        <color rgb="FF9A9A9A"/>
      </bottom>
      <diagonal/>
    </border>
    <border>
      <left style="thin">
        <color rgb="FF9A9A9A"/>
      </left>
      <right style="thin">
        <color rgb="FF000000"/>
      </right>
      <top style="thin">
        <color rgb="FF9A9A9A"/>
      </top>
      <bottom style="thin">
        <color rgb="FF000000"/>
      </bottom>
      <diagonal/>
    </border>
    <border>
      <left style="thin">
        <color rgb="FF000000"/>
      </left>
      <right style="thin">
        <color rgb="FF9A9A9A"/>
      </right>
      <top style="thin">
        <color rgb="FF000000"/>
      </top>
      <bottom style="thin">
        <color rgb="FF9A9A9A"/>
      </bottom>
      <diagonal/>
    </border>
    <border>
      <left style="thin">
        <color rgb="FF9A9A9A"/>
      </left>
      <right style="thin">
        <color rgb="FF000000"/>
      </right>
      <top style="thin">
        <color rgb="FF000000"/>
      </top>
      <bottom style="thin">
        <color rgb="FF9A9A9A"/>
      </bottom>
      <diagonal/>
    </border>
    <border>
      <left style="thin">
        <color rgb="FF000000"/>
      </left>
      <right style="thin">
        <color rgb="FF9A9A9A"/>
      </right>
      <top style="thin">
        <color rgb="FF9A9A9A"/>
      </top>
      <bottom style="thin">
        <color rgb="FF000000"/>
      </bottom>
      <diagonal/>
    </border>
    <border>
      <left style="thin">
        <color rgb="FF9A9A9A"/>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9A9A9A"/>
      </left>
      <right style="thin">
        <color rgb="FF000000"/>
      </right>
      <top style="thick">
        <color rgb="FF000000"/>
      </top>
      <bottom style="thin">
        <color rgb="FF9A9A9A"/>
      </bottom>
      <diagonal/>
    </border>
    <border>
      <left style="thin">
        <color rgb="FF000000"/>
      </left>
      <right style="thin">
        <color rgb="FF000000"/>
      </right>
      <top style="thick">
        <color rgb="FF000000"/>
      </top>
      <bottom style="thin">
        <color rgb="FF000000"/>
      </bottom>
      <diagonal/>
    </border>
    <border>
      <left style="thin">
        <color rgb="FF000000"/>
      </left>
      <right style="thin">
        <color rgb="FF9A9A9A"/>
      </right>
      <top style="thick">
        <color rgb="FF000000"/>
      </top>
      <bottom style="thin">
        <color rgb="FF9A9A9A"/>
      </bottom>
      <diagonal/>
    </border>
    <border>
      <left style="thin">
        <color rgb="FF9A9A9A"/>
      </left>
      <right style="thin">
        <color rgb="FF9A9A9A"/>
      </right>
      <top/>
      <bottom/>
      <diagonal/>
    </border>
    <border>
      <left/>
      <right style="thin">
        <color rgb="FF9A9A9A"/>
      </right>
      <top style="thin">
        <color rgb="FF9A9A9A"/>
      </top>
      <bottom style="thin">
        <color rgb="FF9A9A9A"/>
      </bottom>
      <diagonal/>
    </border>
  </borders>
  <cellStyleXfs count="1">
    <xf numFmtId="0" fontId="0" fillId="0" borderId="0"/>
  </cellStyleXfs>
  <cellXfs count="61">
    <xf numFmtId="0" fontId="0" fillId="0" borderId="0" xfId="0"/>
    <xf numFmtId="164" fontId="0" fillId="0" borderId="0" xfId="0" applyNumberFormat="1"/>
    <xf numFmtId="0" fontId="2" fillId="2" borderId="1" xfId="0" applyFont="1" applyFill="1" applyBorder="1" applyAlignment="1">
      <alignment wrapText="1"/>
    </xf>
    <xf numFmtId="0" fontId="3" fillId="2" borderId="1" xfId="0" applyFont="1" applyFill="1" applyBorder="1" applyAlignment="1">
      <alignment wrapText="1"/>
    </xf>
    <xf numFmtId="0" fontId="4" fillId="2" borderId="2" xfId="0" applyFont="1" applyFill="1" applyBorder="1" applyAlignment="1">
      <alignment wrapText="1"/>
    </xf>
    <xf numFmtId="0" fontId="4" fillId="2" borderId="1" xfId="0" applyFont="1" applyFill="1" applyBorder="1" applyAlignment="1">
      <alignment wrapText="1"/>
    </xf>
    <xf numFmtId="0" fontId="4" fillId="2" borderId="3" xfId="0" applyFont="1" applyFill="1" applyBorder="1" applyAlignment="1">
      <alignment wrapText="1"/>
    </xf>
    <xf numFmtId="0" fontId="7" fillId="0" borderId="3" xfId="0" applyFont="1" applyBorder="1" applyAlignment="1">
      <alignment wrapText="1"/>
    </xf>
    <xf numFmtId="0" fontId="8" fillId="0" borderId="3" xfId="0" applyFont="1" applyBorder="1" applyAlignment="1">
      <alignment wrapText="1"/>
    </xf>
    <xf numFmtId="0" fontId="2" fillId="0" borderId="4" xfId="0" applyFont="1" applyBorder="1" applyAlignment="1">
      <alignment wrapText="1"/>
    </xf>
    <xf numFmtId="0" fontId="8" fillId="0" borderId="4" xfId="0" applyFont="1" applyBorder="1" applyAlignment="1">
      <alignment wrapText="1"/>
    </xf>
    <xf numFmtId="0" fontId="4" fillId="3" borderId="5" xfId="0" applyFont="1" applyFill="1" applyBorder="1" applyAlignment="1">
      <alignment wrapText="1"/>
    </xf>
    <xf numFmtId="0" fontId="4" fillId="3" borderId="6" xfId="0" applyFont="1" applyFill="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8" fillId="0" borderId="9" xfId="0" applyFont="1" applyBorder="1" applyAlignment="1">
      <alignment wrapText="1"/>
    </xf>
    <xf numFmtId="0" fontId="4" fillId="0" borderId="7" xfId="0" applyFont="1" applyBorder="1" applyAlignment="1">
      <alignment wrapText="1"/>
    </xf>
    <xf numFmtId="0" fontId="4" fillId="4" borderId="5" xfId="0" applyFont="1" applyFill="1" applyBorder="1" applyAlignment="1">
      <alignment wrapText="1"/>
    </xf>
    <xf numFmtId="0" fontId="7" fillId="4" borderId="6" xfId="0" applyFont="1" applyFill="1" applyBorder="1" applyAlignment="1">
      <alignment wrapText="1"/>
    </xf>
    <xf numFmtId="0" fontId="4" fillId="4" borderId="6" xfId="0" applyFont="1" applyFill="1" applyBorder="1" applyAlignment="1">
      <alignment wrapText="1"/>
    </xf>
    <xf numFmtId="0" fontId="2" fillId="0" borderId="3" xfId="0" applyFont="1" applyBorder="1" applyAlignment="1">
      <alignment wrapText="1"/>
    </xf>
    <xf numFmtId="10" fontId="7" fillId="4" borderId="6" xfId="0" applyNumberFormat="1" applyFont="1" applyFill="1" applyBorder="1" applyAlignment="1">
      <alignment wrapText="1"/>
    </xf>
    <xf numFmtId="0" fontId="8" fillId="3" borderId="6" xfId="0" applyFont="1" applyFill="1" applyBorder="1" applyAlignment="1">
      <alignment wrapText="1"/>
    </xf>
    <xf numFmtId="0" fontId="2" fillId="2" borderId="4" xfId="0" applyFont="1" applyFill="1" applyBorder="1" applyAlignment="1">
      <alignment wrapText="1"/>
    </xf>
    <xf numFmtId="0" fontId="4" fillId="0" borderId="10" xfId="0" applyFont="1" applyBorder="1" applyAlignment="1">
      <alignment wrapText="1"/>
    </xf>
    <xf numFmtId="0" fontId="8" fillId="5" borderId="6" xfId="0" applyFont="1" applyFill="1" applyBorder="1" applyAlignment="1">
      <alignment wrapText="1"/>
    </xf>
    <xf numFmtId="0" fontId="8" fillId="0" borderId="11" xfId="0" applyFont="1" applyBorder="1" applyAlignment="1">
      <alignment wrapText="1"/>
    </xf>
    <xf numFmtId="0" fontId="8" fillId="0" borderId="12" xfId="0" applyFont="1" applyBorder="1" applyAlignment="1">
      <alignment wrapText="1"/>
    </xf>
    <xf numFmtId="0" fontId="8" fillId="0" borderId="5" xfId="0" applyFont="1" applyBorder="1" applyAlignment="1">
      <alignment wrapText="1"/>
    </xf>
    <xf numFmtId="0" fontId="8" fillId="0" borderId="13" xfId="0" applyFont="1" applyBorder="1" applyAlignment="1">
      <alignment wrapText="1"/>
    </xf>
    <xf numFmtId="0" fontId="8" fillId="0" borderId="14" xfId="0" applyFont="1" applyBorder="1" applyAlignment="1">
      <alignment wrapText="1"/>
    </xf>
    <xf numFmtId="0" fontId="8" fillId="0" borderId="15" xfId="0" applyFont="1" applyBorder="1" applyAlignment="1">
      <alignment wrapText="1"/>
    </xf>
    <xf numFmtId="0" fontId="7" fillId="0" borderId="9" xfId="0" applyFont="1" applyBorder="1" applyAlignment="1">
      <alignment wrapText="1"/>
    </xf>
    <xf numFmtId="10" fontId="0" fillId="0" borderId="0" xfId="0" applyNumberFormat="1"/>
    <xf numFmtId="0" fontId="4" fillId="0" borderId="1" xfId="0" applyFont="1" applyBorder="1" applyAlignment="1">
      <alignment wrapText="1"/>
    </xf>
    <xf numFmtId="0" fontId="8" fillId="0" borderId="1" xfId="0" applyFont="1" applyBorder="1" applyAlignment="1">
      <alignment wrapText="1"/>
    </xf>
    <xf numFmtId="0" fontId="4" fillId="0" borderId="2" xfId="0" applyFont="1" applyBorder="1" applyAlignment="1">
      <alignment wrapText="1"/>
    </xf>
    <xf numFmtId="0" fontId="8" fillId="0" borderId="2" xfId="0" applyFont="1" applyBorder="1" applyAlignment="1">
      <alignment wrapText="1"/>
    </xf>
    <xf numFmtId="0" fontId="4" fillId="2" borderId="16" xfId="0" applyFont="1" applyFill="1" applyBorder="1" applyAlignment="1">
      <alignment wrapText="1"/>
    </xf>
    <xf numFmtId="0" fontId="8" fillId="5" borderId="17" xfId="0" applyFont="1" applyFill="1" applyBorder="1" applyAlignment="1">
      <alignment wrapText="1"/>
    </xf>
    <xf numFmtId="0" fontId="8" fillId="0" borderId="17" xfId="0" applyFont="1" applyBorder="1" applyAlignment="1">
      <alignment wrapText="1"/>
    </xf>
    <xf numFmtId="0" fontId="8" fillId="3" borderId="17" xfId="0" applyFont="1" applyFill="1" applyBorder="1" applyAlignment="1">
      <alignment wrapText="1"/>
    </xf>
    <xf numFmtId="0" fontId="8" fillId="0" borderId="18" xfId="0" applyFont="1" applyBorder="1" applyAlignment="1">
      <alignment wrapText="1"/>
    </xf>
    <xf numFmtId="0" fontId="4" fillId="5" borderId="19" xfId="0" applyFont="1" applyFill="1" applyBorder="1" applyAlignment="1">
      <alignment wrapText="1"/>
    </xf>
    <xf numFmtId="0" fontId="8" fillId="0" borderId="20" xfId="0" applyFont="1" applyBorder="1" applyAlignment="1">
      <alignment wrapText="1"/>
    </xf>
    <xf numFmtId="0" fontId="4" fillId="3" borderId="19" xfId="0" applyFont="1" applyFill="1" applyBorder="1" applyAlignment="1">
      <alignment wrapText="1"/>
    </xf>
    <xf numFmtId="0" fontId="1" fillId="0" borderId="0" xfId="0" applyFont="1"/>
    <xf numFmtId="0" fontId="4" fillId="2" borderId="0" xfId="0" applyFont="1" applyFill="1" applyAlignment="1">
      <alignment wrapText="1"/>
    </xf>
    <xf numFmtId="0" fontId="8" fillId="0" borderId="21" xfId="0" applyFont="1" applyBorder="1" applyAlignment="1">
      <alignment wrapText="1"/>
    </xf>
    <xf numFmtId="0" fontId="8" fillId="0" borderId="0" xfId="0" applyFont="1" applyAlignment="1">
      <alignment wrapText="1"/>
    </xf>
    <xf numFmtId="0" fontId="4" fillId="6" borderId="3" xfId="0" applyFont="1" applyFill="1" applyBorder="1" applyAlignment="1">
      <alignment wrapText="1"/>
    </xf>
    <xf numFmtId="0" fontId="8" fillId="6" borderId="3" xfId="0" applyFont="1" applyFill="1" applyBorder="1" applyAlignment="1">
      <alignment wrapText="1"/>
    </xf>
    <xf numFmtId="0" fontId="4" fillId="7" borderId="3" xfId="0" applyFont="1" applyFill="1" applyBorder="1" applyAlignment="1">
      <alignment wrapText="1"/>
    </xf>
    <xf numFmtId="0" fontId="8" fillId="7" borderId="3" xfId="0" applyFont="1" applyFill="1" applyBorder="1" applyAlignment="1">
      <alignment wrapText="1"/>
    </xf>
    <xf numFmtId="0" fontId="11" fillId="0" borderId="0" xfId="0" applyFont="1"/>
    <xf numFmtId="0" fontId="8" fillId="0" borderId="22" xfId="0" applyFont="1" applyBorder="1" applyAlignment="1">
      <alignment wrapText="1"/>
    </xf>
    <xf numFmtId="0" fontId="8" fillId="8" borderId="3" xfId="0" applyFont="1"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eetMetadata" Target="metadata.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1DDB2C1-463B-4FD7-9266-22F4407D9C44}">
  <we:reference id="wa104100404" version="3.0.0.1" store="en-US" storeType="omex"/>
  <we:alternateReferences>
    <we:reference id="wa104100404" version="3.0.0.1" store="en-US" storeType="omex"/>
  </we:alternateReferences>
  <we:properties>
    <we:property name="ABEBQWhwbQUAOlsZOggpCQ==" value="&quot;bAISXmA=&quot;"/>
    <we:property name="ABEBQWhwbQUAOlsZOggpCXk=" value="&quot;&quot;"/>
    <we:property name="ABEBQWhwbR4AMH8RNg==" value="&quot;eg==&quot;"/>
    <we:property name="ABEBQWhwbRwDIg==" value="&quot;bA0SUW0=&quot;"/>
    <we:property name="ABEBQWhwbSAOJEQdKjs+CSw=" value="&quot;eA==&quot;"/>
    <we:property name="ABEBQWhwbSAOJEQdKjs+Ejt3" value="&quot;fmgCWG5hfGQ=&quot;"/>
    <we:property name="ABEBQWhwbSAOJEQdKjs+FjA=" value="&quot;eA==&quot;"/>
    <we:property name="ABEBQWhwbSAOJEQdKjs+GD4=" value="&quot;eQ==&quot;"/>
    <we:property name="ABEBQWhwbSAOJEQdKjs+HyR3" value="&quot;aHsW&quot;"/>
    <we:property name="ABEBQWhwbSAOJEQdKjs+Hzs=" value="&quot;fQ==&quot;"/>
    <we:property name="ABEBQWhwbSAOJEQdKjs/CTI=" value="&quot;eXYG&quot;"/>
    <we:property name="ABEBQWhwbSAOJEQdKjs/Dik=" value="&quot;eA==&quot;"/>
    <we:property name="ABEBQWhwbSAOJEQdKjs/FSs=" value="&quot;eA==&quot;"/>
    <we:property name="ABEBQWhwbSAOJEQdKjs/GSQ=" value="&quot;eQ==&quot;"/>
    <we:property name="ABEBQWhwbSAOJEQdKjs4FSQ=" value="&quot;eGgGWA==&quot;"/>
    <we:property name="ABEBQWhwbSAOJEQdKjs6GyQ=" value="&quot;eA==&quot;"/>
    <we:property name="ABEBQWhwbSAOJEQdKjs8CC0=" value="&quot;eGgGWWlpfGI=&quot;"/>
    <we:property name="ABEBQWhwbSAOJEQdKjsgCjg=" value="&quot;eA==&quot;"/>
    <we:property name="ABEBQWhwbSAOJEQdKjsgCjw=" value="&quot;eA==&quot;"/>
    <we:property name="ABEBQWhwbSAOJEQdKjsgEjt3" value="&quot;bBISXmA=&quot;"/>
    <we:property name="ABEBQWhwbSAOJEQdKjshCDw=" value="&quot;eGgGXmw=&quot;"/>
    <we:property name="ABEBQWhwbSAOJEQdKjshCSQ=" value="&quot;eA==&quot;"/>
    <we:property name="ABEBQWhwbSAOJEQdKjshFCE=" value="&quot;e3Y=&quot;"/>
    <we:property name="ABEBQWhwbSAOJEQdKjshHzw=" value="&quot;eQ==&quot;"/>
    <we:property name="ABEBQWhwbSAOJEQdKjsiDyU=" value="&quot;eA==&quot;"/>
    <we:property name="ABEBQWhwbSAOJEQdKjsiHy8=" value="&quot;eQ==&quot;"/>
    <we:property name="ABEBQWhwbSAOJEQdKjslCiE=" value="&quot;eQ==&quot;"/>
    <we:property name="ABEBQWhwbSAOJEQdKjslCiw=" value="&quot;ew==&quot;"/>
    <we:property name="ABEBQWhwbSAOJEQdKjslCjs=" value="&quot;eGgPUA==&quot;"/>
    <we:property name="ABEBQWhwbSAOJEQdKjspFC8=" value="&quot;DxRx&quot;"/>
    <we:property name="ABEBQWhwbSAOJEQdKjsqHyk=" value="&quot;eGgGWWlpfGI=&quot;"/>
    <we:property name="ABEBQWhwbSAOJEQdKjsrGzg=" value="&quot;eGgGWWlpfGI=&quot;"/>
    <we:property name="ABEBQWhwbSAOJEQdKjstCDs=" value="&quot;eQ==&quot;"/>
    <we:property name="ABEBQWhwbSAOJEQdKjstGSs=" value="&quot;eGgGWWg=&quot;"/>
    <we:property name="ABEBQWhwbSAOJEQdKjsvDC8=" value="&quot;eGgGWWlo&quot;"/>
    <we:property name="ByRc" value="&quot;&quot;"/>
    <we:property name="Gy5TDC1rbQUAOlsZOggpCQ==" value="&quot;bAISXWs=&quot;"/>
    <we:property name="Gy5TDC1rbR4AMH8RNg==" value="&quot;eg==&quot;"/>
    <we:property name="Gy5TDC1rbRwDIg==" value="&quot;bA0SXW8=&quot;"/>
    <we:property name="OylaHzwrEz0ELw==" value="&quot;eQ==&quot;"/>
    <we:property name="OylaHzwrEzYPLw==" value="&quot;DxRx&quot;"/>
    <we:property name="UniqueID" value="&quot;20231091699560332006&quot;"/>
    <we:property name="ABEBQWhwbQUAOlsZOggpCXo=" value="&quot;&quot;"/>
    <we:property name="ABEBQWhwbQUAOlsZOggpCXg=" value="&quot;&quot;"/>
  </we:properties>
  <we:bindings>
    <we:binding id="Var$E$42" type="matrix" appref="{8E121C26-D075-4E6B-A320-3E26EB067574}"/>
    <we:binding id="Var$D$68" type="matrix" appref="{16D175A6-9DC2-4DD2-A51A-D9188E0A8C09}"/>
    <we:binding id="Var$D$42" type="matrix" appref="{7077CFC2-8EC2-49C3-905A-F87683D6F051}"/>
    <we:binding id="1Var0" type="matrix" appref="{1A8CBC74-D84A-BF4F-B39E-383B49B6C420}"/>
    <we:binding id="refEdit" type="matrix" appref="{8598B0D2-7341-AF41-A250-B1F70264886D}"/>
    <we:binding id="Worker" type="matrix" appref="{049ACFD1-837A-4049-8730-1FF239C30173}"/>
    <we:binding id="Var0" type="matrix" appref="{05315286-62A3-E449-A53C-A1624DA5BB03}"/>
    <we:binding id="Var$D$48" type="matrix" appref="{09BC05C3-10D0-0645-A9EA-C580704DAF33}"/>
    <we:binding id="Var$E$48" type="matrix" appref="{A96385FE-21C8-AE45-859C-32E71FD51188}"/>
    <we:binding id="Var$D$15" type="matrix" appref="{B7266BAB-8EF1-1340-85B2-4F7848CC0896}"/>
    <we:binding id="Var$E$15" type="matrix" appref="{6032AA63-7DA7-C146-B2C4-826F6C2135CE}"/>
    <we:binding id="Var$E$79" type="matrix" appref="{5C174E7E-C9ED-0E43-ADFB-E0A9DE1370C2}"/>
    <we:binding id="Obj" type="matrix" appref="{6789D5ED-A059-AF4F-B283-1C1ED1E29112}"/>
    <we:binding id="Var$D$79" type="matrix" appref="{D815E3E1-AD1C-2348-A013-4301EFF6EF23}"/>
  </we:bindings>
  <we:snapshot xmlns:r="http://schemas.openxmlformats.org/officeDocument/2006/relationships"/>
  <we:extLst>
    <a:ext xmlns:a="http://schemas.openxmlformats.org/drawingml/2006/main" uri="{D87F86FE-615C-45B5-9D79-34F1136793EB}">
      <we:containsCustomFunctions/>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AB89"/>
  <sheetViews>
    <sheetView topLeftCell="A4" workbookViewId="0">
      <selection activeCell="R9" sqref="R9"/>
    </sheetView>
  </sheetViews>
  <sheetFormatPr baseColWidth="10" defaultColWidth="8.83203125" defaultRowHeight="15" x14ac:dyDescent="0.2"/>
  <cols>
    <col min="4" max="4" width="9.33203125" bestFit="1" customWidth="1"/>
    <col min="6" max="8" width="9.33203125" bestFit="1" customWidth="1"/>
    <col min="12" max="12" width="9.33203125" bestFit="1" customWidth="1"/>
  </cols>
  <sheetData>
    <row r="2" spans="4:28" x14ac:dyDescent="0.2">
      <c r="F2" t="s">
        <v>0</v>
      </c>
      <c r="N2" t="s">
        <v>1</v>
      </c>
    </row>
    <row r="3" spans="4:28" x14ac:dyDescent="0.2">
      <c r="F3">
        <v>0</v>
      </c>
      <c r="G3">
        <v>1</v>
      </c>
      <c r="H3">
        <v>2</v>
      </c>
      <c r="I3">
        <v>3</v>
      </c>
      <c r="J3">
        <v>4</v>
      </c>
      <c r="K3">
        <v>5</v>
      </c>
      <c r="L3">
        <v>6</v>
      </c>
      <c r="N3" t="s">
        <v>2</v>
      </c>
      <c r="O3" t="s">
        <v>3</v>
      </c>
      <c r="P3" t="s">
        <v>4</v>
      </c>
      <c r="Q3" t="s">
        <v>5</v>
      </c>
      <c r="R3" t="s">
        <v>6</v>
      </c>
      <c r="S3" t="s">
        <v>7</v>
      </c>
      <c r="T3" t="s">
        <v>8</v>
      </c>
      <c r="U3" s="2" t="s">
        <v>9</v>
      </c>
      <c r="V3" s="3" t="s">
        <v>10</v>
      </c>
      <c r="W3" s="3" t="s">
        <v>11</v>
      </c>
      <c r="X3" s="3" t="s">
        <v>12</v>
      </c>
      <c r="Y3" s="3" t="s">
        <v>13</v>
      </c>
      <c r="Z3" s="3" t="s">
        <v>14</v>
      </c>
      <c r="AA3" s="3" t="s">
        <v>15</v>
      </c>
      <c r="AB3" s="3" t="s">
        <v>16</v>
      </c>
    </row>
    <row r="4" spans="4:28" x14ac:dyDescent="0.2">
      <c r="F4">
        <v>1</v>
      </c>
      <c r="G4">
        <f>D9^1</f>
        <v>298.14999999999998</v>
      </c>
      <c r="H4">
        <f>D9^2</f>
        <v>88893.422499999986</v>
      </c>
      <c r="I4">
        <f>D9^3</f>
        <v>26503573.918374993</v>
      </c>
      <c r="J4">
        <f>D9^4</f>
        <v>7902040563.763504</v>
      </c>
      <c r="K4">
        <f>D9^5</f>
        <v>2355993394086.0884</v>
      </c>
      <c r="L4">
        <f>D9^6</f>
        <v>702439430446767.25</v>
      </c>
      <c r="N4">
        <f>SUMPRODUCT(F9:L9, U14:AA14)</f>
        <v>3.4064000000000001</v>
      </c>
      <c r="O4">
        <f>(SUMPRODUCT(F9:L9, U15:AA15))*G4*0.001</f>
        <v>5.8884624999999975E-2</v>
      </c>
      <c r="P4">
        <f>(SUMPRODUCT(F9:L9, U16:AA16))*H4*0.000001</f>
        <v>0.10469867302049997</v>
      </c>
      <c r="Q4">
        <f>(SUMPRODUCT(F9:L9, U17:AA17))*I4*0.000000001</f>
        <v>-1.7929667755780684E-2</v>
      </c>
      <c r="R4">
        <f>(SUMPRODUCT(F9:L9, U18:AA18))*J4*0.000000000001</f>
        <v>3.8482937545528264E-4</v>
      </c>
      <c r="S4">
        <v>0</v>
      </c>
      <c r="T4">
        <v>0</v>
      </c>
      <c r="U4" s="4" t="s">
        <v>17</v>
      </c>
      <c r="V4" s="4" t="s">
        <v>18</v>
      </c>
      <c r="W4" s="4" t="s">
        <v>19</v>
      </c>
      <c r="X4" s="4" t="s">
        <v>20</v>
      </c>
      <c r="Y4" s="4" t="s">
        <v>21</v>
      </c>
      <c r="Z4" s="4" t="s">
        <v>22</v>
      </c>
      <c r="AA4" s="4" t="s">
        <v>23</v>
      </c>
      <c r="AB4" s="4" t="s">
        <v>24</v>
      </c>
    </row>
    <row r="5" spans="4:28" x14ac:dyDescent="0.2">
      <c r="F5">
        <f>D9</f>
        <v>298.14999999999998</v>
      </c>
      <c r="G5">
        <f>(D9*D9)/2</f>
        <v>44446.711249999993</v>
      </c>
      <c r="H5">
        <f>(D9*D9*D9)/3</f>
        <v>8834524.6394583303</v>
      </c>
      <c r="I5">
        <f>(D9*D9*D9*D9)/4</f>
        <v>1975510140.9408758</v>
      </c>
      <c r="J5">
        <f>(D9*D9*D9*D9*D9)/5</f>
        <v>471198678817.21765</v>
      </c>
      <c r="K5">
        <f>(D9*D9*D9*D9*D9*D9)/6</f>
        <v>117073238407794.55</v>
      </c>
      <c r="L5">
        <f>(D9*D9*D9*D9*D9*D9*D9)/7</f>
        <v>2.9918902312529092E+16</v>
      </c>
      <c r="N5">
        <f>SUMPRODUCT(F9:L9, U14:AA14)</f>
        <v>3.4064000000000001</v>
      </c>
      <c r="O5">
        <f>(SUMPRODUCT(F9:L9, U15:AA15))*0.001</f>
        <v>1.9749999999999992E-4</v>
      </c>
      <c r="P5">
        <f>(SUMPRODUCT(F9:L9, U16:AA16))*0.000001</f>
        <v>1.1778E-6</v>
      </c>
      <c r="Q5">
        <f>(SUMPRODUCT(F9:L9, U17:AA17))*0.000000001</f>
        <v>-6.7649999999999999E-10</v>
      </c>
      <c r="R5">
        <f>(SUMPRODUCT(F9:L9, U18:AA18))*0.000000000001</f>
        <v>4.8699999999999997E-14</v>
      </c>
      <c r="S5">
        <v>0</v>
      </c>
      <c r="T5">
        <v>0</v>
      </c>
      <c r="U5" s="5" t="s">
        <v>25</v>
      </c>
      <c r="V5" s="5">
        <v>3.6749999999999998</v>
      </c>
      <c r="W5" s="5">
        <v>-1.208</v>
      </c>
      <c r="X5" s="5">
        <v>2.3239999999999998</v>
      </c>
      <c r="Y5" s="5">
        <v>-0.63200000000000001</v>
      </c>
      <c r="Z5" s="5">
        <v>-0.22600000000000001</v>
      </c>
      <c r="AA5" s="5">
        <v>0</v>
      </c>
      <c r="AB5" s="5">
        <v>0</v>
      </c>
    </row>
    <row r="6" spans="4:28" x14ac:dyDescent="0.2">
      <c r="F6">
        <f>LN(F5)</f>
        <v>5.697596715569115</v>
      </c>
      <c r="G6">
        <f t="shared" ref="G6:L6" si="0">F5</f>
        <v>298.14999999999998</v>
      </c>
      <c r="H6">
        <f t="shared" si="0"/>
        <v>44446.711249999993</v>
      </c>
      <c r="I6">
        <f t="shared" si="0"/>
        <v>8834524.6394583303</v>
      </c>
      <c r="J6">
        <f t="shared" si="0"/>
        <v>1975510140.9408758</v>
      </c>
      <c r="K6">
        <f t="shared" si="0"/>
        <v>471198678817.21765</v>
      </c>
      <c r="L6">
        <f t="shared" si="0"/>
        <v>117073238407794.55</v>
      </c>
      <c r="U6" s="6" t="s">
        <v>26</v>
      </c>
      <c r="V6" s="6">
        <v>3.6259999999999999</v>
      </c>
      <c r="W6" s="6">
        <v>-1.8779999999999999</v>
      </c>
      <c r="X6" s="6">
        <v>7.0549999999999997</v>
      </c>
      <c r="Y6" s="6">
        <v>-6.7640000000000002</v>
      </c>
      <c r="Z6" s="6">
        <v>2.1560000000000001</v>
      </c>
      <c r="AA6" s="6">
        <v>0</v>
      </c>
      <c r="AB6" s="6">
        <v>0</v>
      </c>
    </row>
    <row r="7" spans="4:28" x14ac:dyDescent="0.2">
      <c r="D7" t="s">
        <v>27</v>
      </c>
      <c r="N7" t="s">
        <v>28</v>
      </c>
      <c r="U7" s="6" t="s">
        <v>29</v>
      </c>
      <c r="V7" s="6">
        <v>4.07</v>
      </c>
      <c r="W7" s="6">
        <v>-1.1080000000000001</v>
      </c>
      <c r="X7" s="6">
        <v>4.1520000000000001</v>
      </c>
      <c r="Y7" s="6">
        <v>-2.964</v>
      </c>
      <c r="Z7" s="6">
        <v>0.80700000000000005</v>
      </c>
      <c r="AA7" s="6">
        <v>0</v>
      </c>
      <c r="AB7" s="6">
        <v>0</v>
      </c>
    </row>
    <row r="8" spans="4:28" x14ac:dyDescent="0.2">
      <c r="D8" t="s">
        <v>30</v>
      </c>
      <c r="E8" t="s">
        <v>31</v>
      </c>
      <c r="F8" t="s">
        <v>32</v>
      </c>
      <c r="G8" t="s">
        <v>33</v>
      </c>
      <c r="H8" t="s">
        <v>34</v>
      </c>
      <c r="I8" t="s">
        <v>35</v>
      </c>
      <c r="J8" t="s">
        <v>36</v>
      </c>
      <c r="K8" t="s">
        <v>37</v>
      </c>
      <c r="L8" t="s">
        <v>38</v>
      </c>
      <c r="N8" t="s">
        <v>39</v>
      </c>
      <c r="O8" t="s">
        <v>40</v>
      </c>
      <c r="P8" t="s">
        <v>41</v>
      </c>
      <c r="Q8" t="s">
        <v>42</v>
      </c>
      <c r="R8" t="s">
        <v>43</v>
      </c>
      <c r="S8" t="s">
        <v>44</v>
      </c>
      <c r="T8" t="s">
        <v>45</v>
      </c>
      <c r="U8" s="6" t="s">
        <v>46</v>
      </c>
      <c r="V8" s="6">
        <v>3.0569999999999999</v>
      </c>
      <c r="W8" s="6">
        <v>2.677</v>
      </c>
      <c r="X8" s="6">
        <v>-5.81</v>
      </c>
      <c r="Y8" s="6">
        <v>5.5209999999999999</v>
      </c>
      <c r="Z8" s="6">
        <v>-1.8120000000000001</v>
      </c>
      <c r="AA8" s="6">
        <v>0</v>
      </c>
      <c r="AB8" s="6">
        <v>0</v>
      </c>
    </row>
    <row r="9" spans="4:28" x14ac:dyDescent="0.2">
      <c r="D9" s="50">
        <v>298.14999999999998</v>
      </c>
      <c r="E9">
        <v>100</v>
      </c>
      <c r="F9">
        <v>0.4</v>
      </c>
      <c r="G9">
        <v>0.1</v>
      </c>
      <c r="H9">
        <v>0.1</v>
      </c>
      <c r="I9">
        <v>0.1</v>
      </c>
      <c r="J9">
        <v>0.1</v>
      </c>
      <c r="K9">
        <v>0.1</v>
      </c>
      <c r="L9">
        <v>0.1</v>
      </c>
      <c r="N9" s="1">
        <f>SUMPRODUCT(F9:L9, F10:L10)</f>
        <v>27.605042000000005</v>
      </c>
      <c r="O9">
        <f>8.31447/N9</f>
        <v>0.30119389059433416</v>
      </c>
      <c r="P9">
        <f>SUM(N4:R4)*O9</f>
        <v>1.0699727607559679</v>
      </c>
      <c r="Q9">
        <f>(O9*D9)/E9</f>
        <v>0.89800958480700732</v>
      </c>
      <c r="R9">
        <f>(O9)*SUMPRODUCT(N5:T5, F5:L5)</f>
        <v>311.28033285260614</v>
      </c>
      <c r="S9">
        <f>R9-(E9*Q9)</f>
        <v>221.47937437190541</v>
      </c>
      <c r="T9">
        <f>O9*(SUMPRODUCT(N5:T5,F6:L6))-(O9*LN(E9))</f>
        <v>4.4903421539801407</v>
      </c>
      <c r="U9" s="6" t="s">
        <v>47</v>
      </c>
      <c r="V9" s="6">
        <v>2.4009999999999998</v>
      </c>
      <c r="W9" s="6">
        <v>8.7349999999999994</v>
      </c>
      <c r="X9" s="6">
        <v>-6.6070000000000002</v>
      </c>
      <c r="Y9" s="6">
        <v>2.0019999999999998</v>
      </c>
      <c r="Z9" s="6">
        <v>0</v>
      </c>
      <c r="AA9" s="6">
        <v>0</v>
      </c>
      <c r="AB9" s="6">
        <v>0</v>
      </c>
    </row>
    <row r="10" spans="4:28" x14ac:dyDescent="0.2">
      <c r="F10">
        <v>28.013000000000002</v>
      </c>
      <c r="G10">
        <v>31.998999999999999</v>
      </c>
      <c r="H10">
        <v>18.015280000000001</v>
      </c>
      <c r="I10">
        <v>2.0159400000000001</v>
      </c>
      <c r="J10">
        <v>44.009799999999998</v>
      </c>
      <c r="K10">
        <v>28.010400000000001</v>
      </c>
      <c r="L10">
        <v>39.948</v>
      </c>
      <c r="U10" s="6" t="s">
        <v>48</v>
      </c>
      <c r="V10" s="6">
        <v>3.71</v>
      </c>
      <c r="W10" s="6">
        <v>-1.619</v>
      </c>
      <c r="X10" s="6">
        <v>3.6920000000000002</v>
      </c>
      <c r="Y10" s="6">
        <v>-2.032</v>
      </c>
      <c r="Z10" s="6">
        <v>0.24</v>
      </c>
      <c r="AA10" s="6">
        <v>0</v>
      </c>
      <c r="AB10" s="6">
        <v>0</v>
      </c>
    </row>
    <row r="11" spans="4:28" x14ac:dyDescent="0.2">
      <c r="U11" s="4" t="s">
        <v>49</v>
      </c>
      <c r="V11" s="4">
        <v>2.5</v>
      </c>
      <c r="W11" s="4">
        <v>0</v>
      </c>
      <c r="X11" s="4">
        <v>0</v>
      </c>
      <c r="Y11" s="4">
        <v>0</v>
      </c>
      <c r="Z11" s="4">
        <v>0</v>
      </c>
      <c r="AA11" s="4">
        <v>0</v>
      </c>
      <c r="AB11" s="4">
        <v>0</v>
      </c>
    </row>
    <row r="14" spans="4:28" x14ac:dyDescent="0.2">
      <c r="T14" t="s">
        <v>2</v>
      </c>
      <c r="U14">
        <v>3.6749999999999998</v>
      </c>
      <c r="V14">
        <v>3.6259999999999999</v>
      </c>
      <c r="W14">
        <v>4.07</v>
      </c>
      <c r="X14" s="6">
        <v>3.0569999999999999</v>
      </c>
      <c r="Y14" s="6">
        <v>2.4009999999999998</v>
      </c>
      <c r="Z14" s="6">
        <v>3.71</v>
      </c>
      <c r="AA14" s="4">
        <v>2.5</v>
      </c>
    </row>
    <row r="15" spans="4:28" x14ac:dyDescent="0.2">
      <c r="T15" t="s">
        <v>3</v>
      </c>
      <c r="U15" s="5">
        <v>-1.208</v>
      </c>
      <c r="V15" s="6">
        <v>-1.8779999999999999</v>
      </c>
      <c r="W15" s="6">
        <v>-1.1080000000000001</v>
      </c>
      <c r="X15" s="6">
        <v>2.677</v>
      </c>
      <c r="Y15" s="6">
        <v>8.7349999999999994</v>
      </c>
      <c r="Z15" s="6">
        <v>-1.619</v>
      </c>
      <c r="AA15" s="4">
        <v>0</v>
      </c>
    </row>
    <row r="16" spans="4:28" x14ac:dyDescent="0.2">
      <c r="T16" t="s">
        <v>4</v>
      </c>
      <c r="U16" s="5">
        <v>2.3239999999999998</v>
      </c>
      <c r="V16" s="6">
        <v>7.0549999999999997</v>
      </c>
      <c r="W16" s="6">
        <v>4.1520000000000001</v>
      </c>
      <c r="X16" s="6">
        <v>-5.81</v>
      </c>
      <c r="Y16" s="6">
        <v>-6.6070000000000002</v>
      </c>
      <c r="Z16" s="6">
        <v>3.6920000000000002</v>
      </c>
      <c r="AA16" s="4">
        <v>0</v>
      </c>
    </row>
    <row r="17" spans="4:28" x14ac:dyDescent="0.2">
      <c r="T17" t="s">
        <v>5</v>
      </c>
      <c r="U17" s="5">
        <v>-0.63200000000000001</v>
      </c>
      <c r="V17" s="6">
        <v>-6.7640000000000002</v>
      </c>
      <c r="W17" s="6">
        <v>-2.964</v>
      </c>
      <c r="X17" s="6">
        <v>5.5209999999999999</v>
      </c>
      <c r="Y17" s="6">
        <v>2.0019999999999998</v>
      </c>
      <c r="Z17" s="6">
        <v>-2.032</v>
      </c>
      <c r="AA17" s="4">
        <v>0</v>
      </c>
    </row>
    <row r="18" spans="4:28" x14ac:dyDescent="0.2">
      <c r="T18" t="s">
        <v>6</v>
      </c>
      <c r="U18" s="5">
        <v>-0.22600000000000001</v>
      </c>
      <c r="V18" s="6">
        <v>2.1560000000000001</v>
      </c>
      <c r="W18" s="6">
        <v>0.80700000000000005</v>
      </c>
      <c r="X18" s="6">
        <v>-1.8120000000000001</v>
      </c>
      <c r="Y18" s="6">
        <v>0</v>
      </c>
      <c r="Z18" s="6">
        <v>0.24</v>
      </c>
      <c r="AA18" s="4">
        <v>0</v>
      </c>
    </row>
    <row r="19" spans="4:28" x14ac:dyDescent="0.2">
      <c r="T19" t="s">
        <v>7</v>
      </c>
      <c r="U19">
        <v>0</v>
      </c>
      <c r="V19">
        <v>0</v>
      </c>
      <c r="W19">
        <v>0</v>
      </c>
      <c r="X19">
        <v>0</v>
      </c>
      <c r="Y19">
        <v>0</v>
      </c>
      <c r="Z19">
        <v>0</v>
      </c>
      <c r="AA19">
        <v>0</v>
      </c>
    </row>
    <row r="20" spans="4:28" x14ac:dyDescent="0.2">
      <c r="T20" t="s">
        <v>8</v>
      </c>
      <c r="U20">
        <v>0</v>
      </c>
      <c r="V20">
        <v>0</v>
      </c>
      <c r="W20">
        <v>0</v>
      </c>
      <c r="X20">
        <v>0</v>
      </c>
      <c r="Y20">
        <v>0</v>
      </c>
      <c r="Z20">
        <v>0</v>
      </c>
      <c r="AA20">
        <v>0</v>
      </c>
    </row>
    <row r="26" spans="4:28" x14ac:dyDescent="0.2">
      <c r="F26" t="s">
        <v>0</v>
      </c>
      <c r="N26" t="s">
        <v>1</v>
      </c>
    </row>
    <row r="27" spans="4:28" x14ac:dyDescent="0.2">
      <c r="F27">
        <v>0</v>
      </c>
      <c r="G27">
        <v>1</v>
      </c>
      <c r="H27">
        <v>2</v>
      </c>
      <c r="I27">
        <v>3</v>
      </c>
      <c r="J27">
        <v>4</v>
      </c>
      <c r="K27">
        <v>5</v>
      </c>
      <c r="L27">
        <v>6</v>
      </c>
      <c r="N27" t="s">
        <v>2</v>
      </c>
      <c r="O27" t="s">
        <v>3</v>
      </c>
      <c r="P27" t="s">
        <v>4</v>
      </c>
      <c r="Q27" t="s">
        <v>5</v>
      </c>
      <c r="R27" t="s">
        <v>6</v>
      </c>
      <c r="S27" t="s">
        <v>7</v>
      </c>
      <c r="T27" t="s">
        <v>8</v>
      </c>
      <c r="U27" s="2" t="s">
        <v>9</v>
      </c>
      <c r="V27" s="3" t="s">
        <v>10</v>
      </c>
      <c r="W27" s="3" t="s">
        <v>11</v>
      </c>
      <c r="X27" s="3" t="s">
        <v>12</v>
      </c>
      <c r="Y27" s="3" t="s">
        <v>13</v>
      </c>
      <c r="Z27" s="3" t="s">
        <v>14</v>
      </c>
      <c r="AA27" s="3" t="s">
        <v>15</v>
      </c>
      <c r="AB27" s="3" t="s">
        <v>16</v>
      </c>
    </row>
    <row r="28" spans="4:28" x14ac:dyDescent="0.2">
      <c r="F28">
        <v>1</v>
      </c>
      <c r="G28">
        <f>D33^1</f>
        <v>812.375</v>
      </c>
      <c r="H28">
        <f>D33^2</f>
        <v>659953.140625</v>
      </c>
      <c r="I28">
        <f>D33^3</f>
        <v>536129432.61523438</v>
      </c>
      <c r="J28">
        <f>D33^4</f>
        <v>435538147820.80103</v>
      </c>
      <c r="K28">
        <f>D33^5</f>
        <v>353820302835923.25</v>
      </c>
      <c r="L28">
        <f>D33^6</f>
        <v>2.8743476851633315E+17</v>
      </c>
      <c r="N28">
        <f>SUMPRODUCT(F33:L33, U38:AA38)</f>
        <v>3.6300059999999998</v>
      </c>
      <c r="O28">
        <f>(SUMPRODUCT(F33:L33, U39:AA39))*G28*0.001</f>
        <v>-1.0056741071000002</v>
      </c>
      <c r="P28">
        <f>(SUMPRODUCT(F33:L33, U40:AA40))*H28*0.000001</f>
        <v>2.0082675007850872</v>
      </c>
      <c r="Q28">
        <f>(SUMPRODUCT(F33:L33, U41:AA41))*I28*0.000000001</f>
        <v>-0.91057552436364309</v>
      </c>
      <c r="R28">
        <f>(SUMPRODUCT(F33:L33, U42:AA42))*J28*0.000000000001</f>
        <v>9.3022934472603222E-2</v>
      </c>
      <c r="S28">
        <v>0</v>
      </c>
      <c r="T28">
        <v>0</v>
      </c>
      <c r="U28" s="4" t="s">
        <v>17</v>
      </c>
      <c r="V28" s="4" t="s">
        <v>18</v>
      </c>
      <c r="W28" s="4" t="s">
        <v>19</v>
      </c>
      <c r="X28" s="4" t="s">
        <v>20</v>
      </c>
      <c r="Y28" s="4" t="s">
        <v>21</v>
      </c>
      <c r="Z28" s="4" t="s">
        <v>22</v>
      </c>
      <c r="AA28" s="4" t="s">
        <v>23</v>
      </c>
      <c r="AB28" s="4" t="s">
        <v>24</v>
      </c>
    </row>
    <row r="29" spans="4:28" x14ac:dyDescent="0.2">
      <c r="F29">
        <f>D33</f>
        <v>812.375</v>
      </c>
      <c r="G29">
        <f>(D33*D33)/2</f>
        <v>329976.5703125</v>
      </c>
      <c r="H29">
        <f>(D33*D33*D33)/3</f>
        <v>178709810.87174478</v>
      </c>
      <c r="I29">
        <f>(D33*D33*D33*D33)/4</f>
        <v>108884536955.20026</v>
      </c>
      <c r="J29">
        <f>(D33*D33*D33*D33*D33)/5</f>
        <v>70764060567184.656</v>
      </c>
      <c r="K29">
        <f>(D33*D33*D33*D33*D33*D33)/6</f>
        <v>4.7905794752722192E+16</v>
      </c>
      <c r="L29">
        <f>(D33*D33*D33*D33*D33*D33*D33)/7</f>
        <v>3.3357831439065162E+19</v>
      </c>
      <c r="N29">
        <f>SUMPRODUCT(F33:L33, U38:AA38)</f>
        <v>3.6300059999999998</v>
      </c>
      <c r="O29">
        <f>(SUMPRODUCT(F33:L33, U39:AA39))*0.001</f>
        <v>-1.2379432000000001E-3</v>
      </c>
      <c r="P29">
        <f>(SUMPRODUCT(F33:L33, U40:AA40))*0.000001</f>
        <v>3.0430455999999997E-6</v>
      </c>
      <c r="Q29">
        <f>(SUMPRODUCT(F33:L33, U41:AA41))*0.000000001</f>
        <v>-1.6984248000000003E-9</v>
      </c>
      <c r="R29">
        <f>(SUMPRODUCT(F33:L33, U42:AA42))*0.000000000001</f>
        <v>2.1358160000000005E-13</v>
      </c>
      <c r="S29">
        <v>0</v>
      </c>
      <c r="T29">
        <v>0</v>
      </c>
      <c r="U29" s="5" t="s">
        <v>25</v>
      </c>
      <c r="V29" s="5">
        <v>3.6749999999999998</v>
      </c>
      <c r="W29" s="5">
        <v>-1.208</v>
      </c>
      <c r="X29" s="5">
        <v>2.3239999999999998</v>
      </c>
      <c r="Y29" s="5">
        <v>-0.63200000000000001</v>
      </c>
      <c r="Z29" s="5">
        <v>-0.22600000000000001</v>
      </c>
      <c r="AA29" s="5">
        <v>0</v>
      </c>
      <c r="AB29" s="5">
        <v>0</v>
      </c>
    </row>
    <row r="30" spans="4:28" x14ac:dyDescent="0.2">
      <c r="F30">
        <f>LN(F29)</f>
        <v>6.6999620562145132</v>
      </c>
      <c r="G30">
        <f t="shared" ref="G30:L30" si="1">F29</f>
        <v>812.375</v>
      </c>
      <c r="H30">
        <f t="shared" si="1"/>
        <v>329976.5703125</v>
      </c>
      <c r="I30">
        <f t="shared" si="1"/>
        <v>178709810.87174478</v>
      </c>
      <c r="J30">
        <f t="shared" si="1"/>
        <v>108884536955.20026</v>
      </c>
      <c r="K30">
        <f t="shared" si="1"/>
        <v>70764060567184.656</v>
      </c>
      <c r="L30">
        <f t="shared" si="1"/>
        <v>4.7905794752722192E+16</v>
      </c>
      <c r="U30" s="6" t="s">
        <v>26</v>
      </c>
      <c r="V30" s="6">
        <v>3.6259999999999999</v>
      </c>
      <c r="W30" s="6">
        <v>-1.8779999999999999</v>
      </c>
      <c r="X30" s="6">
        <v>7.0549999999999997</v>
      </c>
      <c r="Y30" s="6">
        <v>-6.7640000000000002</v>
      </c>
      <c r="Z30" s="6">
        <v>2.1560000000000001</v>
      </c>
      <c r="AA30" s="6">
        <v>0</v>
      </c>
      <c r="AB30" s="6">
        <v>0</v>
      </c>
    </row>
    <row r="31" spans="4:28" x14ac:dyDescent="0.2">
      <c r="D31" t="s">
        <v>27</v>
      </c>
      <c r="N31" t="s">
        <v>28</v>
      </c>
      <c r="U31" s="6" t="s">
        <v>29</v>
      </c>
      <c r="V31" s="6">
        <v>4.07</v>
      </c>
      <c r="W31" s="6">
        <v>-1.1080000000000001</v>
      </c>
      <c r="X31" s="6">
        <v>4.1520000000000001</v>
      </c>
      <c r="Y31" s="6">
        <v>-2.964</v>
      </c>
      <c r="Z31" s="6">
        <v>0.80700000000000005</v>
      </c>
      <c r="AA31" s="6">
        <v>0</v>
      </c>
      <c r="AB31" s="6">
        <v>0</v>
      </c>
    </row>
    <row r="32" spans="4:28" x14ac:dyDescent="0.2">
      <c r="D32" t="s">
        <v>30</v>
      </c>
      <c r="E32" t="s">
        <v>31</v>
      </c>
      <c r="F32" t="s">
        <v>32</v>
      </c>
      <c r="G32" t="s">
        <v>33</v>
      </c>
      <c r="H32" t="s">
        <v>34</v>
      </c>
      <c r="I32" t="s">
        <v>35</v>
      </c>
      <c r="J32" t="s">
        <v>36</v>
      </c>
      <c r="K32" t="s">
        <v>37</v>
      </c>
      <c r="L32" t="s">
        <v>38</v>
      </c>
      <c r="N32" t="s">
        <v>39</v>
      </c>
      <c r="O32" t="s">
        <v>40</v>
      </c>
      <c r="P32" t="s">
        <v>41</v>
      </c>
      <c r="Q32" t="s">
        <v>42</v>
      </c>
      <c r="R32" t="s">
        <v>43</v>
      </c>
      <c r="S32" t="s">
        <v>44</v>
      </c>
      <c r="T32" t="s">
        <v>45</v>
      </c>
      <c r="U32" s="6" t="s">
        <v>46</v>
      </c>
      <c r="V32" s="6">
        <v>3.0569999999999999</v>
      </c>
      <c r="W32" s="6">
        <v>2.677</v>
      </c>
      <c r="X32" s="6">
        <v>-5.81</v>
      </c>
      <c r="Y32" s="6">
        <v>5.5209999999999999</v>
      </c>
      <c r="Z32" s="6">
        <v>-1.8120000000000001</v>
      </c>
      <c r="AA32" s="6">
        <v>0</v>
      </c>
      <c r="AB32" s="6">
        <v>0</v>
      </c>
    </row>
    <row r="33" spans="4:28" x14ac:dyDescent="0.2">
      <c r="D33" s="50">
        <v>812.375</v>
      </c>
      <c r="E33">
        <v>2000</v>
      </c>
      <c r="F33">
        <v>0.76439999999999997</v>
      </c>
      <c r="G33">
        <v>0.19600000000000001</v>
      </c>
      <c r="H33">
        <v>0</v>
      </c>
      <c r="I33">
        <v>0.02</v>
      </c>
      <c r="J33">
        <v>0</v>
      </c>
      <c r="K33">
        <v>0</v>
      </c>
      <c r="L33">
        <v>1.9599999999999999E-2</v>
      </c>
      <c r="N33" s="1">
        <f>SUMPRODUCT(F33:L33, F34:L34)</f>
        <v>28.508240800000003</v>
      </c>
      <c r="O33">
        <f>8.31447/N33</f>
        <v>0.29165145819871141</v>
      </c>
      <c r="P33">
        <f>SUM(N28:R28)*O33</f>
        <v>1.1126639634228672</v>
      </c>
      <c r="Q33">
        <f>(O33*D33)/E33</f>
        <v>0.11846517667708908</v>
      </c>
      <c r="R33">
        <f>(O33)*SUMPRODUCT(N29:T29, F29:L29)</f>
        <v>849.99999917199364</v>
      </c>
      <c r="S33">
        <f>R33-(E33*Q33)</f>
        <v>613.0696458178154</v>
      </c>
      <c r="T33">
        <f>O33*(SUMPRODUCT(N29:T29,F30:L30))-(O33*LN(E33))</f>
        <v>4.7942221438477635</v>
      </c>
      <c r="U33" s="6" t="s">
        <v>47</v>
      </c>
      <c r="V33" s="6">
        <v>2.4009999999999998</v>
      </c>
      <c r="W33" s="6">
        <v>8.7349999999999994</v>
      </c>
      <c r="X33" s="6">
        <v>-6.6070000000000002</v>
      </c>
      <c r="Y33" s="6">
        <v>2.0019999999999998</v>
      </c>
      <c r="Z33" s="6">
        <v>0</v>
      </c>
      <c r="AA33" s="6">
        <v>0</v>
      </c>
      <c r="AB33" s="6">
        <v>0</v>
      </c>
    </row>
    <row r="34" spans="4:28" x14ac:dyDescent="0.2">
      <c r="F34">
        <v>28.013000000000002</v>
      </c>
      <c r="G34">
        <v>31.998999999999999</v>
      </c>
      <c r="H34">
        <v>18.015280000000001</v>
      </c>
      <c r="I34">
        <v>2.0159400000000001</v>
      </c>
      <c r="J34">
        <v>44.009799999999998</v>
      </c>
      <c r="K34">
        <v>28.010400000000001</v>
      </c>
      <c r="L34">
        <v>39.948</v>
      </c>
      <c r="U34" s="6" t="s">
        <v>48</v>
      </c>
      <c r="V34" s="6">
        <v>3.71</v>
      </c>
      <c r="W34" s="6">
        <v>-1.619</v>
      </c>
      <c r="X34" s="6">
        <v>3.6920000000000002</v>
      </c>
      <c r="Y34" s="6">
        <v>-2.032</v>
      </c>
      <c r="Z34" s="6">
        <v>0.24</v>
      </c>
      <c r="AA34" s="6">
        <v>0</v>
      </c>
      <c r="AB34" s="6">
        <v>0</v>
      </c>
    </row>
    <row r="35" spans="4:28" x14ac:dyDescent="0.2">
      <c r="U35" s="4" t="s">
        <v>49</v>
      </c>
      <c r="V35" s="4">
        <v>2.5</v>
      </c>
      <c r="W35" s="4">
        <v>0</v>
      </c>
      <c r="X35" s="4">
        <v>0</v>
      </c>
      <c r="Y35" s="4">
        <v>0</v>
      </c>
      <c r="Z35" s="4">
        <v>0</v>
      </c>
      <c r="AA35" s="4">
        <v>0</v>
      </c>
      <c r="AB35" s="4">
        <v>0</v>
      </c>
    </row>
    <row r="37" spans="4:28" x14ac:dyDescent="0.2">
      <c r="H37" t="s">
        <v>50</v>
      </c>
      <c r="K37" t="s">
        <v>51</v>
      </c>
      <c r="L37">
        <v>812.375</v>
      </c>
    </row>
    <row r="38" spans="4:28" x14ac:dyDescent="0.2">
      <c r="H38" t="s">
        <v>52</v>
      </c>
      <c r="K38" t="s">
        <v>53</v>
      </c>
      <c r="L38">
        <f>R33</f>
        <v>849.99999917199364</v>
      </c>
      <c r="T38" t="s">
        <v>2</v>
      </c>
      <c r="U38">
        <v>3.6749999999999998</v>
      </c>
      <c r="V38">
        <v>3.6259999999999999</v>
      </c>
      <c r="W38">
        <v>4.07</v>
      </c>
      <c r="X38" s="6">
        <v>3.0569999999999999</v>
      </c>
      <c r="Y38" s="6">
        <v>2.4009999999999998</v>
      </c>
      <c r="Z38" s="6">
        <v>3.71</v>
      </c>
      <c r="AA38" s="4">
        <v>2.5</v>
      </c>
    </row>
    <row r="39" spans="4:28" x14ac:dyDescent="0.2">
      <c r="H39" t="s">
        <v>54</v>
      </c>
      <c r="K39" t="s">
        <v>55</v>
      </c>
      <c r="L39">
        <f>850-L38</f>
        <v>8.2800636391766602E-7</v>
      </c>
      <c r="T39" t="s">
        <v>3</v>
      </c>
      <c r="U39" s="5">
        <v>-1.208</v>
      </c>
      <c r="V39" s="6">
        <v>-1.8779999999999999</v>
      </c>
      <c r="W39" s="6">
        <v>-1.1080000000000001</v>
      </c>
      <c r="X39" s="6">
        <v>2.677</v>
      </c>
      <c r="Y39" s="6">
        <v>8.7349999999999994</v>
      </c>
      <c r="Z39" s="6">
        <v>-1.619</v>
      </c>
      <c r="AA39" s="4">
        <v>0</v>
      </c>
    </row>
    <row r="40" spans="4:28" x14ac:dyDescent="0.2">
      <c r="H40" t="s">
        <v>56</v>
      </c>
      <c r="K40" t="s">
        <v>57</v>
      </c>
      <c r="L40">
        <f>L39/P33</f>
        <v>7.4416570603265123E-7</v>
      </c>
      <c r="T40" t="s">
        <v>4</v>
      </c>
      <c r="U40" s="5">
        <v>2.3239999999999998</v>
      </c>
      <c r="V40" s="6">
        <v>7.0549999999999997</v>
      </c>
      <c r="W40" s="6">
        <v>4.1520000000000001</v>
      </c>
      <c r="X40" s="6">
        <v>-5.81</v>
      </c>
      <c r="Y40" s="6">
        <v>-6.6070000000000002</v>
      </c>
      <c r="Z40" s="6">
        <v>3.6920000000000002</v>
      </c>
      <c r="AA40" s="4">
        <v>0</v>
      </c>
    </row>
    <row r="41" spans="4:28" x14ac:dyDescent="0.2">
      <c r="H41" t="s">
        <v>58</v>
      </c>
      <c r="K41" t="s">
        <v>59</v>
      </c>
      <c r="L41">
        <f>L37+L40</f>
        <v>812.37500074416573</v>
      </c>
      <c r="T41" t="s">
        <v>5</v>
      </c>
      <c r="U41" s="5">
        <v>-0.63200000000000001</v>
      </c>
      <c r="V41" s="6">
        <v>-6.7640000000000002</v>
      </c>
      <c r="W41" s="6">
        <v>-2.964</v>
      </c>
      <c r="X41" s="6">
        <v>5.5209999999999999</v>
      </c>
      <c r="Y41" s="6">
        <v>2.0019999999999998</v>
      </c>
      <c r="Z41" s="6">
        <v>-2.032</v>
      </c>
      <c r="AA41" s="4">
        <v>0</v>
      </c>
    </row>
    <row r="42" spans="4:28" x14ac:dyDescent="0.2">
      <c r="H42" t="s">
        <v>60</v>
      </c>
      <c r="T42" t="s">
        <v>6</v>
      </c>
      <c r="U42" s="5">
        <v>-0.22600000000000001</v>
      </c>
      <c r="V42" s="6">
        <v>2.1560000000000001</v>
      </c>
      <c r="W42" s="6">
        <v>0.80700000000000005</v>
      </c>
      <c r="X42" s="6">
        <v>-1.8120000000000001</v>
      </c>
      <c r="Y42" s="6">
        <v>0</v>
      </c>
      <c r="Z42" s="6">
        <v>0.24</v>
      </c>
      <c r="AA42" s="4">
        <v>0</v>
      </c>
    </row>
    <row r="43" spans="4:28" x14ac:dyDescent="0.2">
      <c r="T43" t="s">
        <v>7</v>
      </c>
      <c r="U43">
        <v>0</v>
      </c>
      <c r="V43">
        <v>0</v>
      </c>
      <c r="W43">
        <v>0</v>
      </c>
      <c r="X43">
        <v>0</v>
      </c>
      <c r="Y43">
        <v>0</v>
      </c>
      <c r="Z43">
        <v>0</v>
      </c>
      <c r="AA43">
        <v>0</v>
      </c>
    </row>
    <row r="44" spans="4:28" x14ac:dyDescent="0.2">
      <c r="T44" t="s">
        <v>8</v>
      </c>
      <c r="U44">
        <v>0</v>
      </c>
      <c r="V44">
        <v>0</v>
      </c>
      <c r="W44">
        <v>0</v>
      </c>
      <c r="X44">
        <v>0</v>
      </c>
      <c r="Y44">
        <v>0</v>
      </c>
      <c r="Z44">
        <v>0</v>
      </c>
      <c r="AA44">
        <v>0</v>
      </c>
    </row>
    <row r="48" spans="4:28" x14ac:dyDescent="0.2">
      <c r="F48" t="s">
        <v>0</v>
      </c>
      <c r="N48" t="s">
        <v>1</v>
      </c>
    </row>
    <row r="49" spans="4:28" x14ac:dyDescent="0.2">
      <c r="F49">
        <v>0</v>
      </c>
      <c r="G49">
        <v>1</v>
      </c>
      <c r="H49">
        <v>2</v>
      </c>
      <c r="I49">
        <v>3</v>
      </c>
      <c r="J49">
        <v>4</v>
      </c>
      <c r="K49">
        <v>5</v>
      </c>
      <c r="L49">
        <v>6</v>
      </c>
      <c r="N49" t="s">
        <v>2</v>
      </c>
      <c r="O49" t="s">
        <v>3</v>
      </c>
      <c r="P49" t="s">
        <v>4</v>
      </c>
      <c r="Q49" t="s">
        <v>5</v>
      </c>
      <c r="R49" t="s">
        <v>6</v>
      </c>
      <c r="S49" t="s">
        <v>7</v>
      </c>
      <c r="T49" t="s">
        <v>8</v>
      </c>
      <c r="U49" s="2" t="s">
        <v>9</v>
      </c>
      <c r="V49" s="3" t="s">
        <v>10</v>
      </c>
      <c r="W49" s="3" t="s">
        <v>11</v>
      </c>
      <c r="X49" s="3" t="s">
        <v>12</v>
      </c>
      <c r="Y49" s="3" t="s">
        <v>13</v>
      </c>
      <c r="Z49" s="3" t="s">
        <v>14</v>
      </c>
      <c r="AA49" s="3" t="s">
        <v>15</v>
      </c>
      <c r="AB49" s="3" t="s">
        <v>16</v>
      </c>
    </row>
    <row r="50" spans="4:28" x14ac:dyDescent="0.2">
      <c r="F50">
        <v>1</v>
      </c>
      <c r="G50">
        <f>D55^1</f>
        <v>397.49290000000002</v>
      </c>
      <c r="H50">
        <f>D55^2</f>
        <v>158000.60555041002</v>
      </c>
      <c r="I50">
        <f>D55^3</f>
        <v>62804118.901988581</v>
      </c>
      <c r="J50">
        <f>D55^4</f>
        <v>24964191354.296257</v>
      </c>
      <c r="K50">
        <f>D55^5</f>
        <v>9923088817574.1465</v>
      </c>
      <c r="L50">
        <f>D55^6</f>
        <v>3944357351055119</v>
      </c>
      <c r="N50">
        <f>SUMPRODUCT(F55:L55, U60:AA60)</f>
        <v>3.6300059999999998</v>
      </c>
      <c r="O50">
        <f>(SUMPRODUCT(F55:L55, U61:AA61))*G50*0.001</f>
        <v>-0.49207363260328008</v>
      </c>
      <c r="P50">
        <f>(SUMPRODUCT(F55:L55, U62:AA62))*H50*0.000001</f>
        <v>0.48080304751751074</v>
      </c>
      <c r="Q50">
        <f>(SUMPRODUCT(F55:L55, U63:AA63))*I50*0.000000001</f>
        <v>-0.1066680730852862</v>
      </c>
      <c r="R50">
        <f>(SUMPRODUCT(F55:L55, U64:AA64))*J50*0.000000000001</f>
        <v>5.3318919321567633E-3</v>
      </c>
      <c r="S50">
        <v>0</v>
      </c>
      <c r="T50">
        <v>0</v>
      </c>
      <c r="U50" s="4" t="s">
        <v>17</v>
      </c>
      <c r="V50" s="4" t="s">
        <v>18</v>
      </c>
      <c r="W50" s="4" t="s">
        <v>19</v>
      </c>
      <c r="X50" s="4" t="s">
        <v>20</v>
      </c>
      <c r="Y50" s="4" t="s">
        <v>21</v>
      </c>
      <c r="Z50" s="4" t="s">
        <v>22</v>
      </c>
      <c r="AA50" s="4" t="s">
        <v>23</v>
      </c>
      <c r="AB50" s="4" t="s">
        <v>24</v>
      </c>
    </row>
    <row r="51" spans="4:28" x14ac:dyDescent="0.2">
      <c r="F51">
        <f>D55</f>
        <v>397.49290000000002</v>
      </c>
      <c r="G51">
        <f>(D55*D55)/2</f>
        <v>79000.302775205011</v>
      </c>
      <c r="H51">
        <f>(D55*D55*D55)/3</f>
        <v>20934706.30066286</v>
      </c>
      <c r="I51">
        <f>(D55*D55*D55*D55)/4</f>
        <v>6241047838.5740643</v>
      </c>
      <c r="J51">
        <f>(D55*D55*D55*D55*D55)/5</f>
        <v>1984617763514.8293</v>
      </c>
      <c r="K51">
        <f>(D55*D55*D55*D55*D55*D55)/6</f>
        <v>657392891842519.75</v>
      </c>
      <c r="L51">
        <f>(D55*D55*D55*D55*D55*D55*D55)/7</f>
        <v>2.2397914887245958E+17</v>
      </c>
      <c r="N51">
        <f>SUMPRODUCT(F55:L55, U60:AA60)</f>
        <v>3.6300059999999998</v>
      </c>
      <c r="O51">
        <f>(SUMPRODUCT(F55:L55, U61:AA61))*0.001</f>
        <v>-1.2379432000000001E-3</v>
      </c>
      <c r="P51">
        <f>(SUMPRODUCT(F55:L55, U62:AA62))*0.000001</f>
        <v>3.0430455999999997E-6</v>
      </c>
      <c r="Q51">
        <f>(SUMPRODUCT(F55:L55, U63:AA63))*0.000000001</f>
        <v>-1.6984248000000003E-9</v>
      </c>
      <c r="R51">
        <f>(SUMPRODUCT(F55:L55, U64:AA64))*0.000000000001</f>
        <v>2.1358160000000005E-13</v>
      </c>
      <c r="S51">
        <v>0</v>
      </c>
      <c r="T51">
        <v>0</v>
      </c>
      <c r="U51" s="5" t="s">
        <v>25</v>
      </c>
      <c r="V51" s="5">
        <v>3.6749999999999998</v>
      </c>
      <c r="W51" s="5">
        <v>-1.208</v>
      </c>
      <c r="X51" s="5">
        <v>2.3239999999999998</v>
      </c>
      <c r="Y51" s="5">
        <v>-0.63200000000000001</v>
      </c>
      <c r="Z51" s="5">
        <v>-0.22600000000000001</v>
      </c>
      <c r="AA51" s="5">
        <v>0</v>
      </c>
      <c r="AB51" s="5">
        <v>0</v>
      </c>
    </row>
    <row r="52" spans="4:28" x14ac:dyDescent="0.2">
      <c r="F52">
        <f>LN(F51)</f>
        <v>5.9851770722996456</v>
      </c>
      <c r="G52">
        <f t="shared" ref="G52:L52" si="2">F51</f>
        <v>397.49290000000002</v>
      </c>
      <c r="H52">
        <f t="shared" si="2"/>
        <v>79000.302775205011</v>
      </c>
      <c r="I52">
        <f t="shared" si="2"/>
        <v>20934706.30066286</v>
      </c>
      <c r="J52">
        <f t="shared" si="2"/>
        <v>6241047838.5740643</v>
      </c>
      <c r="K52">
        <f t="shared" si="2"/>
        <v>1984617763514.8293</v>
      </c>
      <c r="L52">
        <f t="shared" si="2"/>
        <v>657392891842519.75</v>
      </c>
      <c r="U52" s="6" t="s">
        <v>26</v>
      </c>
      <c r="V52" s="6">
        <v>3.6259999999999999</v>
      </c>
      <c r="W52" s="6">
        <v>-1.8779999999999999</v>
      </c>
      <c r="X52" s="6">
        <v>7.0549999999999997</v>
      </c>
      <c r="Y52" s="6">
        <v>-6.7640000000000002</v>
      </c>
      <c r="Z52" s="6">
        <v>2.1560000000000001</v>
      </c>
      <c r="AA52" s="6">
        <v>0</v>
      </c>
      <c r="AB52" s="6">
        <v>0</v>
      </c>
    </row>
    <row r="53" spans="4:28" x14ac:dyDescent="0.2">
      <c r="D53" t="s">
        <v>27</v>
      </c>
      <c r="N53" t="s">
        <v>28</v>
      </c>
      <c r="U53" s="6" t="s">
        <v>29</v>
      </c>
      <c r="V53" s="6">
        <v>4.07</v>
      </c>
      <c r="W53" s="6">
        <v>-1.1080000000000001</v>
      </c>
      <c r="X53" s="6">
        <v>4.1520000000000001</v>
      </c>
      <c r="Y53" s="6">
        <v>-2.964</v>
      </c>
      <c r="Z53" s="6">
        <v>0.80700000000000005</v>
      </c>
      <c r="AA53" s="6">
        <v>0</v>
      </c>
      <c r="AB53" s="6">
        <v>0</v>
      </c>
    </row>
    <row r="54" spans="4:28" x14ac:dyDescent="0.2">
      <c r="D54" t="s">
        <v>30</v>
      </c>
      <c r="E54" t="s">
        <v>31</v>
      </c>
      <c r="F54" t="s">
        <v>32</v>
      </c>
      <c r="G54" t="s">
        <v>33</v>
      </c>
      <c r="H54" t="s">
        <v>34</v>
      </c>
      <c r="I54" t="s">
        <v>35</v>
      </c>
      <c r="J54" t="s">
        <v>36</v>
      </c>
      <c r="K54" t="s">
        <v>37</v>
      </c>
      <c r="L54" t="s">
        <v>38</v>
      </c>
      <c r="N54" t="s">
        <v>39</v>
      </c>
      <c r="O54" t="s">
        <v>40</v>
      </c>
      <c r="P54" t="s">
        <v>41</v>
      </c>
      <c r="Q54" t="s">
        <v>42</v>
      </c>
      <c r="R54" t="s">
        <v>43</v>
      </c>
      <c r="S54" t="s">
        <v>44</v>
      </c>
      <c r="T54" t="s">
        <v>45</v>
      </c>
      <c r="U54" s="6" t="s">
        <v>46</v>
      </c>
      <c r="V54" s="6">
        <v>3.0569999999999999</v>
      </c>
      <c r="W54" s="6">
        <v>2.677</v>
      </c>
      <c r="X54" s="6">
        <v>-5.81</v>
      </c>
      <c r="Y54" s="6">
        <v>5.5209999999999999</v>
      </c>
      <c r="Z54" s="6">
        <v>-1.8120000000000001</v>
      </c>
      <c r="AA54" s="6">
        <v>0</v>
      </c>
      <c r="AB54" s="6">
        <v>0</v>
      </c>
    </row>
    <row r="55" spans="4:28" x14ac:dyDescent="0.2">
      <c r="D55" s="50">
        <v>397.49290000000002</v>
      </c>
      <c r="E55">
        <v>100</v>
      </c>
      <c r="F55">
        <v>0.76439999999999997</v>
      </c>
      <c r="G55">
        <v>0.19600000000000001</v>
      </c>
      <c r="H55">
        <v>0</v>
      </c>
      <c r="I55">
        <v>0.02</v>
      </c>
      <c r="J55">
        <v>0</v>
      </c>
      <c r="K55">
        <v>0</v>
      </c>
      <c r="L55">
        <v>1.9599999999999999E-2</v>
      </c>
      <c r="N55" s="1">
        <f>SUMPRODUCT(F55:L55, F56:L56)</f>
        <v>28.508240800000003</v>
      </c>
      <c r="O55">
        <f>8.31447/N55</f>
        <v>0.29165145819871141</v>
      </c>
      <c r="P55">
        <f>SUM(N50:R50)*O55</f>
        <v>1.0258546155934551</v>
      </c>
      <c r="Q55">
        <f>(O55*D55)/E55</f>
        <v>1.1592938390863459</v>
      </c>
      <c r="R55">
        <f>(O55)*SUMPRODUCT(N51:T51, F51:L51)</f>
        <v>407.91332991580015</v>
      </c>
      <c r="S55">
        <f>R55-(E55*Q55)</f>
        <v>291.98394600716557</v>
      </c>
      <c r="T55">
        <f>O55*(SUMPRODUCT(N51:T51,F52:L52))-(O55*LN(E55))</f>
        <v>4.9099999363366829</v>
      </c>
      <c r="U55" s="6" t="s">
        <v>47</v>
      </c>
      <c r="V55" s="6">
        <v>2.4009999999999998</v>
      </c>
      <c r="W55" s="6">
        <v>8.7349999999999994</v>
      </c>
      <c r="X55" s="6">
        <v>-6.6070000000000002</v>
      </c>
      <c r="Y55" s="6">
        <v>2.0019999999999998</v>
      </c>
      <c r="Z55" s="6">
        <v>0</v>
      </c>
      <c r="AA55" s="6">
        <v>0</v>
      </c>
      <c r="AB55" s="6">
        <v>0</v>
      </c>
    </row>
    <row r="56" spans="4:28" x14ac:dyDescent="0.2">
      <c r="F56">
        <v>28.013000000000002</v>
      </c>
      <c r="G56">
        <v>31.998999999999999</v>
      </c>
      <c r="H56">
        <v>18.015280000000001</v>
      </c>
      <c r="I56">
        <v>2.0159400000000001</v>
      </c>
      <c r="J56">
        <v>44.009799999999998</v>
      </c>
      <c r="K56">
        <v>28.010400000000001</v>
      </c>
      <c r="L56">
        <v>39.948</v>
      </c>
      <c r="U56" s="6" t="s">
        <v>48</v>
      </c>
      <c r="V56" s="6">
        <v>3.71</v>
      </c>
      <c r="W56" s="6">
        <v>-1.619</v>
      </c>
      <c r="X56" s="6">
        <v>3.6920000000000002</v>
      </c>
      <c r="Y56" s="6">
        <v>-2.032</v>
      </c>
      <c r="Z56" s="6">
        <v>0.24</v>
      </c>
      <c r="AA56" s="6">
        <v>0</v>
      </c>
      <c r="AB56" s="6">
        <v>0</v>
      </c>
    </row>
    <row r="57" spans="4:28" x14ac:dyDescent="0.2">
      <c r="U57" s="4" t="s">
        <v>49</v>
      </c>
      <c r="V57" s="4">
        <v>2.5</v>
      </c>
      <c r="W57" s="4">
        <v>0</v>
      </c>
      <c r="X57" s="4">
        <v>0</v>
      </c>
      <c r="Y57" s="4">
        <v>0</v>
      </c>
      <c r="Z57" s="4">
        <v>0</v>
      </c>
      <c r="AA57" s="4">
        <v>0</v>
      </c>
      <c r="AB57" s="4">
        <v>0</v>
      </c>
    </row>
    <row r="60" spans="4:28" x14ac:dyDescent="0.2">
      <c r="H60" t="s">
        <v>50</v>
      </c>
      <c r="K60" t="s">
        <v>51</v>
      </c>
      <c r="L60">
        <v>397.49290000000002</v>
      </c>
      <c r="T60" t="s">
        <v>2</v>
      </c>
      <c r="U60">
        <v>3.6749999999999998</v>
      </c>
      <c r="V60">
        <v>3.6259999999999999</v>
      </c>
      <c r="W60">
        <v>4.07</v>
      </c>
      <c r="X60" s="6">
        <v>3.0569999999999999</v>
      </c>
      <c r="Y60" s="6">
        <v>2.4009999999999998</v>
      </c>
      <c r="Z60" s="6">
        <v>3.71</v>
      </c>
      <c r="AA60" s="4">
        <v>2.5</v>
      </c>
    </row>
    <row r="61" spans="4:28" x14ac:dyDescent="0.2">
      <c r="H61" t="s">
        <v>61</v>
      </c>
      <c r="K61" t="s">
        <v>62</v>
      </c>
      <c r="L61">
        <f>T55</f>
        <v>4.9099999363366829</v>
      </c>
      <c r="T61" t="s">
        <v>3</v>
      </c>
      <c r="U61" s="5">
        <v>-1.208</v>
      </c>
      <c r="V61" s="6">
        <v>-1.8779999999999999</v>
      </c>
      <c r="W61" s="6">
        <v>-1.1080000000000001</v>
      </c>
      <c r="X61" s="6">
        <v>2.677</v>
      </c>
      <c r="Y61" s="6">
        <v>8.7349999999999994</v>
      </c>
      <c r="Z61" s="6">
        <v>-1.619</v>
      </c>
      <c r="AA61" s="4">
        <v>0</v>
      </c>
    </row>
    <row r="62" spans="4:28" x14ac:dyDescent="0.2">
      <c r="H62" t="s">
        <v>63</v>
      </c>
      <c r="K62" t="s">
        <v>64</v>
      </c>
      <c r="L62">
        <f>T55-4.91</f>
        <v>-6.366331728457908E-8</v>
      </c>
      <c r="T62" t="s">
        <v>4</v>
      </c>
      <c r="U62" s="5">
        <v>2.3239999999999998</v>
      </c>
      <c r="V62" s="6">
        <v>7.0549999999999997</v>
      </c>
      <c r="W62" s="6">
        <v>4.1520000000000001</v>
      </c>
      <c r="X62" s="6">
        <v>-5.81</v>
      </c>
      <c r="Y62" s="6">
        <v>-6.6070000000000002</v>
      </c>
      <c r="Z62" s="6">
        <v>3.6920000000000002</v>
      </c>
      <c r="AA62" s="4">
        <v>0</v>
      </c>
    </row>
    <row r="63" spans="4:28" x14ac:dyDescent="0.2">
      <c r="H63" t="s">
        <v>65</v>
      </c>
      <c r="T63" t="s">
        <v>5</v>
      </c>
      <c r="U63" s="5">
        <v>-0.63200000000000001</v>
      </c>
      <c r="V63" s="6">
        <v>-6.7640000000000002</v>
      </c>
      <c r="W63" s="6">
        <v>-2.964</v>
      </c>
      <c r="X63" s="6">
        <v>5.5209999999999999</v>
      </c>
      <c r="Y63" s="6">
        <v>2.0019999999999998</v>
      </c>
      <c r="Z63" s="6">
        <v>-2.032</v>
      </c>
      <c r="AA63" s="4">
        <v>0</v>
      </c>
    </row>
    <row r="64" spans="4:28" x14ac:dyDescent="0.2">
      <c r="H64" t="s">
        <v>66</v>
      </c>
      <c r="K64" t="s">
        <v>59</v>
      </c>
      <c r="L64">
        <f>L60*(2.71828^((-L62)/P55))</f>
        <v>397.49292466792082</v>
      </c>
      <c r="T64" t="s">
        <v>6</v>
      </c>
      <c r="U64" s="5">
        <v>-0.22600000000000001</v>
      </c>
      <c r="V64" s="6">
        <v>2.1560000000000001</v>
      </c>
      <c r="W64" s="6">
        <v>0.80700000000000005</v>
      </c>
      <c r="X64" s="6">
        <v>-1.8120000000000001</v>
      </c>
      <c r="Y64" s="6">
        <v>0</v>
      </c>
      <c r="Z64" s="6">
        <v>0.24</v>
      </c>
      <c r="AA64" s="4">
        <v>0</v>
      </c>
    </row>
    <row r="65" spans="4:28" x14ac:dyDescent="0.2">
      <c r="H65" t="s">
        <v>67</v>
      </c>
      <c r="T65" t="s">
        <v>7</v>
      </c>
      <c r="U65">
        <v>0</v>
      </c>
      <c r="V65">
        <v>0</v>
      </c>
      <c r="W65">
        <v>0</v>
      </c>
      <c r="X65">
        <v>0</v>
      </c>
      <c r="Y65">
        <v>0</v>
      </c>
      <c r="Z65">
        <v>0</v>
      </c>
      <c r="AA65">
        <v>0</v>
      </c>
    </row>
    <row r="66" spans="4:28" x14ac:dyDescent="0.2">
      <c r="T66" t="s">
        <v>8</v>
      </c>
      <c r="U66">
        <v>0</v>
      </c>
      <c r="V66">
        <v>0</v>
      </c>
      <c r="W66">
        <v>0</v>
      </c>
      <c r="X66">
        <v>0</v>
      </c>
      <c r="Y66">
        <v>0</v>
      </c>
      <c r="Z66">
        <v>0</v>
      </c>
      <c r="AA66">
        <v>0</v>
      </c>
    </row>
    <row r="71" spans="4:28" x14ac:dyDescent="0.2">
      <c r="F71" t="s">
        <v>0</v>
      </c>
      <c r="N71" t="s">
        <v>1</v>
      </c>
    </row>
    <row r="72" spans="4:28" x14ac:dyDescent="0.2">
      <c r="F72">
        <v>0</v>
      </c>
      <c r="G72">
        <v>1</v>
      </c>
      <c r="H72">
        <v>2</v>
      </c>
      <c r="I72">
        <v>3</v>
      </c>
      <c r="J72">
        <v>4</v>
      </c>
      <c r="K72">
        <v>5</v>
      </c>
      <c r="L72">
        <v>6</v>
      </c>
      <c r="N72" t="s">
        <v>2</v>
      </c>
      <c r="O72" t="s">
        <v>3</v>
      </c>
      <c r="P72" t="s">
        <v>4</v>
      </c>
      <c r="Q72" t="s">
        <v>5</v>
      </c>
      <c r="R72" t="s">
        <v>6</v>
      </c>
      <c r="S72" t="s">
        <v>7</v>
      </c>
      <c r="T72" t="s">
        <v>8</v>
      </c>
      <c r="U72" s="2" t="s">
        <v>9</v>
      </c>
      <c r="V72" s="3" t="s">
        <v>10</v>
      </c>
      <c r="W72" s="3" t="s">
        <v>11</v>
      </c>
      <c r="X72" s="3" t="s">
        <v>12</v>
      </c>
      <c r="Y72" s="3" t="s">
        <v>13</v>
      </c>
      <c r="Z72" s="3" t="s">
        <v>14</v>
      </c>
      <c r="AA72" s="3" t="s">
        <v>15</v>
      </c>
      <c r="AB72" s="3" t="s">
        <v>16</v>
      </c>
    </row>
    <row r="73" spans="4:28" x14ac:dyDescent="0.2">
      <c r="F73">
        <v>1</v>
      </c>
      <c r="G73">
        <f>D78^1</f>
        <v>298.14999999999998</v>
      </c>
      <c r="H73">
        <f>D78^2</f>
        <v>88893.422499999986</v>
      </c>
      <c r="I73">
        <f>D78^3</f>
        <v>26503573.918374993</v>
      </c>
      <c r="J73">
        <f>D78^4</f>
        <v>7902040563.763504</v>
      </c>
      <c r="K73">
        <f>D78^5</f>
        <v>2355993394086.0884</v>
      </c>
      <c r="L73">
        <f>D78^6</f>
        <v>702439430446767.25</v>
      </c>
      <c r="N73">
        <f>SUMPRODUCT(F78:L78, U83:AA83)</f>
        <v>3.4064000000000001</v>
      </c>
      <c r="O73">
        <f>(SUMPRODUCT(F78:L78, U84:AA84))*G73*0.001</f>
        <v>5.8884624999999975E-2</v>
      </c>
      <c r="P73">
        <f>(SUMPRODUCT(F78:L78, U85:AA85))*H73*0.000001</f>
        <v>0.10469867302049997</v>
      </c>
      <c r="Q73">
        <f>(SUMPRODUCT(F78:L78, U86:AA86))*I73*0.000000001</f>
        <v>-1.7929667755780684E-2</v>
      </c>
      <c r="R73">
        <f>(SUMPRODUCT(F78:L78, U87:AA87))*J73*0.000000000001</f>
        <v>3.8482937545528264E-4</v>
      </c>
      <c r="S73">
        <v>0</v>
      </c>
      <c r="T73">
        <v>0</v>
      </c>
      <c r="U73" s="4" t="s">
        <v>17</v>
      </c>
      <c r="V73" s="4" t="s">
        <v>18</v>
      </c>
      <c r="W73" s="4" t="s">
        <v>19</v>
      </c>
      <c r="X73" s="4" t="s">
        <v>20</v>
      </c>
      <c r="Y73" s="4" t="s">
        <v>21</v>
      </c>
      <c r="Z73" s="4" t="s">
        <v>22</v>
      </c>
      <c r="AA73" s="4" t="s">
        <v>23</v>
      </c>
      <c r="AB73" s="4" t="s">
        <v>24</v>
      </c>
    </row>
    <row r="74" spans="4:28" x14ac:dyDescent="0.2">
      <c r="F74">
        <f>D78</f>
        <v>298.14999999999998</v>
      </c>
      <c r="G74">
        <f>(D78*D78)/2</f>
        <v>44446.711249999993</v>
      </c>
      <c r="H74">
        <f>(D78*D78*D78)/3</f>
        <v>8834524.6394583303</v>
      </c>
      <c r="I74">
        <f>(D78*D78*D78*D78)/4</f>
        <v>1975510140.9408758</v>
      </c>
      <c r="J74">
        <f>(D78*D78*D78*D78*D78)/5</f>
        <v>471198678817.21765</v>
      </c>
      <c r="K74">
        <f>(D78*D78*D78*D78*D78*D78)/6</f>
        <v>117073238407794.55</v>
      </c>
      <c r="L74">
        <f>(D78*D78*D78*D78*D78*D78*D78)/7</f>
        <v>2.9918902312529092E+16</v>
      </c>
      <c r="N74">
        <f>SUMPRODUCT(F78:L78, U83:AA83)</f>
        <v>3.4064000000000001</v>
      </c>
      <c r="O74">
        <f>(SUMPRODUCT(F78:L78, U84:AA84))*0.001</f>
        <v>1.9749999999999992E-4</v>
      </c>
      <c r="P74">
        <f>(SUMPRODUCT(F78:L78, U85:AA85))*0.000001</f>
        <v>1.1778E-6</v>
      </c>
      <c r="Q74">
        <f>(SUMPRODUCT(F78:L78, U86:AA86))*0.000000001</f>
        <v>-6.7649999999999999E-10</v>
      </c>
      <c r="R74">
        <f>(SUMPRODUCT(F78:L78, U87:AA87))*0.000000000001</f>
        <v>4.8699999999999997E-14</v>
      </c>
      <c r="S74">
        <v>0</v>
      </c>
      <c r="T74">
        <v>0</v>
      </c>
      <c r="U74" s="5" t="s">
        <v>25</v>
      </c>
      <c r="V74" s="5">
        <v>3.6749999999999998</v>
      </c>
      <c r="W74" s="5">
        <v>-1.208</v>
      </c>
      <c r="X74" s="5">
        <v>2.3239999999999998</v>
      </c>
      <c r="Y74" s="5">
        <v>-0.63200000000000001</v>
      </c>
      <c r="Z74" s="5">
        <v>-0.22600000000000001</v>
      </c>
      <c r="AA74" s="5">
        <v>0</v>
      </c>
      <c r="AB74" s="5">
        <v>0</v>
      </c>
    </row>
    <row r="75" spans="4:28" x14ac:dyDescent="0.2">
      <c r="F75">
        <f>LN(F74)</f>
        <v>5.697596715569115</v>
      </c>
      <c r="G75">
        <f t="shared" ref="G75:L75" si="3">F74</f>
        <v>298.14999999999998</v>
      </c>
      <c r="H75">
        <f t="shared" si="3"/>
        <v>44446.711249999993</v>
      </c>
      <c r="I75">
        <f t="shared" si="3"/>
        <v>8834524.6394583303</v>
      </c>
      <c r="J75">
        <f t="shared" si="3"/>
        <v>1975510140.9408758</v>
      </c>
      <c r="K75">
        <f t="shared" si="3"/>
        <v>471198678817.21765</v>
      </c>
      <c r="L75">
        <f t="shared" si="3"/>
        <v>117073238407794.55</v>
      </c>
      <c r="U75" s="6" t="s">
        <v>26</v>
      </c>
      <c r="V75" s="6">
        <v>3.6259999999999999</v>
      </c>
      <c r="W75" s="6">
        <v>-1.8779999999999999</v>
      </c>
      <c r="X75" s="6">
        <v>7.0549999999999997</v>
      </c>
      <c r="Y75" s="6">
        <v>-6.7640000000000002</v>
      </c>
      <c r="Z75" s="6">
        <v>2.1560000000000001</v>
      </c>
      <c r="AA75" s="6">
        <v>0</v>
      </c>
      <c r="AB75" s="6">
        <v>0</v>
      </c>
    </row>
    <row r="76" spans="4:28" x14ac:dyDescent="0.2">
      <c r="D76" t="s">
        <v>27</v>
      </c>
      <c r="N76" t="s">
        <v>28</v>
      </c>
      <c r="U76" s="6" t="s">
        <v>29</v>
      </c>
      <c r="V76" s="6">
        <v>4.07</v>
      </c>
      <c r="W76" s="6">
        <v>-1.1080000000000001</v>
      </c>
      <c r="X76" s="6">
        <v>4.1520000000000001</v>
      </c>
      <c r="Y76" s="6">
        <v>-2.964</v>
      </c>
      <c r="Z76" s="6">
        <v>0.80700000000000005</v>
      </c>
      <c r="AA76" s="6">
        <v>0</v>
      </c>
      <c r="AB76" s="6">
        <v>0</v>
      </c>
    </row>
    <row r="77" spans="4:28" x14ac:dyDescent="0.2">
      <c r="D77" t="s">
        <v>30</v>
      </c>
      <c r="E77" t="s">
        <v>31</v>
      </c>
      <c r="F77" t="s">
        <v>32</v>
      </c>
      <c r="G77" t="s">
        <v>33</v>
      </c>
      <c r="H77" t="s">
        <v>34</v>
      </c>
      <c r="I77" t="s">
        <v>35</v>
      </c>
      <c r="J77" t="s">
        <v>36</v>
      </c>
      <c r="K77" t="s">
        <v>37</v>
      </c>
      <c r="L77" t="s">
        <v>38</v>
      </c>
      <c r="N77" t="s">
        <v>39</v>
      </c>
      <c r="O77" t="s">
        <v>40</v>
      </c>
      <c r="P77" t="s">
        <v>41</v>
      </c>
      <c r="Q77" t="s">
        <v>42</v>
      </c>
      <c r="R77" t="s">
        <v>43</v>
      </c>
      <c r="S77" t="s">
        <v>44</v>
      </c>
      <c r="T77" t="s">
        <v>45</v>
      </c>
      <c r="U77" s="6" t="s">
        <v>46</v>
      </c>
      <c r="V77" s="6">
        <v>3.0569999999999999</v>
      </c>
      <c r="W77" s="6">
        <v>2.677</v>
      </c>
      <c r="X77" s="6">
        <v>-5.81</v>
      </c>
      <c r="Y77" s="6">
        <v>5.5209999999999999</v>
      </c>
      <c r="Z77" s="6">
        <v>-1.8120000000000001</v>
      </c>
      <c r="AA77" s="6">
        <v>0</v>
      </c>
      <c r="AB77" s="6">
        <v>0</v>
      </c>
    </row>
    <row r="78" spans="4:28" x14ac:dyDescent="0.2">
      <c r="D78" s="50">
        <v>298.14999999999998</v>
      </c>
      <c r="E78">
        <v>100</v>
      </c>
      <c r="F78">
        <v>0.4</v>
      </c>
      <c r="G78">
        <v>0.1</v>
      </c>
      <c r="H78">
        <v>0.1</v>
      </c>
      <c r="I78">
        <v>0.1</v>
      </c>
      <c r="J78">
        <v>0.1</v>
      </c>
      <c r="K78">
        <v>0.1</v>
      </c>
      <c r="L78">
        <v>0.1</v>
      </c>
      <c r="N78" s="1">
        <f>SUMPRODUCT(F78:L78, F79:L79)</f>
        <v>27.605042000000005</v>
      </c>
      <c r="O78">
        <f>8.31447/N78</f>
        <v>0.30119389059433416</v>
      </c>
      <c r="P78">
        <f>SUM(N73:R73)*O78</f>
        <v>1.0699727607559679</v>
      </c>
      <c r="Q78">
        <f>(O78*D78)/E78</f>
        <v>0.89800958480700732</v>
      </c>
      <c r="R78">
        <f>(O78)*SUMPRODUCT(N74:T74, F74:L74)</f>
        <v>311.28033285260614</v>
      </c>
      <c r="S78">
        <f>R78-(E78*Q78)</f>
        <v>221.47937437190541</v>
      </c>
      <c r="T78">
        <f>O78*(SUMPRODUCT(N74:T74,F75:L75))-(O78*LN(E78))</f>
        <v>4.4903421539801407</v>
      </c>
      <c r="U78" s="6" t="s">
        <v>47</v>
      </c>
      <c r="V78" s="6">
        <v>2.4009999999999998</v>
      </c>
      <c r="W78" s="6">
        <v>8.7349999999999994</v>
      </c>
      <c r="X78" s="6">
        <v>-6.6070000000000002</v>
      </c>
      <c r="Y78" s="6">
        <v>2.0019999999999998</v>
      </c>
      <c r="Z78" s="6">
        <v>0</v>
      </c>
      <c r="AA78" s="6">
        <v>0</v>
      </c>
      <c r="AB78" s="6">
        <v>0</v>
      </c>
    </row>
    <row r="79" spans="4:28" x14ac:dyDescent="0.2">
      <c r="F79">
        <v>28.013000000000002</v>
      </c>
      <c r="G79">
        <v>31.998999999999999</v>
      </c>
      <c r="H79">
        <v>18.015280000000001</v>
      </c>
      <c r="I79">
        <v>2.0159400000000001</v>
      </c>
      <c r="J79">
        <v>44.009799999999998</v>
      </c>
      <c r="K79">
        <v>28.010400000000001</v>
      </c>
      <c r="L79">
        <v>39.948</v>
      </c>
      <c r="N79" t="s">
        <v>68</v>
      </c>
      <c r="U79" s="6" t="s">
        <v>48</v>
      </c>
      <c r="V79" s="6">
        <v>3.71</v>
      </c>
      <c r="W79" s="6">
        <v>-1.619</v>
      </c>
      <c r="X79" s="6">
        <v>3.6920000000000002</v>
      </c>
      <c r="Y79" s="6">
        <v>-2.032</v>
      </c>
      <c r="Z79" s="6">
        <v>0.24</v>
      </c>
      <c r="AA79" s="6">
        <v>0</v>
      </c>
      <c r="AB79" s="6">
        <v>0</v>
      </c>
    </row>
    <row r="80" spans="4:28" x14ac:dyDescent="0.2">
      <c r="U80" s="4" t="s">
        <v>49</v>
      </c>
      <c r="V80" s="4">
        <v>2.5</v>
      </c>
      <c r="W80" s="4">
        <v>0</v>
      </c>
      <c r="X80" s="4">
        <v>0</v>
      </c>
      <c r="Y80" s="4">
        <v>0</v>
      </c>
      <c r="Z80" s="4">
        <v>0</v>
      </c>
      <c r="AA80" s="4">
        <v>0</v>
      </c>
      <c r="AB80" s="4">
        <v>0</v>
      </c>
    </row>
    <row r="83" spans="20:27" x14ac:dyDescent="0.2">
      <c r="T83" t="s">
        <v>2</v>
      </c>
      <c r="U83">
        <v>3.6749999999999998</v>
      </c>
      <c r="V83">
        <v>3.6259999999999999</v>
      </c>
      <c r="W83">
        <v>4.07</v>
      </c>
      <c r="X83" s="6">
        <v>3.0569999999999999</v>
      </c>
      <c r="Y83" s="6">
        <v>2.4009999999999998</v>
      </c>
      <c r="Z83" s="6">
        <v>3.71</v>
      </c>
      <c r="AA83" s="4">
        <v>2.5</v>
      </c>
    </row>
    <row r="84" spans="20:27" x14ac:dyDescent="0.2">
      <c r="T84" t="s">
        <v>3</v>
      </c>
      <c r="U84" s="5">
        <v>-1.208</v>
      </c>
      <c r="V84" s="6">
        <v>-1.8779999999999999</v>
      </c>
      <c r="W84" s="6">
        <v>-1.1080000000000001</v>
      </c>
      <c r="X84" s="6">
        <v>2.677</v>
      </c>
      <c r="Y84" s="6">
        <v>8.7349999999999994</v>
      </c>
      <c r="Z84" s="6">
        <v>-1.619</v>
      </c>
      <c r="AA84" s="4">
        <v>0</v>
      </c>
    </row>
    <row r="85" spans="20:27" x14ac:dyDescent="0.2">
      <c r="T85" t="s">
        <v>4</v>
      </c>
      <c r="U85" s="5">
        <v>2.3239999999999998</v>
      </c>
      <c r="V85" s="6">
        <v>7.0549999999999997</v>
      </c>
      <c r="W85" s="6">
        <v>4.1520000000000001</v>
      </c>
      <c r="X85" s="6">
        <v>-5.81</v>
      </c>
      <c r="Y85" s="6">
        <v>-6.6070000000000002</v>
      </c>
      <c r="Z85" s="6">
        <v>3.6920000000000002</v>
      </c>
      <c r="AA85" s="4">
        <v>0</v>
      </c>
    </row>
    <row r="86" spans="20:27" x14ac:dyDescent="0.2">
      <c r="T86" t="s">
        <v>5</v>
      </c>
      <c r="U86" s="5">
        <v>-0.63200000000000001</v>
      </c>
      <c r="V86" s="6">
        <v>-6.7640000000000002</v>
      </c>
      <c r="W86" s="6">
        <v>-2.964</v>
      </c>
      <c r="X86" s="6">
        <v>5.5209999999999999</v>
      </c>
      <c r="Y86" s="6">
        <v>2.0019999999999998</v>
      </c>
      <c r="Z86" s="6">
        <v>-2.032</v>
      </c>
      <c r="AA86" s="4">
        <v>0</v>
      </c>
    </row>
    <row r="87" spans="20:27" x14ac:dyDescent="0.2">
      <c r="T87" t="s">
        <v>6</v>
      </c>
      <c r="U87" s="5">
        <v>-0.22600000000000001</v>
      </c>
      <c r="V87" s="6">
        <v>2.1560000000000001</v>
      </c>
      <c r="W87" s="6">
        <v>0.80700000000000005</v>
      </c>
      <c r="X87" s="6">
        <v>-1.8120000000000001</v>
      </c>
      <c r="Y87" s="6">
        <v>0</v>
      </c>
      <c r="Z87" s="6">
        <v>0.24</v>
      </c>
      <c r="AA87" s="4">
        <v>0</v>
      </c>
    </row>
    <row r="88" spans="20:27" x14ac:dyDescent="0.2">
      <c r="T88" t="s">
        <v>7</v>
      </c>
      <c r="U88">
        <v>0</v>
      </c>
      <c r="V88">
        <v>0</v>
      </c>
      <c r="W88">
        <v>0</v>
      </c>
      <c r="X88">
        <v>0</v>
      </c>
      <c r="Y88">
        <v>0</v>
      </c>
      <c r="Z88">
        <v>0</v>
      </c>
      <c r="AA88">
        <v>0</v>
      </c>
    </row>
    <row r="89" spans="20:27" x14ac:dyDescent="0.2">
      <c r="T89" t="s">
        <v>8</v>
      </c>
      <c r="U89">
        <v>0</v>
      </c>
      <c r="V89">
        <v>0</v>
      </c>
      <c r="W89">
        <v>0</v>
      </c>
      <c r="X89">
        <v>0</v>
      </c>
      <c r="Y89">
        <v>0</v>
      </c>
      <c r="Z89">
        <v>0</v>
      </c>
      <c r="AA8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82000-42D8-4438-AE42-EEECA184E0B2}">
  <dimension ref="D2:AC91"/>
  <sheetViews>
    <sheetView topLeftCell="B60" workbookViewId="0">
      <selection activeCell="F79" sqref="F79:L79"/>
    </sheetView>
  </sheetViews>
  <sheetFormatPr baseColWidth="10" defaultColWidth="8.83203125" defaultRowHeight="15" x14ac:dyDescent="0.2"/>
  <cols>
    <col min="4" max="5" width="9.33203125" bestFit="1" customWidth="1"/>
    <col min="11" max="11" width="11.83203125" bestFit="1" customWidth="1"/>
  </cols>
  <sheetData>
    <row r="2" spans="4:29" x14ac:dyDescent="0.2">
      <c r="D2" s="8"/>
      <c r="E2" s="8"/>
      <c r="F2" s="8"/>
      <c r="J2" s="8"/>
    </row>
    <row r="3" spans="4:29" x14ac:dyDescent="0.2">
      <c r="F3" t="s">
        <v>69</v>
      </c>
    </row>
    <row r="4" spans="4:29" x14ac:dyDescent="0.2">
      <c r="F4">
        <v>0</v>
      </c>
      <c r="G4">
        <v>1</v>
      </c>
      <c r="H4">
        <v>2</v>
      </c>
      <c r="I4">
        <v>3</v>
      </c>
      <c r="J4">
        <v>4</v>
      </c>
      <c r="K4">
        <v>5</v>
      </c>
      <c r="L4">
        <v>6</v>
      </c>
    </row>
    <row r="5" spans="4:29" x14ac:dyDescent="0.2">
      <c r="F5">
        <v>1</v>
      </c>
      <c r="G5">
        <f>(298.15)^1</f>
        <v>298.14999999999998</v>
      </c>
      <c r="H5">
        <f>(298.15)^2</f>
        <v>88893.422499999986</v>
      </c>
      <c r="I5">
        <f>(298.15)^3</f>
        <v>26503573.918374993</v>
      </c>
      <c r="J5">
        <f>(298.15)^4</f>
        <v>7902040563.763504</v>
      </c>
      <c r="K5">
        <f>(298.15)^5</f>
        <v>2355993394086.0884</v>
      </c>
      <c r="L5">
        <f>(298.15)^6</f>
        <v>702439430446767.25</v>
      </c>
    </row>
    <row r="6" spans="4:29" x14ac:dyDescent="0.2">
      <c r="F6">
        <v>298.14999999999998</v>
      </c>
      <c r="G6">
        <f>((298.15)^2)/2</f>
        <v>44446.711249999993</v>
      </c>
      <c r="H6">
        <f>((298.15)^3)/3</f>
        <v>8834524.6394583303</v>
      </c>
      <c r="I6">
        <f>((298.15)^4)/4</f>
        <v>1975510140.940876</v>
      </c>
      <c r="J6">
        <f>((298.15)^5)/5</f>
        <v>471198678817.21765</v>
      </c>
      <c r="K6">
        <f>((298.15)^6)/6</f>
        <v>117073238407794.55</v>
      </c>
      <c r="L6">
        <f>((298.15)^7)/7</f>
        <v>2.9918902312529088E+16</v>
      </c>
    </row>
    <row r="7" spans="4:29" x14ac:dyDescent="0.2">
      <c r="F7">
        <f>LN(F6)</f>
        <v>5.697596715569115</v>
      </c>
      <c r="G7">
        <f t="shared" ref="G7:L7" si="0">F6</f>
        <v>298.14999999999998</v>
      </c>
      <c r="H7">
        <f t="shared" si="0"/>
        <v>44446.711249999993</v>
      </c>
      <c r="I7">
        <f t="shared" si="0"/>
        <v>8834524.6394583303</v>
      </c>
      <c r="J7">
        <f t="shared" si="0"/>
        <v>1975510140.940876</v>
      </c>
      <c r="K7">
        <f t="shared" si="0"/>
        <v>471198678817.21765</v>
      </c>
      <c r="L7">
        <f t="shared" si="0"/>
        <v>117073238407794.55</v>
      </c>
    </row>
    <row r="8" spans="4:29" x14ac:dyDescent="0.2">
      <c r="F8" t="s">
        <v>0</v>
      </c>
      <c r="N8" t="s">
        <v>1</v>
      </c>
    </row>
    <row r="9" spans="4:29" x14ac:dyDescent="0.2">
      <c r="F9">
        <v>0</v>
      </c>
      <c r="G9">
        <v>1</v>
      </c>
      <c r="H9">
        <v>2</v>
      </c>
      <c r="I9">
        <v>3</v>
      </c>
      <c r="J9">
        <v>4</v>
      </c>
      <c r="K9">
        <v>5</v>
      </c>
      <c r="L9">
        <v>6</v>
      </c>
      <c r="N9" t="s">
        <v>2</v>
      </c>
      <c r="O9" t="s">
        <v>3</v>
      </c>
      <c r="P9" t="s">
        <v>4</v>
      </c>
      <c r="Q9" t="s">
        <v>5</v>
      </c>
      <c r="R9" t="s">
        <v>6</v>
      </c>
      <c r="S9" t="s">
        <v>7</v>
      </c>
      <c r="T9" t="s">
        <v>8</v>
      </c>
      <c r="U9" s="2" t="s">
        <v>9</v>
      </c>
      <c r="V9" s="3" t="s">
        <v>10</v>
      </c>
      <c r="W9" s="3" t="s">
        <v>11</v>
      </c>
      <c r="X9" s="3" t="s">
        <v>12</v>
      </c>
      <c r="Y9" s="3" t="s">
        <v>13</v>
      </c>
      <c r="Z9" s="3" t="s">
        <v>14</v>
      </c>
      <c r="AA9" s="3" t="s">
        <v>15</v>
      </c>
      <c r="AB9" s="3" t="s">
        <v>16</v>
      </c>
      <c r="AC9" t="s">
        <v>70</v>
      </c>
    </row>
    <row r="10" spans="4:29" x14ac:dyDescent="0.2">
      <c r="F10">
        <v>1</v>
      </c>
      <c r="G10">
        <f>D15^1</f>
        <v>499.59687502443262</v>
      </c>
      <c r="H10">
        <f>D15^2</f>
        <v>249597.03753417855</v>
      </c>
      <c r="I10">
        <f>D15^3</f>
        <v>124697899.96743162</v>
      </c>
      <c r="J10">
        <f>D15^4</f>
        <v>62298681145.838135</v>
      </c>
      <c r="K10">
        <f>D15^5</f>
        <v>31124226418604.27</v>
      </c>
      <c r="L10">
        <f>D15^6</f>
        <v>1.5549566256287582E+16</v>
      </c>
      <c r="N10">
        <f>SUMPRODUCT(F15:L15, U20:AA20)</f>
        <v>3.7287322805550005</v>
      </c>
      <c r="O10">
        <f>(SUMPRODUCT(F15:L15, U21:AA21))*G10*0.001</f>
        <v>-0.97289304909120333</v>
      </c>
      <c r="P10">
        <f>(SUMPRODUCT(F15:L15, U22:AA22))*H10*0.000001</f>
        <v>1.3345282868818484</v>
      </c>
      <c r="Q10">
        <f>(SUMPRODUCT(F15:L15, U23:AA23))*I10*0.000000001</f>
        <v>-0.61015591766501165</v>
      </c>
      <c r="R10">
        <f>(SUMPRODUCT(F15:L15, U24:AA24))*J10*0.000000000001</f>
        <v>0.13789497032840253</v>
      </c>
      <c r="S10">
        <f>(SUMPRODUCT(F15:L15, U25:AA25))*K10*0.000000000000001</f>
        <v>-1.5525407712842087E-2</v>
      </c>
      <c r="T10">
        <f>(SUMPRODUCT(F15:L15, U26:AA26))*L10*0.000000000000000001</f>
        <v>6.9460861302638431E-4</v>
      </c>
      <c r="U10" s="4" t="s">
        <v>17</v>
      </c>
      <c r="V10" s="4" t="s">
        <v>18</v>
      </c>
      <c r="W10" s="4" t="s">
        <v>19</v>
      </c>
      <c r="X10" s="4" t="s">
        <v>20</v>
      </c>
      <c r="Y10" s="4" t="s">
        <v>21</v>
      </c>
      <c r="Z10" s="4" t="s">
        <v>22</v>
      </c>
      <c r="AA10" s="4" t="s">
        <v>23</v>
      </c>
      <c r="AB10" s="4" t="s">
        <v>24</v>
      </c>
    </row>
    <row r="11" spans="4:29" x14ac:dyDescent="0.2">
      <c r="F11">
        <f>D15</f>
        <v>499.59687502443262</v>
      </c>
      <c r="G11">
        <f>(D15*D15)/2</f>
        <v>124798.51876708928</v>
      </c>
      <c r="H11">
        <f>(D15*D15*D15)/3</f>
        <v>41565966.655810542</v>
      </c>
      <c r="I11">
        <f>(D15*D15*D15*D15)/4</f>
        <v>15574670286.459534</v>
      </c>
      <c r="J11">
        <f>(D15*D15*D15*D15*D15)/5</f>
        <v>6224845283720.8535</v>
      </c>
      <c r="K11">
        <f>(D15*D15*D15*D15*D15*D15)/6</f>
        <v>2591594376047930.5</v>
      </c>
      <c r="L11">
        <f>(D15*D15*D15*D15*D15*D15*D15)/7</f>
        <v>1.1097878156609487E+18</v>
      </c>
      <c r="N11">
        <f>SUMPRODUCT(F15:L15, U20:AA20)</f>
        <v>3.7287322805550005</v>
      </c>
      <c r="O11">
        <f>(SUMPRODUCT(F15:L15, U21:AA21))*0.001</f>
        <v>-1.9473561539864002E-3</v>
      </c>
      <c r="P11">
        <f>(SUMPRODUCT(F15:L15, U22:AA22))*0.000001</f>
        <v>5.3467312756030003E-6</v>
      </c>
      <c r="Q11">
        <f>(SUMPRODUCT(F15:L15, U23:AA23))*0.000000001</f>
        <v>-4.8930729212310004E-9</v>
      </c>
      <c r="R11">
        <f>(SUMPRODUCT(F15:L15, U24:AA24))*0.000000000001</f>
        <v>2.2134492703881999E-12</v>
      </c>
      <c r="S11">
        <f>(SUMPRODUCT(F15:L15, U25:AA25))*0.000000000000001</f>
        <v>-4.9882067763014002E-16</v>
      </c>
      <c r="T11">
        <f>(SUMPRODUCT(F15:L15, U26:AA26))*0.000000000000000001</f>
        <v>4.4670610200815995E-20</v>
      </c>
      <c r="U11" s="5" t="s">
        <v>25</v>
      </c>
      <c r="V11" s="5">
        <v>3.8490000000000002</v>
      </c>
      <c r="W11" s="5">
        <v>-2.5630000000000002</v>
      </c>
      <c r="X11" s="5">
        <v>6.1150000000000002</v>
      </c>
      <c r="Y11" s="5">
        <v>-5.3410000000000002</v>
      </c>
      <c r="Z11" s="5">
        <v>2.34</v>
      </c>
      <c r="AA11" s="5">
        <v>-0.51480000000000004</v>
      </c>
      <c r="AB11" s="5">
        <v>4.5249999999999999E-2</v>
      </c>
      <c r="AC11">
        <v>0</v>
      </c>
    </row>
    <row r="12" spans="4:29" x14ac:dyDescent="0.2">
      <c r="F12">
        <f>LN(F11)</f>
        <v>6.2138015232767616</v>
      </c>
      <c r="G12">
        <f t="shared" ref="G12:L12" si="1">F11</f>
        <v>499.59687502443262</v>
      </c>
      <c r="H12">
        <f t="shared" si="1"/>
        <v>124798.51876708928</v>
      </c>
      <c r="I12">
        <f t="shared" si="1"/>
        <v>41565966.655810542</v>
      </c>
      <c r="J12">
        <f t="shared" si="1"/>
        <v>15574670286.459534</v>
      </c>
      <c r="K12">
        <f t="shared" si="1"/>
        <v>6224845283720.8535</v>
      </c>
      <c r="L12">
        <f t="shared" si="1"/>
        <v>2591594376047930.5</v>
      </c>
      <c r="U12" s="6" t="s">
        <v>26</v>
      </c>
      <c r="V12" s="6">
        <v>3.3090000000000002</v>
      </c>
      <c r="W12" s="6">
        <v>0.1012</v>
      </c>
      <c r="X12" s="6">
        <v>3.0070000000000001</v>
      </c>
      <c r="Y12" s="6">
        <v>-3.8010000000000002</v>
      </c>
      <c r="Z12" s="6">
        <v>2.0409999999999999</v>
      </c>
      <c r="AA12" s="6">
        <v>-0.51290000000000002</v>
      </c>
      <c r="AB12" s="6">
        <v>4.9500000000000002E-2</v>
      </c>
      <c r="AC12">
        <v>0</v>
      </c>
    </row>
    <row r="13" spans="4:29" x14ac:dyDescent="0.2">
      <c r="D13" t="s">
        <v>27</v>
      </c>
      <c r="N13" t="s">
        <v>28</v>
      </c>
      <c r="U13" s="6" t="s">
        <v>29</v>
      </c>
      <c r="V13" s="6">
        <v>4.008</v>
      </c>
      <c r="W13" s="6">
        <v>-0.65980000000000005</v>
      </c>
      <c r="X13" s="6">
        <v>3.0510000000000002</v>
      </c>
      <c r="Y13" s="6">
        <v>-1.8939999999999999</v>
      </c>
      <c r="Z13" s="6">
        <v>0.51139999999999997</v>
      </c>
      <c r="AA13" s="6">
        <v>-5.8880000000000002E-2</v>
      </c>
      <c r="AB13" s="6">
        <v>1.6819999999999999E-3</v>
      </c>
      <c r="AC13">
        <v>-241820</v>
      </c>
    </row>
    <row r="14" spans="4:29" x14ac:dyDescent="0.2">
      <c r="D14" t="s">
        <v>30</v>
      </c>
      <c r="E14" t="s">
        <v>31</v>
      </c>
      <c r="F14" t="s">
        <v>32</v>
      </c>
      <c r="G14" t="s">
        <v>33</v>
      </c>
      <c r="H14" t="s">
        <v>34</v>
      </c>
      <c r="I14" t="s">
        <v>35</v>
      </c>
      <c r="J14" t="s">
        <v>36</v>
      </c>
      <c r="K14" t="s">
        <v>37</v>
      </c>
      <c r="L14" t="s">
        <v>38</v>
      </c>
      <c r="N14" t="s">
        <v>39</v>
      </c>
      <c r="O14" t="s">
        <v>40</v>
      </c>
      <c r="P14" t="s">
        <v>41</v>
      </c>
      <c r="Q14" t="s">
        <v>42</v>
      </c>
      <c r="R14" t="s">
        <v>71</v>
      </c>
      <c r="S14" t="s">
        <v>44</v>
      </c>
      <c r="T14" t="s">
        <v>45</v>
      </c>
      <c r="U14" s="6" t="s">
        <v>46</v>
      </c>
      <c r="V14" s="6">
        <v>3.2309999999999999</v>
      </c>
      <c r="W14" s="6">
        <v>1.5469999999999999</v>
      </c>
      <c r="X14" s="6">
        <v>-3.4049999999999998</v>
      </c>
      <c r="Y14" s="6">
        <v>3.7679999999999998</v>
      </c>
      <c r="Z14" s="6">
        <v>-1.94</v>
      </c>
      <c r="AA14" s="6">
        <v>0.47499999999999998</v>
      </c>
      <c r="AB14" s="6">
        <v>-4.496E-2</v>
      </c>
      <c r="AC14">
        <v>0</v>
      </c>
    </row>
    <row r="15" spans="4:29" x14ac:dyDescent="0.2">
      <c r="D15" s="60">
        <v>499.59687502443262</v>
      </c>
      <c r="E15" s="60">
        <v>1040.2351990500961</v>
      </c>
      <c r="F15" s="8">
        <v>0.76193228400000002</v>
      </c>
      <c r="G15" s="8">
        <v>0.20513561499999999</v>
      </c>
      <c r="H15" s="8">
        <v>2.3163738E-2</v>
      </c>
      <c r="I15">
        <v>0</v>
      </c>
      <c r="J15">
        <v>0</v>
      </c>
      <c r="K15">
        <v>0</v>
      </c>
      <c r="L15" s="8">
        <v>9.7683630000000004E-3</v>
      </c>
      <c r="N15" s="1">
        <f>SUMPRODUCT(F15:L15, F16:L16)</f>
        <v>28.715676503140003</v>
      </c>
      <c r="O15">
        <f>8.31447/N15</f>
        <v>0.28954463249684642</v>
      </c>
      <c r="P15">
        <f>SUM(N10:T10)*O15</f>
        <v>1.0433091591622461</v>
      </c>
      <c r="Q15">
        <f>(O15*D15)/E15</f>
        <v>0.13906046796687552</v>
      </c>
      <c r="R15">
        <f>((O15)*SUMPRODUCT(N11:T11, F11:L11))*N15</f>
        <v>14786.495863517835</v>
      </c>
      <c r="S15">
        <f>R17-(O15*D15)</f>
        <v>-132.78944038009649</v>
      </c>
      <c r="T15">
        <f>O15*(SUMPRODUCT(N11:T11,F12:L12))-(O15*LN(E15))</f>
        <v>4.558842720311219</v>
      </c>
      <c r="U15" s="6" t="s">
        <v>47</v>
      </c>
      <c r="V15" s="6">
        <v>2.3370000000000002</v>
      </c>
      <c r="W15" s="6">
        <v>9.4</v>
      </c>
      <c r="X15" s="6">
        <v>-8.7420000000000009</v>
      </c>
      <c r="Y15" s="6">
        <v>4.9470000000000001</v>
      </c>
      <c r="Z15" s="6">
        <v>-1.694</v>
      </c>
      <c r="AA15" s="6">
        <v>0.32150000000000001</v>
      </c>
      <c r="AB15" s="6">
        <v>-2.581E-2</v>
      </c>
      <c r="AC15">
        <v>-393520</v>
      </c>
    </row>
    <row r="16" spans="4:29" x14ac:dyDescent="0.2">
      <c r="F16">
        <v>28.013000000000002</v>
      </c>
      <c r="G16">
        <v>31.998999999999999</v>
      </c>
      <c r="H16">
        <v>18.015499999999999</v>
      </c>
      <c r="I16">
        <v>2.016</v>
      </c>
      <c r="J16">
        <v>44.01</v>
      </c>
      <c r="K16">
        <v>28.0105</v>
      </c>
      <c r="L16">
        <v>39.948</v>
      </c>
      <c r="N16" t="s">
        <v>72</v>
      </c>
      <c r="O16" t="s">
        <v>68</v>
      </c>
      <c r="P16" t="s">
        <v>73</v>
      </c>
      <c r="Q16" t="s">
        <v>74</v>
      </c>
      <c r="R16" t="s">
        <v>43</v>
      </c>
      <c r="U16" s="6" t="s">
        <v>48</v>
      </c>
      <c r="V16" s="6">
        <v>3.78</v>
      </c>
      <c r="W16" s="6">
        <v>-2.3199999999999998</v>
      </c>
      <c r="X16" s="6">
        <v>6.1020000000000003</v>
      </c>
      <c r="Y16" s="6">
        <v>-5.58</v>
      </c>
      <c r="Z16" s="6">
        <v>2.524</v>
      </c>
      <c r="AA16" s="6">
        <v>-0.56820000000000004</v>
      </c>
      <c r="AB16" s="6">
        <v>5.0840000000000003E-2</v>
      </c>
      <c r="AC16">
        <v>-110530</v>
      </c>
    </row>
    <row r="17" spans="10:29" x14ac:dyDescent="0.2">
      <c r="N17">
        <f>SUMPRODUCT(U27:AA27,F15:L15)</f>
        <v>-5601.4551231599999</v>
      </c>
      <c r="O17">
        <f>P15-O15</f>
        <v>0.75376452666539961</v>
      </c>
      <c r="P17">
        <f>((O15)*SUMPRODUCT(N11:T11, F6:L6))*N15</f>
        <v>8844.2961238612879</v>
      </c>
      <c r="Q17">
        <f>N17+(R15-P17)</f>
        <v>340.74461649654768</v>
      </c>
      <c r="R17">
        <f>Q17/N15</f>
        <v>11.866153195425778</v>
      </c>
      <c r="U17" s="4" t="s">
        <v>49</v>
      </c>
      <c r="V17" s="4">
        <v>2.5</v>
      </c>
      <c r="W17" s="4">
        <v>0</v>
      </c>
      <c r="X17" s="4">
        <v>0</v>
      </c>
      <c r="Y17" s="4">
        <v>0</v>
      </c>
      <c r="Z17" s="4">
        <v>0</v>
      </c>
      <c r="AA17" s="4">
        <v>0</v>
      </c>
      <c r="AB17" s="4">
        <v>0</v>
      </c>
      <c r="AC17">
        <v>0</v>
      </c>
    </row>
    <row r="20" spans="10:29" x14ac:dyDescent="0.2">
      <c r="J20" t="s">
        <v>75</v>
      </c>
      <c r="K20">
        <f>ABS(4.558841-T15)</f>
        <v>1.7203112188113323E-6</v>
      </c>
      <c r="T20" t="s">
        <v>2</v>
      </c>
      <c r="U20" s="5">
        <v>3.8490000000000002</v>
      </c>
      <c r="V20" s="6">
        <v>3.3090000000000002</v>
      </c>
      <c r="W20" s="6">
        <v>4.008</v>
      </c>
      <c r="X20" s="6">
        <v>3.2309999999999999</v>
      </c>
      <c r="Y20" s="6">
        <v>2.3370000000000002</v>
      </c>
      <c r="Z20" s="6">
        <v>3.78</v>
      </c>
      <c r="AA20" s="4">
        <v>2.5</v>
      </c>
    </row>
    <row r="21" spans="10:29" x14ac:dyDescent="0.2">
      <c r="J21" t="s">
        <v>75</v>
      </c>
      <c r="K21">
        <f>ABS(0.079028105-Q15)</f>
        <v>6.0032362966875516E-2</v>
      </c>
      <c r="T21" t="s">
        <v>3</v>
      </c>
      <c r="U21" s="5">
        <v>-2.5630000000000002</v>
      </c>
      <c r="V21" s="6">
        <v>0.1012</v>
      </c>
      <c r="W21" s="6">
        <v>-0.65980000000000005</v>
      </c>
      <c r="X21" s="6">
        <v>1.5469999999999999</v>
      </c>
      <c r="Y21" s="6">
        <v>9.4</v>
      </c>
      <c r="Z21" s="6">
        <v>-2.3199999999999998</v>
      </c>
      <c r="AA21" s="4">
        <v>0</v>
      </c>
    </row>
    <row r="22" spans="10:29" x14ac:dyDescent="0.2">
      <c r="T22" t="s">
        <v>4</v>
      </c>
      <c r="U22" s="5">
        <v>6.1150000000000002</v>
      </c>
      <c r="V22" s="6">
        <v>3.0070000000000001</v>
      </c>
      <c r="W22" s="6">
        <v>3.0510000000000002</v>
      </c>
      <c r="X22" s="6">
        <v>-3.4049999999999998</v>
      </c>
      <c r="Y22" s="6">
        <v>-8.7420000000000009</v>
      </c>
      <c r="Z22" s="6">
        <v>6.1020000000000003</v>
      </c>
      <c r="AA22" s="4">
        <v>0</v>
      </c>
    </row>
    <row r="23" spans="10:29" x14ac:dyDescent="0.2">
      <c r="T23" t="s">
        <v>5</v>
      </c>
      <c r="U23" s="5">
        <v>-5.3410000000000002</v>
      </c>
      <c r="V23" s="6">
        <v>-3.8010000000000002</v>
      </c>
      <c r="W23" s="6">
        <v>-1.8939999999999999</v>
      </c>
      <c r="X23" s="6">
        <v>3.7679999999999998</v>
      </c>
      <c r="Y23" s="6">
        <v>4.9470000000000001</v>
      </c>
      <c r="Z23" s="6">
        <v>-5.58</v>
      </c>
      <c r="AA23" s="4">
        <v>0</v>
      </c>
    </row>
    <row r="24" spans="10:29" x14ac:dyDescent="0.2">
      <c r="T24" t="s">
        <v>6</v>
      </c>
      <c r="U24" s="5">
        <v>2.34</v>
      </c>
      <c r="V24" s="6">
        <v>2.0409999999999999</v>
      </c>
      <c r="W24" s="6">
        <v>0.51139999999999997</v>
      </c>
      <c r="X24" s="6">
        <v>-1.94</v>
      </c>
      <c r="Y24" s="6">
        <v>-1.694</v>
      </c>
      <c r="Z24" s="6">
        <v>2.524</v>
      </c>
      <c r="AA24" s="4">
        <v>0</v>
      </c>
    </row>
    <row r="25" spans="10:29" x14ac:dyDescent="0.2">
      <c r="T25" t="s">
        <v>7</v>
      </c>
      <c r="U25" s="5">
        <v>-0.51480000000000004</v>
      </c>
      <c r="V25" s="6">
        <v>-0.51290000000000002</v>
      </c>
      <c r="W25" s="6">
        <v>-5.8880000000000002E-2</v>
      </c>
      <c r="X25" s="6">
        <v>0.47499999999999998</v>
      </c>
      <c r="Y25" s="6">
        <v>0.32150000000000001</v>
      </c>
      <c r="Z25" s="6">
        <v>-0.56820000000000004</v>
      </c>
      <c r="AA25">
        <v>0</v>
      </c>
    </row>
    <row r="26" spans="10:29" x14ac:dyDescent="0.2">
      <c r="T26" t="s">
        <v>8</v>
      </c>
      <c r="U26" s="5">
        <v>4.5249999999999999E-2</v>
      </c>
      <c r="V26" s="6">
        <v>4.9500000000000002E-2</v>
      </c>
      <c r="W26" s="6">
        <v>1.6819999999999999E-3</v>
      </c>
      <c r="X26" s="6">
        <v>-4.496E-2</v>
      </c>
      <c r="Y26" s="6">
        <v>-2.581E-2</v>
      </c>
      <c r="Z26" s="6">
        <v>5.0840000000000003E-2</v>
      </c>
      <c r="AA26">
        <v>0</v>
      </c>
    </row>
    <row r="27" spans="10:29" x14ac:dyDescent="0.2">
      <c r="T27" t="s">
        <v>70</v>
      </c>
      <c r="U27">
        <v>0</v>
      </c>
      <c r="V27">
        <v>0</v>
      </c>
      <c r="W27">
        <v>-241820</v>
      </c>
      <c r="X27">
        <v>0</v>
      </c>
      <c r="Y27">
        <v>-393520</v>
      </c>
      <c r="Z27">
        <v>-110530</v>
      </c>
      <c r="AA27">
        <v>0</v>
      </c>
    </row>
    <row r="36" spans="4:29" x14ac:dyDescent="0.2">
      <c r="F36" t="s">
        <v>69</v>
      </c>
    </row>
    <row r="37" spans="4:29" x14ac:dyDescent="0.2">
      <c r="F37">
        <v>0</v>
      </c>
      <c r="G37">
        <v>1</v>
      </c>
      <c r="H37">
        <v>2</v>
      </c>
      <c r="I37">
        <v>3</v>
      </c>
      <c r="J37">
        <v>4</v>
      </c>
      <c r="K37">
        <v>5</v>
      </c>
      <c r="L37">
        <v>6</v>
      </c>
    </row>
    <row r="38" spans="4:29" x14ac:dyDescent="0.2">
      <c r="F38">
        <v>1</v>
      </c>
      <c r="G38">
        <f>(298.15)^1</f>
        <v>298.14999999999998</v>
      </c>
      <c r="H38">
        <f>(298.15)^2</f>
        <v>88893.422499999986</v>
      </c>
      <c r="I38">
        <f>(298.15)^3</f>
        <v>26503573.918374993</v>
      </c>
      <c r="J38">
        <f>(298.15)^4</f>
        <v>7902040563.763504</v>
      </c>
      <c r="K38">
        <f>(298.15)^5</f>
        <v>2355993394086.0884</v>
      </c>
      <c r="L38">
        <f>(298.15)^6</f>
        <v>702439430446767.25</v>
      </c>
    </row>
    <row r="39" spans="4:29" x14ac:dyDescent="0.2">
      <c r="F39">
        <v>298.14999999999998</v>
      </c>
      <c r="G39">
        <f>((298.15)^2)/2</f>
        <v>44446.711249999993</v>
      </c>
      <c r="H39">
        <f>((298.15)^3)/3</f>
        <v>8834524.6394583303</v>
      </c>
      <c r="I39">
        <f>((298.15)^4)/4</f>
        <v>1975510140.940876</v>
      </c>
      <c r="J39">
        <f>((298.15)^5)/5</f>
        <v>471198678817.21765</v>
      </c>
      <c r="K39">
        <f>((298.15)^6)/6</f>
        <v>117073238407794.55</v>
      </c>
      <c r="L39">
        <f>((298.15)^7)/7</f>
        <v>2.9918902312529088E+16</v>
      </c>
    </row>
    <row r="40" spans="4:29" x14ac:dyDescent="0.2">
      <c r="F40">
        <f>LN(F39)</f>
        <v>5.697596715569115</v>
      </c>
      <c r="G40">
        <f t="shared" ref="G40" si="2">F39</f>
        <v>298.14999999999998</v>
      </c>
      <c r="H40">
        <f t="shared" ref="H40" si="3">G39</f>
        <v>44446.711249999993</v>
      </c>
      <c r="I40">
        <f t="shared" ref="I40" si="4">H39</f>
        <v>8834524.6394583303</v>
      </c>
      <c r="J40">
        <f t="shared" ref="J40" si="5">I39</f>
        <v>1975510140.940876</v>
      </c>
      <c r="K40">
        <f t="shared" ref="K40" si="6">J39</f>
        <v>471198678817.21765</v>
      </c>
      <c r="L40">
        <f t="shared" ref="L40" si="7">K39</f>
        <v>117073238407794.55</v>
      </c>
    </row>
    <row r="41" spans="4:29" ht="16" thickBot="1" x14ac:dyDescent="0.25">
      <c r="F41" t="s">
        <v>0</v>
      </c>
      <c r="N41" t="s">
        <v>1</v>
      </c>
    </row>
    <row r="42" spans="4:29" ht="16" thickTop="1" x14ac:dyDescent="0.2">
      <c r="F42">
        <v>0</v>
      </c>
      <c r="G42">
        <v>1</v>
      </c>
      <c r="H42">
        <v>2</v>
      </c>
      <c r="I42">
        <v>3</v>
      </c>
      <c r="J42">
        <v>4</v>
      </c>
      <c r="K42">
        <v>5</v>
      </c>
      <c r="L42">
        <v>6</v>
      </c>
      <c r="N42" t="s">
        <v>2</v>
      </c>
      <c r="O42" t="s">
        <v>3</v>
      </c>
      <c r="P42" t="s">
        <v>4</v>
      </c>
      <c r="Q42" t="s">
        <v>5</v>
      </c>
      <c r="R42" t="s">
        <v>6</v>
      </c>
      <c r="S42" t="s">
        <v>7</v>
      </c>
      <c r="T42" t="s">
        <v>8</v>
      </c>
      <c r="U42" s="2" t="s">
        <v>9</v>
      </c>
      <c r="V42" s="3" t="s">
        <v>10</v>
      </c>
      <c r="W42" s="3" t="s">
        <v>11</v>
      </c>
      <c r="X42" s="3" t="s">
        <v>12</v>
      </c>
      <c r="Y42" s="3" t="s">
        <v>13</v>
      </c>
      <c r="Z42" s="3" t="s">
        <v>14</v>
      </c>
      <c r="AA42" s="3" t="s">
        <v>15</v>
      </c>
      <c r="AB42" s="3" t="s">
        <v>16</v>
      </c>
      <c r="AC42" t="s">
        <v>70</v>
      </c>
    </row>
    <row r="43" spans="4:29" ht="16" thickBot="1" x14ac:dyDescent="0.25">
      <c r="F43">
        <v>1</v>
      </c>
      <c r="G43">
        <f>D48^1</f>
        <v>1337.7914186685016</v>
      </c>
      <c r="H43">
        <f>D48^2</f>
        <v>1789685.8798630822</v>
      </c>
      <c r="I43">
        <f>D48^3</f>
        <v>2394226412.1930184</v>
      </c>
      <c r="J43">
        <f>D48^4</f>
        <v>3202975548581.2949</v>
      </c>
      <c r="K43">
        <f>D48^5</f>
        <v>4284913203097092.5</v>
      </c>
      <c r="L43">
        <f>D48^6</f>
        <v>5.7323201128426527E+18</v>
      </c>
      <c r="N43">
        <f>SUMPRODUCT(F48:L48, U53:AA53)</f>
        <v>3.6460500000000002</v>
      </c>
      <c r="O43">
        <f>(SUMPRODUCT(F48:L48, U54:AA54))*G43*0.001</f>
        <v>-0.64624690061619328</v>
      </c>
      <c r="P43">
        <f>(SUMPRODUCT(F48:L48, U55:AA55))*H43*0.000001</f>
        <v>6.1329850574088027</v>
      </c>
      <c r="Q43">
        <f>(SUMPRODUCT(F48:L48, U56:AA56))*I43*0.000000001</f>
        <v>-7.8548583018022446</v>
      </c>
      <c r="R43">
        <f>(SUMPRODUCT(F48:L48, U57:AA57))*J43*0.000000000001</f>
        <v>4.678298116013325</v>
      </c>
      <c r="S43">
        <f>(SUMPRODUCT(F48:L48, U58:AA58))*K43*0.000000000000001</f>
        <v>-1.3753157360584647</v>
      </c>
      <c r="T43">
        <f>(SUMPRODUCT(F48:L48, U59:AA59))*L43*0.000000000000000001</f>
        <v>0.16082482662189085</v>
      </c>
      <c r="U43" s="4" t="s">
        <v>17</v>
      </c>
      <c r="V43" s="4" t="s">
        <v>18</v>
      </c>
      <c r="W43" s="4" t="s">
        <v>19</v>
      </c>
      <c r="X43" s="4" t="s">
        <v>20</v>
      </c>
      <c r="Y43" s="4" t="s">
        <v>21</v>
      </c>
      <c r="Z43" s="4" t="s">
        <v>22</v>
      </c>
      <c r="AA43" s="4" t="s">
        <v>23</v>
      </c>
      <c r="AB43" s="4" t="s">
        <v>24</v>
      </c>
    </row>
    <row r="44" spans="4:29" ht="16" thickTop="1" x14ac:dyDescent="0.2">
      <c r="F44">
        <f>D48</f>
        <v>1337.7914186685016</v>
      </c>
      <c r="G44">
        <f>(D48*D48)/2</f>
        <v>894842.9399315411</v>
      </c>
      <c r="H44">
        <f>(D48*D48*D48)/3</f>
        <v>798075470.73100615</v>
      </c>
      <c r="I44">
        <f>(D48*D48*D48*D48)/4</f>
        <v>800743887145.32373</v>
      </c>
      <c r="J44">
        <f>(D48*D48*D48*D48*D48)/5</f>
        <v>856982640619418.5</v>
      </c>
      <c r="K44">
        <f>(D48*D48*D48*D48*D48*D48)/6</f>
        <v>9.5538668547377549E+17</v>
      </c>
      <c r="L44">
        <f>(D48*D48*D48*D48*D48*D48*D48)/7</f>
        <v>1.0955212365745367E+21</v>
      </c>
      <c r="N44">
        <f>SUMPRODUCT(F48:L48, U53:AA53)</f>
        <v>3.6460500000000002</v>
      </c>
      <c r="O44">
        <f>(SUMPRODUCT(F48:L48, U54:AA54))*0.001</f>
        <v>-4.830700000000001E-4</v>
      </c>
      <c r="P44">
        <f>(SUMPRODUCT(F48:L48, U55:AA55))*0.000001</f>
        <v>3.4268499999999996E-6</v>
      </c>
      <c r="Q44">
        <f>(SUMPRODUCT(F48:L48, U56:AA56))*0.000000001</f>
        <v>-3.2807499999999994E-9</v>
      </c>
      <c r="R44">
        <f>(SUMPRODUCT(F48:L48, U57:AA57))*0.000000000001</f>
        <v>1.46061E-12</v>
      </c>
      <c r="S44">
        <f>(SUMPRODUCT(F48:L48, U58:AA58))*0.000000000000001</f>
        <v>-3.2096700000000001E-16</v>
      </c>
      <c r="T44">
        <f>(SUMPRODUCT(F48:L48, U59:AA59))*0.000000000000000001</f>
        <v>2.8055799999999992E-20</v>
      </c>
      <c r="U44" s="5" t="s">
        <v>25</v>
      </c>
      <c r="V44" s="5">
        <v>3.8490000000000002</v>
      </c>
      <c r="W44" s="5">
        <v>-2.5630000000000002</v>
      </c>
      <c r="X44" s="5">
        <v>6.1150000000000002</v>
      </c>
      <c r="Y44" s="5">
        <v>-5.3410000000000002</v>
      </c>
      <c r="Z44" s="5">
        <v>2.34</v>
      </c>
      <c r="AA44" s="5">
        <v>-0.51480000000000004</v>
      </c>
      <c r="AB44" s="5">
        <v>4.5249999999999999E-2</v>
      </c>
      <c r="AC44">
        <v>0</v>
      </c>
    </row>
    <row r="45" spans="4:29" x14ac:dyDescent="0.2">
      <c r="F45">
        <f>LN(F44)</f>
        <v>7.1987753381537196</v>
      </c>
      <c r="G45">
        <f t="shared" ref="G45" si="8">F44</f>
        <v>1337.7914186685016</v>
      </c>
      <c r="H45">
        <f t="shared" ref="H45" si="9">G44</f>
        <v>894842.9399315411</v>
      </c>
      <c r="I45">
        <f t="shared" ref="I45" si="10">H44</f>
        <v>798075470.73100615</v>
      </c>
      <c r="J45">
        <f t="shared" ref="J45" si="11">I44</f>
        <v>800743887145.32373</v>
      </c>
      <c r="K45">
        <f t="shared" ref="K45" si="12">J44</f>
        <v>856982640619418.5</v>
      </c>
      <c r="L45">
        <f t="shared" ref="L45" si="13">K44</f>
        <v>9.5538668547377549E+17</v>
      </c>
      <c r="U45" s="6" t="s">
        <v>26</v>
      </c>
      <c r="V45" s="6">
        <v>3.3090000000000002</v>
      </c>
      <c r="W45" s="6">
        <v>0.1012</v>
      </c>
      <c r="X45" s="6">
        <v>3.0070000000000001</v>
      </c>
      <c r="Y45" s="6">
        <v>-3.8010000000000002</v>
      </c>
      <c r="Z45" s="6">
        <v>2.0409999999999999</v>
      </c>
      <c r="AA45" s="6">
        <v>-0.51290000000000002</v>
      </c>
      <c r="AB45" s="6">
        <v>4.9500000000000002E-2</v>
      </c>
      <c r="AC45">
        <v>0</v>
      </c>
    </row>
    <row r="46" spans="4:29" x14ac:dyDescent="0.2">
      <c r="D46" t="s">
        <v>27</v>
      </c>
      <c r="N46" t="s">
        <v>28</v>
      </c>
      <c r="U46" s="6" t="s">
        <v>29</v>
      </c>
      <c r="V46" s="6">
        <v>4.008</v>
      </c>
      <c r="W46" s="6">
        <v>-0.65980000000000005</v>
      </c>
      <c r="X46" s="6">
        <v>3.0510000000000002</v>
      </c>
      <c r="Y46" s="6">
        <v>-1.8939999999999999</v>
      </c>
      <c r="Z46" s="6">
        <v>0.51139999999999997</v>
      </c>
      <c r="AA46" s="6">
        <v>-5.8880000000000002E-2</v>
      </c>
      <c r="AB46" s="6">
        <v>1.6819999999999999E-3</v>
      </c>
      <c r="AC46">
        <v>-241820</v>
      </c>
    </row>
    <row r="47" spans="4:29" x14ac:dyDescent="0.2">
      <c r="D47" t="s">
        <v>30</v>
      </c>
      <c r="E47" t="s">
        <v>31</v>
      </c>
      <c r="F47" t="s">
        <v>32</v>
      </c>
      <c r="G47" t="s">
        <v>33</v>
      </c>
      <c r="H47" t="s">
        <v>34</v>
      </c>
      <c r="I47" t="s">
        <v>35</v>
      </c>
      <c r="J47" t="s">
        <v>36</v>
      </c>
      <c r="K47" t="s">
        <v>37</v>
      </c>
      <c r="L47" t="s">
        <v>38</v>
      </c>
      <c r="N47" t="s">
        <v>39</v>
      </c>
      <c r="O47" t="s">
        <v>40</v>
      </c>
      <c r="P47" t="s">
        <v>41</v>
      </c>
      <c r="Q47" t="s">
        <v>42</v>
      </c>
      <c r="R47" t="s">
        <v>71</v>
      </c>
      <c r="S47" t="s">
        <v>44</v>
      </c>
      <c r="T47" t="s">
        <v>45</v>
      </c>
      <c r="U47" s="6" t="s">
        <v>46</v>
      </c>
      <c r="V47" s="6">
        <v>3.2309999999999999</v>
      </c>
      <c r="W47" s="6">
        <v>1.5469999999999999</v>
      </c>
      <c r="X47" s="6">
        <v>-3.4049999999999998</v>
      </c>
      <c r="Y47" s="6">
        <v>3.7679999999999998</v>
      </c>
      <c r="Z47" s="6">
        <v>-1.94</v>
      </c>
      <c r="AA47" s="6">
        <v>0.47499999999999998</v>
      </c>
      <c r="AB47" s="6">
        <v>-4.496E-2</v>
      </c>
      <c r="AC47">
        <v>0</v>
      </c>
    </row>
    <row r="48" spans="4:29" x14ac:dyDescent="0.2">
      <c r="D48" s="8">
        <v>1337.7914186685016</v>
      </c>
      <c r="E48" s="8">
        <v>1872.4233582901729</v>
      </c>
      <c r="F48" s="8">
        <v>0.7</v>
      </c>
      <c r="G48" s="8">
        <v>0</v>
      </c>
      <c r="H48" s="8">
        <v>0.15</v>
      </c>
      <c r="I48">
        <v>0</v>
      </c>
      <c r="J48">
        <v>0.15</v>
      </c>
      <c r="K48">
        <v>0</v>
      </c>
      <c r="L48" s="8">
        <v>0</v>
      </c>
      <c r="N48" s="1">
        <f>SUMPRODUCT(F48:L48, F49:L49)</f>
        <v>28.912925000000001</v>
      </c>
      <c r="O48">
        <f>8.31447/N48</f>
        <v>0.28756931372387956</v>
      </c>
      <c r="P48">
        <f>SUM(N43:T43)*O48</f>
        <v>1.3635780726539413</v>
      </c>
      <c r="Q48">
        <f>(O48*D48)/E48</f>
        <v>0.20545981680312778</v>
      </c>
      <c r="R48">
        <f>((O48)*SUMPRODUCT(N44:T44, F44:L44))*N48</f>
        <v>45970.975542985456</v>
      </c>
      <c r="S48">
        <f>R50-(O48*D48)</f>
        <v>-2404.3291412537701</v>
      </c>
      <c r="T48">
        <f>O48*(SUMPRODUCT(N44:T44,F45:L45))-(O48*LN(E48))</f>
        <v>5.5890192003808874</v>
      </c>
      <c r="U48" s="6" t="s">
        <v>47</v>
      </c>
      <c r="V48" s="6">
        <v>2.3370000000000002</v>
      </c>
      <c r="W48" s="6">
        <v>9.4</v>
      </c>
      <c r="X48" s="6">
        <v>-8.7420000000000009</v>
      </c>
      <c r="Y48" s="6">
        <v>4.9470000000000001</v>
      </c>
      <c r="Z48" s="6">
        <v>-1.694</v>
      </c>
      <c r="AA48" s="6">
        <v>0.32150000000000001</v>
      </c>
      <c r="AB48" s="6">
        <v>-2.581E-2</v>
      </c>
      <c r="AC48">
        <v>-393520</v>
      </c>
    </row>
    <row r="49" spans="6:29" x14ac:dyDescent="0.2">
      <c r="F49">
        <v>28.013000000000002</v>
      </c>
      <c r="G49">
        <v>31.998999999999999</v>
      </c>
      <c r="H49">
        <v>18.015499999999999</v>
      </c>
      <c r="I49">
        <v>2.016</v>
      </c>
      <c r="J49">
        <v>44.01</v>
      </c>
      <c r="K49">
        <v>28.0105</v>
      </c>
      <c r="L49">
        <v>39.948</v>
      </c>
      <c r="N49" t="s">
        <v>72</v>
      </c>
      <c r="O49" t="s">
        <v>68</v>
      </c>
      <c r="P49" t="s">
        <v>73</v>
      </c>
      <c r="Q49" t="s">
        <v>74</v>
      </c>
      <c r="R49" t="s">
        <v>43</v>
      </c>
      <c r="U49" s="6" t="s">
        <v>48</v>
      </c>
      <c r="V49" s="6">
        <v>3.78</v>
      </c>
      <c r="W49" s="6">
        <v>-2.3199999999999998</v>
      </c>
      <c r="X49" s="6">
        <v>6.1020000000000003</v>
      </c>
      <c r="Y49" s="6">
        <v>-5.58</v>
      </c>
      <c r="Z49" s="6">
        <v>2.524</v>
      </c>
      <c r="AA49" s="6">
        <v>-0.56820000000000004</v>
      </c>
      <c r="AB49" s="6">
        <v>5.0840000000000003E-2</v>
      </c>
      <c r="AC49">
        <v>-110530</v>
      </c>
    </row>
    <row r="50" spans="6:29" ht="16" thickBot="1" x14ac:dyDescent="0.25">
      <c r="N50">
        <f>SUMPRODUCT(U60:AA60,F48:L48)</f>
        <v>-95301</v>
      </c>
      <c r="O50">
        <f>P48-O48</f>
        <v>1.0760087589300618</v>
      </c>
      <c r="P50">
        <f>((O48)*SUMPRODUCT(N44:T44, F39:L39))*N48</f>
        <v>9063.1370625934305</v>
      </c>
      <c r="Q50">
        <f>N50+(R48-P50)</f>
        <v>-58393.161519607973</v>
      </c>
      <c r="R50">
        <f>Q50/N48</f>
        <v>-2019.6213810815741</v>
      </c>
      <c r="U50" s="4" t="s">
        <v>49</v>
      </c>
      <c r="V50" s="4">
        <v>2.5</v>
      </c>
      <c r="W50" s="4">
        <v>0</v>
      </c>
      <c r="X50" s="4">
        <v>0</v>
      </c>
      <c r="Y50" s="4">
        <v>0</v>
      </c>
      <c r="Z50" s="4">
        <v>0</v>
      </c>
      <c r="AA50" s="4">
        <v>0</v>
      </c>
      <c r="AB50" s="4">
        <v>0</v>
      </c>
      <c r="AC50">
        <v>0</v>
      </c>
    </row>
    <row r="51" spans="6:29" ht="16" thickTop="1" x14ac:dyDescent="0.2"/>
    <row r="52" spans="6:29" ht="16" thickBot="1" x14ac:dyDescent="0.25"/>
    <row r="53" spans="6:29" ht="17" thickTop="1" thickBot="1" x14ac:dyDescent="0.25">
      <c r="J53" t="s">
        <v>75</v>
      </c>
      <c r="K53">
        <f>ABS(5.589016-T48)</f>
        <v>3.2003808874137007E-6</v>
      </c>
      <c r="T53" t="s">
        <v>2</v>
      </c>
      <c r="U53" s="5">
        <v>3.8490000000000002</v>
      </c>
      <c r="V53" s="6">
        <v>3.3090000000000002</v>
      </c>
      <c r="W53" s="6">
        <v>4.008</v>
      </c>
      <c r="X53" s="6">
        <v>3.2309999999999999</v>
      </c>
      <c r="Y53" s="6">
        <v>2.3370000000000002</v>
      </c>
      <c r="Z53" s="6">
        <v>3.78</v>
      </c>
      <c r="AA53" s="4">
        <v>2.5</v>
      </c>
    </row>
    <row r="54" spans="6:29" ht="17" thickTop="1" thickBot="1" x14ac:dyDescent="0.25">
      <c r="J54" t="s">
        <v>75</v>
      </c>
      <c r="K54">
        <f>ABS(0.210874842-Q48)</f>
        <v>5.4150251968722307E-3</v>
      </c>
      <c r="T54" t="s">
        <v>3</v>
      </c>
      <c r="U54" s="5">
        <v>-2.5630000000000002</v>
      </c>
      <c r="V54" s="6">
        <v>0.1012</v>
      </c>
      <c r="W54" s="6">
        <v>-0.65980000000000005</v>
      </c>
      <c r="X54" s="6">
        <v>1.5469999999999999</v>
      </c>
      <c r="Y54" s="6">
        <v>9.4</v>
      </c>
      <c r="Z54" s="6">
        <v>-2.3199999999999998</v>
      </c>
      <c r="AA54" s="4">
        <v>0</v>
      </c>
    </row>
    <row r="55" spans="6:29" ht="17" thickTop="1" thickBot="1" x14ac:dyDescent="0.25">
      <c r="T55" t="s">
        <v>4</v>
      </c>
      <c r="U55" s="5">
        <v>6.1150000000000002</v>
      </c>
      <c r="V55" s="6">
        <v>3.0070000000000001</v>
      </c>
      <c r="W55" s="6">
        <v>3.0510000000000002</v>
      </c>
      <c r="X55" s="6">
        <v>-3.4049999999999998</v>
      </c>
      <c r="Y55" s="6">
        <v>-8.7420000000000009</v>
      </c>
      <c r="Z55" s="6">
        <v>6.1020000000000003</v>
      </c>
      <c r="AA55" s="4">
        <v>0</v>
      </c>
    </row>
    <row r="56" spans="6:29" ht="17" thickTop="1" thickBot="1" x14ac:dyDescent="0.25">
      <c r="T56" t="s">
        <v>5</v>
      </c>
      <c r="U56" s="5">
        <v>-5.3410000000000002</v>
      </c>
      <c r="V56" s="6">
        <v>-3.8010000000000002</v>
      </c>
      <c r="W56" s="6">
        <v>-1.8939999999999999</v>
      </c>
      <c r="X56" s="6">
        <v>3.7679999999999998</v>
      </c>
      <c r="Y56" s="6">
        <v>4.9470000000000001</v>
      </c>
      <c r="Z56" s="6">
        <v>-5.58</v>
      </c>
      <c r="AA56" s="4">
        <v>0</v>
      </c>
    </row>
    <row r="57" spans="6:29" ht="17" thickTop="1" thickBot="1" x14ac:dyDescent="0.25">
      <c r="T57" t="s">
        <v>6</v>
      </c>
      <c r="U57" s="5">
        <v>2.34</v>
      </c>
      <c r="V57" s="6">
        <v>2.0409999999999999</v>
      </c>
      <c r="W57" s="6">
        <v>0.51139999999999997</v>
      </c>
      <c r="X57" s="6">
        <v>-1.94</v>
      </c>
      <c r="Y57" s="6">
        <v>-1.694</v>
      </c>
      <c r="Z57" s="6">
        <v>2.524</v>
      </c>
      <c r="AA57" s="4">
        <v>0</v>
      </c>
    </row>
    <row r="58" spans="6:29" ht="17" thickTop="1" thickBot="1" x14ac:dyDescent="0.25">
      <c r="T58" t="s">
        <v>7</v>
      </c>
      <c r="U58" s="5">
        <v>-0.51480000000000004</v>
      </c>
      <c r="V58" s="6">
        <v>-0.51290000000000002</v>
      </c>
      <c r="W58" s="6">
        <v>-5.8880000000000002E-2</v>
      </c>
      <c r="X58" s="6">
        <v>0.47499999999999998</v>
      </c>
      <c r="Y58" s="6">
        <v>0.32150000000000001</v>
      </c>
      <c r="Z58" s="6">
        <v>-0.56820000000000004</v>
      </c>
      <c r="AA58">
        <v>0</v>
      </c>
    </row>
    <row r="59" spans="6:29" ht="16" thickTop="1" x14ac:dyDescent="0.2">
      <c r="T59" t="s">
        <v>8</v>
      </c>
      <c r="U59" s="5">
        <v>4.5249999999999999E-2</v>
      </c>
      <c r="V59" s="6">
        <v>4.9500000000000002E-2</v>
      </c>
      <c r="W59" s="6">
        <v>1.6819999999999999E-3</v>
      </c>
      <c r="X59" s="6">
        <v>-4.496E-2</v>
      </c>
      <c r="Y59" s="6">
        <v>-2.581E-2</v>
      </c>
      <c r="Z59" s="6">
        <v>5.0840000000000003E-2</v>
      </c>
      <c r="AA59">
        <v>0</v>
      </c>
    </row>
    <row r="60" spans="6:29" x14ac:dyDescent="0.2">
      <c r="T60" t="s">
        <v>70</v>
      </c>
      <c r="U60">
        <v>0</v>
      </c>
      <c r="V60">
        <v>0</v>
      </c>
      <c r="W60">
        <v>-241820</v>
      </c>
      <c r="X60">
        <v>0</v>
      </c>
      <c r="Y60">
        <v>-393520</v>
      </c>
      <c r="Z60">
        <v>-110530</v>
      </c>
      <c r="AA60">
        <v>0</v>
      </c>
    </row>
    <row r="61" spans="6:29" ht="16" thickBot="1" x14ac:dyDescent="0.25"/>
    <row r="62" spans="6:29" x14ac:dyDescent="0.2">
      <c r="U62" s="2"/>
      <c r="V62" s="3"/>
      <c r="W62" s="3"/>
      <c r="X62" s="3"/>
      <c r="Y62" s="3"/>
      <c r="Z62" s="3"/>
      <c r="AA62" s="3"/>
      <c r="AB62" s="3"/>
    </row>
    <row r="63" spans="6:29" x14ac:dyDescent="0.2">
      <c r="U63" s="4"/>
      <c r="V63" s="4"/>
      <c r="W63" s="4"/>
      <c r="X63" s="4"/>
      <c r="Y63" s="4"/>
      <c r="Z63" s="4"/>
      <c r="AA63" s="4"/>
      <c r="AB63" s="4"/>
    </row>
    <row r="64" spans="6:29" x14ac:dyDescent="0.2">
      <c r="U64" s="5"/>
      <c r="V64" s="5"/>
      <c r="W64" s="5"/>
      <c r="X64" s="5"/>
      <c r="Y64" s="5"/>
      <c r="Z64" s="5"/>
      <c r="AA64" s="5"/>
      <c r="AB64" s="5"/>
    </row>
    <row r="65" spans="4:29" x14ac:dyDescent="0.2">
      <c r="U65" s="6"/>
      <c r="V65" s="6"/>
      <c r="W65" s="6"/>
      <c r="X65" s="6"/>
      <c r="Y65" s="6"/>
      <c r="Z65" s="6"/>
      <c r="AA65" s="6"/>
      <c r="AB65" s="6"/>
    </row>
    <row r="66" spans="4:29" x14ac:dyDescent="0.2">
      <c r="U66" s="6"/>
      <c r="V66" s="6"/>
      <c r="W66" s="6"/>
      <c r="X66" s="6"/>
      <c r="Y66" s="6"/>
      <c r="Z66" s="6"/>
      <c r="AA66" s="6"/>
      <c r="AB66" s="6"/>
    </row>
    <row r="67" spans="4:29" x14ac:dyDescent="0.2">
      <c r="F67" t="s">
        <v>69</v>
      </c>
    </row>
    <row r="68" spans="4:29" x14ac:dyDescent="0.2">
      <c r="F68">
        <v>0</v>
      </c>
      <c r="G68">
        <v>1</v>
      </c>
      <c r="H68">
        <v>2</v>
      </c>
      <c r="I68">
        <v>3</v>
      </c>
      <c r="J68">
        <v>4</v>
      </c>
      <c r="K68">
        <v>5</v>
      </c>
      <c r="L68">
        <v>6</v>
      </c>
    </row>
    <row r="69" spans="4:29" x14ac:dyDescent="0.2">
      <c r="F69">
        <v>1</v>
      </c>
      <c r="G69">
        <f>(298.15)^1</f>
        <v>298.14999999999998</v>
      </c>
      <c r="H69">
        <f>(298.15)^2</f>
        <v>88893.422499999986</v>
      </c>
      <c r="I69">
        <f>(298.15)^3</f>
        <v>26503573.918374993</v>
      </c>
      <c r="J69">
        <f>(298.15)^4</f>
        <v>7902040563.763504</v>
      </c>
      <c r="K69">
        <f>(298.15)^5</f>
        <v>2355993394086.0884</v>
      </c>
      <c r="L69">
        <f>(298.15)^6</f>
        <v>702439430446767.25</v>
      </c>
    </row>
    <row r="70" spans="4:29" x14ac:dyDescent="0.2">
      <c r="F70">
        <v>298.14999999999998</v>
      </c>
      <c r="G70">
        <f>((298.15)^2)/2</f>
        <v>44446.711249999993</v>
      </c>
      <c r="H70">
        <f>((298.15)^3)/3</f>
        <v>8834524.6394583303</v>
      </c>
      <c r="I70">
        <f>((298.15)^4)/4</f>
        <v>1975510140.940876</v>
      </c>
      <c r="J70">
        <f>((298.15)^5)/5</f>
        <v>471198678817.21765</v>
      </c>
      <c r="K70">
        <f>((298.15)^6)/6</f>
        <v>117073238407794.55</v>
      </c>
      <c r="L70">
        <f>((298.15)^7)/7</f>
        <v>2.9918902312529088E+16</v>
      </c>
    </row>
    <row r="71" spans="4:29" x14ac:dyDescent="0.2">
      <c r="F71">
        <f>LN(F70)</f>
        <v>5.697596715569115</v>
      </c>
      <c r="G71">
        <f t="shared" ref="G71" si="14">F70</f>
        <v>298.14999999999998</v>
      </c>
      <c r="H71">
        <f t="shared" ref="H71" si="15">G70</f>
        <v>44446.711249999993</v>
      </c>
      <c r="I71">
        <f t="shared" ref="I71" si="16">H70</f>
        <v>8834524.6394583303</v>
      </c>
      <c r="J71">
        <f t="shared" ref="J71" si="17">I70</f>
        <v>1975510140.940876</v>
      </c>
      <c r="K71">
        <f t="shared" ref="K71" si="18">J70</f>
        <v>471198678817.21765</v>
      </c>
      <c r="L71">
        <f t="shared" ref="L71" si="19">K70</f>
        <v>117073238407794.55</v>
      </c>
    </row>
    <row r="72" spans="4:29" ht="16" thickBot="1" x14ac:dyDescent="0.25">
      <c r="F72" t="s">
        <v>0</v>
      </c>
      <c r="N72" t="s">
        <v>1</v>
      </c>
    </row>
    <row r="73" spans="4:29" ht="16" thickTop="1" x14ac:dyDescent="0.2">
      <c r="F73">
        <v>0</v>
      </c>
      <c r="G73">
        <v>1</v>
      </c>
      <c r="H73">
        <v>2</v>
      </c>
      <c r="I73">
        <v>3</v>
      </c>
      <c r="J73">
        <v>4</v>
      </c>
      <c r="K73">
        <v>5</v>
      </c>
      <c r="L73">
        <v>6</v>
      </c>
      <c r="N73" t="s">
        <v>2</v>
      </c>
      <c r="O73" t="s">
        <v>3</v>
      </c>
      <c r="P73" t="s">
        <v>4</v>
      </c>
      <c r="Q73" t="s">
        <v>5</v>
      </c>
      <c r="R73" t="s">
        <v>6</v>
      </c>
      <c r="S73" t="s">
        <v>7</v>
      </c>
      <c r="T73" t="s">
        <v>8</v>
      </c>
      <c r="U73" s="2" t="s">
        <v>9</v>
      </c>
      <c r="V73" s="3" t="s">
        <v>10</v>
      </c>
      <c r="W73" s="3" t="s">
        <v>11</v>
      </c>
      <c r="X73" s="3" t="s">
        <v>12</v>
      </c>
      <c r="Y73" s="3" t="s">
        <v>13</v>
      </c>
      <c r="Z73" s="3" t="s">
        <v>14</v>
      </c>
      <c r="AA73" s="3" t="s">
        <v>15</v>
      </c>
      <c r="AB73" s="3" t="s">
        <v>16</v>
      </c>
      <c r="AC73" t="s">
        <v>70</v>
      </c>
    </row>
    <row r="74" spans="4:29" ht="16" thickBot="1" x14ac:dyDescent="0.25">
      <c r="F74">
        <v>1</v>
      </c>
      <c r="G74">
        <f>D79^1</f>
        <v>761.83208540616329</v>
      </c>
      <c r="H74">
        <f>D79^2</f>
        <v>580388.12635430368</v>
      </c>
      <c r="I74">
        <f>D79^3</f>
        <v>442158296.64547497</v>
      </c>
      <c r="J74">
        <f>D79^4</f>
        <v>336850377213.05914</v>
      </c>
      <c r="K74">
        <f>D79^5</f>
        <v>256623425342077.59</v>
      </c>
      <c r="L74">
        <f>D79^6</f>
        <v>1.9550395929242784E+17</v>
      </c>
      <c r="N74">
        <f>SUMPRODUCT(F79:L79, U84:AA84)</f>
        <v>3.6878532159210007</v>
      </c>
      <c r="O74">
        <f>(SUMPRODUCT(F79:L79, U85:AA85))*G74*0.001</f>
        <v>-0.91061530861095707</v>
      </c>
      <c r="P74">
        <f>(SUMPRODUCT(F79:L79, U86:AA86))*H74*0.000001</f>
        <v>2.27402356764944</v>
      </c>
      <c r="Q74">
        <f>(SUMPRODUCT(F79:L79, U87:AA87))*I74*0.000000001</f>
        <v>-1.5352027154573715</v>
      </c>
      <c r="R74">
        <f>(SUMPRODUCT(F79:L79, U88:AA88))*J74*0.000000000001</f>
        <v>0.50704069184391254</v>
      </c>
      <c r="S74">
        <f>(SUMPRODUCT(F79:L79, U89:AA89))*K74*0.000000000000001</f>
        <v>-8.3892479566788303E-2</v>
      </c>
      <c r="T74">
        <f>(SUMPRODUCT(F79:L79, U90:AA90))*L74*0.000000000000000001</f>
        <v>5.5551054093129432E-3</v>
      </c>
      <c r="U74" s="4" t="s">
        <v>17</v>
      </c>
      <c r="V74" s="4" t="s">
        <v>18</v>
      </c>
      <c r="W74" s="4" t="s">
        <v>19</v>
      </c>
      <c r="X74" s="4" t="s">
        <v>20</v>
      </c>
      <c r="Y74" s="4" t="s">
        <v>21</v>
      </c>
      <c r="Z74" s="4" t="s">
        <v>22</v>
      </c>
      <c r="AA74" s="4" t="s">
        <v>23</v>
      </c>
      <c r="AB74" s="4" t="s">
        <v>24</v>
      </c>
    </row>
    <row r="75" spans="4:29" ht="16" thickTop="1" x14ac:dyDescent="0.2">
      <c r="F75">
        <f>D79</f>
        <v>761.83208540616329</v>
      </c>
      <c r="G75">
        <f>(D79*D79)/2</f>
        <v>290194.06317715184</v>
      </c>
      <c r="H75">
        <f>(D79*D79*D79)/3</f>
        <v>147386098.881825</v>
      </c>
      <c r="I75">
        <f>(D79*D79*D79*D79)/4</f>
        <v>84212594303.264786</v>
      </c>
      <c r="J75">
        <f>(D79*D79*D79*D79*D79)/5</f>
        <v>51324685068415.516</v>
      </c>
      <c r="K75">
        <f>(D79*D79*D79*D79*D79*D79)/6</f>
        <v>3.258399321540464E+16</v>
      </c>
      <c r="L75">
        <f>(D79*D79*D79*D79*D79*D79*D79)/7</f>
        <v>2.1277312716130279E+19</v>
      </c>
      <c r="N75">
        <f>SUMPRODUCT(F79:L79, U84:AA84)</f>
        <v>3.6878532159210007</v>
      </c>
      <c r="O75">
        <f>(SUMPRODUCT(F79:L79, U85:AA85))*0.001</f>
        <v>-1.1952966093906E-3</v>
      </c>
      <c r="P75">
        <f>(SUMPRODUCT(F79:L79, U86:AA86))*0.000001</f>
        <v>3.9181083560990004E-6</v>
      </c>
      <c r="Q75">
        <f>(SUMPRODUCT(F79:L79, U87:AA87))*0.000000001</f>
        <v>-3.4720658350290007E-9</v>
      </c>
      <c r="R75">
        <f>(SUMPRODUCT(F79:L79, U88:AA88))*0.000000000001</f>
        <v>1.505240089202E-12</v>
      </c>
      <c r="S75">
        <f>(SUMPRODUCT(F79:L79, U89:AA89))*0.000000000000001</f>
        <v>-3.269088917154001E-16</v>
      </c>
      <c r="T75">
        <f>(SUMPRODUCT(F79:L79, U90:AA90))*0.000000000000000001</f>
        <v>2.8414285978750004E-20</v>
      </c>
      <c r="U75" s="5" t="s">
        <v>25</v>
      </c>
      <c r="V75" s="5">
        <v>3.8490000000000002</v>
      </c>
      <c r="W75" s="5">
        <v>-2.5630000000000002</v>
      </c>
      <c r="X75" s="5">
        <v>6.1150000000000002</v>
      </c>
      <c r="Y75" s="5">
        <v>-5.3410000000000002</v>
      </c>
      <c r="Z75" s="5">
        <v>2.34</v>
      </c>
      <c r="AA75" s="5">
        <v>-0.51480000000000004</v>
      </c>
      <c r="AB75" s="5">
        <v>4.5249999999999999E-2</v>
      </c>
      <c r="AC75">
        <v>0</v>
      </c>
    </row>
    <row r="76" spans="4:29" x14ac:dyDescent="0.2">
      <c r="F76">
        <f>LN(F75)</f>
        <v>6.6357261710443689</v>
      </c>
      <c r="G76">
        <f t="shared" ref="G76" si="20">F75</f>
        <v>761.83208540616329</v>
      </c>
      <c r="H76">
        <f t="shared" ref="H76" si="21">G75</f>
        <v>290194.06317715184</v>
      </c>
      <c r="I76">
        <f t="shared" ref="I76" si="22">H75</f>
        <v>147386098.881825</v>
      </c>
      <c r="J76">
        <f t="shared" ref="J76" si="23">I75</f>
        <v>84212594303.264786</v>
      </c>
      <c r="K76">
        <f t="shared" ref="K76" si="24">J75</f>
        <v>51324685068415.516</v>
      </c>
      <c r="L76">
        <f t="shared" ref="L76" si="25">K75</f>
        <v>3.258399321540464E+16</v>
      </c>
      <c r="U76" s="6" t="s">
        <v>26</v>
      </c>
      <c r="V76" s="6">
        <v>3.3090000000000002</v>
      </c>
      <c r="W76" s="6">
        <v>0.1012</v>
      </c>
      <c r="X76" s="6">
        <v>3.0070000000000001</v>
      </c>
      <c r="Y76" s="6">
        <v>-3.8010000000000002</v>
      </c>
      <c r="Z76" s="6">
        <v>2.0409999999999999</v>
      </c>
      <c r="AA76" s="6">
        <v>-0.51290000000000002</v>
      </c>
      <c r="AB76" s="6">
        <v>4.9500000000000002E-2</v>
      </c>
      <c r="AC76">
        <v>0</v>
      </c>
    </row>
    <row r="77" spans="4:29" x14ac:dyDescent="0.2">
      <c r="D77" t="s">
        <v>27</v>
      </c>
      <c r="N77" t="s">
        <v>28</v>
      </c>
      <c r="U77" s="6" t="s">
        <v>29</v>
      </c>
      <c r="V77" s="6">
        <v>4.008</v>
      </c>
      <c r="W77" s="6">
        <v>-0.65980000000000005</v>
      </c>
      <c r="X77" s="6">
        <v>3.0510000000000002</v>
      </c>
      <c r="Y77" s="6">
        <v>-1.8939999999999999</v>
      </c>
      <c r="Z77" s="6">
        <v>0.51139999999999997</v>
      </c>
      <c r="AA77" s="6">
        <v>-5.8880000000000002E-2</v>
      </c>
      <c r="AB77" s="6">
        <v>1.6819999999999999E-3</v>
      </c>
      <c r="AC77">
        <v>-241820</v>
      </c>
    </row>
    <row r="78" spans="4:29" x14ac:dyDescent="0.2">
      <c r="D78" t="s">
        <v>30</v>
      </c>
      <c r="E78" t="s">
        <v>31</v>
      </c>
      <c r="F78" t="s">
        <v>32</v>
      </c>
      <c r="G78" t="s">
        <v>33</v>
      </c>
      <c r="H78" t="s">
        <v>34</v>
      </c>
      <c r="I78" t="s">
        <v>35</v>
      </c>
      <c r="J78" t="s">
        <v>36</v>
      </c>
      <c r="K78" t="s">
        <v>37</v>
      </c>
      <c r="L78" t="s">
        <v>38</v>
      </c>
      <c r="N78" t="s">
        <v>39</v>
      </c>
      <c r="O78" t="s">
        <v>40</v>
      </c>
      <c r="P78" t="s">
        <v>41</v>
      </c>
      <c r="Q78" t="s">
        <v>42</v>
      </c>
      <c r="R78" t="s">
        <v>71</v>
      </c>
      <c r="S78" t="s">
        <v>44</v>
      </c>
      <c r="T78" t="s">
        <v>45</v>
      </c>
      <c r="U78" s="6" t="s">
        <v>46</v>
      </c>
      <c r="V78" s="6">
        <v>3.2309999999999999</v>
      </c>
      <c r="W78" s="6">
        <v>1.5469999999999999</v>
      </c>
      <c r="X78" s="6">
        <v>-3.4049999999999998</v>
      </c>
      <c r="Y78" s="6">
        <v>3.7679999999999998</v>
      </c>
      <c r="Z78" s="6">
        <v>-1.94</v>
      </c>
      <c r="AA78" s="6">
        <v>0.47499999999999998</v>
      </c>
      <c r="AB78" s="6">
        <v>-4.496E-2</v>
      </c>
      <c r="AC78">
        <v>0</v>
      </c>
    </row>
    <row r="79" spans="4:29" x14ac:dyDescent="0.2">
      <c r="D79" s="8">
        <v>761.83208540616329</v>
      </c>
      <c r="E79" s="8">
        <v>99.192110150000005</v>
      </c>
      <c r="F79" s="8">
        <v>0.61548150700000004</v>
      </c>
      <c r="G79" s="59">
        <v>2.5082541999999999E-2</v>
      </c>
      <c r="H79" s="58">
        <v>9.5849000000000004E-2</v>
      </c>
      <c r="I79" s="58">
        <v>0.10033</v>
      </c>
      <c r="J79" s="58">
        <v>5.5365999999999999E-2</v>
      </c>
      <c r="K79" s="58">
        <v>0.10033</v>
      </c>
      <c r="L79" s="58">
        <v>7.5599999999999999E-3</v>
      </c>
      <c r="N79" s="1">
        <f>SUMPRODUCT(F79:L79, F80:L80)</f>
        <v>25.522090661549001</v>
      </c>
      <c r="O79">
        <f>8.31447/N79</f>
        <v>0.32577542765829881</v>
      </c>
      <c r="P79">
        <f>SUM(N74:T74)*O79</f>
        <v>1.285106552706339</v>
      </c>
      <c r="Q79">
        <f>(O79*D79)/E79</f>
        <v>2.5020757502960174</v>
      </c>
      <c r="R79">
        <f>((O79)*SUMPRODUCT(N75:T75, F75:L75))*N79</f>
        <v>23404.804991879751</v>
      </c>
      <c r="S79">
        <f>R81-(O79*D79)</f>
        <v>-1877.6442518420183</v>
      </c>
      <c r="T79">
        <f>O79*(SUMPRODUCT(N75:T75,F76:L76))-(O79*LN(E79))</f>
        <v>6.4178069999951592</v>
      </c>
      <c r="U79" s="6" t="s">
        <v>47</v>
      </c>
      <c r="V79" s="6">
        <v>2.3370000000000002</v>
      </c>
      <c r="W79" s="6">
        <v>9.4</v>
      </c>
      <c r="X79" s="6">
        <v>-8.7420000000000009</v>
      </c>
      <c r="Y79" s="6">
        <v>4.9470000000000001</v>
      </c>
      <c r="Z79" s="6">
        <v>-1.694</v>
      </c>
      <c r="AA79" s="6">
        <v>0.32150000000000001</v>
      </c>
      <c r="AB79" s="6">
        <v>-2.581E-2</v>
      </c>
      <c r="AC79">
        <v>-393520</v>
      </c>
    </row>
    <row r="80" spans="4:29" x14ac:dyDescent="0.2">
      <c r="F80">
        <v>28.013000000000002</v>
      </c>
      <c r="G80">
        <v>31.998999999999999</v>
      </c>
      <c r="H80">
        <v>18.015499999999999</v>
      </c>
      <c r="I80">
        <v>2.016</v>
      </c>
      <c r="J80">
        <v>44.01</v>
      </c>
      <c r="K80">
        <v>28.0105</v>
      </c>
      <c r="L80">
        <v>39.948</v>
      </c>
      <c r="N80" t="s">
        <v>72</v>
      </c>
      <c r="O80" t="s">
        <v>68</v>
      </c>
      <c r="P80" t="s">
        <v>73</v>
      </c>
      <c r="Q80" t="s">
        <v>74</v>
      </c>
      <c r="R80" t="s">
        <v>43</v>
      </c>
      <c r="U80" s="6" t="s">
        <v>48</v>
      </c>
      <c r="V80" s="6">
        <v>3.78</v>
      </c>
      <c r="W80" s="6">
        <v>-2.3199999999999998</v>
      </c>
      <c r="X80" s="6">
        <v>6.1020000000000003</v>
      </c>
      <c r="Y80" s="6">
        <v>-5.58</v>
      </c>
      <c r="Z80" s="6">
        <v>2.524</v>
      </c>
      <c r="AA80" s="6">
        <v>-0.56820000000000004</v>
      </c>
      <c r="AB80" s="6">
        <v>5.0840000000000003E-2</v>
      </c>
      <c r="AC80">
        <v>-110530</v>
      </c>
    </row>
    <row r="81" spans="10:29" ht="16" thickBot="1" x14ac:dyDescent="0.25">
      <c r="N81">
        <f>SUMPRODUCT(U91:AA91,F79:L79)</f>
        <v>-56055.308400000002</v>
      </c>
      <c r="O81">
        <f>P79-O79</f>
        <v>0.95933112504804019</v>
      </c>
      <c r="P81">
        <f>((O79)*SUMPRODUCT(N75:T75, F70:L70))*N79</f>
        <v>8936.6733983811027</v>
      </c>
      <c r="Q81">
        <f>N81+(R79-P81)</f>
        <v>-41587.176806501353</v>
      </c>
      <c r="R81">
        <f>Q81/N79</f>
        <v>-1629.4580784150119</v>
      </c>
      <c r="U81" s="4" t="s">
        <v>49</v>
      </c>
      <c r="V81" s="4">
        <v>2.5</v>
      </c>
      <c r="W81" s="4">
        <v>0</v>
      </c>
      <c r="X81" s="4">
        <v>0</v>
      </c>
      <c r="Y81" s="4">
        <v>0</v>
      </c>
      <c r="Z81" s="4">
        <v>0</v>
      </c>
      <c r="AA81" s="4">
        <v>0</v>
      </c>
      <c r="AB81" s="4">
        <v>0</v>
      </c>
      <c r="AC81">
        <v>0</v>
      </c>
    </row>
    <row r="82" spans="10:29" ht="16" thickTop="1" x14ac:dyDescent="0.2"/>
    <row r="83" spans="10:29" ht="16" thickBot="1" x14ac:dyDescent="0.25"/>
    <row r="84" spans="10:29" ht="17" thickTop="1" thickBot="1" x14ac:dyDescent="0.25">
      <c r="J84" t="s">
        <v>75</v>
      </c>
      <c r="K84">
        <f>ABS(6.417807-T79)</f>
        <v>4.8405723873656825E-12</v>
      </c>
      <c r="T84" t="s">
        <v>2</v>
      </c>
      <c r="U84" s="5">
        <v>3.8490000000000002</v>
      </c>
      <c r="V84" s="6">
        <v>3.3090000000000002</v>
      </c>
      <c r="W84" s="6">
        <v>4.008</v>
      </c>
      <c r="X84" s="6">
        <v>3.2309999999999999</v>
      </c>
      <c r="Y84" s="6">
        <v>2.3370000000000002</v>
      </c>
      <c r="Z84" s="6">
        <v>3.78</v>
      </c>
      <c r="AA84" s="4">
        <v>2.5</v>
      </c>
    </row>
    <row r="85" spans="10:29" ht="17" thickTop="1" thickBot="1" x14ac:dyDescent="0.25">
      <c r="J85" t="s">
        <v>75</v>
      </c>
      <c r="K85">
        <f>ABS(0.759426348-Q79)</f>
        <v>1.7426494022960175</v>
      </c>
      <c r="T85" t="s">
        <v>3</v>
      </c>
      <c r="U85" s="5">
        <v>-2.5630000000000002</v>
      </c>
      <c r="V85" s="6">
        <v>0.1012</v>
      </c>
      <c r="W85" s="6">
        <v>-0.65980000000000005</v>
      </c>
      <c r="X85" s="6">
        <v>1.5469999999999999</v>
      </c>
      <c r="Y85" s="6">
        <v>9.4</v>
      </c>
      <c r="Z85" s="6">
        <v>-2.3199999999999998</v>
      </c>
      <c r="AA85" s="4">
        <v>0</v>
      </c>
    </row>
    <row r="86" spans="10:29" ht="17" thickTop="1" thickBot="1" x14ac:dyDescent="0.25">
      <c r="T86" t="s">
        <v>4</v>
      </c>
      <c r="U86" s="5">
        <v>6.1150000000000002</v>
      </c>
      <c r="V86" s="6">
        <v>3.0070000000000001</v>
      </c>
      <c r="W86" s="6">
        <v>3.0510000000000002</v>
      </c>
      <c r="X86" s="6">
        <v>-3.4049999999999998</v>
      </c>
      <c r="Y86" s="6">
        <v>-8.7420000000000009</v>
      </c>
      <c r="Z86" s="6">
        <v>6.1020000000000003</v>
      </c>
      <c r="AA86" s="4">
        <v>0</v>
      </c>
    </row>
    <row r="87" spans="10:29" ht="17" thickTop="1" thickBot="1" x14ac:dyDescent="0.25">
      <c r="T87" t="s">
        <v>5</v>
      </c>
      <c r="U87" s="5">
        <v>-5.3410000000000002</v>
      </c>
      <c r="V87" s="6">
        <v>-3.8010000000000002</v>
      </c>
      <c r="W87" s="6">
        <v>-1.8939999999999999</v>
      </c>
      <c r="X87" s="6">
        <v>3.7679999999999998</v>
      </c>
      <c r="Y87" s="6">
        <v>4.9470000000000001</v>
      </c>
      <c r="Z87" s="6">
        <v>-5.58</v>
      </c>
      <c r="AA87" s="4">
        <v>0</v>
      </c>
    </row>
    <row r="88" spans="10:29" ht="17" thickTop="1" thickBot="1" x14ac:dyDescent="0.25">
      <c r="T88" t="s">
        <v>6</v>
      </c>
      <c r="U88" s="5">
        <v>2.34</v>
      </c>
      <c r="V88" s="6">
        <v>2.0409999999999999</v>
      </c>
      <c r="W88" s="6">
        <v>0.51139999999999997</v>
      </c>
      <c r="X88" s="6">
        <v>-1.94</v>
      </c>
      <c r="Y88" s="6">
        <v>-1.694</v>
      </c>
      <c r="Z88" s="6">
        <v>2.524</v>
      </c>
      <c r="AA88" s="4">
        <v>0</v>
      </c>
    </row>
    <row r="89" spans="10:29" ht="17" thickTop="1" thickBot="1" x14ac:dyDescent="0.25">
      <c r="T89" t="s">
        <v>7</v>
      </c>
      <c r="U89" s="5">
        <v>-0.51480000000000004</v>
      </c>
      <c r="V89" s="6">
        <v>-0.51290000000000002</v>
      </c>
      <c r="W89" s="6">
        <v>-5.8880000000000002E-2</v>
      </c>
      <c r="X89" s="6">
        <v>0.47499999999999998</v>
      </c>
      <c r="Y89" s="6">
        <v>0.32150000000000001</v>
      </c>
      <c r="Z89" s="6">
        <v>-0.56820000000000004</v>
      </c>
      <c r="AA89">
        <v>0</v>
      </c>
    </row>
    <row r="90" spans="10:29" ht="16" thickTop="1" x14ac:dyDescent="0.2">
      <c r="T90" t="s">
        <v>8</v>
      </c>
      <c r="U90" s="5">
        <v>4.5249999999999999E-2</v>
      </c>
      <c r="V90" s="6">
        <v>4.9500000000000002E-2</v>
      </c>
      <c r="W90" s="6">
        <v>1.6819999999999999E-3</v>
      </c>
      <c r="X90" s="6">
        <v>-4.496E-2</v>
      </c>
      <c r="Y90" s="6">
        <v>-2.581E-2</v>
      </c>
      <c r="Z90" s="6">
        <v>5.0840000000000003E-2</v>
      </c>
      <c r="AA90">
        <v>0</v>
      </c>
    </row>
    <row r="91" spans="10:29" x14ac:dyDescent="0.2">
      <c r="T91" t="s">
        <v>70</v>
      </c>
      <c r="U91">
        <v>0</v>
      </c>
      <c r="V91">
        <v>0</v>
      </c>
      <c r="W91">
        <v>-241820</v>
      </c>
      <c r="X91">
        <v>0</v>
      </c>
      <c r="Y91">
        <v>-393520</v>
      </c>
      <c r="Z91">
        <v>-110530</v>
      </c>
      <c r="AA91">
        <v>0</v>
      </c>
    </row>
  </sheetData>
  <pageMargins left="0.7" right="0.7" top="0.75" bottom="0.75" header="0.3" footer="0.3"/>
  <extLst>
    <ext xmlns:x15="http://schemas.microsoft.com/office/spreadsheetml/2010/11/main" uri="{F7C9EE02-42E1-4005-9D12-6889AFFD525C}">
      <x15:webExtensions xmlns:xm="http://schemas.microsoft.com/office/excel/2006/main">
        <x15:webExtension appRef="{8E121C26-D075-4E6B-A320-3E26EB067574}">
          <xm:f>'HW7(1)'!$E$42</xm:f>
        </x15:webExtension>
        <x15:webExtension appRef="{16D175A6-9DC2-4DD2-A51A-D9188E0A8C09}">
          <xm:f>'HW7(1)'!$D$68</xm:f>
        </x15:webExtension>
        <x15:webExtension appRef="{7077CFC2-8EC2-49C3-905A-F87683D6F051}">
          <xm:f>'HW7(1)'!$D$42</xm:f>
        </x15:webExtension>
        <x15:webExtension appRef="{1A8CBC74-D84A-BF4F-B39E-383B49B6C420}">
          <xm:f>'HW7(1)'!$E$15</xm:f>
        </x15:webExtension>
        <x15:webExtension appRef="{8598B0D2-7341-AF41-A250-B1F70264886D}">
          <xm:f>'HW7(1)'!1:1048576</xm:f>
        </x15:webExtension>
        <x15:webExtension appRef="{049ACFD1-837A-4049-8730-1FF239C30173}">
          <xm:f>'HW7(1)'!XFD1048550:XFD1048575</xm:f>
        </x15:webExtension>
        <x15:webExtension appRef="{05315286-62A3-E449-A53C-A1624DA5BB03}">
          <xm:f>'HW7(1)'!$D$79</xm:f>
        </x15:webExtension>
        <x15:webExtension appRef="{09BC05C3-10D0-0645-A9EA-C580704DAF33}">
          <xm:f>'HW7(1)'!$D$48</xm:f>
        </x15:webExtension>
        <x15:webExtension appRef="{A96385FE-21C8-AE45-859C-32E71FD51188}">
          <xm:f>'HW7(1)'!$E$48</xm:f>
        </x15:webExtension>
        <x15:webExtension appRef="{B7266BAB-8EF1-1340-85B2-4F7848CC0896}">
          <xm:f>'HW7(1)'!$D$15</xm:f>
        </x15:webExtension>
        <x15:webExtension appRef="{6032AA63-7DA7-C146-B2C4-826F6C2135CE}">
          <xm:f>'HW7(1)'!$E$15</xm:f>
        </x15:webExtension>
        <x15:webExtension appRef="{5C174E7E-C9ED-0E43-ADFB-E0A9DE1370C2}">
          <xm:f>'HW7(1)'!$E$79</xm:f>
        </x15:webExtension>
        <x15:webExtension appRef="{6789D5ED-A059-AF4F-B283-1C1ED1E29112}">
          <xm:f>'HW7(1)'!$K$84</xm:f>
        </x15:webExtension>
        <x15:webExtension appRef="{D815E3E1-AD1C-2348-A013-4301EFF6EF23}">
          <xm:f>'HW7(1)'!$D$79</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BAFB4-05EF-44C1-B380-943FB07C671A}">
  <dimension ref="A1:S405"/>
  <sheetViews>
    <sheetView tabSelected="1" topLeftCell="A277" zoomScale="150" zoomScaleNormal="150" workbookViewId="0">
      <selection activeCell="B277" sqref="B277"/>
    </sheetView>
  </sheetViews>
  <sheetFormatPr baseColWidth="10" defaultColWidth="8.83203125" defaultRowHeight="15" x14ac:dyDescent="0.2"/>
  <cols>
    <col min="2" max="2" width="10.6640625" bestFit="1" customWidth="1"/>
    <col min="3" max="4" width="10" bestFit="1" customWidth="1"/>
    <col min="5" max="5" width="10.6640625" bestFit="1" customWidth="1"/>
    <col min="6" max="6" width="10.1640625" bestFit="1" customWidth="1"/>
    <col min="7" max="7" width="10.5" bestFit="1" customWidth="1"/>
    <col min="9" max="9" width="9.33203125" bestFit="1" customWidth="1"/>
    <col min="13" max="14" width="10.1640625" bestFit="1" customWidth="1"/>
  </cols>
  <sheetData>
    <row r="1" spans="1:7" ht="15" customHeight="1" x14ac:dyDescent="0.2">
      <c r="A1" s="7" t="s">
        <v>76</v>
      </c>
      <c r="B1" s="8" t="s">
        <v>77</v>
      </c>
      <c r="C1" s="8" t="s">
        <v>77</v>
      </c>
      <c r="D1" s="8" t="s">
        <v>77</v>
      </c>
      <c r="E1" s="8" t="s">
        <v>77</v>
      </c>
      <c r="F1" s="8" t="s">
        <v>77</v>
      </c>
      <c r="G1" s="8" t="s">
        <v>77</v>
      </c>
    </row>
    <row r="2" spans="1:7" ht="15" customHeight="1" x14ac:dyDescent="0.2">
      <c r="A2" s="9" t="s">
        <v>78</v>
      </c>
      <c r="B2" s="10" t="s">
        <v>77</v>
      </c>
      <c r="C2" s="10" t="s">
        <v>77</v>
      </c>
      <c r="D2" s="8" t="s">
        <v>77</v>
      </c>
      <c r="E2" s="8" t="s">
        <v>77</v>
      </c>
      <c r="F2" s="8" t="s">
        <v>77</v>
      </c>
      <c r="G2" s="8" t="s">
        <v>77</v>
      </c>
    </row>
    <row r="3" spans="1:7" ht="15" customHeight="1" x14ac:dyDescent="0.2">
      <c r="A3" s="11" t="s">
        <v>79</v>
      </c>
      <c r="B3" s="12">
        <v>3</v>
      </c>
      <c r="C3" s="12" t="s">
        <v>80</v>
      </c>
      <c r="D3" s="13" t="s">
        <v>77</v>
      </c>
      <c r="E3" s="8" t="s">
        <v>77</v>
      </c>
      <c r="F3" s="8" t="s">
        <v>77</v>
      </c>
      <c r="G3" s="8" t="s">
        <v>77</v>
      </c>
    </row>
    <row r="4" spans="1:7" ht="15" customHeight="1" x14ac:dyDescent="0.2">
      <c r="A4" s="11" t="s">
        <v>81</v>
      </c>
      <c r="B4" s="12">
        <v>74</v>
      </c>
      <c r="C4" s="12" t="s">
        <v>82</v>
      </c>
      <c r="D4" s="13" t="s">
        <v>77</v>
      </c>
      <c r="E4" s="8" t="s">
        <v>77</v>
      </c>
      <c r="F4" s="8" t="s">
        <v>77</v>
      </c>
      <c r="G4" s="8" t="s">
        <v>77</v>
      </c>
    </row>
    <row r="5" spans="1:7" ht="15" customHeight="1" x14ac:dyDescent="0.2">
      <c r="A5" s="14" t="s">
        <v>77</v>
      </c>
      <c r="B5" s="15">
        <v>7.3999999999999996E-2</v>
      </c>
      <c r="C5" s="15" t="s">
        <v>83</v>
      </c>
      <c r="D5" s="8" t="s">
        <v>77</v>
      </c>
      <c r="E5" s="8" t="s">
        <v>77</v>
      </c>
      <c r="F5" s="8" t="s">
        <v>77</v>
      </c>
      <c r="G5" s="8" t="s">
        <v>77</v>
      </c>
    </row>
    <row r="6" spans="1:7" ht="15" customHeight="1" x14ac:dyDescent="0.2">
      <c r="A6" s="11" t="s">
        <v>84</v>
      </c>
      <c r="B6" s="12">
        <v>77</v>
      </c>
      <c r="C6" s="12" t="s">
        <v>82</v>
      </c>
      <c r="D6" s="13" t="s">
        <v>77</v>
      </c>
      <c r="E6" s="8" t="s">
        <v>77</v>
      </c>
      <c r="F6" s="8" t="s">
        <v>77</v>
      </c>
      <c r="G6" s="8" t="s">
        <v>77</v>
      </c>
    </row>
    <row r="7" spans="1:7" ht="15" customHeight="1" x14ac:dyDescent="0.2">
      <c r="A7" s="14" t="s">
        <v>77</v>
      </c>
      <c r="B7" s="15">
        <v>7.6999999999999999E-2</v>
      </c>
      <c r="C7" s="15" t="s">
        <v>83</v>
      </c>
      <c r="D7" s="8" t="s">
        <v>77</v>
      </c>
      <c r="E7" s="8" t="s">
        <v>77</v>
      </c>
      <c r="F7" s="8" t="s">
        <v>77</v>
      </c>
      <c r="G7" s="8" t="s">
        <v>77</v>
      </c>
    </row>
    <row r="8" spans="1:7" ht="15" customHeight="1" x14ac:dyDescent="0.2">
      <c r="A8" s="11" t="s">
        <v>85</v>
      </c>
      <c r="B8" s="12">
        <v>9.5</v>
      </c>
      <c r="C8" s="12" t="s">
        <v>86</v>
      </c>
      <c r="D8" s="13" t="s">
        <v>77</v>
      </c>
      <c r="E8" s="8" t="s">
        <v>77</v>
      </c>
      <c r="F8" s="8" t="s">
        <v>77</v>
      </c>
      <c r="G8" s="8" t="s">
        <v>77</v>
      </c>
    </row>
    <row r="9" spans="1:7" ht="15" customHeight="1" x14ac:dyDescent="0.2">
      <c r="A9" s="16" t="s">
        <v>87</v>
      </c>
      <c r="B9" s="16">
        <v>4.3008403427644299E-3</v>
      </c>
      <c r="C9" s="16" t="s">
        <v>88</v>
      </c>
      <c r="D9" s="17" t="s">
        <v>89</v>
      </c>
      <c r="E9" s="8" t="s">
        <v>77</v>
      </c>
      <c r="F9" s="8" t="s">
        <v>77</v>
      </c>
      <c r="G9" s="8" t="s">
        <v>77</v>
      </c>
    </row>
    <row r="10" spans="1:7" ht="15" customHeight="1" x14ac:dyDescent="0.2">
      <c r="A10" s="17" t="s">
        <v>90</v>
      </c>
      <c r="B10" s="17">
        <f>B9*B7</f>
        <v>3.3116470639286109E-4</v>
      </c>
      <c r="C10" s="17" t="s">
        <v>91</v>
      </c>
      <c r="D10" s="17" t="s">
        <v>92</v>
      </c>
      <c r="E10" s="8" t="s">
        <v>77</v>
      </c>
      <c r="F10" s="8" t="s">
        <v>77</v>
      </c>
      <c r="G10" s="8" t="s">
        <v>77</v>
      </c>
    </row>
    <row r="11" spans="1:7" ht="15" customHeight="1" x14ac:dyDescent="0.2">
      <c r="A11" s="17" t="s">
        <v>93</v>
      </c>
      <c r="B11" s="17">
        <f>B10/(B8-1)</f>
        <v>3.8960553693277777E-5</v>
      </c>
      <c r="C11" s="17" t="s">
        <v>91</v>
      </c>
      <c r="D11" s="17" t="s">
        <v>94</v>
      </c>
      <c r="E11" s="8" t="s">
        <v>77</v>
      </c>
      <c r="F11" s="8" t="s">
        <v>77</v>
      </c>
      <c r="G11" s="8" t="s">
        <v>77</v>
      </c>
    </row>
    <row r="12" spans="1:7" ht="15" customHeight="1" x14ac:dyDescent="0.2">
      <c r="A12" s="17" t="s">
        <v>95</v>
      </c>
      <c r="B12" s="17">
        <f>B11+B10</f>
        <v>3.7012526008613889E-4</v>
      </c>
      <c r="C12" s="17" t="s">
        <v>91</v>
      </c>
      <c r="D12" s="17" t="s">
        <v>96</v>
      </c>
      <c r="E12" s="8" t="s">
        <v>77</v>
      </c>
      <c r="F12" s="8" t="s">
        <v>77</v>
      </c>
      <c r="G12" s="8" t="s">
        <v>77</v>
      </c>
    </row>
    <row r="13" spans="1:7" ht="15" customHeight="1" x14ac:dyDescent="0.2">
      <c r="A13" s="8" t="s">
        <v>77</v>
      </c>
      <c r="B13" s="8" t="s">
        <v>77</v>
      </c>
      <c r="C13" s="8" t="s">
        <v>77</v>
      </c>
      <c r="D13" s="8" t="s">
        <v>77</v>
      </c>
      <c r="E13" s="8" t="s">
        <v>77</v>
      </c>
      <c r="F13" s="8" t="s">
        <v>77</v>
      </c>
      <c r="G13" s="8" t="s">
        <v>77</v>
      </c>
    </row>
    <row r="14" spans="1:7" ht="15" customHeight="1" x14ac:dyDescent="0.2">
      <c r="A14" s="18" t="s">
        <v>97</v>
      </c>
      <c r="B14" s="10" t="s">
        <v>77</v>
      </c>
      <c r="C14" s="10" t="s">
        <v>77</v>
      </c>
      <c r="D14" s="8" t="s">
        <v>77</v>
      </c>
      <c r="E14" s="8" t="s">
        <v>77</v>
      </c>
      <c r="F14" s="8" t="s">
        <v>77</v>
      </c>
      <c r="G14" s="8" t="s">
        <v>77</v>
      </c>
    </row>
    <row r="15" spans="1:7" ht="15" customHeight="1" x14ac:dyDescent="0.2">
      <c r="A15" s="11" t="s">
        <v>98</v>
      </c>
      <c r="B15" s="12">
        <v>35</v>
      </c>
      <c r="C15" s="12" t="s">
        <v>82</v>
      </c>
      <c r="D15" s="13" t="s">
        <v>77</v>
      </c>
      <c r="E15" s="8" t="s">
        <v>77</v>
      </c>
      <c r="F15" s="8" t="s">
        <v>77</v>
      </c>
      <c r="G15" s="8" t="s">
        <v>77</v>
      </c>
    </row>
    <row r="16" spans="1:7" ht="15" customHeight="1" x14ac:dyDescent="0.2">
      <c r="A16" s="19" t="s">
        <v>77</v>
      </c>
      <c r="B16" s="16">
        <v>3.5000000000000003E-2</v>
      </c>
      <c r="C16" s="16" t="s">
        <v>83</v>
      </c>
      <c r="D16" s="8" t="s">
        <v>77</v>
      </c>
      <c r="E16" s="8" t="s">
        <v>77</v>
      </c>
      <c r="F16" s="8" t="s">
        <v>77</v>
      </c>
      <c r="G16" s="8" t="s">
        <v>77</v>
      </c>
    </row>
    <row r="17" spans="1:7" ht="15" customHeight="1" x14ac:dyDescent="0.2">
      <c r="A17" s="18" t="s">
        <v>99</v>
      </c>
      <c r="B17" s="10">
        <v>9.6211275000000003E-4</v>
      </c>
      <c r="C17" s="18" t="s">
        <v>88</v>
      </c>
      <c r="D17" s="17" t="s">
        <v>100</v>
      </c>
      <c r="E17" s="8" t="s">
        <v>77</v>
      </c>
      <c r="F17" s="8" t="s">
        <v>77</v>
      </c>
      <c r="G17" s="8" t="s">
        <v>77</v>
      </c>
    </row>
    <row r="18" spans="1:7" ht="15" customHeight="1" x14ac:dyDescent="0.2">
      <c r="A18" s="11" t="s">
        <v>101</v>
      </c>
      <c r="B18" s="12">
        <v>5</v>
      </c>
      <c r="C18" s="12" t="s">
        <v>86</v>
      </c>
      <c r="D18" s="13" t="s">
        <v>77</v>
      </c>
      <c r="E18" s="8" t="s">
        <v>77</v>
      </c>
      <c r="F18" s="8" t="s">
        <v>77</v>
      </c>
      <c r="G18" s="8" t="s">
        <v>77</v>
      </c>
    </row>
    <row r="19" spans="1:7" ht="15" customHeight="1" x14ac:dyDescent="0.2">
      <c r="A19" s="15" t="s">
        <v>102</v>
      </c>
      <c r="B19" s="14" t="s">
        <v>77</v>
      </c>
      <c r="C19" s="14" t="s">
        <v>77</v>
      </c>
      <c r="D19" s="8" t="s">
        <v>77</v>
      </c>
      <c r="E19" s="8" t="s">
        <v>77</v>
      </c>
      <c r="F19" s="8" t="s">
        <v>77</v>
      </c>
      <c r="G19" s="8" t="s">
        <v>77</v>
      </c>
    </row>
    <row r="20" spans="1:7" ht="15" customHeight="1" x14ac:dyDescent="0.2">
      <c r="A20" s="11" t="s">
        <v>98</v>
      </c>
      <c r="B20" s="12">
        <v>28</v>
      </c>
      <c r="C20" s="12" t="s">
        <v>82</v>
      </c>
      <c r="D20" s="13" t="s">
        <v>77</v>
      </c>
      <c r="E20" s="8" t="s">
        <v>77</v>
      </c>
      <c r="F20" s="8" t="s">
        <v>77</v>
      </c>
      <c r="G20" s="8" t="s">
        <v>77</v>
      </c>
    </row>
    <row r="21" spans="1:7" ht="15" customHeight="1" x14ac:dyDescent="0.2">
      <c r="A21" s="19" t="s">
        <v>77</v>
      </c>
      <c r="B21" s="19">
        <v>2.8000000000000001E-2</v>
      </c>
      <c r="C21" s="16" t="s">
        <v>83</v>
      </c>
      <c r="D21" s="8" t="s">
        <v>77</v>
      </c>
      <c r="E21" s="8" t="s">
        <v>77</v>
      </c>
      <c r="F21" s="8" t="s">
        <v>77</v>
      </c>
      <c r="G21" s="8" t="s">
        <v>77</v>
      </c>
    </row>
    <row r="22" spans="1:7" ht="15" customHeight="1" x14ac:dyDescent="0.2">
      <c r="A22" s="18" t="s">
        <v>103</v>
      </c>
      <c r="B22" s="10">
        <f>((B21/2)^2)*(3.14159265358)</f>
        <v>6.1575216010168008E-4</v>
      </c>
      <c r="C22" s="18" t="s">
        <v>88</v>
      </c>
      <c r="D22" s="17" t="s">
        <v>104</v>
      </c>
      <c r="E22" s="8" t="s">
        <v>77</v>
      </c>
      <c r="F22" s="8" t="s">
        <v>77</v>
      </c>
      <c r="G22" s="8" t="s">
        <v>77</v>
      </c>
    </row>
    <row r="23" spans="1:7" ht="15" customHeight="1" x14ac:dyDescent="0.2">
      <c r="A23" s="11" t="s">
        <v>101</v>
      </c>
      <c r="B23" s="12">
        <v>5</v>
      </c>
      <c r="C23" s="12" t="s">
        <v>86</v>
      </c>
      <c r="D23" s="13" t="s">
        <v>77</v>
      </c>
      <c r="E23" s="8" t="s">
        <v>77</v>
      </c>
      <c r="F23" s="8" t="s">
        <v>77</v>
      </c>
      <c r="G23" s="8" t="s">
        <v>77</v>
      </c>
    </row>
    <row r="24" spans="1:7" ht="15" customHeight="1" x14ac:dyDescent="0.2">
      <c r="A24" s="15" t="s">
        <v>105</v>
      </c>
      <c r="B24" s="14" t="s">
        <v>77</v>
      </c>
      <c r="C24" s="14" t="s">
        <v>77</v>
      </c>
      <c r="D24" s="8" t="s">
        <v>77</v>
      </c>
      <c r="E24" s="8" t="s">
        <v>77</v>
      </c>
      <c r="F24" s="8" t="s">
        <v>77</v>
      </c>
      <c r="G24" s="8" t="s">
        <v>77</v>
      </c>
    </row>
    <row r="25" spans="1:7" ht="15" customHeight="1" x14ac:dyDescent="0.2">
      <c r="A25" s="11" t="s">
        <v>106</v>
      </c>
      <c r="B25" s="12">
        <v>0.22</v>
      </c>
      <c r="C25" s="12" t="s">
        <v>82</v>
      </c>
      <c r="D25" s="20" t="s">
        <v>107</v>
      </c>
      <c r="E25" s="8" t="s">
        <v>77</v>
      </c>
      <c r="F25" s="8" t="s">
        <v>77</v>
      </c>
      <c r="G25" s="8" t="s">
        <v>77</v>
      </c>
    </row>
    <row r="26" spans="1:7" ht="15" customHeight="1" x14ac:dyDescent="0.2">
      <c r="A26" s="14" t="s">
        <v>77</v>
      </c>
      <c r="B26" s="15">
        <v>2.2000000000000001E-4</v>
      </c>
      <c r="C26" s="15" t="s">
        <v>83</v>
      </c>
      <c r="D26" s="8" t="s">
        <v>77</v>
      </c>
      <c r="E26" s="8" t="s">
        <v>77</v>
      </c>
      <c r="F26" s="8" t="s">
        <v>77</v>
      </c>
      <c r="G26" s="8" t="s">
        <v>77</v>
      </c>
    </row>
    <row r="27" spans="1:7" ht="15" customHeight="1" x14ac:dyDescent="0.2">
      <c r="A27" s="11" t="s">
        <v>108</v>
      </c>
      <c r="B27" s="12">
        <v>2</v>
      </c>
      <c r="C27" s="12" t="s">
        <v>82</v>
      </c>
      <c r="D27" s="20" t="s">
        <v>109</v>
      </c>
      <c r="E27" s="8" t="s">
        <v>77</v>
      </c>
      <c r="F27" s="8" t="s">
        <v>77</v>
      </c>
      <c r="G27" s="8" t="s">
        <v>77</v>
      </c>
    </row>
    <row r="28" spans="1:7" ht="15" customHeight="1" x14ac:dyDescent="0.2">
      <c r="A28" s="19" t="s">
        <v>77</v>
      </c>
      <c r="B28" s="16">
        <v>2E-3</v>
      </c>
      <c r="C28" s="16" t="s">
        <v>83</v>
      </c>
      <c r="D28" s="8" t="s">
        <v>77</v>
      </c>
      <c r="E28" s="8" t="s">
        <v>77</v>
      </c>
      <c r="F28" s="8" t="s">
        <v>77</v>
      </c>
      <c r="G28" s="8" t="s">
        <v>77</v>
      </c>
    </row>
    <row r="29" spans="1:7" ht="15" customHeight="1" x14ac:dyDescent="0.2">
      <c r="A29" s="17" t="s">
        <v>110</v>
      </c>
      <c r="B29" s="17">
        <v>4.64955712731289E-4</v>
      </c>
      <c r="C29" s="17" t="s">
        <v>88</v>
      </c>
      <c r="D29" s="17" t="s">
        <v>111</v>
      </c>
      <c r="E29" s="8" t="s">
        <v>77</v>
      </c>
      <c r="F29" s="8" t="s">
        <v>77</v>
      </c>
      <c r="G29" s="8" t="s">
        <v>77</v>
      </c>
    </row>
    <row r="30" spans="1:7" ht="15" customHeight="1" x14ac:dyDescent="0.2">
      <c r="A30" s="8" t="s">
        <v>77</v>
      </c>
      <c r="B30" s="8" t="s">
        <v>77</v>
      </c>
      <c r="C30" s="8" t="s">
        <v>77</v>
      </c>
      <c r="D30" s="8" t="s">
        <v>77</v>
      </c>
      <c r="E30" s="8" t="s">
        <v>77</v>
      </c>
      <c r="F30" s="8" t="s">
        <v>77</v>
      </c>
      <c r="G30" s="8" t="s">
        <v>77</v>
      </c>
    </row>
    <row r="31" spans="1:7" ht="15" customHeight="1" x14ac:dyDescent="0.2">
      <c r="A31" s="9" t="s">
        <v>112</v>
      </c>
      <c r="B31" s="10" t="s">
        <v>77</v>
      </c>
      <c r="C31" s="10" t="s">
        <v>77</v>
      </c>
      <c r="D31" s="8" t="s">
        <v>77</v>
      </c>
      <c r="E31" s="8" t="s">
        <v>77</v>
      </c>
      <c r="F31" s="8" t="s">
        <v>77</v>
      </c>
      <c r="G31" s="8" t="s">
        <v>77</v>
      </c>
    </row>
    <row r="32" spans="1:7" ht="15" customHeight="1" x14ac:dyDescent="0.2">
      <c r="A32" s="21" t="s">
        <v>113</v>
      </c>
      <c r="B32" s="22">
        <v>2500</v>
      </c>
      <c r="C32" s="23" t="s">
        <v>113</v>
      </c>
      <c r="D32" s="13" t="s">
        <v>77</v>
      </c>
      <c r="E32" s="8" t="s">
        <v>77</v>
      </c>
      <c r="F32" s="8" t="s">
        <v>77</v>
      </c>
      <c r="G32" s="8" t="s">
        <v>77</v>
      </c>
    </row>
    <row r="33" spans="1:7" ht="15" customHeight="1" x14ac:dyDescent="0.2">
      <c r="A33" s="16" t="s">
        <v>114</v>
      </c>
      <c r="B33" s="19">
        <f>(B32*2*(3.14159265358979))/60</f>
        <v>261.79938779914914</v>
      </c>
      <c r="C33" s="16" t="s">
        <v>115</v>
      </c>
      <c r="D33" s="17" t="s">
        <v>116</v>
      </c>
      <c r="E33" s="8" t="s">
        <v>77</v>
      </c>
      <c r="F33" s="8" t="s">
        <v>77</v>
      </c>
      <c r="G33" s="8" t="s">
        <v>77</v>
      </c>
    </row>
    <row r="34" spans="1:7" ht="15" customHeight="1" x14ac:dyDescent="0.2">
      <c r="A34" s="17" t="s">
        <v>117</v>
      </c>
      <c r="B34" s="8">
        <f>(B32*360)/60</f>
        <v>15000</v>
      </c>
      <c r="C34" s="17" t="s">
        <v>118</v>
      </c>
      <c r="D34" s="17" t="s">
        <v>119</v>
      </c>
      <c r="E34" s="8" t="s">
        <v>77</v>
      </c>
      <c r="F34" s="8" t="s">
        <v>77</v>
      </c>
      <c r="G34" s="8" t="s">
        <v>77</v>
      </c>
    </row>
    <row r="35" spans="1:7" ht="15" customHeight="1" x14ac:dyDescent="0.2">
      <c r="A35" s="10" t="s">
        <v>77</v>
      </c>
      <c r="B35" s="10" t="s">
        <v>77</v>
      </c>
      <c r="C35" s="10" t="s">
        <v>77</v>
      </c>
      <c r="D35" s="8" t="s">
        <v>77</v>
      </c>
      <c r="E35" s="8" t="s">
        <v>77</v>
      </c>
      <c r="F35" s="8" t="s">
        <v>77</v>
      </c>
      <c r="G35" s="8" t="s">
        <v>77</v>
      </c>
    </row>
    <row r="36" spans="1:7" ht="15" customHeight="1" x14ac:dyDescent="0.2">
      <c r="A36" s="11" t="s">
        <v>120</v>
      </c>
      <c r="B36" s="12">
        <v>50</v>
      </c>
      <c r="C36" s="12" t="s">
        <v>121</v>
      </c>
      <c r="D36" s="13" t="s">
        <v>77</v>
      </c>
      <c r="E36" s="8" t="s">
        <v>77</v>
      </c>
      <c r="F36" s="8" t="s">
        <v>77</v>
      </c>
      <c r="G36" s="8" t="s">
        <v>77</v>
      </c>
    </row>
    <row r="37" spans="1:7" ht="15" customHeight="1" x14ac:dyDescent="0.2">
      <c r="A37" s="16" t="s">
        <v>122</v>
      </c>
      <c r="B37" s="19">
        <f>((B5/2)/B36)</f>
        <v>7.3999999999999999E-4</v>
      </c>
      <c r="C37" s="16" t="s">
        <v>45</v>
      </c>
      <c r="D37" s="17" t="s">
        <v>123</v>
      </c>
      <c r="E37" s="8" t="s">
        <v>77</v>
      </c>
      <c r="F37" s="8"/>
      <c r="G37" s="8" t="s">
        <v>77</v>
      </c>
    </row>
    <row r="38" spans="1:7" ht="15" customHeight="1" x14ac:dyDescent="0.2">
      <c r="A38" s="8" t="s">
        <v>77</v>
      </c>
      <c r="B38" s="8">
        <f>B37*1000</f>
        <v>0.74</v>
      </c>
      <c r="C38" s="17" t="s">
        <v>124</v>
      </c>
      <c r="D38" s="8" t="s">
        <v>77</v>
      </c>
      <c r="E38" s="8" t="s">
        <v>77</v>
      </c>
      <c r="F38" s="8" t="s">
        <v>77</v>
      </c>
      <c r="G38" s="8" t="s">
        <v>77</v>
      </c>
    </row>
    <row r="39" spans="1:7" ht="15" customHeight="1" x14ac:dyDescent="0.2">
      <c r="A39" s="17" t="s">
        <v>125</v>
      </c>
      <c r="B39" s="7">
        <f>B34*B37</f>
        <v>11.1</v>
      </c>
      <c r="C39" s="17" t="s">
        <v>126</v>
      </c>
      <c r="D39" s="17" t="s">
        <v>127</v>
      </c>
      <c r="E39" s="8" t="s">
        <v>77</v>
      </c>
      <c r="F39" s="8" t="s">
        <v>77</v>
      </c>
      <c r="G39" s="8" t="s">
        <v>77</v>
      </c>
    </row>
    <row r="40" spans="1:7" ht="15" customHeight="1" x14ac:dyDescent="0.2">
      <c r="A40" s="17" t="s">
        <v>128</v>
      </c>
      <c r="B40" s="8">
        <f>(0.077/2)*(1-SIN(B33*((B5/2)/B36)+(3.14159265358979/2)))</f>
        <v>7.2023243629854548E-4</v>
      </c>
      <c r="C40" s="17" t="s">
        <v>83</v>
      </c>
      <c r="D40" s="17" t="s">
        <v>129</v>
      </c>
      <c r="E40" s="8" t="s">
        <v>77</v>
      </c>
      <c r="F40" s="8" t="s">
        <v>77</v>
      </c>
      <c r="G40" s="8" t="s">
        <v>77</v>
      </c>
    </row>
    <row r="41" spans="1:7" ht="15" customHeight="1" x14ac:dyDescent="0.2">
      <c r="A41" s="8" t="s">
        <v>77</v>
      </c>
      <c r="B41" s="8">
        <v>2.3172399000000001</v>
      </c>
      <c r="C41" s="17" t="s">
        <v>82</v>
      </c>
      <c r="D41" s="8" t="s">
        <v>77</v>
      </c>
      <c r="E41" s="8" t="s">
        <v>77</v>
      </c>
      <c r="F41" s="8" t="s">
        <v>77</v>
      </c>
      <c r="G41" s="8" t="s">
        <v>77</v>
      </c>
    </row>
    <row r="42" spans="1:7" ht="15" customHeight="1" x14ac:dyDescent="0.2">
      <c r="A42" s="17" t="s">
        <v>130</v>
      </c>
      <c r="B42" s="8">
        <f>((0.077/2)*B33)</f>
        <v>10.079276430267242</v>
      </c>
      <c r="C42" s="17" t="s">
        <v>121</v>
      </c>
      <c r="D42" s="17" t="s">
        <v>131</v>
      </c>
      <c r="E42" s="8" t="s">
        <v>77</v>
      </c>
      <c r="F42" s="8" t="s">
        <v>77</v>
      </c>
      <c r="G42" s="8" t="s">
        <v>77</v>
      </c>
    </row>
    <row r="43" spans="1:7" ht="15" customHeight="1" x14ac:dyDescent="0.2">
      <c r="A43" s="17" t="s">
        <v>132</v>
      </c>
      <c r="B43" s="7">
        <f>((0.077)*(B33)/(2*SQRT(2)))</f>
        <v>7.1271247132957045</v>
      </c>
      <c r="C43" s="17" t="s">
        <v>121</v>
      </c>
      <c r="D43" s="17" t="s">
        <v>133</v>
      </c>
      <c r="E43" s="8" t="s">
        <v>77</v>
      </c>
      <c r="F43" s="8" t="s">
        <v>77</v>
      </c>
      <c r="G43" s="8" t="s">
        <v>77</v>
      </c>
    </row>
    <row r="44" spans="1:7" ht="15" customHeight="1" x14ac:dyDescent="0.2">
      <c r="A44" s="17" t="s">
        <v>134</v>
      </c>
      <c r="B44" s="7">
        <f>B43*B9</f>
        <v>3.0652625494855538E-2</v>
      </c>
      <c r="C44" s="17" t="s">
        <v>135</v>
      </c>
      <c r="D44" s="17" t="s">
        <v>136</v>
      </c>
      <c r="E44" s="8" t="s">
        <v>77</v>
      </c>
      <c r="F44" s="8" t="s">
        <v>77</v>
      </c>
      <c r="G44" s="8" t="s">
        <v>77</v>
      </c>
    </row>
    <row r="45" spans="1:7" ht="15" customHeight="1" x14ac:dyDescent="0.2">
      <c r="A45" s="8" t="s">
        <v>77</v>
      </c>
      <c r="B45" s="8" t="s">
        <v>77</v>
      </c>
      <c r="C45" s="8" t="s">
        <v>77</v>
      </c>
      <c r="D45" s="8" t="s">
        <v>77</v>
      </c>
      <c r="E45" s="8" t="s">
        <v>77</v>
      </c>
      <c r="F45" s="8" t="s">
        <v>77</v>
      </c>
      <c r="G45" s="8" t="s">
        <v>77</v>
      </c>
    </row>
    <row r="46" spans="1:7" ht="15" customHeight="1" x14ac:dyDescent="0.2">
      <c r="A46" s="24" t="s">
        <v>137</v>
      </c>
      <c r="B46" s="8" t="s">
        <v>77</v>
      </c>
      <c r="C46" s="8" t="s">
        <v>77</v>
      </c>
      <c r="D46" s="8" t="s">
        <v>77</v>
      </c>
      <c r="E46" s="8" t="s">
        <v>77</v>
      </c>
      <c r="F46" s="8" t="s">
        <v>77</v>
      </c>
      <c r="G46" s="8" t="s">
        <v>77</v>
      </c>
    </row>
    <row r="47" spans="1:7" ht="15" customHeight="1" x14ac:dyDescent="0.2">
      <c r="A47" s="18" t="s">
        <v>138</v>
      </c>
      <c r="B47" s="10">
        <f>B43/B26</f>
        <v>32396.021424071383</v>
      </c>
      <c r="C47" s="18" t="s">
        <v>139</v>
      </c>
      <c r="D47" s="17" t="s">
        <v>140</v>
      </c>
      <c r="E47" s="8" t="s">
        <v>77</v>
      </c>
      <c r="F47" s="8" t="s">
        <v>77</v>
      </c>
      <c r="G47" s="8" t="s">
        <v>77</v>
      </c>
    </row>
    <row r="48" spans="1:7" ht="15" customHeight="1" x14ac:dyDescent="0.2">
      <c r="A48" s="11" t="s">
        <v>141</v>
      </c>
      <c r="B48" s="12">
        <v>0.01</v>
      </c>
      <c r="C48" s="12" t="s">
        <v>142</v>
      </c>
      <c r="D48" s="13" t="s">
        <v>77</v>
      </c>
      <c r="E48" s="8" t="s">
        <v>77</v>
      </c>
      <c r="F48" s="8" t="s">
        <v>77</v>
      </c>
      <c r="G48" s="8" t="s">
        <v>77</v>
      </c>
    </row>
    <row r="49" spans="1:9" ht="15" customHeight="1" x14ac:dyDescent="0.2">
      <c r="A49" s="16" t="s">
        <v>143</v>
      </c>
      <c r="B49" s="19">
        <f>B47*B48</f>
        <v>323.96021424071381</v>
      </c>
      <c r="C49" s="16" t="s">
        <v>144</v>
      </c>
      <c r="D49" s="8" t="s">
        <v>77</v>
      </c>
      <c r="E49" s="8" t="s">
        <v>77</v>
      </c>
      <c r="F49" s="8" t="s">
        <v>77</v>
      </c>
      <c r="G49" s="8" t="s">
        <v>77</v>
      </c>
    </row>
    <row r="50" spans="1:9" ht="15" customHeight="1" x14ac:dyDescent="0.2">
      <c r="A50" s="17" t="s">
        <v>145</v>
      </c>
      <c r="B50" s="8">
        <f>B47*B9*B48</f>
        <v>1.3933011588570698</v>
      </c>
      <c r="C50" s="17" t="s">
        <v>146</v>
      </c>
      <c r="D50" s="8" t="s">
        <v>77</v>
      </c>
      <c r="E50" s="8" t="s">
        <v>77</v>
      </c>
      <c r="F50" s="8" t="s">
        <v>77</v>
      </c>
      <c r="G50" s="8" t="s">
        <v>77</v>
      </c>
    </row>
    <row r="51" spans="1:9" ht="15" customHeight="1" x14ac:dyDescent="0.2">
      <c r="A51" s="17" t="s">
        <v>147</v>
      </c>
      <c r="B51" s="8">
        <f>B50*0.077</f>
        <v>0.10728418923199437</v>
      </c>
      <c r="C51" s="17" t="s">
        <v>148</v>
      </c>
      <c r="D51" s="17" t="s">
        <v>149</v>
      </c>
      <c r="E51" s="8" t="s">
        <v>77</v>
      </c>
      <c r="F51" s="8" t="s">
        <v>77</v>
      </c>
      <c r="G51" s="8" t="s">
        <v>77</v>
      </c>
    </row>
    <row r="52" spans="1:9" ht="15" customHeight="1" x14ac:dyDescent="0.2">
      <c r="A52" s="8" t="s">
        <v>77</v>
      </c>
      <c r="B52" s="8" t="s">
        <v>77</v>
      </c>
      <c r="C52" s="8" t="s">
        <v>77</v>
      </c>
      <c r="D52" s="8" t="s">
        <v>77</v>
      </c>
      <c r="E52" s="8" t="s">
        <v>77</v>
      </c>
      <c r="F52" s="8" t="s">
        <v>77</v>
      </c>
      <c r="G52" s="8" t="s">
        <v>77</v>
      </c>
    </row>
    <row r="53" spans="1:9" ht="15" customHeight="1" x14ac:dyDescent="0.2">
      <c r="A53" s="9" t="s">
        <v>150</v>
      </c>
      <c r="B53" s="10" t="s">
        <v>77</v>
      </c>
      <c r="C53" s="10" t="s">
        <v>77</v>
      </c>
      <c r="D53" s="8" t="s">
        <v>77</v>
      </c>
      <c r="E53" s="8" t="s">
        <v>77</v>
      </c>
      <c r="F53" s="8" t="s">
        <v>77</v>
      </c>
      <c r="G53" s="8" t="s">
        <v>77</v>
      </c>
    </row>
    <row r="54" spans="1:9" ht="15" customHeight="1" x14ac:dyDescent="0.2">
      <c r="A54" s="21" t="s">
        <v>151</v>
      </c>
      <c r="B54" s="22">
        <v>25</v>
      </c>
      <c r="C54" s="23" t="s">
        <v>152</v>
      </c>
      <c r="D54" s="13" t="s">
        <v>77</v>
      </c>
      <c r="E54" s="8" t="s">
        <v>77</v>
      </c>
      <c r="F54" s="8" t="s">
        <v>77</v>
      </c>
      <c r="G54" s="8" t="s">
        <v>77</v>
      </c>
    </row>
    <row r="55" spans="1:9" ht="15" customHeight="1" x14ac:dyDescent="0.2">
      <c r="A55" s="14" t="s">
        <v>77</v>
      </c>
      <c r="B55" s="14">
        <f>B54+273.15</f>
        <v>298.14999999999998</v>
      </c>
      <c r="C55" s="15" t="s">
        <v>153</v>
      </c>
      <c r="D55" s="8" t="s">
        <v>77</v>
      </c>
      <c r="E55" s="8" t="s">
        <v>77</v>
      </c>
      <c r="F55" s="8" t="s">
        <v>77</v>
      </c>
      <c r="G55" s="8" t="s">
        <v>77</v>
      </c>
    </row>
    <row r="56" spans="1:9" ht="15" customHeight="1" x14ac:dyDescent="0.2">
      <c r="A56" s="21" t="s">
        <v>154</v>
      </c>
      <c r="B56" s="22">
        <v>100</v>
      </c>
      <c r="C56" s="23" t="s">
        <v>155</v>
      </c>
      <c r="D56" s="13" t="s">
        <v>77</v>
      </c>
      <c r="E56" s="8" t="s">
        <v>77</v>
      </c>
      <c r="F56" s="8"/>
      <c r="G56" s="8" t="s">
        <v>77</v>
      </c>
    </row>
    <row r="57" spans="1:9" ht="15" customHeight="1" x14ac:dyDescent="0.2">
      <c r="A57" s="21" t="s">
        <v>156</v>
      </c>
      <c r="B57" s="25">
        <v>0.75</v>
      </c>
      <c r="C57" s="23" t="s">
        <v>157</v>
      </c>
      <c r="D57" s="13" t="s">
        <v>77</v>
      </c>
      <c r="E57" s="8" t="s">
        <v>77</v>
      </c>
      <c r="F57" s="8" t="s">
        <v>77</v>
      </c>
      <c r="G57" s="8" t="s">
        <v>77</v>
      </c>
    </row>
    <row r="58" spans="1:9" ht="15" customHeight="1" x14ac:dyDescent="0.2">
      <c r="A58" s="11" t="s">
        <v>158</v>
      </c>
      <c r="B58" s="26" t="s">
        <v>77</v>
      </c>
      <c r="C58" s="26" t="s">
        <v>77</v>
      </c>
      <c r="D58" s="13" t="s">
        <v>77</v>
      </c>
      <c r="E58" s="8" t="s">
        <v>77</v>
      </c>
      <c r="F58" s="8" t="s">
        <v>77</v>
      </c>
      <c r="G58" s="8" t="s">
        <v>77</v>
      </c>
    </row>
    <row r="59" spans="1:9" ht="15" customHeight="1" x14ac:dyDescent="0.2">
      <c r="A59" s="11" t="s">
        <v>2</v>
      </c>
      <c r="B59" s="12">
        <v>0.61094000000000004</v>
      </c>
      <c r="C59" s="12" t="s">
        <v>155</v>
      </c>
      <c r="D59" s="13" t="s">
        <v>77</v>
      </c>
      <c r="E59" s="8" t="s">
        <v>77</v>
      </c>
      <c r="F59" s="8" t="s">
        <v>77</v>
      </c>
      <c r="G59" s="8" t="s">
        <v>77</v>
      </c>
    </row>
    <row r="60" spans="1:9" ht="15" customHeight="1" x14ac:dyDescent="0.2">
      <c r="A60" s="11" t="s">
        <v>3</v>
      </c>
      <c r="B60" s="12">
        <v>17.625</v>
      </c>
      <c r="C60" s="26" t="s">
        <v>77</v>
      </c>
      <c r="D60" s="13" t="s">
        <v>77</v>
      </c>
      <c r="E60" s="8" t="s">
        <v>77</v>
      </c>
      <c r="F60" s="8" t="s">
        <v>77</v>
      </c>
      <c r="G60" s="8" t="s">
        <v>77</v>
      </c>
    </row>
    <row r="61" spans="1:9" ht="15" customHeight="1" x14ac:dyDescent="0.2">
      <c r="A61" s="11" t="s">
        <v>4</v>
      </c>
      <c r="B61" s="12">
        <v>243.04</v>
      </c>
      <c r="C61" s="12" t="s">
        <v>152</v>
      </c>
      <c r="D61" s="13" t="s">
        <v>77</v>
      </c>
      <c r="E61" s="8" t="s">
        <v>77</v>
      </c>
      <c r="F61" s="8" t="s">
        <v>77</v>
      </c>
      <c r="G61" s="8" t="s">
        <v>77</v>
      </c>
    </row>
    <row r="62" spans="1:9" ht="15" customHeight="1" x14ac:dyDescent="0.2">
      <c r="A62" s="16" t="s">
        <v>159</v>
      </c>
      <c r="B62" s="19">
        <f>B59*EXP(B60*B54/(B54+(B61)))</f>
        <v>3.1617360356966913</v>
      </c>
      <c r="C62" s="16" t="s">
        <v>155</v>
      </c>
      <c r="D62" s="8" t="s">
        <v>77</v>
      </c>
      <c r="E62" s="8" t="s">
        <v>77</v>
      </c>
      <c r="F62" s="8" t="s">
        <v>77</v>
      </c>
      <c r="G62" s="8" t="s">
        <v>77</v>
      </c>
    </row>
    <row r="63" spans="1:9" ht="15" customHeight="1" x14ac:dyDescent="0.2">
      <c r="A63" s="17" t="s">
        <v>160</v>
      </c>
      <c r="B63" s="8">
        <f>B62*B57</f>
        <v>2.3713020267725184</v>
      </c>
      <c r="C63" s="17" t="s">
        <v>155</v>
      </c>
      <c r="D63" s="8" t="s">
        <v>77</v>
      </c>
      <c r="E63" s="8" t="s">
        <v>77</v>
      </c>
      <c r="F63" s="8" t="s">
        <v>77</v>
      </c>
      <c r="G63" s="8" t="s">
        <v>77</v>
      </c>
    </row>
    <row r="64" spans="1:9" ht="15" customHeight="1" x14ac:dyDescent="0.2">
      <c r="A64" s="17" t="s">
        <v>161</v>
      </c>
      <c r="B64" s="8">
        <f>B63/B56</f>
        <v>2.3713020267725184E-2</v>
      </c>
      <c r="C64" s="8" t="s">
        <v>77</v>
      </c>
      <c r="D64" s="8" t="s">
        <v>77</v>
      </c>
      <c r="E64" s="8" t="s">
        <v>77</v>
      </c>
      <c r="F64" s="8" t="s">
        <v>77</v>
      </c>
      <c r="G64" s="8" t="s">
        <v>77</v>
      </c>
      <c r="I64">
        <v>3.3144626000000001</v>
      </c>
    </row>
    <row r="65" spans="1:19" ht="15" customHeight="1" x14ac:dyDescent="0.2">
      <c r="A65" s="10" t="s">
        <v>77</v>
      </c>
      <c r="B65" s="10" t="s">
        <v>77</v>
      </c>
      <c r="C65" s="10" t="s">
        <v>77</v>
      </c>
      <c r="D65" s="8" t="s">
        <v>77</v>
      </c>
      <c r="E65" s="8" t="s">
        <v>77</v>
      </c>
      <c r="F65" s="8" t="s">
        <v>77</v>
      </c>
      <c r="G65" s="8" t="s">
        <v>77</v>
      </c>
      <c r="I65" t="s">
        <v>162</v>
      </c>
      <c r="J65" t="s">
        <v>163</v>
      </c>
      <c r="K65" t="s">
        <v>164</v>
      </c>
    </row>
    <row r="66" spans="1:19" ht="15" customHeight="1" x14ac:dyDescent="0.2">
      <c r="A66" s="11" t="s">
        <v>165</v>
      </c>
      <c r="B66" s="26" t="s">
        <v>77</v>
      </c>
      <c r="C66" s="26" t="s">
        <v>77</v>
      </c>
      <c r="D66" s="13" t="s">
        <v>77</v>
      </c>
      <c r="E66" s="8" t="s">
        <v>77</v>
      </c>
      <c r="F66" s="8" t="s">
        <v>77</v>
      </c>
      <c r="G66" s="8" t="s">
        <v>77</v>
      </c>
      <c r="H66" t="s">
        <v>166</v>
      </c>
      <c r="I66">
        <f>B56-B63</f>
        <v>97.628697973227474</v>
      </c>
    </row>
    <row r="67" spans="1:19" ht="15" customHeight="1" x14ac:dyDescent="0.2">
      <c r="A67" s="11" t="s">
        <v>167</v>
      </c>
      <c r="B67" s="12">
        <v>0.78</v>
      </c>
      <c r="C67" s="26" t="s">
        <v>77</v>
      </c>
      <c r="D67" s="13" t="s">
        <v>77</v>
      </c>
      <c r="E67" s="8" t="s">
        <v>77</v>
      </c>
      <c r="F67" s="8" t="s">
        <v>77</v>
      </c>
      <c r="G67" s="8" t="s">
        <v>77</v>
      </c>
      <c r="H67" t="s">
        <v>168</v>
      </c>
      <c r="I67" s="37">
        <f>B56-B63</f>
        <v>97.628697973227474</v>
      </c>
    </row>
    <row r="68" spans="1:19" ht="15" customHeight="1" x14ac:dyDescent="0.2">
      <c r="A68" s="11" t="s">
        <v>169</v>
      </c>
      <c r="B68" s="12">
        <v>0.21</v>
      </c>
      <c r="C68" s="26" t="s">
        <v>77</v>
      </c>
      <c r="D68" s="13" t="s">
        <v>77</v>
      </c>
      <c r="E68" s="8" t="s">
        <v>77</v>
      </c>
      <c r="F68" s="8" t="s">
        <v>77</v>
      </c>
      <c r="G68" s="8" t="s">
        <v>77</v>
      </c>
      <c r="H68" t="s">
        <v>49</v>
      </c>
      <c r="I68">
        <f>B56-B63</f>
        <v>97.628697973227474</v>
      </c>
    </row>
    <row r="69" spans="1:19" ht="15" customHeight="1" x14ac:dyDescent="0.2">
      <c r="A69" s="11" t="s">
        <v>170</v>
      </c>
      <c r="B69" s="12">
        <v>0.01</v>
      </c>
      <c r="C69" s="26" t="s">
        <v>77</v>
      </c>
      <c r="D69" s="13" t="s">
        <v>77</v>
      </c>
      <c r="E69" s="8" t="s">
        <v>77</v>
      </c>
      <c r="F69" s="8" t="s">
        <v>77</v>
      </c>
      <c r="G69" s="8" t="s">
        <v>77</v>
      </c>
      <c r="H69" t="s">
        <v>171</v>
      </c>
      <c r="I69" s="8">
        <v>3.3705419999999999</v>
      </c>
    </row>
    <row r="70" spans="1:19" ht="15" customHeight="1" x14ac:dyDescent="0.2">
      <c r="A70" s="16" t="s">
        <v>172</v>
      </c>
      <c r="B70" s="16">
        <v>1</v>
      </c>
      <c r="C70" s="19" t="s">
        <v>77</v>
      </c>
      <c r="D70" s="8" t="s">
        <v>77</v>
      </c>
      <c r="E70" s="8" t="s">
        <v>77</v>
      </c>
      <c r="F70" s="8" t="s">
        <v>77</v>
      </c>
      <c r="G70" s="8" t="s">
        <v>77</v>
      </c>
    </row>
    <row r="71" spans="1:19" ht="15" customHeight="1" x14ac:dyDescent="0.2">
      <c r="A71" s="8" t="s">
        <v>77</v>
      </c>
      <c r="B71" s="8" t="s">
        <v>77</v>
      </c>
      <c r="C71" s="8" t="s">
        <v>77</v>
      </c>
      <c r="D71" s="8" t="s">
        <v>77</v>
      </c>
      <c r="E71" s="8" t="s">
        <v>77</v>
      </c>
      <c r="F71" s="8" t="s">
        <v>77</v>
      </c>
      <c r="G71" s="8" t="s">
        <v>77</v>
      </c>
    </row>
    <row r="72" spans="1:19" ht="15" customHeight="1" x14ac:dyDescent="0.2">
      <c r="A72" s="17" t="s">
        <v>173</v>
      </c>
      <c r="B72" s="8" t="s">
        <v>77</v>
      </c>
      <c r="C72" s="8" t="s">
        <v>77</v>
      </c>
      <c r="D72" s="17" t="s">
        <v>174</v>
      </c>
      <c r="E72" s="8" t="s">
        <v>77</v>
      </c>
      <c r="F72" s="8" t="s">
        <v>77</v>
      </c>
      <c r="G72" s="8" t="s">
        <v>77</v>
      </c>
    </row>
    <row r="73" spans="1:19" ht="15" customHeight="1" x14ac:dyDescent="0.2">
      <c r="A73" s="6" t="s">
        <v>25</v>
      </c>
      <c r="B73" s="8">
        <f>(B70/(B64+1))*B67</f>
        <v>0.76193228429976556</v>
      </c>
      <c r="C73" s="8" t="s">
        <v>77</v>
      </c>
      <c r="D73" s="8" t="s">
        <v>77</v>
      </c>
      <c r="E73" s="8" t="s">
        <v>77</v>
      </c>
      <c r="F73" s="8" t="s">
        <v>77</v>
      </c>
      <c r="G73" s="8" t="s">
        <v>77</v>
      </c>
    </row>
    <row r="74" spans="1:19" ht="15" customHeight="1" x14ac:dyDescent="0.2">
      <c r="A74" s="6" t="s">
        <v>26</v>
      </c>
      <c r="B74" s="8">
        <f>(B70/(B64+1))*B68</f>
        <v>0.20513561500378302</v>
      </c>
      <c r="C74" s="8" t="s">
        <v>77</v>
      </c>
      <c r="D74" s="8" t="s">
        <v>77</v>
      </c>
      <c r="E74" s="8" t="s">
        <v>77</v>
      </c>
      <c r="F74" s="8" t="s">
        <v>77</v>
      </c>
      <c r="G74" s="8" t="s">
        <v>77</v>
      </c>
    </row>
    <row r="75" spans="1:19" ht="15" customHeight="1" x14ac:dyDescent="0.2">
      <c r="A75" s="6" t="s">
        <v>175</v>
      </c>
      <c r="B75" s="8">
        <f>B64/(B70+B64)</f>
        <v>2.3163738077223703E-2</v>
      </c>
      <c r="C75" s="8" t="s">
        <v>77</v>
      </c>
      <c r="D75" s="8" t="s">
        <v>77</v>
      </c>
      <c r="E75" s="8" t="s">
        <v>522</v>
      </c>
      <c r="F75" s="8">
        <f>'HW7(1)'!F15*'HW7(1)'!F16+'HW7(1)'!G15*'HW7(1)'!G16+'HW7(1)'!H15*'HW7(1)'!H16+'HW7(1)'!L15*'HW7(1)'!L16</f>
        <v>28.715676503140003</v>
      </c>
      <c r="G75" s="8" t="s">
        <v>77</v>
      </c>
    </row>
    <row r="76" spans="1:19" ht="15" customHeight="1" x14ac:dyDescent="0.2">
      <c r="A76" s="6" t="s">
        <v>46</v>
      </c>
      <c r="B76" s="8">
        <f>(B70/(B64+1))*0</f>
        <v>0</v>
      </c>
      <c r="C76" s="8" t="s">
        <v>77</v>
      </c>
      <c r="D76" s="8" t="s">
        <v>77</v>
      </c>
      <c r="E76" s="8" t="s">
        <v>77</v>
      </c>
      <c r="F76" s="8"/>
      <c r="G76" s="8" t="s">
        <v>77</v>
      </c>
    </row>
    <row r="77" spans="1:19" ht="15" customHeight="1" x14ac:dyDescent="0.2">
      <c r="A77" s="6" t="s">
        <v>47</v>
      </c>
      <c r="B77" s="8">
        <v>0</v>
      </c>
      <c r="C77" s="8" t="s">
        <v>77</v>
      </c>
      <c r="D77" s="8" t="s">
        <v>77</v>
      </c>
      <c r="E77" s="8" t="s">
        <v>77</v>
      </c>
      <c r="F77" s="8"/>
      <c r="G77" s="8" t="s">
        <v>77</v>
      </c>
    </row>
    <row r="78" spans="1:19" ht="15" customHeight="1" x14ac:dyDescent="0.2">
      <c r="A78" s="6" t="s">
        <v>48</v>
      </c>
      <c r="B78" s="8">
        <v>0</v>
      </c>
      <c r="C78" s="8" t="s">
        <v>77</v>
      </c>
      <c r="D78" s="8" t="s">
        <v>77</v>
      </c>
      <c r="E78" s="8" t="s">
        <v>77</v>
      </c>
      <c r="F78" s="8" t="s">
        <v>77</v>
      </c>
      <c r="G78" s="8" t="s">
        <v>77</v>
      </c>
    </row>
    <row r="79" spans="1:19" ht="15" customHeight="1" x14ac:dyDescent="0.2">
      <c r="A79" s="6" t="s">
        <v>49</v>
      </c>
      <c r="B79" s="8">
        <f>(B70/(B64+1))*B69</f>
        <v>9.7683626192277637E-3</v>
      </c>
      <c r="C79" s="8" t="s">
        <v>77</v>
      </c>
      <c r="D79" s="8" t="s">
        <v>77</v>
      </c>
      <c r="E79" s="8" t="s">
        <v>77</v>
      </c>
      <c r="F79" s="8" t="s">
        <v>77</v>
      </c>
      <c r="G79" s="8" t="s">
        <v>77</v>
      </c>
    </row>
    <row r="80" spans="1:19" ht="15" customHeight="1" x14ac:dyDescent="0.2">
      <c r="A80" s="6" t="s">
        <v>172</v>
      </c>
      <c r="B80" s="8">
        <f>SUM(B73:B79)</f>
        <v>1.0000000000000002</v>
      </c>
      <c r="C80" s="8" t="s">
        <v>77</v>
      </c>
      <c r="D80" s="17" t="s">
        <v>176</v>
      </c>
      <c r="E80" s="8" t="s">
        <v>77</v>
      </c>
      <c r="F80" s="8" t="s">
        <v>77</v>
      </c>
      <c r="G80" s="8" t="s">
        <v>77</v>
      </c>
      <c r="J80" s="2" t="s">
        <v>9</v>
      </c>
      <c r="K80" s="2" t="s">
        <v>39</v>
      </c>
      <c r="L80" s="2" t="s">
        <v>177</v>
      </c>
      <c r="M80" s="3" t="s">
        <v>10</v>
      </c>
      <c r="N80" s="3" t="s">
        <v>11</v>
      </c>
      <c r="O80" s="3" t="s">
        <v>12</v>
      </c>
      <c r="P80" s="3" t="s">
        <v>13</v>
      </c>
      <c r="Q80" s="3" t="s">
        <v>14</v>
      </c>
      <c r="R80" s="3" t="s">
        <v>15</v>
      </c>
      <c r="S80" s="3" t="s">
        <v>16</v>
      </c>
    </row>
    <row r="81" spans="1:19" ht="15" customHeight="1" x14ac:dyDescent="0.2">
      <c r="A81" s="8" t="s">
        <v>77</v>
      </c>
      <c r="B81" s="8" t="s">
        <v>77</v>
      </c>
      <c r="C81" s="8" t="s">
        <v>77</v>
      </c>
      <c r="D81" s="8" t="s">
        <v>77</v>
      </c>
      <c r="E81" s="8" t="s">
        <v>77</v>
      </c>
      <c r="F81" s="8" t="s">
        <v>77</v>
      </c>
      <c r="G81" s="8" t="s">
        <v>77</v>
      </c>
      <c r="J81" s="4" t="s">
        <v>17</v>
      </c>
      <c r="K81" s="4" t="s">
        <v>178</v>
      </c>
      <c r="L81" s="4" t="s">
        <v>179</v>
      </c>
      <c r="M81" s="4" t="s">
        <v>18</v>
      </c>
      <c r="N81" s="4" t="s">
        <v>19</v>
      </c>
      <c r="O81" s="4" t="s">
        <v>20</v>
      </c>
      <c r="P81" s="4" t="s">
        <v>21</v>
      </c>
      <c r="Q81" s="4" t="s">
        <v>22</v>
      </c>
      <c r="R81" s="4" t="s">
        <v>23</v>
      </c>
      <c r="S81" s="4" t="s">
        <v>24</v>
      </c>
    </row>
    <row r="82" spans="1:19" ht="15" customHeight="1" x14ac:dyDescent="0.2">
      <c r="A82" s="27" t="s">
        <v>180</v>
      </c>
      <c r="B82" s="10" t="s">
        <v>77</v>
      </c>
      <c r="C82" s="10" t="s">
        <v>77</v>
      </c>
      <c r="D82" s="8" t="s">
        <v>77</v>
      </c>
      <c r="E82" s="8" t="s">
        <v>77</v>
      </c>
      <c r="F82" s="8" t="s">
        <v>77</v>
      </c>
      <c r="G82" s="8" t="s">
        <v>77</v>
      </c>
      <c r="J82" s="5" t="s">
        <v>25</v>
      </c>
      <c r="K82" s="5">
        <v>28.013000000000002</v>
      </c>
      <c r="L82" s="5">
        <v>0</v>
      </c>
      <c r="M82" s="5">
        <v>3.8490000000000002</v>
      </c>
      <c r="N82" s="5">
        <v>-2.5630000000000002</v>
      </c>
      <c r="O82" s="5">
        <v>6.1150000000000002</v>
      </c>
      <c r="P82" s="5">
        <v>-5.3410000000000002</v>
      </c>
      <c r="Q82" s="5">
        <v>2.34</v>
      </c>
      <c r="R82" s="5">
        <v>-0.51480000000000004</v>
      </c>
      <c r="S82" s="5">
        <v>4.5249999999999999E-2</v>
      </c>
    </row>
    <row r="83" spans="1:19" ht="15" customHeight="1" x14ac:dyDescent="0.2">
      <c r="A83" s="21" t="s">
        <v>181</v>
      </c>
      <c r="B83" s="22">
        <v>10</v>
      </c>
      <c r="C83" s="23" t="s">
        <v>86</v>
      </c>
      <c r="D83" s="13" t="s">
        <v>77</v>
      </c>
      <c r="E83" s="8" t="s">
        <v>77</v>
      </c>
      <c r="F83" s="8" t="s">
        <v>77</v>
      </c>
      <c r="G83" s="8" t="s">
        <v>77</v>
      </c>
      <c r="J83" s="6" t="s">
        <v>26</v>
      </c>
      <c r="K83" s="6">
        <v>31.998999999999999</v>
      </c>
      <c r="L83" s="6">
        <v>0</v>
      </c>
      <c r="M83" s="6">
        <v>3.3090000000000002</v>
      </c>
      <c r="N83" s="6">
        <v>0.1012</v>
      </c>
      <c r="O83" s="6">
        <v>3.0070000000000001</v>
      </c>
      <c r="P83" s="6">
        <v>-3.8010000000000002</v>
      </c>
      <c r="Q83" s="6">
        <v>2.0409999999999999</v>
      </c>
      <c r="R83" s="6">
        <v>-0.51290000000000002</v>
      </c>
      <c r="S83" s="6">
        <v>4.9500000000000002E-2</v>
      </c>
    </row>
    <row r="84" spans="1:19" ht="15" customHeight="1" x14ac:dyDescent="0.2">
      <c r="A84" s="16" t="s">
        <v>182</v>
      </c>
      <c r="B84" s="19">
        <f>(O91*Q91)+(O92*Q92)</f>
        <v>418.6</v>
      </c>
      <c r="C84" s="16" t="s">
        <v>183</v>
      </c>
      <c r="D84" s="17" t="s">
        <v>184</v>
      </c>
      <c r="E84" s="8" t="s">
        <v>77</v>
      </c>
      <c r="F84" s="8" t="s">
        <v>77</v>
      </c>
      <c r="G84" s="8" t="s">
        <v>77</v>
      </c>
      <c r="J84" s="6" t="s">
        <v>175</v>
      </c>
      <c r="K84" s="6">
        <v>18.015499999999999</v>
      </c>
      <c r="L84" s="6">
        <v>-241820</v>
      </c>
      <c r="M84" s="6">
        <v>4.008</v>
      </c>
      <c r="N84" s="6">
        <v>-0.65980000000000005</v>
      </c>
      <c r="O84" s="6">
        <v>3.0510000000000002</v>
      </c>
      <c r="P84" s="6">
        <v>-1.8939999999999999</v>
      </c>
      <c r="Q84" s="6">
        <v>0.51139999999999997</v>
      </c>
      <c r="R84" s="6">
        <v>-5.8880000000000002E-2</v>
      </c>
      <c r="S84" s="6">
        <v>1.6819999999999999E-3</v>
      </c>
    </row>
    <row r="85" spans="1:19" ht="15" customHeight="1" x14ac:dyDescent="0.2">
      <c r="A85" s="54" t="s">
        <v>185</v>
      </c>
      <c r="B85" s="58">
        <v>-195.066</v>
      </c>
      <c r="C85" s="54" t="s">
        <v>183</v>
      </c>
      <c r="D85" s="55" t="s">
        <v>77</v>
      </c>
      <c r="E85" s="8" t="s">
        <v>77</v>
      </c>
      <c r="F85" s="8" t="s">
        <v>77</v>
      </c>
      <c r="G85" s="8" t="s">
        <v>77</v>
      </c>
      <c r="J85" s="6" t="s">
        <v>46</v>
      </c>
      <c r="K85" s="6">
        <v>2.016</v>
      </c>
      <c r="L85" s="6">
        <v>0</v>
      </c>
      <c r="M85" s="6">
        <v>3.2309999999999999</v>
      </c>
      <c r="N85" s="6">
        <v>1.5469999999999999</v>
      </c>
      <c r="O85" s="6">
        <v>-3.4049999999999998</v>
      </c>
      <c r="P85" s="6">
        <v>3.7679999999999998</v>
      </c>
      <c r="Q85" s="6">
        <v>-1.94</v>
      </c>
      <c r="R85" s="6">
        <v>0.47499999999999998</v>
      </c>
      <c r="S85" s="6">
        <v>-4.496E-2</v>
      </c>
    </row>
    <row r="86" spans="1:19" ht="15" customHeight="1" x14ac:dyDescent="0.2">
      <c r="A86" s="54" t="s">
        <v>186</v>
      </c>
      <c r="B86" s="55">
        <f>B85-(B84/B83)</f>
        <v>-236.92599999999999</v>
      </c>
      <c r="C86" s="54" t="s">
        <v>183</v>
      </c>
      <c r="D86" s="54" t="s">
        <v>187</v>
      </c>
      <c r="E86" s="8" t="s">
        <v>77</v>
      </c>
      <c r="F86" s="8" t="s">
        <v>77</v>
      </c>
      <c r="G86" s="8" t="s">
        <v>77</v>
      </c>
      <c r="J86" s="6" t="s">
        <v>47</v>
      </c>
      <c r="K86" s="6">
        <v>44.01</v>
      </c>
      <c r="L86" s="6">
        <v>-393520</v>
      </c>
      <c r="M86" s="6">
        <v>2.3370000000000002</v>
      </c>
      <c r="N86" s="6">
        <v>9.4</v>
      </c>
      <c r="O86" s="6">
        <v>-8.7420000000000009</v>
      </c>
      <c r="P86" s="6">
        <v>4.9470000000000001</v>
      </c>
      <c r="Q86" s="6">
        <v>-1.694</v>
      </c>
      <c r="R86" s="6">
        <v>0.32150000000000001</v>
      </c>
      <c r="S86" s="6">
        <v>-2.581E-2</v>
      </c>
    </row>
    <row r="87" spans="1:19" ht="15" customHeight="1" x14ac:dyDescent="0.2">
      <c r="A87" s="54" t="s">
        <v>188</v>
      </c>
      <c r="B87" s="55">
        <f>B56</f>
        <v>100</v>
      </c>
      <c r="C87" s="54" t="s">
        <v>155</v>
      </c>
      <c r="D87" s="54" t="s">
        <v>189</v>
      </c>
      <c r="E87" s="8" t="s">
        <v>77</v>
      </c>
      <c r="F87" s="8" t="s">
        <v>77</v>
      </c>
      <c r="G87" s="8" t="s">
        <v>77</v>
      </c>
      <c r="J87" s="6" t="s">
        <v>48</v>
      </c>
      <c r="K87" s="6">
        <v>28.0105</v>
      </c>
      <c r="L87" s="6">
        <v>-110530</v>
      </c>
      <c r="M87" s="6">
        <v>3.78</v>
      </c>
      <c r="N87" s="6">
        <v>-2.3199999999999998</v>
      </c>
      <c r="O87" s="6">
        <v>6.1020000000000003</v>
      </c>
      <c r="P87" s="6">
        <v>-5.58</v>
      </c>
      <c r="Q87" s="6">
        <v>2.524</v>
      </c>
      <c r="R87" s="6">
        <v>-0.56820000000000004</v>
      </c>
      <c r="S87" s="6">
        <v>5.0840000000000003E-2</v>
      </c>
    </row>
    <row r="88" spans="1:19" ht="15" customHeight="1" thickBot="1" x14ac:dyDescent="0.25">
      <c r="A88" s="54" t="s">
        <v>190</v>
      </c>
      <c r="B88" s="14">
        <v>256.93982299999999</v>
      </c>
      <c r="C88" s="54" t="s">
        <v>153</v>
      </c>
      <c r="D88" s="54" t="s">
        <v>191</v>
      </c>
      <c r="E88" s="8" t="s">
        <v>77</v>
      </c>
      <c r="F88" s="8" t="s">
        <v>77</v>
      </c>
      <c r="G88" s="8" t="s">
        <v>77</v>
      </c>
      <c r="J88" s="4" t="s">
        <v>49</v>
      </c>
      <c r="K88" s="4">
        <v>39.948</v>
      </c>
      <c r="L88" s="4">
        <v>0</v>
      </c>
      <c r="M88" s="4">
        <v>2.5</v>
      </c>
      <c r="N88" s="4">
        <v>0</v>
      </c>
      <c r="O88" s="4">
        <v>0</v>
      </c>
      <c r="P88" s="4">
        <v>0</v>
      </c>
      <c r="Q88" s="4">
        <v>0</v>
      </c>
      <c r="R88" s="4">
        <v>0</v>
      </c>
      <c r="S88" s="4">
        <v>0</v>
      </c>
    </row>
    <row r="89" spans="1:19" ht="15" customHeight="1" thickTop="1" x14ac:dyDescent="0.2">
      <c r="A89" s="54" t="s">
        <v>192</v>
      </c>
      <c r="B89" s="58">
        <v>-311.322</v>
      </c>
      <c r="C89" s="54" t="s">
        <v>183</v>
      </c>
      <c r="D89" s="55" t="s">
        <v>77</v>
      </c>
      <c r="E89" s="8" t="s">
        <v>77</v>
      </c>
      <c r="F89" s="8" t="s">
        <v>77</v>
      </c>
      <c r="G89" s="8" t="s">
        <v>77</v>
      </c>
      <c r="J89" s="2" t="s">
        <v>193</v>
      </c>
      <c r="K89" s="2" t="s">
        <v>39</v>
      </c>
      <c r="L89" s="2" t="s">
        <v>194</v>
      </c>
      <c r="M89" s="2" t="s">
        <v>164</v>
      </c>
      <c r="N89" s="2" t="s">
        <v>40</v>
      </c>
      <c r="O89" s="2" t="s">
        <v>195</v>
      </c>
      <c r="P89" s="3" t="s">
        <v>196</v>
      </c>
      <c r="Q89" s="2" t="s">
        <v>197</v>
      </c>
      <c r="R89" s="2" t="s">
        <v>198</v>
      </c>
      <c r="S89" s="2" t="s">
        <v>199</v>
      </c>
    </row>
    <row r="90" spans="1:19" ht="15" customHeight="1" thickBot="1" x14ac:dyDescent="0.25">
      <c r="A90" s="54" t="s">
        <v>200</v>
      </c>
      <c r="B90" s="58">
        <v>0.74395500000000003</v>
      </c>
      <c r="C90" s="54" t="s">
        <v>201</v>
      </c>
      <c r="D90" s="55" t="s">
        <v>77</v>
      </c>
      <c r="E90" s="8" t="s">
        <v>77</v>
      </c>
      <c r="F90" s="8" t="s">
        <v>77</v>
      </c>
      <c r="G90" s="8" t="s">
        <v>77</v>
      </c>
      <c r="J90" s="4" t="s">
        <v>17</v>
      </c>
      <c r="K90" s="4" t="s">
        <v>178</v>
      </c>
      <c r="L90" s="4" t="s">
        <v>202</v>
      </c>
      <c r="M90" s="4" t="s">
        <v>157</v>
      </c>
      <c r="N90" s="4" t="s">
        <v>203</v>
      </c>
      <c r="O90" s="4" t="s">
        <v>157</v>
      </c>
      <c r="P90" s="4" t="s">
        <v>204</v>
      </c>
      <c r="Q90" s="4" t="s">
        <v>183</v>
      </c>
      <c r="R90" s="4" t="s">
        <v>205</v>
      </c>
      <c r="S90" s="4" t="s">
        <v>183</v>
      </c>
    </row>
    <row r="91" spans="1:19" ht="15" customHeight="1" thickTop="1" x14ac:dyDescent="0.2">
      <c r="A91" s="8" t="s">
        <v>77</v>
      </c>
      <c r="B91" s="8" t="s">
        <v>77</v>
      </c>
      <c r="C91" s="8" t="s">
        <v>77</v>
      </c>
      <c r="D91" s="8" t="s">
        <v>77</v>
      </c>
      <c r="E91" s="8" t="s">
        <v>77</v>
      </c>
      <c r="F91" s="8" t="s">
        <v>77</v>
      </c>
      <c r="G91" s="8" t="s">
        <v>77</v>
      </c>
      <c r="J91" s="5" t="s">
        <v>206</v>
      </c>
      <c r="K91" s="38">
        <v>44.0535</v>
      </c>
      <c r="L91" s="38">
        <v>-235310</v>
      </c>
      <c r="M91" s="39">
        <f>K98/(K99+K98)</f>
        <v>0.22367139306088443</v>
      </c>
      <c r="N91" s="39">
        <f>K95/K91</f>
        <v>0.18873574176853145</v>
      </c>
      <c r="O91" s="38">
        <v>0.1</v>
      </c>
      <c r="P91" s="38">
        <v>0.79</v>
      </c>
      <c r="Q91" s="38">
        <v>919</v>
      </c>
      <c r="R91" s="38">
        <v>1.6</v>
      </c>
      <c r="S91" s="38">
        <v>26810</v>
      </c>
    </row>
    <row r="92" spans="1:19" ht="15" customHeight="1" x14ac:dyDescent="0.2">
      <c r="A92" s="17" t="s">
        <v>207</v>
      </c>
      <c r="B92" s="8">
        <f>B56</f>
        <v>100</v>
      </c>
      <c r="C92" s="17" t="s">
        <v>155</v>
      </c>
      <c r="D92" s="17" t="s">
        <v>208</v>
      </c>
      <c r="E92" s="8" t="s">
        <v>77</v>
      </c>
      <c r="F92" s="8" t="s">
        <v>77</v>
      </c>
      <c r="G92" s="8" t="s">
        <v>77</v>
      </c>
      <c r="J92" s="4" t="s">
        <v>209</v>
      </c>
      <c r="K92" s="40">
        <v>114.232</v>
      </c>
      <c r="L92" s="40">
        <v>-208450</v>
      </c>
      <c r="M92" s="41">
        <f>1-M91</f>
        <v>0.77632860693911554</v>
      </c>
      <c r="N92" s="41">
        <f>K95/K92</f>
        <v>7.2785821836263045E-2</v>
      </c>
      <c r="O92" s="40">
        <v>0.9</v>
      </c>
      <c r="P92" s="40">
        <v>0.70299999999999996</v>
      </c>
      <c r="Q92" s="40">
        <v>363</v>
      </c>
      <c r="R92" s="40">
        <v>0.7</v>
      </c>
      <c r="S92" s="40">
        <v>44430</v>
      </c>
    </row>
    <row r="93" spans="1:19" ht="15" customHeight="1" x14ac:dyDescent="0.2">
      <c r="A93" s="17" t="s">
        <v>210</v>
      </c>
      <c r="B93" s="8">
        <v>298.14999999999998</v>
      </c>
      <c r="C93" s="17" t="s">
        <v>153</v>
      </c>
      <c r="D93" s="17" t="s">
        <v>211</v>
      </c>
      <c r="E93" s="8" t="s">
        <v>77</v>
      </c>
      <c r="F93" s="8" t="s">
        <v>77</v>
      </c>
      <c r="G93" s="8" t="s">
        <v>77</v>
      </c>
      <c r="J93" s="42" t="s">
        <v>212</v>
      </c>
      <c r="K93" s="43" t="s">
        <v>77</v>
      </c>
      <c r="L93" s="43" t="s">
        <v>77</v>
      </c>
      <c r="M93" s="43" t="s">
        <v>77</v>
      </c>
      <c r="N93" s="44" t="s">
        <v>77</v>
      </c>
      <c r="O93" s="45" t="s">
        <v>77</v>
      </c>
      <c r="P93" s="45" t="s">
        <v>77</v>
      </c>
      <c r="Q93" s="45" t="s">
        <v>77</v>
      </c>
      <c r="R93" s="45" t="s">
        <v>77</v>
      </c>
      <c r="S93" s="45" t="s">
        <v>77</v>
      </c>
    </row>
    <row r="94" spans="1:19" ht="15" customHeight="1" x14ac:dyDescent="0.2">
      <c r="A94" s="17" t="s">
        <v>213</v>
      </c>
      <c r="B94" s="8">
        <f>K101*B93/B92</f>
        <v>0.25158139643262412</v>
      </c>
      <c r="C94" s="17" t="s">
        <v>201</v>
      </c>
      <c r="D94" s="17" t="s">
        <v>214</v>
      </c>
      <c r="E94" s="8" t="s">
        <v>77</v>
      </c>
      <c r="F94" s="8" t="s">
        <v>77</v>
      </c>
      <c r="G94" s="8" t="s">
        <v>77</v>
      </c>
      <c r="J94" s="46" t="s">
        <v>77</v>
      </c>
      <c r="K94" s="47" t="s">
        <v>215</v>
      </c>
      <c r="L94" s="48" t="s">
        <v>77</v>
      </c>
      <c r="M94" s="39" t="s">
        <v>77</v>
      </c>
      <c r="N94" s="46" t="s">
        <v>77</v>
      </c>
      <c r="O94" s="49" t="s">
        <v>216</v>
      </c>
      <c r="P94" s="48" t="s">
        <v>77</v>
      </c>
      <c r="Q94" s="39" t="s">
        <v>77</v>
      </c>
      <c r="R94" s="39" t="s">
        <v>77</v>
      </c>
      <c r="S94" s="39" t="s">
        <v>77</v>
      </c>
    </row>
    <row r="95" spans="1:19" ht="15" customHeight="1" x14ac:dyDescent="0.2">
      <c r="A95" s="17" t="s">
        <v>217</v>
      </c>
      <c r="B95" s="8">
        <f>(SUMPRODUCT(M91:M92,L91:L92)/K100)+SUMPRODUCT(O91:O92,R91:R92)*0</f>
        <v>-2176.4616199405905</v>
      </c>
      <c r="C95" s="17" t="s">
        <v>183</v>
      </c>
      <c r="D95" s="17" t="s">
        <v>218</v>
      </c>
      <c r="E95" s="8" t="s">
        <v>77</v>
      </c>
      <c r="F95" s="8" t="s">
        <v>77</v>
      </c>
      <c r="G95" s="8" t="s">
        <v>77</v>
      </c>
      <c r="J95" s="6" t="s">
        <v>219</v>
      </c>
      <c r="K95" s="16">
        <v>8.31447</v>
      </c>
      <c r="L95" s="17" t="s">
        <v>220</v>
      </c>
      <c r="M95" s="8" t="s">
        <v>77</v>
      </c>
      <c r="N95" s="8" t="s">
        <v>77</v>
      </c>
      <c r="O95" s="19" t="s">
        <v>77</v>
      </c>
      <c r="P95" s="8" t="s">
        <v>77</v>
      </c>
      <c r="Q95" s="8" t="s">
        <v>77</v>
      </c>
      <c r="R95" s="8" t="s">
        <v>77</v>
      </c>
      <c r="S95" s="8" t="s">
        <v>77</v>
      </c>
    </row>
    <row r="96" spans="1:19" ht="15" customHeight="1" x14ac:dyDescent="0.2">
      <c r="A96" s="17" t="s">
        <v>221</v>
      </c>
      <c r="B96" s="8">
        <f>B95-K101*B93</f>
        <v>-2201.619759583853</v>
      </c>
      <c r="C96" s="17" t="s">
        <v>183</v>
      </c>
      <c r="D96" s="17" t="s">
        <v>222</v>
      </c>
      <c r="E96" s="8" t="s">
        <v>77</v>
      </c>
      <c r="F96" s="8" t="s">
        <v>77</v>
      </c>
      <c r="G96" s="8" t="s">
        <v>77</v>
      </c>
      <c r="J96" s="6" t="s">
        <v>8</v>
      </c>
      <c r="K96" s="17">
        <v>9.8066499999999994</v>
      </c>
      <c r="L96" s="17" t="s">
        <v>223</v>
      </c>
      <c r="M96" s="8" t="s">
        <v>77</v>
      </c>
      <c r="N96" s="8" t="s">
        <v>77</v>
      </c>
      <c r="O96" s="8" t="s">
        <v>77</v>
      </c>
      <c r="P96" s="8" t="s">
        <v>77</v>
      </c>
      <c r="Q96" s="8" t="s">
        <v>77</v>
      </c>
      <c r="R96" s="8" t="s">
        <v>77</v>
      </c>
      <c r="S96" s="8" t="s">
        <v>77</v>
      </c>
    </row>
    <row r="97" spans="1:14" ht="15" customHeight="1" x14ac:dyDescent="0.2">
      <c r="A97" s="8" t="s">
        <v>77</v>
      </c>
      <c r="B97" s="8" t="s">
        <v>77</v>
      </c>
      <c r="C97" s="8" t="s">
        <v>77</v>
      </c>
      <c r="D97" s="8" t="s">
        <v>77</v>
      </c>
      <c r="E97" s="8" t="s">
        <v>77</v>
      </c>
      <c r="F97" s="8" t="s">
        <v>77</v>
      </c>
      <c r="G97" s="8" t="s">
        <v>77</v>
      </c>
    </row>
    <row r="98" spans="1:14" ht="15" customHeight="1" x14ac:dyDescent="0.2">
      <c r="A98" s="24" t="s">
        <v>224</v>
      </c>
      <c r="B98" s="8" t="s">
        <v>77</v>
      </c>
      <c r="C98" s="8" t="s">
        <v>77</v>
      </c>
      <c r="D98" s="8" t="s">
        <v>77</v>
      </c>
      <c r="E98" s="8" t="s">
        <v>77</v>
      </c>
      <c r="F98" s="8" t="s">
        <v>77</v>
      </c>
      <c r="G98" s="8" t="s">
        <v>77</v>
      </c>
      <c r="H98" s="52"/>
      <c r="J98" s="51" t="s">
        <v>520</v>
      </c>
      <c r="K98">
        <f>(O91/K91)</f>
        <v>2.2699671989739748E-3</v>
      </c>
      <c r="M98" s="53" t="s">
        <v>525</v>
      </c>
      <c r="N98">
        <v>28.8431</v>
      </c>
    </row>
    <row r="99" spans="1:14" ht="15" customHeight="1" x14ac:dyDescent="0.2">
      <c r="A99" s="17" t="s">
        <v>225</v>
      </c>
      <c r="B99" s="8">
        <f>(B83/(B83+1))*B90+1/(B83+1)*B94</f>
        <v>0.69919376331205674</v>
      </c>
      <c r="C99" s="17" t="s">
        <v>201</v>
      </c>
      <c r="D99" s="17" t="s">
        <v>226</v>
      </c>
      <c r="E99" s="8" t="s">
        <v>77</v>
      </c>
      <c r="F99" s="8" t="s">
        <v>77</v>
      </c>
      <c r="G99" s="8" t="s">
        <v>77</v>
      </c>
      <c r="J99" s="51" t="s">
        <v>521</v>
      </c>
      <c r="K99">
        <f>(O92/K92)</f>
        <v>7.8787029904054916E-3</v>
      </c>
    </row>
    <row r="100" spans="1:14" ht="15" customHeight="1" x14ac:dyDescent="0.2">
      <c r="A100" s="17" t="s">
        <v>227</v>
      </c>
      <c r="B100" s="8">
        <f>1/B99</f>
        <v>1.4302187068474903</v>
      </c>
      <c r="C100" s="17" t="s">
        <v>201</v>
      </c>
      <c r="D100" s="17" t="s">
        <v>228</v>
      </c>
      <c r="E100" s="8" t="s">
        <v>77</v>
      </c>
      <c r="F100" s="8" t="s">
        <v>77</v>
      </c>
      <c r="G100" s="8" t="s">
        <v>77</v>
      </c>
      <c r="J100" s="51" t="s">
        <v>522</v>
      </c>
      <c r="K100">
        <f>SUMPRODUCT(M91:M92,K91:K92)</f>
        <v>98.535077142076716</v>
      </c>
    </row>
    <row r="101" spans="1:14" ht="15" customHeight="1" x14ac:dyDescent="0.2">
      <c r="A101" s="17" t="s">
        <v>229</v>
      </c>
      <c r="B101" s="7">
        <f>(B44/2)/((PI()/4)*(B16^2))</f>
        <v>15.929850991839716</v>
      </c>
      <c r="C101" s="17" t="s">
        <v>121</v>
      </c>
      <c r="D101" s="17" t="s">
        <v>230</v>
      </c>
      <c r="E101" s="8" t="s">
        <v>77</v>
      </c>
      <c r="F101" s="8" t="s">
        <v>524</v>
      </c>
      <c r="G101" s="8">
        <f>(B44/2)/((PI()/4)*(B16^2))</f>
        <v>15.929850991839716</v>
      </c>
      <c r="J101" s="51" t="s">
        <v>40</v>
      </c>
      <c r="K101">
        <f>(K95/K100)</f>
        <v>8.4380813829489892E-2</v>
      </c>
    </row>
    <row r="102" spans="1:14" ht="15" customHeight="1" x14ac:dyDescent="0.2">
      <c r="A102" s="17" t="s">
        <v>231</v>
      </c>
      <c r="B102" s="7">
        <v>217.04612726212099</v>
      </c>
      <c r="C102" s="17" t="s">
        <v>232</v>
      </c>
      <c r="D102" s="8" t="s">
        <v>77</v>
      </c>
      <c r="E102" s="8"/>
      <c r="F102" s="8" t="s">
        <v>77</v>
      </c>
      <c r="G102" s="8"/>
      <c r="J102" s="51" t="s">
        <v>523</v>
      </c>
      <c r="K102">
        <f>(SUMPRODUCT(M91:M92,L91:L92)/K100)+SUMPRODUCT(O91:O92,R91:R92)*0</f>
        <v>-2176.4616199405905</v>
      </c>
    </row>
    <row r="103" spans="1:14" ht="15" customHeight="1" x14ac:dyDescent="0.2">
      <c r="A103" s="17" t="s">
        <v>233</v>
      </c>
      <c r="B103" s="7">
        <v>1.0852306363105999</v>
      </c>
      <c r="C103" s="17" t="s">
        <v>155</v>
      </c>
      <c r="D103" s="17" t="s">
        <v>234</v>
      </c>
      <c r="E103" s="8">
        <f>(B100*(B101^2)/2)*5/1000</f>
        <v>0.90733129333192164</v>
      </c>
      <c r="F103" s="8" t="s">
        <v>77</v>
      </c>
      <c r="G103" s="8"/>
    </row>
    <row r="104" spans="1:14" ht="15" customHeight="1" x14ac:dyDescent="0.2">
      <c r="A104" s="8" t="s">
        <v>77</v>
      </c>
      <c r="B104" s="8" t="s">
        <v>77</v>
      </c>
      <c r="C104" s="8" t="s">
        <v>77</v>
      </c>
      <c r="D104" s="8" t="s">
        <v>77</v>
      </c>
      <c r="E104" s="8" t="s">
        <v>77</v>
      </c>
      <c r="F104" s="8" t="s">
        <v>77</v>
      </c>
      <c r="G104" s="8" t="s">
        <v>77</v>
      </c>
    </row>
    <row r="105" spans="1:14" ht="15" customHeight="1" x14ac:dyDescent="0.2">
      <c r="A105" s="54" t="s">
        <v>235</v>
      </c>
      <c r="B105" s="55">
        <f>B87-E103</f>
        <v>99.092668706668078</v>
      </c>
      <c r="C105" s="54" t="s">
        <v>155</v>
      </c>
      <c r="D105" s="54" t="s">
        <v>236</v>
      </c>
      <c r="E105" s="8" t="s">
        <v>77</v>
      </c>
      <c r="F105" s="8" t="s">
        <v>77</v>
      </c>
      <c r="G105" s="8" t="s">
        <v>77</v>
      </c>
    </row>
    <row r="106" spans="1:14" ht="15" customHeight="1" x14ac:dyDescent="0.2">
      <c r="A106" s="54" t="s">
        <v>237</v>
      </c>
      <c r="B106" s="55">
        <f>B88</f>
        <v>256.93982299999999</v>
      </c>
      <c r="C106" s="54" t="s">
        <v>155</v>
      </c>
      <c r="D106" s="55" t="s">
        <v>77</v>
      </c>
      <c r="E106" s="8" t="s">
        <v>77</v>
      </c>
      <c r="F106" s="8" t="s">
        <v>77</v>
      </c>
      <c r="G106" s="8" t="s">
        <v>77</v>
      </c>
    </row>
    <row r="107" spans="1:14" ht="15" customHeight="1" x14ac:dyDescent="0.2">
      <c r="A107" s="54" t="s">
        <v>238</v>
      </c>
      <c r="B107" s="58">
        <v>0.75076699999999996</v>
      </c>
      <c r="C107" s="54" t="s">
        <v>201</v>
      </c>
      <c r="D107" s="55" t="s">
        <v>77</v>
      </c>
      <c r="E107" s="8" t="s">
        <v>77</v>
      </c>
      <c r="F107" s="8" t="s">
        <v>77</v>
      </c>
      <c r="G107" s="8" t="s">
        <v>77</v>
      </c>
    </row>
    <row r="108" spans="1:14" ht="15" customHeight="1" x14ac:dyDescent="0.2">
      <c r="A108" s="54" t="s">
        <v>239</v>
      </c>
      <c r="B108" s="58">
        <v>-311.322</v>
      </c>
      <c r="C108" s="54" t="s">
        <v>183</v>
      </c>
      <c r="D108" s="55" t="s">
        <v>77</v>
      </c>
      <c r="E108" s="8" t="s">
        <v>528</v>
      </c>
      <c r="F108" s="58">
        <v>4.5588410000000001</v>
      </c>
      <c r="G108" s="8" t="s">
        <v>77</v>
      </c>
    </row>
    <row r="109" spans="1:14" ht="15" customHeight="1" x14ac:dyDescent="0.2">
      <c r="A109" s="8" t="s">
        <v>77</v>
      </c>
      <c r="B109" s="8" t="s">
        <v>77</v>
      </c>
      <c r="C109" s="8" t="s">
        <v>77</v>
      </c>
      <c r="D109" s="8" t="s">
        <v>77</v>
      </c>
      <c r="E109" s="8" t="s">
        <v>77</v>
      </c>
      <c r="F109" s="8" t="s">
        <v>77</v>
      </c>
      <c r="G109" s="8" t="s">
        <v>77</v>
      </c>
    </row>
    <row r="110" spans="1:14" ht="15" customHeight="1" x14ac:dyDescent="0.2">
      <c r="A110" s="17" t="s">
        <v>240</v>
      </c>
      <c r="B110" s="8">
        <f>B92-E103</f>
        <v>99.092668706668078</v>
      </c>
      <c r="C110" s="17" t="s">
        <v>155</v>
      </c>
      <c r="D110" s="17" t="s">
        <v>241</v>
      </c>
      <c r="E110" s="8" t="s">
        <v>77</v>
      </c>
      <c r="F110" s="8" t="s">
        <v>77</v>
      </c>
      <c r="G110" s="8" t="s">
        <v>77</v>
      </c>
    </row>
    <row r="111" spans="1:14" ht="15" customHeight="1" x14ac:dyDescent="0.2">
      <c r="A111" s="17" t="s">
        <v>242</v>
      </c>
      <c r="B111" s="8">
        <f>B93</f>
        <v>298.14999999999998</v>
      </c>
      <c r="C111" s="17" t="s">
        <v>153</v>
      </c>
      <c r="D111" s="8" t="s">
        <v>77</v>
      </c>
      <c r="E111" s="8" t="s">
        <v>77</v>
      </c>
      <c r="F111" s="8" t="s">
        <v>77</v>
      </c>
      <c r="G111" s="8" t="s">
        <v>77</v>
      </c>
    </row>
    <row r="112" spans="1:14" ht="15" customHeight="1" x14ac:dyDescent="0.2">
      <c r="A112" s="17" t="s">
        <v>243</v>
      </c>
      <c r="B112" s="8">
        <f>K101*B111/B110</f>
        <v>0.25388497425309009</v>
      </c>
      <c r="C112" s="17" t="s">
        <v>201</v>
      </c>
      <c r="D112" s="8" t="s">
        <v>77</v>
      </c>
      <c r="E112" s="8" t="s">
        <v>77</v>
      </c>
      <c r="F112" s="8" t="s">
        <v>77</v>
      </c>
      <c r="G112" s="8" t="s">
        <v>77</v>
      </c>
    </row>
    <row r="113" spans="1:7" ht="15" customHeight="1" x14ac:dyDescent="0.2">
      <c r="A113" s="17" t="s">
        <v>244</v>
      </c>
      <c r="B113" s="8">
        <f>B96</f>
        <v>-2201.619759583853</v>
      </c>
      <c r="C113" s="17" t="s">
        <v>183</v>
      </c>
      <c r="D113" s="8" t="s">
        <v>77</v>
      </c>
      <c r="E113" s="8" t="s">
        <v>77</v>
      </c>
      <c r="F113" s="8" t="s">
        <v>77</v>
      </c>
      <c r="G113" s="8" t="s">
        <v>77</v>
      </c>
    </row>
    <row r="114" spans="1:7" ht="15" customHeight="1" x14ac:dyDescent="0.2">
      <c r="A114" s="8" t="s">
        <v>77</v>
      </c>
      <c r="B114" s="8" t="s">
        <v>77</v>
      </c>
      <c r="C114" s="8" t="s">
        <v>77</v>
      </c>
      <c r="D114" s="8" t="s">
        <v>77</v>
      </c>
      <c r="E114" s="8" t="s">
        <v>77</v>
      </c>
      <c r="F114" s="8" t="s">
        <v>77</v>
      </c>
      <c r="G114" s="8" t="s">
        <v>77</v>
      </c>
    </row>
    <row r="115" spans="1:7" ht="15" customHeight="1" x14ac:dyDescent="0.2">
      <c r="A115" s="9" t="s">
        <v>245</v>
      </c>
      <c r="B115" s="10" t="s">
        <v>77</v>
      </c>
      <c r="C115" s="10" t="s">
        <v>77</v>
      </c>
      <c r="D115" s="8" t="s">
        <v>77</v>
      </c>
      <c r="E115" s="8" t="s">
        <v>77</v>
      </c>
      <c r="F115" s="8" t="s">
        <v>77</v>
      </c>
      <c r="G115" s="8" t="s">
        <v>77</v>
      </c>
    </row>
    <row r="116" spans="1:7" ht="15" customHeight="1" x14ac:dyDescent="0.2">
      <c r="A116" s="11" t="s">
        <v>246</v>
      </c>
      <c r="B116" s="26" t="s">
        <v>77</v>
      </c>
      <c r="C116" s="26" t="s">
        <v>77</v>
      </c>
      <c r="D116" s="20" t="s">
        <v>247</v>
      </c>
      <c r="E116" s="8" t="s">
        <v>77</v>
      </c>
      <c r="F116" s="8" t="s">
        <v>77</v>
      </c>
      <c r="G116" s="8" t="s">
        <v>77</v>
      </c>
    </row>
    <row r="117" spans="1:7" ht="15" customHeight="1" x14ac:dyDescent="0.2">
      <c r="A117" s="11" t="s">
        <v>248</v>
      </c>
      <c r="B117" s="12">
        <v>700</v>
      </c>
      <c r="C117" s="12" t="s">
        <v>153</v>
      </c>
      <c r="D117" s="13" t="s">
        <v>77</v>
      </c>
      <c r="E117" s="8" t="s">
        <v>77</v>
      </c>
      <c r="F117" s="8" t="s">
        <v>77</v>
      </c>
      <c r="G117" s="8" t="s">
        <v>77</v>
      </c>
    </row>
    <row r="118" spans="1:7" ht="15" customHeight="1" x14ac:dyDescent="0.2">
      <c r="A118" s="11" t="s">
        <v>249</v>
      </c>
      <c r="B118" s="12">
        <v>105</v>
      </c>
      <c r="C118" s="12" t="s">
        <v>155</v>
      </c>
      <c r="D118" s="13" t="s">
        <v>77</v>
      </c>
      <c r="E118" s="8" t="s">
        <v>77</v>
      </c>
      <c r="F118" s="8" t="s">
        <v>77</v>
      </c>
      <c r="G118" s="8" t="s">
        <v>77</v>
      </c>
    </row>
    <row r="119" spans="1:7" ht="15" customHeight="1" x14ac:dyDescent="0.2">
      <c r="A119" s="11" t="s">
        <v>167</v>
      </c>
      <c r="B119" s="12">
        <v>0.7</v>
      </c>
      <c r="C119" s="26" t="s">
        <v>77</v>
      </c>
      <c r="D119" s="13" t="s">
        <v>77</v>
      </c>
      <c r="E119" s="8" t="s">
        <v>77</v>
      </c>
      <c r="F119" s="8" t="s">
        <v>77</v>
      </c>
      <c r="G119" s="8" t="s">
        <v>77</v>
      </c>
    </row>
    <row r="120" spans="1:7" ht="15" customHeight="1" x14ac:dyDescent="0.2">
      <c r="A120" s="11" t="s">
        <v>250</v>
      </c>
      <c r="B120" s="12">
        <v>0.15</v>
      </c>
      <c r="C120" s="26" t="s">
        <v>77</v>
      </c>
      <c r="D120" s="13" t="s">
        <v>77</v>
      </c>
      <c r="E120" s="8" t="s">
        <v>77</v>
      </c>
      <c r="F120" s="8" t="s">
        <v>77</v>
      </c>
      <c r="G120" s="8" t="s">
        <v>77</v>
      </c>
    </row>
    <row r="121" spans="1:7" ht="15" customHeight="1" x14ac:dyDescent="0.2">
      <c r="A121" s="11" t="s">
        <v>161</v>
      </c>
      <c r="B121" s="12">
        <v>0.15</v>
      </c>
      <c r="C121" s="26" t="s">
        <v>77</v>
      </c>
      <c r="D121" s="13" t="s">
        <v>77</v>
      </c>
      <c r="E121" s="8" t="s">
        <v>77</v>
      </c>
      <c r="F121" s="8" t="s">
        <v>77</v>
      </c>
      <c r="G121" s="8" t="s">
        <v>77</v>
      </c>
    </row>
    <row r="122" spans="1:7" ht="15" customHeight="1" x14ac:dyDescent="0.2">
      <c r="A122" s="16" t="s">
        <v>172</v>
      </c>
      <c r="B122" s="16">
        <v>1</v>
      </c>
      <c r="C122" s="19" t="s">
        <v>77</v>
      </c>
      <c r="D122" s="8" t="s">
        <v>77</v>
      </c>
      <c r="E122" s="8" t="s">
        <v>77</v>
      </c>
      <c r="F122" s="8" t="s">
        <v>77</v>
      </c>
      <c r="G122" s="8" t="s">
        <v>77</v>
      </c>
    </row>
    <row r="123" spans="1:7" ht="15" customHeight="1" x14ac:dyDescent="0.2">
      <c r="A123" s="8" t="s">
        <v>77</v>
      </c>
      <c r="B123" s="8" t="s">
        <v>77</v>
      </c>
      <c r="C123" s="8" t="s">
        <v>77</v>
      </c>
      <c r="D123" s="8" t="s">
        <v>77</v>
      </c>
      <c r="E123" s="8" t="s">
        <v>77</v>
      </c>
      <c r="F123" s="8" t="s">
        <v>77</v>
      </c>
      <c r="G123" s="8" t="s">
        <v>77</v>
      </c>
    </row>
    <row r="124" spans="1:7" ht="15" customHeight="1" x14ac:dyDescent="0.2">
      <c r="A124" s="17" t="s">
        <v>251</v>
      </c>
      <c r="B124" s="8">
        <v>1.9171290000000001</v>
      </c>
      <c r="C124" s="17" t="s">
        <v>201</v>
      </c>
      <c r="D124" s="17" t="s">
        <v>252</v>
      </c>
      <c r="E124" s="8" t="s">
        <v>77</v>
      </c>
      <c r="F124" s="8" t="s">
        <v>77</v>
      </c>
      <c r="G124" s="8" t="s">
        <v>77</v>
      </c>
    </row>
    <row r="125" spans="1:7" ht="15" customHeight="1" x14ac:dyDescent="0.2">
      <c r="A125" s="17" t="s">
        <v>253</v>
      </c>
      <c r="B125" s="8">
        <v>5.589016</v>
      </c>
      <c r="C125" s="17" t="s">
        <v>203</v>
      </c>
      <c r="D125" s="8" t="s">
        <v>77</v>
      </c>
      <c r="E125" s="8" t="s">
        <v>77</v>
      </c>
      <c r="F125" s="8" t="s">
        <v>77</v>
      </c>
      <c r="G125" s="8" t="s">
        <v>77</v>
      </c>
    </row>
    <row r="126" spans="1:7" ht="15" customHeight="1" x14ac:dyDescent="0.2">
      <c r="A126" s="17" t="s">
        <v>254</v>
      </c>
      <c r="B126" s="8">
        <f>B118*B11/(0.287569*B117)</f>
        <v>2.032236803685956E-5</v>
      </c>
      <c r="C126" s="17" t="s">
        <v>255</v>
      </c>
      <c r="D126" s="8" t="s">
        <v>77</v>
      </c>
      <c r="E126" s="8" t="s">
        <v>77</v>
      </c>
      <c r="F126" s="8" t="s">
        <v>77</v>
      </c>
      <c r="G126" s="8" t="s">
        <v>77</v>
      </c>
    </row>
    <row r="127" spans="1:7" ht="15" customHeight="1" x14ac:dyDescent="0.2">
      <c r="A127" s="8" t="s">
        <v>77</v>
      </c>
      <c r="B127" s="7">
        <v>2.0322345866162501E-2</v>
      </c>
      <c r="C127" s="17" t="s">
        <v>8</v>
      </c>
      <c r="D127" s="8" t="s">
        <v>77</v>
      </c>
      <c r="E127" s="8" t="s">
        <v>77</v>
      </c>
      <c r="F127" s="8" t="s">
        <v>77</v>
      </c>
      <c r="G127" s="8" t="s">
        <v>77</v>
      </c>
    </row>
    <row r="128" spans="1:7" ht="15" customHeight="1" x14ac:dyDescent="0.2">
      <c r="A128" s="8" t="s">
        <v>77</v>
      </c>
      <c r="B128" s="8" t="s">
        <v>77</v>
      </c>
      <c r="C128" s="8" t="s">
        <v>77</v>
      </c>
      <c r="D128" s="8" t="s">
        <v>77</v>
      </c>
      <c r="E128" s="8" t="s">
        <v>77</v>
      </c>
      <c r="F128" s="8" t="s">
        <v>77</v>
      </c>
      <c r="G128" s="8" t="s">
        <v>77</v>
      </c>
    </row>
    <row r="129" spans="1:7" ht="15" customHeight="1" x14ac:dyDescent="0.2">
      <c r="A129" s="17" t="s">
        <v>256</v>
      </c>
      <c r="B129" s="8">
        <f>B110</f>
        <v>99.092668706668078</v>
      </c>
      <c r="C129" s="17" t="s">
        <v>155</v>
      </c>
      <c r="D129" s="17" t="s">
        <v>257</v>
      </c>
      <c r="E129" s="8" t="s">
        <v>77</v>
      </c>
      <c r="F129" s="8" t="s">
        <v>77</v>
      </c>
      <c r="G129" s="8" t="s">
        <v>77</v>
      </c>
    </row>
    <row r="130" spans="1:7" ht="15" customHeight="1" x14ac:dyDescent="0.2">
      <c r="A130" s="17" t="s">
        <v>258</v>
      </c>
      <c r="B130" s="8">
        <f>B125</f>
        <v>5.589016</v>
      </c>
      <c r="C130" s="17" t="s">
        <v>203</v>
      </c>
      <c r="D130" s="8" t="s">
        <v>77</v>
      </c>
      <c r="E130" s="8" t="s">
        <v>77</v>
      </c>
      <c r="F130" s="8" t="s">
        <v>77</v>
      </c>
      <c r="G130" s="8" t="s">
        <v>77</v>
      </c>
    </row>
    <row r="131" spans="1:7" ht="15" customHeight="1" x14ac:dyDescent="0.2">
      <c r="A131" s="17" t="s">
        <v>259</v>
      </c>
      <c r="B131" s="8">
        <v>690.31518500000004</v>
      </c>
      <c r="C131" s="17" t="s">
        <v>153</v>
      </c>
      <c r="D131" s="17" t="s">
        <v>260</v>
      </c>
      <c r="E131" s="8" t="s">
        <v>77</v>
      </c>
      <c r="F131" s="8" t="s">
        <v>77</v>
      </c>
      <c r="G131" s="8" t="s">
        <v>77</v>
      </c>
    </row>
    <row r="132" spans="1:7" ht="15" customHeight="1" x14ac:dyDescent="0.2">
      <c r="A132" s="17" t="s">
        <v>261</v>
      </c>
      <c r="B132" s="58">
        <v>2.0033110000000001</v>
      </c>
      <c r="C132" s="17" t="s">
        <v>201</v>
      </c>
      <c r="D132" s="8" t="s">
        <v>77</v>
      </c>
      <c r="E132" s="8" t="s">
        <v>77</v>
      </c>
      <c r="F132" s="8" t="s">
        <v>77</v>
      </c>
      <c r="G132" s="8" t="s">
        <v>77</v>
      </c>
    </row>
    <row r="133" spans="1:7" ht="15" customHeight="1" x14ac:dyDescent="0.2">
      <c r="A133" s="17" t="s">
        <v>262</v>
      </c>
      <c r="B133" s="58">
        <v>-3051.34</v>
      </c>
      <c r="C133" s="17" t="s">
        <v>183</v>
      </c>
      <c r="D133" s="8" t="s">
        <v>77</v>
      </c>
      <c r="E133" s="8" t="s">
        <v>77</v>
      </c>
      <c r="F133" s="8" t="s">
        <v>77</v>
      </c>
      <c r="G133" s="8" t="s">
        <v>77</v>
      </c>
    </row>
    <row r="134" spans="1:7" ht="15" customHeight="1" x14ac:dyDescent="0.2">
      <c r="A134" s="17" t="s">
        <v>263</v>
      </c>
      <c r="B134" s="8">
        <f>B132*B126</f>
        <v>4.0712023434289163E-5</v>
      </c>
      <c r="C134" s="17" t="s">
        <v>91</v>
      </c>
      <c r="D134" s="8" t="s">
        <v>77</v>
      </c>
      <c r="E134" s="8" t="s">
        <v>77</v>
      </c>
      <c r="F134" s="8" t="s">
        <v>77</v>
      </c>
      <c r="G134" s="8" t="s">
        <v>77</v>
      </c>
    </row>
    <row r="135" spans="1:7" ht="15" customHeight="1" x14ac:dyDescent="0.2">
      <c r="A135" s="17" t="s">
        <v>264</v>
      </c>
      <c r="B135" s="8">
        <f>B132/B124</f>
        <v>1.0449536781301623</v>
      </c>
      <c r="C135" s="8" t="s">
        <v>77</v>
      </c>
      <c r="D135" s="8" t="s">
        <v>77</v>
      </c>
      <c r="E135" s="8" t="s">
        <v>77</v>
      </c>
      <c r="F135" s="8" t="s">
        <v>77</v>
      </c>
      <c r="G135" s="8" t="s">
        <v>77</v>
      </c>
    </row>
    <row r="136" spans="1:7" ht="15" customHeight="1" x14ac:dyDescent="0.2">
      <c r="A136" s="8" t="s">
        <v>77</v>
      </c>
      <c r="B136" s="8" t="s">
        <v>77</v>
      </c>
      <c r="C136" s="8" t="s">
        <v>77</v>
      </c>
      <c r="D136" s="8" t="s">
        <v>77</v>
      </c>
      <c r="E136" s="8" t="s">
        <v>77</v>
      </c>
      <c r="F136" s="8" t="s">
        <v>77</v>
      </c>
      <c r="G136" s="8" t="s">
        <v>77</v>
      </c>
    </row>
    <row r="137" spans="1:7" ht="15" customHeight="1" x14ac:dyDescent="0.2">
      <c r="A137" s="17" t="s">
        <v>265</v>
      </c>
      <c r="B137" s="8">
        <f>B12-B134</f>
        <v>3.2941323665184973E-4</v>
      </c>
      <c r="C137" s="17" t="s">
        <v>91</v>
      </c>
      <c r="D137" s="17" t="s">
        <v>266</v>
      </c>
      <c r="E137" s="8" t="s">
        <v>77</v>
      </c>
      <c r="F137" s="8" t="s">
        <v>77</v>
      </c>
      <c r="G137" s="8" t="s">
        <v>77</v>
      </c>
    </row>
    <row r="138" spans="1:7" ht="15" customHeight="1" x14ac:dyDescent="0.2">
      <c r="A138" s="8" t="s">
        <v>77</v>
      </c>
      <c r="B138" s="8" t="s">
        <v>77</v>
      </c>
      <c r="C138" s="8" t="s">
        <v>77</v>
      </c>
      <c r="D138" s="8" t="s">
        <v>77</v>
      </c>
      <c r="E138" s="8" t="s">
        <v>77</v>
      </c>
      <c r="F138" s="8" t="s">
        <v>77</v>
      </c>
      <c r="G138" s="8" t="s">
        <v>77</v>
      </c>
    </row>
    <row r="139" spans="1:7" ht="15" customHeight="1" x14ac:dyDescent="0.2">
      <c r="A139" s="17" t="s">
        <v>267</v>
      </c>
      <c r="B139" s="8">
        <f>B111</f>
        <v>298.14999999999998</v>
      </c>
      <c r="C139" s="17" t="s">
        <v>153</v>
      </c>
      <c r="D139" s="17" t="s">
        <v>268</v>
      </c>
      <c r="E139" s="8" t="s">
        <v>77</v>
      </c>
      <c r="F139" s="8" t="s">
        <v>77</v>
      </c>
      <c r="G139" s="8" t="s">
        <v>77</v>
      </c>
    </row>
    <row r="140" spans="1:7" ht="15" customHeight="1" x14ac:dyDescent="0.2">
      <c r="A140" s="17" t="s">
        <v>269</v>
      </c>
      <c r="B140" s="8">
        <f>B110</f>
        <v>99.092668706668078</v>
      </c>
      <c r="C140" s="17" t="s">
        <v>155</v>
      </c>
      <c r="D140" s="8" t="s">
        <v>77</v>
      </c>
      <c r="E140" s="8" t="s">
        <v>77</v>
      </c>
      <c r="F140" s="8" t="s">
        <v>77</v>
      </c>
      <c r="G140" s="8" t="s">
        <v>77</v>
      </c>
    </row>
    <row r="141" spans="1:7" ht="15" customHeight="1" x14ac:dyDescent="0.2">
      <c r="A141" s="17" t="s">
        <v>270</v>
      </c>
      <c r="B141" s="8">
        <f>B112</f>
        <v>0.25388497425309009</v>
      </c>
      <c r="C141" s="17" t="s">
        <v>201</v>
      </c>
      <c r="D141" s="8" t="s">
        <v>77</v>
      </c>
      <c r="E141" s="8" t="s">
        <v>77</v>
      </c>
      <c r="F141" s="8" t="s">
        <v>77</v>
      </c>
      <c r="G141" s="8" t="s">
        <v>77</v>
      </c>
    </row>
    <row r="142" spans="1:7" ht="15" customHeight="1" x14ac:dyDescent="0.2">
      <c r="A142" s="17" t="s">
        <v>271</v>
      </c>
      <c r="B142" s="8">
        <f>B113</f>
        <v>-2201.619759583853</v>
      </c>
      <c r="C142" s="17" t="s">
        <v>183</v>
      </c>
      <c r="D142" s="8" t="s">
        <v>77</v>
      </c>
      <c r="E142" s="8" t="s">
        <v>77</v>
      </c>
      <c r="F142" s="8" t="s">
        <v>77</v>
      </c>
      <c r="G142" s="8" t="s">
        <v>77</v>
      </c>
    </row>
    <row r="143" spans="1:7" ht="15" customHeight="1" x14ac:dyDescent="0.2">
      <c r="A143" s="8" t="s">
        <v>77</v>
      </c>
      <c r="B143" s="8" t="s">
        <v>77</v>
      </c>
      <c r="C143" s="8" t="s">
        <v>77</v>
      </c>
      <c r="D143" s="8" t="s">
        <v>77</v>
      </c>
      <c r="E143" s="8" t="s">
        <v>77</v>
      </c>
      <c r="F143" s="8" t="s">
        <v>77</v>
      </c>
      <c r="G143" s="8" t="s">
        <v>77</v>
      </c>
    </row>
    <row r="144" spans="1:7" ht="15" customHeight="1" x14ac:dyDescent="0.2">
      <c r="A144" s="17" t="s">
        <v>272</v>
      </c>
      <c r="B144" s="8">
        <f>B106</f>
        <v>256.93982299999999</v>
      </c>
      <c r="C144" s="17" t="s">
        <v>153</v>
      </c>
      <c r="D144" s="17" t="s">
        <v>273</v>
      </c>
      <c r="E144" s="8" t="s">
        <v>77</v>
      </c>
      <c r="F144" s="8" t="s">
        <v>77</v>
      </c>
      <c r="G144" s="8" t="s">
        <v>77</v>
      </c>
    </row>
    <row r="145" spans="1:7" ht="15" customHeight="1" x14ac:dyDescent="0.2">
      <c r="A145" s="17" t="s">
        <v>274</v>
      </c>
      <c r="B145" s="8">
        <f>B105</f>
        <v>99.092668706668078</v>
      </c>
      <c r="C145" s="17" t="s">
        <v>155</v>
      </c>
      <c r="D145" s="8" t="s">
        <v>77</v>
      </c>
      <c r="E145" s="8" t="s">
        <v>77</v>
      </c>
      <c r="F145" s="8" t="s">
        <v>77</v>
      </c>
      <c r="G145" s="8" t="s">
        <v>77</v>
      </c>
    </row>
    <row r="146" spans="1:7" ht="15" customHeight="1" x14ac:dyDescent="0.2">
      <c r="A146" s="17" t="s">
        <v>275</v>
      </c>
      <c r="B146" s="8">
        <f>B107</f>
        <v>0.75076699999999996</v>
      </c>
      <c r="C146" s="17" t="s">
        <v>201</v>
      </c>
      <c r="D146" s="8" t="s">
        <v>77</v>
      </c>
      <c r="E146" s="8" t="s">
        <v>77</v>
      </c>
      <c r="F146" s="8" t="s">
        <v>77</v>
      </c>
      <c r="G146" s="8" t="s">
        <v>77</v>
      </c>
    </row>
    <row r="147" spans="1:7" ht="15" customHeight="1" x14ac:dyDescent="0.2">
      <c r="A147" s="17" t="s">
        <v>276</v>
      </c>
      <c r="B147" s="8">
        <f>B108</f>
        <v>-311.322</v>
      </c>
      <c r="C147" s="17" t="s">
        <v>183</v>
      </c>
      <c r="D147" s="8" t="s">
        <v>77</v>
      </c>
      <c r="E147" s="8" t="s">
        <v>77</v>
      </c>
      <c r="F147" s="8" t="s">
        <v>77</v>
      </c>
      <c r="G147" s="8" t="s">
        <v>77</v>
      </c>
    </row>
    <row r="148" spans="1:7" ht="15" customHeight="1" x14ac:dyDescent="0.2">
      <c r="A148" s="8" t="s">
        <v>77</v>
      </c>
      <c r="B148" s="8" t="s">
        <v>77</v>
      </c>
      <c r="C148" s="8" t="s">
        <v>77</v>
      </c>
      <c r="D148" s="8" t="s">
        <v>77</v>
      </c>
      <c r="E148" s="8" t="s">
        <v>77</v>
      </c>
      <c r="F148" s="8" t="s">
        <v>77</v>
      </c>
      <c r="G148" s="8" t="s">
        <v>77</v>
      </c>
    </row>
    <row r="149" spans="1:7" ht="15" customHeight="1" x14ac:dyDescent="0.2">
      <c r="A149" s="17" t="s">
        <v>277</v>
      </c>
      <c r="B149" s="8">
        <f>B137/(B146+B141/B83)</f>
        <v>4.2441654764359876E-4</v>
      </c>
      <c r="C149" s="17" t="s">
        <v>255</v>
      </c>
      <c r="D149" s="17" t="s">
        <v>278</v>
      </c>
      <c r="E149" s="8" t="s">
        <v>77</v>
      </c>
      <c r="F149" s="8" t="s">
        <v>77</v>
      </c>
      <c r="G149" s="8" t="s">
        <v>77</v>
      </c>
    </row>
    <row r="150" spans="1:7" ht="15" customHeight="1" x14ac:dyDescent="0.2">
      <c r="A150" s="8" t="s">
        <v>77</v>
      </c>
      <c r="B150" s="7">
        <f>B149*1000</f>
        <v>0.42441654764359876</v>
      </c>
      <c r="C150" s="17" t="s">
        <v>8</v>
      </c>
      <c r="D150" s="8" t="s">
        <v>77</v>
      </c>
      <c r="E150" s="8" t="s">
        <v>77</v>
      </c>
      <c r="F150" s="8" t="s">
        <v>77</v>
      </c>
      <c r="G150" s="8" t="s">
        <v>77</v>
      </c>
    </row>
    <row r="151" spans="1:7" ht="15" customHeight="1" x14ac:dyDescent="0.2">
      <c r="A151" s="17" t="s">
        <v>279</v>
      </c>
      <c r="B151" s="8">
        <f>B149/B83</f>
        <v>4.2441654764359873E-5</v>
      </c>
      <c r="C151" s="17" t="s">
        <v>255</v>
      </c>
      <c r="D151" s="8" t="s">
        <v>77</v>
      </c>
      <c r="E151" s="8" t="s">
        <v>77</v>
      </c>
      <c r="F151" s="8" t="s">
        <v>77</v>
      </c>
      <c r="G151" s="8" t="s">
        <v>77</v>
      </c>
    </row>
    <row r="152" spans="1:7" ht="15" customHeight="1" x14ac:dyDescent="0.2">
      <c r="A152" s="8" t="s">
        <v>77</v>
      </c>
      <c r="B152" s="7">
        <f>B151*1000</f>
        <v>4.2441654764359876E-2</v>
      </c>
      <c r="C152" s="17" t="s">
        <v>8</v>
      </c>
      <c r="D152" s="8" t="s">
        <v>77</v>
      </c>
      <c r="E152" s="8" t="s">
        <v>77</v>
      </c>
      <c r="F152" s="8" t="s">
        <v>77</v>
      </c>
      <c r="G152" s="8" t="s">
        <v>77</v>
      </c>
    </row>
    <row r="153" spans="1:7" ht="15" customHeight="1" x14ac:dyDescent="0.2">
      <c r="A153" s="8" t="s">
        <v>77</v>
      </c>
      <c r="B153" s="8" t="s">
        <v>77</v>
      </c>
      <c r="C153" s="8" t="s">
        <v>77</v>
      </c>
      <c r="D153" s="8" t="s">
        <v>77</v>
      </c>
      <c r="E153" s="8" t="s">
        <v>77</v>
      </c>
      <c r="F153" s="8" t="s">
        <v>77</v>
      </c>
      <c r="G153" s="8" t="s">
        <v>77</v>
      </c>
    </row>
    <row r="154" spans="1:7" ht="15" customHeight="1" x14ac:dyDescent="0.2">
      <c r="A154" s="17" t="s">
        <v>280</v>
      </c>
      <c r="B154" s="8">
        <f>B10*E103</f>
        <v>3.0047610135732074E-4</v>
      </c>
      <c r="C154" s="17" t="s">
        <v>281</v>
      </c>
      <c r="D154" s="17" t="s">
        <v>282</v>
      </c>
      <c r="E154" s="8" t="s">
        <v>77</v>
      </c>
      <c r="F154" s="8" t="s">
        <v>77</v>
      </c>
      <c r="G154" s="8" t="s">
        <v>77</v>
      </c>
    </row>
    <row r="155" spans="1:7" ht="15" customHeight="1" x14ac:dyDescent="0.2">
      <c r="A155" s="8" t="s">
        <v>77</v>
      </c>
      <c r="B155" s="8">
        <f>B154*1000</f>
        <v>0.30047610135732072</v>
      </c>
      <c r="C155" s="17" t="s">
        <v>148</v>
      </c>
      <c r="D155" s="8" t="s">
        <v>77</v>
      </c>
      <c r="E155" s="8" t="s">
        <v>77</v>
      </c>
      <c r="F155" s="8" t="s">
        <v>77</v>
      </c>
      <c r="G155" s="8" t="s">
        <v>77</v>
      </c>
    </row>
    <row r="156" spans="1:7" ht="15" customHeight="1" x14ac:dyDescent="0.2">
      <c r="A156" s="8" t="s">
        <v>77</v>
      </c>
      <c r="B156" s="8" t="s">
        <v>77</v>
      </c>
      <c r="C156" s="8" t="s">
        <v>77</v>
      </c>
      <c r="D156" s="8" t="s">
        <v>77</v>
      </c>
      <c r="E156" s="8" t="s">
        <v>77</v>
      </c>
      <c r="F156" s="8" t="s">
        <v>77</v>
      </c>
      <c r="G156" s="8" t="s">
        <v>77</v>
      </c>
    </row>
    <row r="157" spans="1:7" ht="15" customHeight="1" x14ac:dyDescent="0.2">
      <c r="A157" s="24" t="s">
        <v>283</v>
      </c>
      <c r="B157" s="8" t="s">
        <v>77</v>
      </c>
      <c r="C157" s="17" t="s">
        <v>284</v>
      </c>
      <c r="D157" s="8" t="s">
        <v>77</v>
      </c>
      <c r="E157" s="8" t="s">
        <v>77</v>
      </c>
      <c r="F157" s="8" t="s">
        <v>77</v>
      </c>
      <c r="G157" s="8" t="s">
        <v>77</v>
      </c>
    </row>
    <row r="158" spans="1:7" ht="15" customHeight="1" x14ac:dyDescent="0.2">
      <c r="A158" s="17" t="s">
        <v>285</v>
      </c>
      <c r="B158" s="8">
        <f>B130</f>
        <v>5.589016</v>
      </c>
      <c r="C158" s="17" t="s">
        <v>203</v>
      </c>
      <c r="D158" s="17" t="s">
        <v>286</v>
      </c>
      <c r="E158" s="8" t="s">
        <v>77</v>
      </c>
      <c r="F158" s="8" t="s">
        <v>77</v>
      </c>
      <c r="G158" s="8" t="s">
        <v>77</v>
      </c>
    </row>
    <row r="159" spans="1:7" ht="15" customHeight="1" x14ac:dyDescent="0.2">
      <c r="A159" s="17" t="s">
        <v>287</v>
      </c>
      <c r="B159" s="8">
        <f>B132/B8</f>
        <v>0.21087484210526317</v>
      </c>
      <c r="C159" s="17" t="s">
        <v>201</v>
      </c>
      <c r="D159" s="8" t="s">
        <v>77</v>
      </c>
      <c r="E159" s="8" t="s">
        <v>77</v>
      </c>
      <c r="F159" s="8" t="s">
        <v>77</v>
      </c>
      <c r="G159" s="8" t="s">
        <v>77</v>
      </c>
    </row>
    <row r="160" spans="1:7" ht="15" customHeight="1" x14ac:dyDescent="0.2">
      <c r="A160" s="17" t="s">
        <v>288</v>
      </c>
      <c r="B160" s="8">
        <v>1337.79142</v>
      </c>
      <c r="C160" s="17" t="s">
        <v>153</v>
      </c>
      <c r="D160" s="8" t="s">
        <v>77</v>
      </c>
      <c r="E160" s="8" t="s">
        <v>77</v>
      </c>
      <c r="F160" s="8" t="s">
        <v>77</v>
      </c>
      <c r="G160" s="8" t="s">
        <v>77</v>
      </c>
    </row>
    <row r="161" spans="1:8" ht="15" customHeight="1" x14ac:dyDescent="0.2">
      <c r="A161" s="17" t="s">
        <v>289</v>
      </c>
      <c r="B161" s="8">
        <v>1872.42336</v>
      </c>
      <c r="C161" s="17" t="s">
        <v>155</v>
      </c>
      <c r="D161" s="8" t="s">
        <v>77</v>
      </c>
      <c r="E161" s="8" t="s">
        <v>77</v>
      </c>
      <c r="F161" s="8" t="s">
        <v>77</v>
      </c>
      <c r="G161" s="8" t="s">
        <v>77</v>
      </c>
    </row>
    <row r="162" spans="1:8" ht="15" customHeight="1" x14ac:dyDescent="0.2">
      <c r="A162" s="17" t="s">
        <v>290</v>
      </c>
      <c r="B162" s="58">
        <v>-2404.33</v>
      </c>
      <c r="C162" s="17" t="s">
        <v>183</v>
      </c>
      <c r="D162" s="8" t="s">
        <v>77</v>
      </c>
      <c r="E162" s="8" t="s">
        <v>77</v>
      </c>
      <c r="F162" s="8" t="s">
        <v>77</v>
      </c>
      <c r="G162" s="8" t="s">
        <v>77</v>
      </c>
    </row>
    <row r="163" spans="1:8" ht="15" customHeight="1" x14ac:dyDescent="0.2">
      <c r="A163" s="8" t="s">
        <v>77</v>
      </c>
      <c r="B163" s="8" t="s">
        <v>77</v>
      </c>
      <c r="C163" s="8" t="s">
        <v>77</v>
      </c>
      <c r="D163" s="8" t="s">
        <v>77</v>
      </c>
      <c r="E163" s="8" t="s">
        <v>77</v>
      </c>
      <c r="F163" s="8" t="s">
        <v>77</v>
      </c>
      <c r="G163" s="8" t="s">
        <v>77</v>
      </c>
    </row>
    <row r="164" spans="1:8" ht="15" customHeight="1" x14ac:dyDescent="0.2">
      <c r="A164" s="17" t="s">
        <v>291</v>
      </c>
      <c r="B164" s="8">
        <f>F108</f>
        <v>4.5588410000000001</v>
      </c>
      <c r="C164" s="17" t="s">
        <v>203</v>
      </c>
      <c r="D164" s="17" t="s">
        <v>292</v>
      </c>
      <c r="E164" s="8" t="s">
        <v>77</v>
      </c>
      <c r="F164" s="8" t="s">
        <v>77</v>
      </c>
      <c r="G164" s="8" t="s">
        <v>77</v>
      </c>
    </row>
    <row r="165" spans="1:8" ht="15" customHeight="1" x14ac:dyDescent="0.2">
      <c r="A165" s="17" t="s">
        <v>293</v>
      </c>
      <c r="B165" s="8">
        <f>B146/B8</f>
        <v>7.9028105263157886E-2</v>
      </c>
      <c r="C165" s="17" t="s">
        <v>201</v>
      </c>
      <c r="D165" s="8" t="s">
        <v>77</v>
      </c>
      <c r="E165" s="8" t="s">
        <v>77</v>
      </c>
      <c r="F165" s="8" t="s">
        <v>77</v>
      </c>
      <c r="G165" s="8" t="s">
        <v>77</v>
      </c>
    </row>
    <row r="166" spans="1:8" ht="15" customHeight="1" x14ac:dyDescent="0.2">
      <c r="A166" s="17" t="s">
        <v>294</v>
      </c>
      <c r="B166" s="60">
        <v>499.59687500000001</v>
      </c>
      <c r="C166" s="17" t="s">
        <v>153</v>
      </c>
      <c r="D166" s="8" t="s">
        <v>77</v>
      </c>
      <c r="E166" s="8" t="s">
        <v>77</v>
      </c>
      <c r="F166" s="8" t="s">
        <v>77</v>
      </c>
      <c r="G166" s="8" t="s">
        <v>77</v>
      </c>
    </row>
    <row r="167" spans="1:8" ht="15" customHeight="1" x14ac:dyDescent="0.2">
      <c r="A167" s="17" t="s">
        <v>295</v>
      </c>
      <c r="B167" s="60">
        <v>1040.2352000000001</v>
      </c>
      <c r="C167" s="17" t="s">
        <v>155</v>
      </c>
      <c r="D167" s="8" t="s">
        <v>77</v>
      </c>
      <c r="E167" s="8" t="s">
        <v>77</v>
      </c>
      <c r="F167" s="8" t="s">
        <v>77</v>
      </c>
      <c r="G167" s="8" t="s">
        <v>77</v>
      </c>
    </row>
    <row r="168" spans="1:8" ht="15" customHeight="1" x14ac:dyDescent="0.2">
      <c r="A168" s="17" t="s">
        <v>296</v>
      </c>
      <c r="B168" s="58">
        <v>-132.78899999999999</v>
      </c>
      <c r="C168" s="17" t="s">
        <v>183</v>
      </c>
      <c r="D168" s="8" t="s">
        <v>77</v>
      </c>
      <c r="E168" s="8"/>
      <c r="F168" s="8" t="s">
        <v>77</v>
      </c>
      <c r="G168" s="8" t="s">
        <v>77</v>
      </c>
    </row>
    <row r="169" spans="1:8" ht="15" customHeight="1" x14ac:dyDescent="0.2">
      <c r="A169" s="8" t="s">
        <v>77</v>
      </c>
      <c r="B169" s="8" t="s">
        <v>77</v>
      </c>
      <c r="C169" s="8" t="s">
        <v>77</v>
      </c>
      <c r="D169" s="8" t="s">
        <v>77</v>
      </c>
      <c r="E169" s="8" t="s">
        <v>77</v>
      </c>
      <c r="F169" s="8" t="s">
        <v>77</v>
      </c>
      <c r="G169" s="8" t="s">
        <v>77</v>
      </c>
    </row>
    <row r="170" spans="1:8" ht="15" customHeight="1" x14ac:dyDescent="0.2">
      <c r="A170" s="17" t="s">
        <v>297</v>
      </c>
      <c r="B170" s="8">
        <f>F170/H170</f>
        <v>1.1195840695424339</v>
      </c>
      <c r="C170" s="8" t="s">
        <v>77</v>
      </c>
      <c r="D170" s="8" t="s">
        <v>77</v>
      </c>
      <c r="E170" s="8" t="s">
        <v>41</v>
      </c>
      <c r="F170" s="8">
        <f>SUMPRODUCT(O91:O92,R91:R92)</f>
        <v>0.79</v>
      </c>
      <c r="G170" s="8" t="s">
        <v>68</v>
      </c>
      <c r="H170">
        <f>F170-K101</f>
        <v>0.70561918617051012</v>
      </c>
    </row>
    <row r="171" spans="1:8" ht="15" customHeight="1" x14ac:dyDescent="0.2">
      <c r="A171" s="17" t="s">
        <v>298</v>
      </c>
      <c r="B171" s="7">
        <f>B139*B8^(B170-1)</f>
        <v>390.26084565809373</v>
      </c>
      <c r="C171" s="17" t="s">
        <v>153</v>
      </c>
      <c r="D171" s="17" t="s">
        <v>299</v>
      </c>
      <c r="E171" s="8" t="s">
        <v>77</v>
      </c>
      <c r="F171" s="8" t="s">
        <v>77</v>
      </c>
      <c r="G171" s="8" t="s">
        <v>77</v>
      </c>
    </row>
    <row r="172" spans="1:8" ht="15" customHeight="1" x14ac:dyDescent="0.2">
      <c r="A172" s="17" t="s">
        <v>300</v>
      </c>
      <c r="B172" s="8">
        <f>B141/B8</f>
        <v>2.672473413190422E-2</v>
      </c>
      <c r="C172" s="17" t="s">
        <v>201</v>
      </c>
      <c r="D172" s="8" t="s">
        <v>77</v>
      </c>
      <c r="E172" s="8" t="s">
        <v>77</v>
      </c>
      <c r="F172" s="8" t="s">
        <v>77</v>
      </c>
      <c r="G172" s="8" t="s">
        <v>77</v>
      </c>
    </row>
    <row r="173" spans="1:8" ht="15" customHeight="1" x14ac:dyDescent="0.2">
      <c r="A173" s="17" t="s">
        <v>301</v>
      </c>
      <c r="B173" s="8">
        <f>K101*B171/B172</f>
        <v>1232.2116134020637</v>
      </c>
      <c r="C173" s="17" t="s">
        <v>155</v>
      </c>
      <c r="D173" s="8" t="s">
        <v>77</v>
      </c>
      <c r="E173" s="8" t="s">
        <v>77</v>
      </c>
      <c r="F173" s="8" t="s">
        <v>77</v>
      </c>
      <c r="G173" s="8" t="s">
        <v>77</v>
      </c>
    </row>
    <row r="174" spans="1:8" ht="15" customHeight="1" x14ac:dyDescent="0.2">
      <c r="A174" s="17" t="s">
        <v>302</v>
      </c>
      <c r="B174" s="8">
        <f>(SUMPRODUCT(M91:M92,L91:L92)/K100)+SUMPRODUCT(O91:O92,R91:R92)*(B171-B93)</f>
        <v>-2103.6940518706965</v>
      </c>
      <c r="C174" s="17" t="s">
        <v>183</v>
      </c>
      <c r="D174" s="8" t="s">
        <v>77</v>
      </c>
      <c r="E174" s="8" t="s">
        <v>77</v>
      </c>
      <c r="F174" s="8" t="s">
        <v>77</v>
      </c>
      <c r="G174" s="8" t="s">
        <v>77</v>
      </c>
    </row>
    <row r="175" spans="1:8" ht="15" customHeight="1" x14ac:dyDescent="0.2">
      <c r="A175" s="17" t="s">
        <v>303</v>
      </c>
      <c r="B175" s="8">
        <f>B174-K101*B171</f>
        <v>-2136.6245796331114</v>
      </c>
      <c r="C175" s="17" t="s">
        <v>183</v>
      </c>
      <c r="D175" s="8" t="s">
        <v>77</v>
      </c>
      <c r="E175" s="8" t="s">
        <v>77</v>
      </c>
      <c r="F175" s="8" t="s">
        <v>77</v>
      </c>
      <c r="G175" s="8" t="s">
        <v>77</v>
      </c>
    </row>
    <row r="176" spans="1:8" ht="15" customHeight="1" x14ac:dyDescent="0.2">
      <c r="A176" s="8" t="s">
        <v>77</v>
      </c>
      <c r="B176" s="8" t="s">
        <v>77</v>
      </c>
      <c r="C176" s="8" t="s">
        <v>77</v>
      </c>
      <c r="D176" s="8" t="s">
        <v>77</v>
      </c>
      <c r="E176" s="8" t="s">
        <v>77</v>
      </c>
      <c r="F176" s="8" t="s">
        <v>77</v>
      </c>
      <c r="G176" s="8" t="s">
        <v>77</v>
      </c>
    </row>
    <row r="177" spans="1:7" ht="15" customHeight="1" x14ac:dyDescent="0.2">
      <c r="A177" s="17" t="s">
        <v>304</v>
      </c>
      <c r="B177" s="8">
        <f>B126*(B162-B133)</f>
        <v>1.3148775343528507E-2</v>
      </c>
      <c r="C177" s="17" t="s">
        <v>281</v>
      </c>
      <c r="D177" s="17" t="s">
        <v>305</v>
      </c>
      <c r="E177" s="8" t="s">
        <v>77</v>
      </c>
      <c r="F177" s="8" t="s">
        <v>77</v>
      </c>
      <c r="G177" s="8" t="s">
        <v>77</v>
      </c>
    </row>
    <row r="178" spans="1:7" ht="15" customHeight="1" x14ac:dyDescent="0.2">
      <c r="A178" s="17" t="s">
        <v>306</v>
      </c>
      <c r="B178" s="8">
        <f>B151*H170*(B171-B139)</f>
        <v>2.7585029888168187E-3</v>
      </c>
      <c r="C178" s="17" t="s">
        <v>281</v>
      </c>
      <c r="D178" s="17" t="s">
        <v>307</v>
      </c>
      <c r="E178" s="8" t="s">
        <v>77</v>
      </c>
      <c r="F178" s="8" t="s">
        <v>77</v>
      </c>
      <c r="G178" s="8" t="s">
        <v>77</v>
      </c>
    </row>
    <row r="179" spans="1:7" ht="15" customHeight="1" x14ac:dyDescent="0.2">
      <c r="A179" s="17" t="s">
        <v>308</v>
      </c>
      <c r="B179" s="8">
        <f>B149*(B168-B147)</f>
        <v>7.577235950045462E-2</v>
      </c>
      <c r="C179" s="17" t="s">
        <v>281</v>
      </c>
      <c r="D179" s="17" t="s">
        <v>309</v>
      </c>
      <c r="E179" s="8" t="s">
        <v>77</v>
      </c>
      <c r="F179" s="8" t="s">
        <v>77</v>
      </c>
      <c r="G179" s="8" t="s">
        <v>77</v>
      </c>
    </row>
    <row r="180" spans="1:7" ht="15" customHeight="1" x14ac:dyDescent="0.2">
      <c r="A180" s="17" t="s">
        <v>310</v>
      </c>
      <c r="B180" s="8">
        <f>SUM(B177:B179)</f>
        <v>9.1679637832799948E-2</v>
      </c>
      <c r="C180" s="17" t="s">
        <v>281</v>
      </c>
      <c r="D180" s="17" t="s">
        <v>311</v>
      </c>
      <c r="E180" s="8" t="s">
        <v>77</v>
      </c>
      <c r="F180" s="8" t="s">
        <v>77</v>
      </c>
      <c r="G180" s="8" t="s">
        <v>77</v>
      </c>
    </row>
    <row r="181" spans="1:7" ht="15" customHeight="1" x14ac:dyDescent="0.2">
      <c r="A181" s="8" t="s">
        <v>77</v>
      </c>
      <c r="B181" s="8">
        <f>B180*1000</f>
        <v>91.679637832799955</v>
      </c>
      <c r="C181" s="17" t="s">
        <v>148</v>
      </c>
      <c r="D181" s="8" t="s">
        <v>77</v>
      </c>
      <c r="E181" s="8" t="s">
        <v>77</v>
      </c>
      <c r="F181" s="8" t="s">
        <v>77</v>
      </c>
      <c r="G181" s="8" t="s">
        <v>77</v>
      </c>
    </row>
    <row r="182" spans="1:7" ht="15" customHeight="1" x14ac:dyDescent="0.2">
      <c r="A182" s="8" t="s">
        <v>77</v>
      </c>
      <c r="B182" s="8" t="s">
        <v>77</v>
      </c>
      <c r="C182" s="8" t="s">
        <v>77</v>
      </c>
      <c r="D182" s="8" t="s">
        <v>77</v>
      </c>
      <c r="E182" s="8" t="s">
        <v>77</v>
      </c>
      <c r="F182" s="8" t="s">
        <v>77</v>
      </c>
      <c r="G182" s="8" t="s">
        <v>77</v>
      </c>
    </row>
    <row r="183" spans="1:7" ht="15" customHeight="1" x14ac:dyDescent="0.2">
      <c r="A183" s="24" t="s">
        <v>312</v>
      </c>
      <c r="B183" s="8" t="s">
        <v>77</v>
      </c>
      <c r="C183" s="8" t="s">
        <v>77</v>
      </c>
      <c r="D183" s="8" t="s">
        <v>77</v>
      </c>
      <c r="E183" s="8" t="s">
        <v>77</v>
      </c>
      <c r="F183" s="8" t="s">
        <v>77</v>
      </c>
      <c r="G183" s="8" t="s">
        <v>77</v>
      </c>
    </row>
    <row r="184" spans="1:7" ht="15" customHeight="1" x14ac:dyDescent="0.2">
      <c r="A184" s="17" t="s">
        <v>313</v>
      </c>
      <c r="B184" s="7">
        <f>B11+B40*PI()/4*(B5^2)</f>
        <v>4.205815841147807E-5</v>
      </c>
      <c r="C184" s="17" t="s">
        <v>91</v>
      </c>
      <c r="D184" s="17" t="s">
        <v>314</v>
      </c>
      <c r="E184" s="8"/>
      <c r="F184" s="8" t="s">
        <v>77</v>
      </c>
      <c r="G184" s="8" t="s">
        <v>77</v>
      </c>
    </row>
    <row r="185" spans="1:7" ht="15" customHeight="1" x14ac:dyDescent="0.2">
      <c r="A185" s="17" t="s">
        <v>315</v>
      </c>
      <c r="B185" s="8">
        <f>B184/B11</f>
        <v>1.0795061780329562</v>
      </c>
      <c r="C185" s="8" t="s">
        <v>77</v>
      </c>
      <c r="D185" s="17" t="s">
        <v>316</v>
      </c>
      <c r="E185" s="8" t="s">
        <v>77</v>
      </c>
      <c r="F185" s="8" t="s">
        <v>77</v>
      </c>
      <c r="G185" s="8" t="s">
        <v>77</v>
      </c>
    </row>
    <row r="186" spans="1:7" ht="15" customHeight="1" x14ac:dyDescent="0.2">
      <c r="A186" s="17" t="s">
        <v>317</v>
      </c>
      <c r="B186" s="8">
        <f>B151+B149+B126</f>
        <v>4.8718057044481815E-4</v>
      </c>
      <c r="C186" s="17" t="s">
        <v>255</v>
      </c>
      <c r="D186" s="17" t="s">
        <v>318</v>
      </c>
      <c r="E186" s="8" t="s">
        <v>77</v>
      </c>
      <c r="F186" s="8" t="s">
        <v>77</v>
      </c>
      <c r="G186" s="8" t="s">
        <v>77</v>
      </c>
    </row>
    <row r="187" spans="1:7" ht="15" customHeight="1" x14ac:dyDescent="0.2">
      <c r="A187" s="17" t="s">
        <v>319</v>
      </c>
      <c r="B187" s="8">
        <f>B184/B186</f>
        <v>8.6329712149803201E-2</v>
      </c>
      <c r="C187" s="17" t="s">
        <v>201</v>
      </c>
      <c r="D187" s="17" t="s">
        <v>320</v>
      </c>
      <c r="E187" s="8" t="s">
        <v>77</v>
      </c>
      <c r="F187" s="8" t="s">
        <v>77</v>
      </c>
      <c r="G187" s="8" t="s">
        <v>77</v>
      </c>
    </row>
    <row r="188" spans="1:7" ht="15" customHeight="1" x14ac:dyDescent="0.2">
      <c r="A188" s="8" t="s">
        <v>77</v>
      </c>
      <c r="B188" s="8" t="s">
        <v>77</v>
      </c>
      <c r="C188" s="8" t="s">
        <v>77</v>
      </c>
      <c r="D188" s="8" t="s">
        <v>77</v>
      </c>
      <c r="E188" s="8" t="s">
        <v>77</v>
      </c>
      <c r="F188" s="8" t="s">
        <v>77</v>
      </c>
      <c r="G188" s="8" t="s">
        <v>77</v>
      </c>
    </row>
    <row r="189" spans="1:7" ht="15" customHeight="1" x14ac:dyDescent="0.2">
      <c r="A189" s="17" t="s">
        <v>321</v>
      </c>
      <c r="B189" s="8">
        <f>PI()*B5*B184/(PI()*(B5^2)/4)+(PI()*(B5^2)/4)</f>
        <v>6.5742543109524303E-3</v>
      </c>
      <c r="C189" s="17" t="s">
        <v>88</v>
      </c>
      <c r="D189" s="17" t="s">
        <v>322</v>
      </c>
      <c r="E189" s="8" t="s">
        <v>77</v>
      </c>
      <c r="F189" s="8" t="s">
        <v>77</v>
      </c>
      <c r="G189" s="8" t="s">
        <v>77</v>
      </c>
    </row>
    <row r="190" spans="1:7" ht="15" customHeight="1" x14ac:dyDescent="0.2">
      <c r="A190" s="17" t="s">
        <v>323</v>
      </c>
      <c r="B190" s="8">
        <f>(B160*B126+B171*B151+B166*B149)/B186</f>
        <v>525.03651026301338</v>
      </c>
      <c r="C190" s="17" t="s">
        <v>153</v>
      </c>
      <c r="D190" s="17" t="s">
        <v>324</v>
      </c>
      <c r="E190" s="8"/>
      <c r="F190" s="8" t="s">
        <v>77</v>
      </c>
      <c r="G190" s="8" t="s">
        <v>77</v>
      </c>
    </row>
    <row r="191" spans="1:7" ht="15" customHeight="1" x14ac:dyDescent="0.2">
      <c r="A191" s="8" t="s">
        <v>77</v>
      </c>
      <c r="B191" s="8" t="s">
        <v>77</v>
      </c>
      <c r="C191" s="8" t="s">
        <v>77</v>
      </c>
      <c r="D191" s="8" t="s">
        <v>77</v>
      </c>
      <c r="E191" s="8" t="s">
        <v>77</v>
      </c>
      <c r="F191" s="8" t="s">
        <v>77</v>
      </c>
      <c r="G191" s="8" t="s">
        <v>77</v>
      </c>
    </row>
    <row r="192" spans="1:7" ht="15" customHeight="1" x14ac:dyDescent="0.2">
      <c r="A192" s="17" t="s">
        <v>325</v>
      </c>
      <c r="B192" s="8">
        <v>1.0742</v>
      </c>
      <c r="C192" s="17" t="s">
        <v>203</v>
      </c>
      <c r="D192" s="17" t="s">
        <v>326</v>
      </c>
      <c r="E192" s="8" t="s">
        <v>77</v>
      </c>
      <c r="F192" s="8" t="s">
        <v>77</v>
      </c>
      <c r="G192" s="8" t="s">
        <v>77</v>
      </c>
    </row>
    <row r="193" spans="1:7" ht="15" customHeight="1" x14ac:dyDescent="0.2">
      <c r="A193" s="17" t="s">
        <v>327</v>
      </c>
      <c r="B193" s="8">
        <f>0.778753</f>
        <v>0.77875300000000003</v>
      </c>
      <c r="C193" s="17" t="s">
        <v>203</v>
      </c>
      <c r="D193" s="17" t="s">
        <v>328</v>
      </c>
      <c r="E193" s="8" t="s">
        <v>77</v>
      </c>
      <c r="F193" s="8" t="s">
        <v>77</v>
      </c>
      <c r="G193" s="8" t="s">
        <v>77</v>
      </c>
    </row>
    <row r="194" spans="1:7" ht="15" customHeight="1" x14ac:dyDescent="0.2">
      <c r="A194" s="17" t="s">
        <v>329</v>
      </c>
      <c r="B194" s="8">
        <f>H170</f>
        <v>0.70561918617051012</v>
      </c>
      <c r="C194" s="17" t="s">
        <v>203</v>
      </c>
      <c r="D194" s="17" t="s">
        <v>330</v>
      </c>
      <c r="E194" s="8" t="s">
        <v>77</v>
      </c>
      <c r="F194" s="8" t="s">
        <v>77</v>
      </c>
      <c r="G194" s="8" t="s">
        <v>77</v>
      </c>
    </row>
    <row r="195" spans="1:7" ht="15" customHeight="1" x14ac:dyDescent="0.2">
      <c r="A195" s="17" t="s">
        <v>331</v>
      </c>
      <c r="B195" s="8">
        <f>(B126*B192+B194*B151+B193*B149)/B186</f>
        <v>0.78470615734489546</v>
      </c>
      <c r="C195" s="17" t="s">
        <v>203</v>
      </c>
      <c r="D195" s="17" t="s">
        <v>332</v>
      </c>
      <c r="E195" s="8" t="s">
        <v>77</v>
      </c>
      <c r="F195" s="8" t="s">
        <v>77</v>
      </c>
      <c r="G195" s="8" t="s">
        <v>77</v>
      </c>
    </row>
    <row r="196" spans="1:7" ht="15" customHeight="1" x14ac:dyDescent="0.2">
      <c r="A196" s="8" t="s">
        <v>77</v>
      </c>
      <c r="B196" s="8" t="s">
        <v>77</v>
      </c>
      <c r="C196" s="8" t="s">
        <v>77</v>
      </c>
      <c r="D196" s="8" t="s">
        <v>77</v>
      </c>
      <c r="E196" s="8" t="s">
        <v>77</v>
      </c>
      <c r="F196" s="8" t="s">
        <v>77</v>
      </c>
      <c r="G196" s="8" t="s">
        <v>77</v>
      </c>
    </row>
    <row r="197" spans="1:7" ht="15" customHeight="1" x14ac:dyDescent="0.2">
      <c r="A197" s="17" t="s">
        <v>333</v>
      </c>
      <c r="B197" s="8">
        <f>SUMPRODUCT(O91:O92,S91:S92)*B151</f>
        <v>1.8109005254857071</v>
      </c>
      <c r="C197" s="17" t="s">
        <v>281</v>
      </c>
      <c r="D197" s="17" t="s">
        <v>334</v>
      </c>
      <c r="E197" s="8" t="s">
        <v>77</v>
      </c>
      <c r="F197" s="8" t="s">
        <v>77</v>
      </c>
      <c r="G197" s="8" t="s">
        <v>77</v>
      </c>
    </row>
    <row r="198" spans="1:7" ht="15" customHeight="1" x14ac:dyDescent="0.2">
      <c r="A198" s="17" t="s">
        <v>335</v>
      </c>
      <c r="B198" s="8">
        <f>B197/(B186*B195)</f>
        <v>4736.9366290896078</v>
      </c>
      <c r="C198" s="17" t="s">
        <v>153</v>
      </c>
      <c r="D198" s="17" t="s">
        <v>336</v>
      </c>
      <c r="E198" s="8" t="s">
        <v>77</v>
      </c>
      <c r="F198" s="8" t="s">
        <v>77</v>
      </c>
      <c r="G198" s="8" t="s">
        <v>77</v>
      </c>
    </row>
    <row r="199" spans="1:7" ht="15" customHeight="1" x14ac:dyDescent="0.2">
      <c r="A199" s="17" t="s">
        <v>337</v>
      </c>
      <c r="B199" s="7">
        <f>(B198+2*B190)/2</f>
        <v>2893.5048248078174</v>
      </c>
      <c r="C199" s="17" t="s">
        <v>153</v>
      </c>
      <c r="D199" s="17" t="s">
        <v>338</v>
      </c>
      <c r="E199" s="8" t="s">
        <v>77</v>
      </c>
      <c r="F199" s="8" t="s">
        <v>77</v>
      </c>
      <c r="G199" s="8" t="s">
        <v>77</v>
      </c>
    </row>
    <row r="200" spans="1:7" ht="15" customHeight="1" x14ac:dyDescent="0.2">
      <c r="A200" s="10" t="s">
        <v>77</v>
      </c>
      <c r="B200" s="10" t="s">
        <v>77</v>
      </c>
      <c r="C200" s="10" t="s">
        <v>77</v>
      </c>
      <c r="D200" s="8" t="s">
        <v>77</v>
      </c>
      <c r="E200" s="8" t="s">
        <v>77</v>
      </c>
      <c r="F200" s="8" t="s">
        <v>77</v>
      </c>
      <c r="G200" s="8" t="s">
        <v>77</v>
      </c>
    </row>
    <row r="201" spans="1:7" ht="15" customHeight="1" x14ac:dyDescent="0.2">
      <c r="A201" s="11" t="s">
        <v>339</v>
      </c>
      <c r="B201" s="12">
        <v>250</v>
      </c>
      <c r="C201" s="12" t="s">
        <v>340</v>
      </c>
      <c r="D201" s="13" t="s">
        <v>77</v>
      </c>
      <c r="E201" s="8" t="s">
        <v>77</v>
      </c>
      <c r="F201" s="8" t="s">
        <v>77</v>
      </c>
      <c r="G201" s="8" t="s">
        <v>77</v>
      </c>
    </row>
    <row r="202" spans="1:7" ht="15" customHeight="1" x14ac:dyDescent="0.2">
      <c r="A202" s="11" t="s">
        <v>341</v>
      </c>
      <c r="B202" s="12">
        <v>100</v>
      </c>
      <c r="C202" s="12" t="s">
        <v>152</v>
      </c>
      <c r="D202" s="13" t="s">
        <v>77</v>
      </c>
      <c r="E202" s="8" t="s">
        <v>77</v>
      </c>
      <c r="F202" s="8" t="s">
        <v>77</v>
      </c>
      <c r="G202" s="8" t="s">
        <v>77</v>
      </c>
    </row>
    <row r="203" spans="1:7" ht="15" customHeight="1" x14ac:dyDescent="0.2">
      <c r="A203" s="19" t="s">
        <v>77</v>
      </c>
      <c r="B203" s="19">
        <f>B202+273.15</f>
        <v>373.15</v>
      </c>
      <c r="C203" s="16" t="s">
        <v>153</v>
      </c>
      <c r="D203" s="8" t="s">
        <v>77</v>
      </c>
      <c r="E203" s="8" t="s">
        <v>77</v>
      </c>
      <c r="F203" s="8" t="s">
        <v>77</v>
      </c>
      <c r="G203" s="8" t="s">
        <v>77</v>
      </c>
    </row>
    <row r="204" spans="1:7" ht="15" customHeight="1" x14ac:dyDescent="0.2">
      <c r="A204" s="17" t="s">
        <v>342</v>
      </c>
      <c r="B204" s="8">
        <f>B201*B189*(B199-B203)</f>
        <v>4142.3633930306378</v>
      </c>
      <c r="C204" s="17" t="s">
        <v>343</v>
      </c>
      <c r="D204" s="17" t="s">
        <v>344</v>
      </c>
      <c r="E204" s="8" t="s">
        <v>77</v>
      </c>
      <c r="F204" s="8" t="s">
        <v>77</v>
      </c>
      <c r="G204" s="8" t="s">
        <v>77</v>
      </c>
    </row>
    <row r="205" spans="1:7" ht="15" customHeight="1" x14ac:dyDescent="0.2">
      <c r="A205" s="17" t="s">
        <v>345</v>
      </c>
      <c r="B205" s="7">
        <f>B204*B37</f>
        <v>3.0653489108426717</v>
      </c>
      <c r="C205" s="17" t="s">
        <v>148</v>
      </c>
      <c r="D205" s="17" t="s">
        <v>346</v>
      </c>
      <c r="E205" s="8">
        <f>B204*B37</f>
        <v>3.0653489108426717</v>
      </c>
      <c r="F205" s="8" t="s">
        <v>77</v>
      </c>
      <c r="G205" s="8" t="s">
        <v>77</v>
      </c>
    </row>
    <row r="206" spans="1:7" ht="15" customHeight="1" x14ac:dyDescent="0.2">
      <c r="A206" s="8" t="s">
        <v>77</v>
      </c>
      <c r="B206" s="8" t="s">
        <v>77</v>
      </c>
      <c r="C206" s="8" t="s">
        <v>77</v>
      </c>
      <c r="D206" s="8" t="s">
        <v>77</v>
      </c>
      <c r="E206" s="8" t="s">
        <v>77</v>
      </c>
      <c r="F206" s="8" t="s">
        <v>77</v>
      </c>
      <c r="G206" s="8" t="s">
        <v>77</v>
      </c>
    </row>
    <row r="207" spans="1:7" ht="15" customHeight="1" x14ac:dyDescent="0.2">
      <c r="A207" s="24" t="s">
        <v>347</v>
      </c>
      <c r="B207" s="8" t="s">
        <v>77</v>
      </c>
      <c r="C207" s="8" t="s">
        <v>77</v>
      </c>
      <c r="D207" s="8" t="s">
        <v>77</v>
      </c>
      <c r="E207" s="8" t="s">
        <v>77</v>
      </c>
      <c r="F207" s="8" t="s">
        <v>77</v>
      </c>
      <c r="G207" s="8" t="s">
        <v>77</v>
      </c>
    </row>
    <row r="208" spans="1:7" ht="15" customHeight="1" x14ac:dyDescent="0.2">
      <c r="A208" s="17" t="s">
        <v>348</v>
      </c>
      <c r="B208" s="8">
        <f>0.7*K82+0.15*K84+0.15*K86</f>
        <v>28.912925000000001</v>
      </c>
      <c r="C208" s="17" t="s">
        <v>349</v>
      </c>
      <c r="D208" s="17" t="s">
        <v>350</v>
      </c>
      <c r="E208" s="8" t="s">
        <v>77</v>
      </c>
      <c r="F208" s="8" t="s">
        <v>77</v>
      </c>
      <c r="G208" s="8" t="s">
        <v>77</v>
      </c>
    </row>
    <row r="209" spans="1:7" ht="15" customHeight="1" x14ac:dyDescent="0.2">
      <c r="A209" s="17" t="s">
        <v>351</v>
      </c>
      <c r="B209" s="8">
        <f>B126/B208</f>
        <v>7.0288177473775345E-7</v>
      </c>
      <c r="C209" s="17" t="s">
        <v>352</v>
      </c>
      <c r="D209" s="17" t="s">
        <v>353</v>
      </c>
      <c r="E209" s="8" t="s">
        <v>77</v>
      </c>
      <c r="F209" s="8" t="s">
        <v>77</v>
      </c>
      <c r="G209" s="8" t="s">
        <v>77</v>
      </c>
    </row>
    <row r="210" spans="1:7" ht="15" customHeight="1" x14ac:dyDescent="0.2">
      <c r="A210" s="17" t="s">
        <v>354</v>
      </c>
      <c r="B210" s="8">
        <f>0.7*B209</f>
        <v>4.9201724231642735E-7</v>
      </c>
      <c r="C210" s="17" t="s">
        <v>352</v>
      </c>
      <c r="D210" s="17" t="s">
        <v>355</v>
      </c>
      <c r="E210" s="8" t="s">
        <v>77</v>
      </c>
      <c r="F210" s="8" t="s">
        <v>77</v>
      </c>
      <c r="G210" s="8" t="s">
        <v>77</v>
      </c>
    </row>
    <row r="211" spans="1:7" ht="15" customHeight="1" x14ac:dyDescent="0.2">
      <c r="A211" s="17" t="s">
        <v>356</v>
      </c>
      <c r="B211" s="8">
        <f>0.15*B209</f>
        <v>1.0543226621066301E-7</v>
      </c>
      <c r="C211" s="17" t="s">
        <v>352</v>
      </c>
      <c r="D211" s="17" t="s">
        <v>357</v>
      </c>
      <c r="E211" s="8" t="s">
        <v>77</v>
      </c>
      <c r="F211" s="8" t="s">
        <v>77</v>
      </c>
      <c r="G211" s="8" t="s">
        <v>77</v>
      </c>
    </row>
    <row r="212" spans="1:7" ht="15" customHeight="1" x14ac:dyDescent="0.2">
      <c r="A212" s="17" t="s">
        <v>358</v>
      </c>
      <c r="B212" s="8">
        <f>0.15*B209</f>
        <v>1.0543226621066301E-7</v>
      </c>
      <c r="C212" s="17" t="s">
        <v>352</v>
      </c>
      <c r="D212" s="17" t="s">
        <v>359</v>
      </c>
      <c r="E212" s="8" t="s">
        <v>77</v>
      </c>
      <c r="F212" s="8" t="s">
        <v>77</v>
      </c>
      <c r="G212" s="8" t="s">
        <v>77</v>
      </c>
    </row>
    <row r="213" spans="1:7" ht="15" customHeight="1" x14ac:dyDescent="0.2">
      <c r="A213" s="17" t="s">
        <v>172</v>
      </c>
      <c r="B213" s="8">
        <f>SUM(B210:B212)</f>
        <v>7.0288177473775345E-7</v>
      </c>
      <c r="C213" s="8" t="s">
        <v>77</v>
      </c>
      <c r="D213" s="17" t="s">
        <v>360</v>
      </c>
      <c r="E213" s="8" t="s">
        <v>77</v>
      </c>
      <c r="F213" s="8" t="s">
        <v>77</v>
      </c>
      <c r="G213" s="8" t="s">
        <v>77</v>
      </c>
    </row>
    <row r="214" spans="1:7" ht="15" customHeight="1" x14ac:dyDescent="0.2">
      <c r="A214" s="8" t="s">
        <v>77</v>
      </c>
      <c r="B214" s="8" t="s">
        <v>77</v>
      </c>
      <c r="C214" s="8" t="s">
        <v>77</v>
      </c>
      <c r="D214" s="8" t="s">
        <v>77</v>
      </c>
      <c r="E214" s="8" t="s">
        <v>77</v>
      </c>
      <c r="F214" s="8" t="s">
        <v>77</v>
      </c>
      <c r="G214" s="8" t="s">
        <v>77</v>
      </c>
    </row>
    <row r="215" spans="1:7" ht="15" customHeight="1" x14ac:dyDescent="0.2">
      <c r="A215" s="17" t="s">
        <v>361</v>
      </c>
      <c r="B215" s="8">
        <f>K100</f>
        <v>98.535077142076716</v>
      </c>
      <c r="C215" s="17" t="s">
        <v>349</v>
      </c>
      <c r="D215" s="17" t="s">
        <v>362</v>
      </c>
      <c r="E215" s="8" t="s">
        <v>77</v>
      </c>
      <c r="F215" s="8" t="s">
        <v>77</v>
      </c>
      <c r="G215" s="8" t="s">
        <v>77</v>
      </c>
    </row>
    <row r="216" spans="1:7" ht="15" customHeight="1" x14ac:dyDescent="0.2">
      <c r="A216" s="17" t="s">
        <v>363</v>
      </c>
      <c r="B216" s="8">
        <f>B151/B215</f>
        <v>4.3072635649499405E-7</v>
      </c>
      <c r="C216" s="17" t="s">
        <v>352</v>
      </c>
      <c r="D216" s="17" t="s">
        <v>364</v>
      </c>
      <c r="E216" s="8" t="s">
        <v>77</v>
      </c>
      <c r="F216" s="8" t="s">
        <v>77</v>
      </c>
      <c r="G216" s="8" t="s">
        <v>77</v>
      </c>
    </row>
    <row r="217" spans="1:7" ht="15" customHeight="1" x14ac:dyDescent="0.2">
      <c r="A217" s="17" t="s">
        <v>365</v>
      </c>
      <c r="B217" s="8">
        <f>M91*B216</f>
        <v>9.6341164185274443E-8</v>
      </c>
      <c r="C217" s="17" t="s">
        <v>352</v>
      </c>
      <c r="D217" s="17" t="s">
        <v>366</v>
      </c>
      <c r="E217" s="8" t="s">
        <v>77</v>
      </c>
      <c r="F217" s="8" t="s">
        <v>77</v>
      </c>
      <c r="G217" s="8" t="s">
        <v>77</v>
      </c>
    </row>
    <row r="218" spans="1:7" ht="15" customHeight="1" x14ac:dyDescent="0.2">
      <c r="A218" s="17" t="s">
        <v>367</v>
      </c>
      <c r="B218" s="8">
        <f>M92*B216</f>
        <v>3.343851923097196E-7</v>
      </c>
      <c r="C218" s="17" t="s">
        <v>352</v>
      </c>
      <c r="D218" s="17" t="s">
        <v>368</v>
      </c>
      <c r="E218" s="8" t="s">
        <v>77</v>
      </c>
      <c r="F218" s="8" t="s">
        <v>77</v>
      </c>
      <c r="G218" s="8" t="s">
        <v>77</v>
      </c>
    </row>
    <row r="219" spans="1:7" ht="15" customHeight="1" x14ac:dyDescent="0.2">
      <c r="A219" s="17" t="s">
        <v>172</v>
      </c>
      <c r="B219" s="8">
        <f>SUM(B217:B218)</f>
        <v>4.3072635649499405E-7</v>
      </c>
      <c r="C219" s="8" t="s">
        <v>77</v>
      </c>
      <c r="D219" s="17" t="s">
        <v>369</v>
      </c>
      <c r="E219" s="8" t="s">
        <v>77</v>
      </c>
      <c r="F219" s="8" t="s">
        <v>77</v>
      </c>
      <c r="G219" s="8" t="s">
        <v>77</v>
      </c>
    </row>
    <row r="220" spans="1:7" ht="15" customHeight="1" x14ac:dyDescent="0.2">
      <c r="A220" s="8" t="s">
        <v>77</v>
      </c>
      <c r="B220" s="8" t="s">
        <v>77</v>
      </c>
      <c r="C220" s="8" t="s">
        <v>77</v>
      </c>
      <c r="D220" s="8" t="s">
        <v>77</v>
      </c>
      <c r="E220" s="8" t="s">
        <v>77</v>
      </c>
      <c r="F220" s="8" t="s">
        <v>77</v>
      </c>
      <c r="G220" s="8" t="s">
        <v>77</v>
      </c>
    </row>
    <row r="221" spans="1:7" ht="15" customHeight="1" x14ac:dyDescent="0.2">
      <c r="A221" s="54" t="s">
        <v>370</v>
      </c>
      <c r="B221" s="55">
        <f>F75</f>
        <v>28.715676503140003</v>
      </c>
      <c r="C221" s="54" t="s">
        <v>349</v>
      </c>
      <c r="D221" s="54" t="s">
        <v>371</v>
      </c>
      <c r="E221" s="8" t="s">
        <v>77</v>
      </c>
      <c r="F221" s="8" t="s">
        <v>77</v>
      </c>
      <c r="G221" s="8" t="s">
        <v>77</v>
      </c>
    </row>
    <row r="222" spans="1:7" ht="15" customHeight="1" x14ac:dyDescent="0.2">
      <c r="A222" s="54" t="s">
        <v>372</v>
      </c>
      <c r="B222" s="55">
        <f>B149/B221</f>
        <v>1.477995991482874E-5</v>
      </c>
      <c r="C222" s="54" t="s">
        <v>352</v>
      </c>
      <c r="D222" s="54" t="s">
        <v>373</v>
      </c>
      <c r="E222" s="8" t="s">
        <v>77</v>
      </c>
      <c r="F222" s="8" t="s">
        <v>77</v>
      </c>
      <c r="G222" s="8" t="s">
        <v>77</v>
      </c>
    </row>
    <row r="223" spans="1:7" ht="15" customHeight="1" x14ac:dyDescent="0.2">
      <c r="A223" s="17" t="s">
        <v>354</v>
      </c>
      <c r="B223" s="8">
        <f>B222*B73</f>
        <v>1.1261328619764429E-5</v>
      </c>
      <c r="C223" s="17" t="s">
        <v>352</v>
      </c>
      <c r="D223" s="17" t="s">
        <v>374</v>
      </c>
      <c r="E223" s="8" t="s">
        <v>77</v>
      </c>
      <c r="F223" s="8" t="s">
        <v>77</v>
      </c>
      <c r="G223" s="8" t="s">
        <v>77</v>
      </c>
    </row>
    <row r="224" spans="1:7" ht="15" customHeight="1" x14ac:dyDescent="0.2">
      <c r="A224" s="17" t="s">
        <v>375</v>
      </c>
      <c r="B224" s="8">
        <f>B74*B222</f>
        <v>3.0318961668596542E-6</v>
      </c>
      <c r="C224" s="17" t="s">
        <v>352</v>
      </c>
      <c r="D224" s="17" t="s">
        <v>376</v>
      </c>
      <c r="E224" s="8" t="s">
        <v>77</v>
      </c>
      <c r="F224" s="8" t="s">
        <v>77</v>
      </c>
      <c r="G224" s="8" t="s">
        <v>77</v>
      </c>
    </row>
    <row r="225" spans="1:7" ht="15" customHeight="1" x14ac:dyDescent="0.2">
      <c r="A225" s="17" t="s">
        <v>358</v>
      </c>
      <c r="B225" s="8">
        <f>B75*B222</f>
        <v>3.4235912025895845E-7</v>
      </c>
      <c r="C225" s="17" t="s">
        <v>352</v>
      </c>
      <c r="D225" s="17" t="s">
        <v>377</v>
      </c>
      <c r="E225" s="8" t="s">
        <v>77</v>
      </c>
      <c r="F225" s="8" t="s">
        <v>77</v>
      </c>
      <c r="G225" s="8" t="s">
        <v>77</v>
      </c>
    </row>
    <row r="226" spans="1:7" ht="15" customHeight="1" x14ac:dyDescent="0.2">
      <c r="A226" s="17" t="s">
        <v>378</v>
      </c>
      <c r="B226" s="8">
        <f>B79*B222</f>
        <v>1.4437600794569783E-7</v>
      </c>
      <c r="C226" s="17" t="s">
        <v>352</v>
      </c>
      <c r="D226" s="17" t="s">
        <v>379</v>
      </c>
      <c r="E226" s="8" t="s">
        <v>77</v>
      </c>
      <c r="F226" s="8" t="s">
        <v>77</v>
      </c>
      <c r="G226" s="8" t="s">
        <v>77</v>
      </c>
    </row>
    <row r="227" spans="1:7" ht="15" customHeight="1" x14ac:dyDescent="0.2">
      <c r="A227" s="17" t="s">
        <v>172</v>
      </c>
      <c r="B227" s="8">
        <f>SUM(B223:B226)</f>
        <v>1.477995991482874E-5</v>
      </c>
      <c r="C227" s="8" t="s">
        <v>77</v>
      </c>
      <c r="D227" s="17" t="s">
        <v>369</v>
      </c>
      <c r="E227" s="8" t="s">
        <v>77</v>
      </c>
      <c r="F227" s="8" t="s">
        <v>77</v>
      </c>
      <c r="G227" s="8" t="s">
        <v>77</v>
      </c>
    </row>
    <row r="228" spans="1:7" ht="15" customHeight="1" x14ac:dyDescent="0.2">
      <c r="A228" s="8" t="s">
        <v>77</v>
      </c>
      <c r="B228" s="8" t="s">
        <v>77</v>
      </c>
      <c r="C228" s="8" t="s">
        <v>77</v>
      </c>
      <c r="D228" s="8" t="s">
        <v>77</v>
      </c>
      <c r="E228" s="8" t="s">
        <v>77</v>
      </c>
      <c r="F228" s="8" t="s">
        <v>77</v>
      </c>
      <c r="G228" s="8" t="s">
        <v>77</v>
      </c>
    </row>
    <row r="229" spans="1:7" ht="15" customHeight="1" x14ac:dyDescent="0.2">
      <c r="A229" s="17" t="s">
        <v>380</v>
      </c>
      <c r="B229" s="7">
        <f>3*B217+12.5*B218</f>
        <v>4.4688383964273182E-6</v>
      </c>
      <c r="C229" s="17" t="s">
        <v>352</v>
      </c>
      <c r="D229" s="17" t="s">
        <v>381</v>
      </c>
      <c r="E229" s="8">
        <f>3*B217+12.5*B218</f>
        <v>4.4688383964273182E-6</v>
      </c>
      <c r="F229" s="8" t="s">
        <v>77</v>
      </c>
      <c r="G229" s="8" t="s">
        <v>77</v>
      </c>
    </row>
    <row r="230" spans="1:7" ht="15" customHeight="1" x14ac:dyDescent="0.2">
      <c r="A230" s="17" t="s">
        <v>382</v>
      </c>
      <c r="B230" s="7">
        <f>B224/B229</f>
        <v>0.67845285461285654</v>
      </c>
      <c r="C230" s="8" t="s">
        <v>77</v>
      </c>
      <c r="D230" s="17" t="s">
        <v>383</v>
      </c>
      <c r="E230" s="8">
        <f>B224/B229</f>
        <v>0.67845285461285654</v>
      </c>
      <c r="F230" s="8" t="s">
        <v>77</v>
      </c>
      <c r="G230" s="8" t="s">
        <v>77</v>
      </c>
    </row>
    <row r="231" spans="1:7" ht="15" customHeight="1" x14ac:dyDescent="0.2">
      <c r="A231" s="17" t="s">
        <v>384</v>
      </c>
      <c r="B231" s="7">
        <f>B229*(1-(B230))</f>
        <v>1.4369422295676638E-6</v>
      </c>
      <c r="C231" s="17" t="s">
        <v>352</v>
      </c>
      <c r="D231" s="17" t="s">
        <v>385</v>
      </c>
      <c r="E231" s="8">
        <f>B229*(1-(B230))</f>
        <v>1.4369422295676638E-6</v>
      </c>
      <c r="F231" s="8" t="s">
        <v>77</v>
      </c>
      <c r="G231" s="8" t="s">
        <v>77</v>
      </c>
    </row>
    <row r="232" spans="1:7" ht="15" customHeight="1" x14ac:dyDescent="0.2">
      <c r="A232" s="8" t="s">
        <v>77</v>
      </c>
      <c r="B232" s="8" t="s">
        <v>77</v>
      </c>
      <c r="C232" s="8" t="s">
        <v>77</v>
      </c>
      <c r="D232" s="8" t="s">
        <v>77</v>
      </c>
      <c r="E232" s="8" t="s">
        <v>77</v>
      </c>
      <c r="F232" s="8" t="s">
        <v>77</v>
      </c>
      <c r="G232" s="8" t="s">
        <v>77</v>
      </c>
    </row>
    <row r="233" spans="1:7" ht="15" customHeight="1" x14ac:dyDescent="0.2">
      <c r="A233" s="17" t="s">
        <v>386</v>
      </c>
      <c r="B233" s="8" t="s">
        <v>77</v>
      </c>
      <c r="C233" s="8" t="s">
        <v>77</v>
      </c>
      <c r="D233" s="8" t="s">
        <v>77</v>
      </c>
      <c r="E233" s="8" t="s">
        <v>77</v>
      </c>
      <c r="F233" s="8" t="s">
        <v>77</v>
      </c>
      <c r="G233" s="8" t="s">
        <v>77</v>
      </c>
    </row>
    <row r="234" spans="1:7" ht="15" customHeight="1" x14ac:dyDescent="0.2">
      <c r="A234" s="17" t="s">
        <v>387</v>
      </c>
      <c r="B234" s="7">
        <f>(4/3)*B231</f>
        <v>1.915922972756885E-6</v>
      </c>
      <c r="C234" s="17" t="s">
        <v>352</v>
      </c>
      <c r="D234" s="17" t="s">
        <v>388</v>
      </c>
      <c r="E234" s="8" t="s">
        <v>77</v>
      </c>
      <c r="F234" s="8" t="s">
        <v>77</v>
      </c>
      <c r="G234" s="8" t="s">
        <v>77</v>
      </c>
    </row>
    <row r="235" spans="1:7" ht="15" customHeight="1" x14ac:dyDescent="0.2">
      <c r="A235" s="17" t="s">
        <v>389</v>
      </c>
      <c r="B235" s="7">
        <f>B234</f>
        <v>1.915922972756885E-6</v>
      </c>
      <c r="C235" s="17" t="s">
        <v>352</v>
      </c>
      <c r="D235" s="17" t="s">
        <v>388</v>
      </c>
      <c r="E235" s="8" t="s">
        <v>77</v>
      </c>
      <c r="F235" s="8" t="s">
        <v>77</v>
      </c>
      <c r="G235" s="8" t="s">
        <v>77</v>
      </c>
    </row>
    <row r="236" spans="1:7" ht="15" customHeight="1" x14ac:dyDescent="0.2">
      <c r="A236" s="8" t="s">
        <v>77</v>
      </c>
      <c r="B236" s="8" t="s">
        <v>77</v>
      </c>
      <c r="C236" s="8" t="s">
        <v>77</v>
      </c>
      <c r="D236" s="8" t="s">
        <v>77</v>
      </c>
      <c r="E236" s="8" t="s">
        <v>77</v>
      </c>
      <c r="F236" s="8" t="s">
        <v>77</v>
      </c>
      <c r="G236" s="8" t="s">
        <v>77</v>
      </c>
    </row>
    <row r="237" spans="1:7" ht="15" customHeight="1" x14ac:dyDescent="0.2">
      <c r="A237" s="17" t="s">
        <v>390</v>
      </c>
      <c r="B237" s="8" t="s">
        <v>77</v>
      </c>
      <c r="C237" s="8" t="s">
        <v>77</v>
      </c>
      <c r="D237" s="8" t="s">
        <v>77</v>
      </c>
      <c r="E237" s="8" t="s">
        <v>77</v>
      </c>
      <c r="F237" s="8" t="s">
        <v>77</v>
      </c>
      <c r="G237" s="8" t="s">
        <v>77</v>
      </c>
    </row>
    <row r="238" spans="1:7" ht="15" customHeight="1" x14ac:dyDescent="0.2">
      <c r="A238" s="17" t="s">
        <v>387</v>
      </c>
      <c r="B238" s="7">
        <f>0.1*(2*B217+8*B218)</f>
        <v>2.8677638668483063E-7</v>
      </c>
      <c r="C238" s="17" t="s">
        <v>352</v>
      </c>
      <c r="D238" s="17" t="s">
        <v>391</v>
      </c>
      <c r="E238" s="8" t="s">
        <v>77</v>
      </c>
      <c r="F238" s="8" t="s">
        <v>77</v>
      </c>
      <c r="G238" s="8" t="s">
        <v>77</v>
      </c>
    </row>
    <row r="239" spans="1:7" ht="15" customHeight="1" x14ac:dyDescent="0.2">
      <c r="A239" s="17" t="s">
        <v>389</v>
      </c>
      <c r="B239" s="7">
        <f>0.1*(2*B217+9*B218)</f>
        <v>3.2021490591580258E-7</v>
      </c>
      <c r="C239" s="17" t="s">
        <v>352</v>
      </c>
      <c r="D239" s="17" t="s">
        <v>392</v>
      </c>
      <c r="E239" s="8" t="s">
        <v>77</v>
      </c>
      <c r="F239" s="8" t="s">
        <v>77</v>
      </c>
      <c r="G239" s="8" t="s">
        <v>77</v>
      </c>
    </row>
    <row r="240" spans="1:7" ht="15" customHeight="1" x14ac:dyDescent="0.2">
      <c r="A240" s="8" t="s">
        <v>77</v>
      </c>
      <c r="B240" s="8" t="s">
        <v>77</v>
      </c>
      <c r="C240" s="8" t="s">
        <v>77</v>
      </c>
      <c r="D240" s="8" t="s">
        <v>77</v>
      </c>
      <c r="E240" s="8" t="s">
        <v>77</v>
      </c>
      <c r="F240" s="8" t="s">
        <v>77</v>
      </c>
      <c r="G240" s="8" t="s">
        <v>77</v>
      </c>
    </row>
    <row r="241" spans="1:7" ht="15" customHeight="1" x14ac:dyDescent="0.2">
      <c r="A241" s="17" t="s">
        <v>393</v>
      </c>
      <c r="B241" s="8" t="s">
        <v>77</v>
      </c>
      <c r="C241" s="8" t="s">
        <v>77</v>
      </c>
      <c r="D241" s="8" t="s">
        <v>77</v>
      </c>
      <c r="E241" s="8" t="s">
        <v>77</v>
      </c>
      <c r="F241" s="8" t="s">
        <v>77</v>
      </c>
      <c r="G241" s="8" t="s">
        <v>77</v>
      </c>
    </row>
    <row r="242" spans="1:7" ht="15" customHeight="1" x14ac:dyDescent="0.2">
      <c r="A242" s="17" t="s">
        <v>387</v>
      </c>
      <c r="B242" s="7">
        <f>MAX(B234,B238)</f>
        <v>1.915922972756885E-6</v>
      </c>
      <c r="C242" s="17" t="s">
        <v>352</v>
      </c>
      <c r="D242" s="17" t="s">
        <v>394</v>
      </c>
      <c r="E242" s="8" t="s">
        <v>77</v>
      </c>
      <c r="F242" s="8" t="s">
        <v>77</v>
      </c>
      <c r="G242" s="8" t="s">
        <v>77</v>
      </c>
    </row>
    <row r="243" spans="1:7" ht="15" customHeight="1" x14ac:dyDescent="0.2">
      <c r="A243" s="17" t="s">
        <v>389</v>
      </c>
      <c r="B243" s="7">
        <f>MAX(B235,B239)</f>
        <v>1.915922972756885E-6</v>
      </c>
      <c r="C243" s="17" t="s">
        <v>352</v>
      </c>
      <c r="D243" s="17" t="s">
        <v>394</v>
      </c>
      <c r="E243" s="8" t="s">
        <v>77</v>
      </c>
      <c r="F243" s="8" t="s">
        <v>77</v>
      </c>
      <c r="G243" s="8" t="s">
        <v>77</v>
      </c>
    </row>
    <row r="244" spans="1:7" ht="15" customHeight="1" x14ac:dyDescent="0.2">
      <c r="A244" s="8" t="s">
        <v>77</v>
      </c>
      <c r="B244" s="8" t="s">
        <v>77</v>
      </c>
      <c r="C244" s="8" t="s">
        <v>77</v>
      </c>
      <c r="D244" s="8" t="s">
        <v>77</v>
      </c>
      <c r="E244" s="8" t="s">
        <v>77</v>
      </c>
      <c r="F244" s="8" t="s">
        <v>77</v>
      </c>
      <c r="G244" s="8" t="s">
        <v>77</v>
      </c>
    </row>
    <row r="245" spans="1:7" ht="15" customHeight="1" x14ac:dyDescent="0.2">
      <c r="A245" s="17" t="s">
        <v>395</v>
      </c>
      <c r="B245" s="7">
        <f>2*B217+8*B218-B242</f>
        <v>9.5184089409142095E-7</v>
      </c>
      <c r="C245" s="17" t="s">
        <v>352</v>
      </c>
      <c r="D245" s="17" t="s">
        <v>396</v>
      </c>
      <c r="E245" s="8" t="s">
        <v>77</v>
      </c>
      <c r="F245" s="8" t="s">
        <v>77</v>
      </c>
      <c r="G245" s="8" t="s">
        <v>77</v>
      </c>
    </row>
    <row r="246" spans="1:7" ht="15" customHeight="1" x14ac:dyDescent="0.2">
      <c r="A246" s="17" t="s">
        <v>397</v>
      </c>
      <c r="B246" s="7">
        <f>3*B217+9*B218-B243</f>
        <v>1.3825672505864146E-6</v>
      </c>
      <c r="C246" s="17" t="s">
        <v>352</v>
      </c>
      <c r="D246" s="17" t="s">
        <v>398</v>
      </c>
      <c r="E246" s="8" t="s">
        <v>77</v>
      </c>
      <c r="F246" s="8" t="s">
        <v>77</v>
      </c>
      <c r="G246" s="8" t="s">
        <v>77</v>
      </c>
    </row>
    <row r="247" spans="1:7" ht="15" customHeight="1" x14ac:dyDescent="0.2">
      <c r="A247" s="17" t="s">
        <v>399</v>
      </c>
      <c r="B247" s="7">
        <f>B224-B245-B242/2-B246/2+B217/2</f>
        <v>4.7898074318922072E-7</v>
      </c>
      <c r="C247" s="17" t="s">
        <v>352</v>
      </c>
      <c r="D247" s="17" t="s">
        <v>400</v>
      </c>
      <c r="E247" s="8" t="s">
        <v>77</v>
      </c>
      <c r="F247" s="8" t="s">
        <v>77</v>
      </c>
      <c r="G247" s="8" t="s">
        <v>77</v>
      </c>
    </row>
    <row r="248" spans="1:7" ht="15" customHeight="1" x14ac:dyDescent="0.2">
      <c r="A248" s="8" t="s">
        <v>77</v>
      </c>
      <c r="B248" s="8" t="s">
        <v>77</v>
      </c>
      <c r="C248" s="8" t="s">
        <v>77</v>
      </c>
      <c r="D248" s="8" t="s">
        <v>77</v>
      </c>
      <c r="E248" s="8" t="s">
        <v>77</v>
      </c>
      <c r="F248" s="8" t="s">
        <v>77</v>
      </c>
      <c r="G248" s="8" t="s">
        <v>77</v>
      </c>
    </row>
    <row r="249" spans="1:7" ht="15" customHeight="1" x14ac:dyDescent="0.2">
      <c r="A249" s="8" t="s">
        <v>77</v>
      </c>
      <c r="B249" s="17" t="s">
        <v>401</v>
      </c>
      <c r="C249" s="8" t="s">
        <v>77</v>
      </c>
      <c r="D249" s="8" t="s">
        <v>77</v>
      </c>
      <c r="E249" s="8" t="s">
        <v>77</v>
      </c>
      <c r="F249" s="8" t="s">
        <v>77</v>
      </c>
      <c r="G249" s="8" t="s">
        <v>77</v>
      </c>
    </row>
    <row r="250" spans="1:7" ht="15" customHeight="1" x14ac:dyDescent="0.2">
      <c r="A250" s="17" t="s">
        <v>402</v>
      </c>
      <c r="B250" s="18" t="s">
        <v>403</v>
      </c>
      <c r="C250" s="17" t="s">
        <v>193</v>
      </c>
      <c r="D250" s="18" t="s">
        <v>404</v>
      </c>
      <c r="E250" s="17" t="s">
        <v>172</v>
      </c>
      <c r="F250" s="17" t="s">
        <v>405</v>
      </c>
      <c r="G250" s="17" t="s">
        <v>406</v>
      </c>
    </row>
    <row r="251" spans="1:7" ht="15" customHeight="1" x14ac:dyDescent="0.2">
      <c r="A251" s="28" t="s">
        <v>354</v>
      </c>
      <c r="B251" s="29">
        <f>B210</f>
        <v>4.9201724231642735E-7</v>
      </c>
      <c r="C251" s="30" t="s">
        <v>77</v>
      </c>
      <c r="D251" s="29">
        <f>B223</f>
        <v>1.1261328619764429E-5</v>
      </c>
      <c r="E251" s="13">
        <f>B251+D251</f>
        <v>1.1753345862080856E-5</v>
      </c>
      <c r="F251" s="8">
        <f>E251/E258</f>
        <v>0.6154815069252324</v>
      </c>
      <c r="G251" s="8">
        <v>28.013000000000002</v>
      </c>
    </row>
    <row r="252" spans="1:7" ht="15" customHeight="1" x14ac:dyDescent="0.2">
      <c r="A252" s="17" t="s">
        <v>375</v>
      </c>
      <c r="B252" s="14" t="s">
        <v>77</v>
      </c>
      <c r="C252" s="31" t="s">
        <v>77</v>
      </c>
      <c r="D252" s="29">
        <f>B247</f>
        <v>4.7898074318922072E-7</v>
      </c>
      <c r="E252" s="13">
        <f>D252</f>
        <v>4.7898074318922072E-7</v>
      </c>
      <c r="F252" s="8">
        <f>E252/E258</f>
        <v>2.5082541862175418E-2</v>
      </c>
      <c r="G252" s="8">
        <v>31.998999999999999</v>
      </c>
    </row>
    <row r="253" spans="1:7" ht="15" customHeight="1" x14ac:dyDescent="0.2">
      <c r="A253" s="28" t="s">
        <v>358</v>
      </c>
      <c r="B253" s="29">
        <f>B212</f>
        <v>1.0543226621066301E-7</v>
      </c>
      <c r="C253" s="29">
        <f>B246</f>
        <v>1.3825672505864146E-6</v>
      </c>
      <c r="D253" s="29">
        <f>B225</f>
        <v>3.4235912025895845E-7</v>
      </c>
      <c r="E253" s="13">
        <f>B253+C253+D253</f>
        <v>1.830358637056036E-6</v>
      </c>
      <c r="F253" s="8">
        <f>E253/E258</f>
        <v>9.584946323951829E-2</v>
      </c>
      <c r="G253" s="8">
        <v>18.015499999999999</v>
      </c>
    </row>
    <row r="254" spans="1:7" ht="15" customHeight="1" x14ac:dyDescent="0.2">
      <c r="A254" s="17" t="s">
        <v>389</v>
      </c>
      <c r="B254" s="32" t="s">
        <v>77</v>
      </c>
      <c r="C254" s="29">
        <f>B243</f>
        <v>1.915922972756885E-6</v>
      </c>
      <c r="D254" s="33" t="s">
        <v>77</v>
      </c>
      <c r="E254" s="8">
        <f>C254</f>
        <v>1.915922972756885E-6</v>
      </c>
      <c r="F254" s="8">
        <f>E254/E258</f>
        <v>0.10033016744870178</v>
      </c>
      <c r="G254" s="8">
        <v>2.016</v>
      </c>
    </row>
    <row r="255" spans="1:7" ht="15" customHeight="1" x14ac:dyDescent="0.2">
      <c r="A255" s="28" t="s">
        <v>356</v>
      </c>
      <c r="B255" s="29">
        <f>B211</f>
        <v>1.0543226621066301E-7</v>
      </c>
      <c r="C255" s="29">
        <f>B245</f>
        <v>9.5184089409142095E-7</v>
      </c>
      <c r="D255" s="13" t="s">
        <v>77</v>
      </c>
      <c r="E255" s="8">
        <f>B255+C255</f>
        <v>1.057273160302084E-6</v>
      </c>
      <c r="F255" s="8">
        <f>E255/E258</f>
        <v>5.5365687827986829E-2</v>
      </c>
      <c r="G255" s="8">
        <v>44.01</v>
      </c>
    </row>
    <row r="256" spans="1:7" ht="15" customHeight="1" x14ac:dyDescent="0.2">
      <c r="A256" s="17" t="s">
        <v>387</v>
      </c>
      <c r="B256" s="34" t="s">
        <v>77</v>
      </c>
      <c r="C256" s="29">
        <f>B242</f>
        <v>1.915922972756885E-6</v>
      </c>
      <c r="D256" s="35" t="s">
        <v>77</v>
      </c>
      <c r="E256" s="8">
        <f>C256</f>
        <v>1.915922972756885E-6</v>
      </c>
      <c r="F256" s="8">
        <f>E256/E258</f>
        <v>0.10033016744870178</v>
      </c>
      <c r="G256" s="8">
        <v>28.0105</v>
      </c>
    </row>
    <row r="257" spans="1:12" ht="15" customHeight="1" x14ac:dyDescent="0.2">
      <c r="A257" s="17" t="s">
        <v>378</v>
      </c>
      <c r="B257" s="8" t="s">
        <v>77</v>
      </c>
      <c r="C257" s="34" t="s">
        <v>77</v>
      </c>
      <c r="D257" s="29">
        <f>B226</f>
        <v>1.4437600794569783E-7</v>
      </c>
      <c r="E257" s="13">
        <f>D257</f>
        <v>1.4437600794569783E-7</v>
      </c>
      <c r="F257" s="8">
        <f>E257/E258</f>
        <v>7.5604652476835375E-3</v>
      </c>
      <c r="G257" s="8">
        <v>39.948</v>
      </c>
    </row>
    <row r="258" spans="1:12" ht="15" customHeight="1" x14ac:dyDescent="0.2">
      <c r="A258" s="17" t="s">
        <v>407</v>
      </c>
      <c r="B258" s="8">
        <f>B251+B253+B255</f>
        <v>7.0288177473775345E-7</v>
      </c>
      <c r="C258" s="8">
        <f>SUM(C253:C256)</f>
        <v>6.1662540901916055E-6</v>
      </c>
      <c r="D258" s="19">
        <f>SUM(D251:D253)+D257</f>
        <v>1.2227044491158306E-5</v>
      </c>
      <c r="E258" s="8">
        <f>SUM(E251:E257)</f>
        <v>1.9096180356087664E-5</v>
      </c>
      <c r="F258" s="8">
        <f>SUM(F251:F257)</f>
        <v>1</v>
      </c>
      <c r="G258" s="8">
        <f>SUMPRODUCT(G251:G257,F251:F257)</f>
        <v>25.522108875458432</v>
      </c>
    </row>
    <row r="259" spans="1:12" ht="15" customHeight="1" x14ac:dyDescent="0.2">
      <c r="A259" s="8" t="s">
        <v>77</v>
      </c>
      <c r="B259" s="8" t="s">
        <v>77</v>
      </c>
      <c r="C259" s="8" t="s">
        <v>77</v>
      </c>
      <c r="D259" s="8" t="s">
        <v>77</v>
      </c>
      <c r="E259" s="8" t="s">
        <v>77</v>
      </c>
      <c r="F259" s="8" t="s">
        <v>77</v>
      </c>
      <c r="G259" s="8" t="s">
        <v>77</v>
      </c>
    </row>
    <row r="260" spans="1:12" ht="15" customHeight="1" x14ac:dyDescent="0.2">
      <c r="A260" s="17" t="s">
        <v>408</v>
      </c>
      <c r="B260" s="7">
        <f>E258*G258</f>
        <v>4.8737479415345995E-4</v>
      </c>
      <c r="C260" s="17" t="s">
        <v>255</v>
      </c>
      <c r="D260" s="17" t="s">
        <v>409</v>
      </c>
      <c r="E260" s="8" t="s">
        <v>77</v>
      </c>
      <c r="F260" s="8">
        <f>F251</f>
        <v>0.6154815069252324</v>
      </c>
      <c r="G260" s="8">
        <f>F252</f>
        <v>2.5082541862175418E-2</v>
      </c>
      <c r="H260">
        <f>F253</f>
        <v>9.584946323951829E-2</v>
      </c>
      <c r="I260">
        <f>F254</f>
        <v>0.10033016744870178</v>
      </c>
      <c r="J260">
        <f>F255</f>
        <v>5.5365687827986829E-2</v>
      </c>
      <c r="K260">
        <f>F256</f>
        <v>0.10033016744870178</v>
      </c>
      <c r="L260">
        <f>F257</f>
        <v>7.5604652476835375E-3</v>
      </c>
    </row>
    <row r="261" spans="1:12" ht="15" customHeight="1" x14ac:dyDescent="0.2">
      <c r="A261" s="17" t="s">
        <v>317</v>
      </c>
      <c r="B261" s="7">
        <v>4.6459699268552298E-4</v>
      </c>
      <c r="C261" s="17" t="s">
        <v>255</v>
      </c>
      <c r="D261" s="17" t="s">
        <v>410</v>
      </c>
      <c r="E261" s="8" t="s">
        <v>77</v>
      </c>
      <c r="F261" s="8" t="s">
        <v>77</v>
      </c>
      <c r="G261" s="8" t="s">
        <v>77</v>
      </c>
    </row>
    <row r="262" spans="1:12" ht="15" customHeight="1" x14ac:dyDescent="0.2">
      <c r="A262" s="17" t="s">
        <v>411</v>
      </c>
      <c r="B262" s="8" t="s">
        <v>77</v>
      </c>
      <c r="C262" s="17" t="s">
        <v>255</v>
      </c>
      <c r="D262" s="17" t="s">
        <v>412</v>
      </c>
      <c r="E262" s="8" t="s">
        <v>77</v>
      </c>
      <c r="F262" s="8" t="s">
        <v>77</v>
      </c>
      <c r="G262" s="8" t="s">
        <v>77</v>
      </c>
    </row>
    <row r="263" spans="1:12" ht="15" customHeight="1" x14ac:dyDescent="0.2">
      <c r="A263" s="8" t="s">
        <v>77</v>
      </c>
      <c r="B263" s="8" t="s">
        <v>77</v>
      </c>
      <c r="C263" s="8" t="s">
        <v>77</v>
      </c>
      <c r="D263" s="8" t="s">
        <v>77</v>
      </c>
      <c r="E263" s="8" t="s">
        <v>77</v>
      </c>
      <c r="F263" s="8" t="s">
        <v>77</v>
      </c>
      <c r="G263" s="8" t="s">
        <v>77</v>
      </c>
    </row>
    <row r="264" spans="1:12" ht="15" customHeight="1" x14ac:dyDescent="0.2">
      <c r="A264" s="24" t="s">
        <v>413</v>
      </c>
      <c r="B264" s="8" t="s">
        <v>77</v>
      </c>
      <c r="C264" s="8" t="s">
        <v>77</v>
      </c>
      <c r="D264" s="17" t="s">
        <v>414</v>
      </c>
      <c r="E264" s="8" t="s">
        <v>77</v>
      </c>
      <c r="F264" s="8" t="s">
        <v>77</v>
      </c>
      <c r="G264" s="8" t="s">
        <v>77</v>
      </c>
    </row>
    <row r="265" spans="1:12" ht="15" customHeight="1" x14ac:dyDescent="0.2">
      <c r="A265" s="17" t="s">
        <v>415</v>
      </c>
      <c r="B265" s="8">
        <f>B126</f>
        <v>2.032236803685956E-5</v>
      </c>
      <c r="C265" s="17" t="s">
        <v>255</v>
      </c>
      <c r="D265" s="17" t="s">
        <v>416</v>
      </c>
      <c r="E265" s="8" t="s">
        <v>77</v>
      </c>
      <c r="F265" s="8" t="s">
        <v>77</v>
      </c>
      <c r="G265" s="8" t="s">
        <v>77</v>
      </c>
    </row>
    <row r="266" spans="1:12" ht="15" customHeight="1" x14ac:dyDescent="0.2">
      <c r="A266" s="17" t="s">
        <v>290</v>
      </c>
      <c r="B266" s="8">
        <f>B162</f>
        <v>-2404.33</v>
      </c>
      <c r="C266" s="17" t="s">
        <v>183</v>
      </c>
      <c r="D266" s="8" t="s">
        <v>77</v>
      </c>
      <c r="E266" s="8" t="s">
        <v>77</v>
      </c>
      <c r="F266" s="8" t="s">
        <v>77</v>
      </c>
      <c r="G266" s="8" t="s">
        <v>77</v>
      </c>
    </row>
    <row r="267" spans="1:12" ht="15" customHeight="1" x14ac:dyDescent="0.2">
      <c r="A267" s="17" t="s">
        <v>417</v>
      </c>
      <c r="B267" s="8">
        <f>B151</f>
        <v>4.2441654764359873E-5</v>
      </c>
      <c r="C267" s="17" t="s">
        <v>255</v>
      </c>
      <c r="D267" s="17" t="s">
        <v>418</v>
      </c>
      <c r="E267" s="8" t="s">
        <v>77</v>
      </c>
      <c r="F267" s="8" t="s">
        <v>77</v>
      </c>
      <c r="G267" s="8" t="s">
        <v>77</v>
      </c>
    </row>
    <row r="268" spans="1:12" ht="15" customHeight="1" x14ac:dyDescent="0.2">
      <c r="A268" s="17" t="s">
        <v>303</v>
      </c>
      <c r="B268" s="8">
        <f>B175</f>
        <v>-2136.6245796331114</v>
      </c>
      <c r="C268" s="17" t="s">
        <v>183</v>
      </c>
      <c r="D268" s="8" t="s">
        <v>77</v>
      </c>
      <c r="E268" s="8" t="s">
        <v>77</v>
      </c>
      <c r="F268" s="8" t="s">
        <v>77</v>
      </c>
      <c r="G268" s="8" t="s">
        <v>77</v>
      </c>
    </row>
    <row r="269" spans="1:12" ht="15" customHeight="1" x14ac:dyDescent="0.2">
      <c r="A269" s="17" t="s">
        <v>419</v>
      </c>
      <c r="B269" s="8">
        <f>B149</f>
        <v>4.2441654764359876E-4</v>
      </c>
      <c r="C269" s="17" t="s">
        <v>255</v>
      </c>
      <c r="D269" s="17" t="s">
        <v>420</v>
      </c>
      <c r="E269" s="8" t="s">
        <v>77</v>
      </c>
      <c r="F269" s="8" t="s">
        <v>77</v>
      </c>
      <c r="G269" s="8" t="s">
        <v>77</v>
      </c>
    </row>
    <row r="270" spans="1:12" ht="15" customHeight="1" x14ac:dyDescent="0.2">
      <c r="A270" s="17" t="s">
        <v>296</v>
      </c>
      <c r="B270" s="8">
        <f>B168</f>
        <v>-132.78899999999999</v>
      </c>
      <c r="C270" s="17" t="s">
        <v>183</v>
      </c>
      <c r="D270" s="8" t="s">
        <v>77</v>
      </c>
      <c r="E270" s="8" t="s">
        <v>77</v>
      </c>
      <c r="F270" s="8" t="s">
        <v>77</v>
      </c>
      <c r="G270" s="8" t="s">
        <v>77</v>
      </c>
    </row>
    <row r="271" spans="1:12" ht="15" customHeight="1" x14ac:dyDescent="0.2">
      <c r="A271" s="17" t="s">
        <v>421</v>
      </c>
      <c r="B271" s="8">
        <f>B205/1000</f>
        <v>3.0653489108426715E-3</v>
      </c>
      <c r="C271" s="17" t="s">
        <v>281</v>
      </c>
      <c r="D271" s="17" t="s">
        <v>422</v>
      </c>
      <c r="E271" s="8" t="s">
        <v>77</v>
      </c>
      <c r="F271" s="8" t="s">
        <v>77</v>
      </c>
      <c r="G271" s="8" t="s">
        <v>77</v>
      </c>
    </row>
    <row r="272" spans="1:12" ht="15" customHeight="1" x14ac:dyDescent="0.2">
      <c r="A272" s="8" t="s">
        <v>77</v>
      </c>
      <c r="B272" s="8" t="s">
        <v>77</v>
      </c>
      <c r="C272" s="8" t="s">
        <v>77</v>
      </c>
      <c r="D272" s="8" t="s">
        <v>77</v>
      </c>
      <c r="E272" s="8" t="s">
        <v>77</v>
      </c>
      <c r="F272" s="8" t="s">
        <v>77</v>
      </c>
      <c r="G272" s="8" t="s">
        <v>77</v>
      </c>
    </row>
    <row r="273" spans="1:7" ht="15" customHeight="1" x14ac:dyDescent="0.2">
      <c r="A273" s="56" t="s">
        <v>423</v>
      </c>
      <c r="B273" s="57">
        <f>(B265*B266+B267*B268+B269*B270-B271)/B260</f>
        <v>-408.24179287601061</v>
      </c>
      <c r="C273" s="56" t="s">
        <v>281</v>
      </c>
      <c r="D273" s="56" t="s">
        <v>424</v>
      </c>
      <c r="E273" s="8" t="s">
        <v>77</v>
      </c>
      <c r="F273" s="57" t="s">
        <v>526</v>
      </c>
      <c r="G273" s="8" t="s">
        <v>77</v>
      </c>
    </row>
    <row r="274" spans="1:7" ht="15" customHeight="1" x14ac:dyDescent="0.2">
      <c r="A274" s="17" t="s">
        <v>319</v>
      </c>
      <c r="B274" s="8">
        <f>B187</f>
        <v>8.6329712149803201E-2</v>
      </c>
      <c r="C274" s="17" t="s">
        <v>201</v>
      </c>
      <c r="D274" s="17" t="s">
        <v>425</v>
      </c>
      <c r="E274" s="8" t="s">
        <v>77</v>
      </c>
      <c r="F274" s="8" t="s">
        <v>77</v>
      </c>
      <c r="G274" s="8" t="s">
        <v>77</v>
      </c>
    </row>
    <row r="275" spans="1:7" ht="15" customHeight="1" x14ac:dyDescent="0.2">
      <c r="A275" s="8" t="s">
        <v>77</v>
      </c>
      <c r="B275" s="8" t="s">
        <v>77</v>
      </c>
      <c r="C275" s="8" t="s">
        <v>77</v>
      </c>
      <c r="D275" s="8" t="s">
        <v>77</v>
      </c>
      <c r="E275" s="8" t="s">
        <v>77</v>
      </c>
      <c r="F275" s="8" t="s">
        <v>77</v>
      </c>
      <c r="G275" s="8" t="s">
        <v>77</v>
      </c>
    </row>
    <row r="276" spans="1:7" ht="15" customHeight="1" x14ac:dyDescent="0.2">
      <c r="A276" s="17" t="s">
        <v>426</v>
      </c>
      <c r="B276" s="8">
        <v>2100.8184799999999</v>
      </c>
      <c r="C276" s="17" t="s">
        <v>153</v>
      </c>
      <c r="D276" s="17" t="s">
        <v>427</v>
      </c>
      <c r="E276" s="8" t="s">
        <v>77</v>
      </c>
      <c r="F276" s="8" t="s">
        <v>77</v>
      </c>
      <c r="G276" s="8" t="s">
        <v>77</v>
      </c>
    </row>
    <row r="277" spans="1:7" ht="15" customHeight="1" x14ac:dyDescent="0.2">
      <c r="A277" s="17" t="s">
        <v>428</v>
      </c>
      <c r="B277" s="8">
        <v>7927.7587700000004</v>
      </c>
      <c r="C277" s="17" t="s">
        <v>155</v>
      </c>
      <c r="D277" s="8" t="s">
        <v>77</v>
      </c>
      <c r="E277" s="8" t="s">
        <v>77</v>
      </c>
      <c r="F277" s="8" t="s">
        <v>77</v>
      </c>
      <c r="G277" s="8" t="s">
        <v>77</v>
      </c>
    </row>
    <row r="278" spans="1:7" ht="15" customHeight="1" x14ac:dyDescent="0.2">
      <c r="A278" s="17" t="s">
        <v>429</v>
      </c>
      <c r="B278" s="58">
        <v>0.32577499999999998</v>
      </c>
      <c r="C278" s="17" t="s">
        <v>203</v>
      </c>
      <c r="D278" s="8" t="s">
        <v>77</v>
      </c>
      <c r="E278" s="8" t="s">
        <v>77</v>
      </c>
      <c r="F278" s="8" t="s">
        <v>77</v>
      </c>
      <c r="G278" s="8" t="s">
        <v>77</v>
      </c>
    </row>
    <row r="279" spans="1:7" ht="15" customHeight="1" x14ac:dyDescent="0.2">
      <c r="A279" s="17" t="s">
        <v>430</v>
      </c>
      <c r="B279" s="58">
        <v>6.4178069999999998</v>
      </c>
      <c r="C279" s="17" t="s">
        <v>203</v>
      </c>
      <c r="D279" s="8" t="s">
        <v>77</v>
      </c>
      <c r="E279" s="8" t="s">
        <v>77</v>
      </c>
      <c r="F279" s="8" t="s">
        <v>77</v>
      </c>
      <c r="G279" s="8" t="s">
        <v>77</v>
      </c>
    </row>
    <row r="280" spans="1:7" ht="15" customHeight="1" x14ac:dyDescent="0.2">
      <c r="A280" s="8" t="s">
        <v>77</v>
      </c>
      <c r="B280" s="8" t="s">
        <v>77</v>
      </c>
      <c r="C280" s="8" t="s">
        <v>77</v>
      </c>
      <c r="D280" s="8" t="s">
        <v>77</v>
      </c>
      <c r="E280" s="8" t="s">
        <v>77</v>
      </c>
      <c r="F280" s="8" t="s">
        <v>77</v>
      </c>
      <c r="G280" s="8" t="s">
        <v>77</v>
      </c>
    </row>
    <row r="281" spans="1:7" ht="15" customHeight="1" x14ac:dyDescent="0.2">
      <c r="A281" s="17" t="s">
        <v>431</v>
      </c>
      <c r="B281" s="7">
        <f>B276*B185</f>
        <v>2267.8465280858045</v>
      </c>
      <c r="C281" s="17" t="s">
        <v>153</v>
      </c>
      <c r="D281" s="17" t="s">
        <v>432</v>
      </c>
      <c r="E281" s="8" t="s">
        <v>77</v>
      </c>
      <c r="F281" s="8" t="s">
        <v>77</v>
      </c>
      <c r="G281" s="8" t="s">
        <v>77</v>
      </c>
    </row>
    <row r="282" spans="1:7" ht="15" customHeight="1" x14ac:dyDescent="0.2">
      <c r="A282" s="17" t="s">
        <v>433</v>
      </c>
      <c r="B282" s="8">
        <f>B277</f>
        <v>7927.7587700000004</v>
      </c>
      <c r="C282" s="17" t="s">
        <v>155</v>
      </c>
      <c r="D282" s="17" t="s">
        <v>434</v>
      </c>
      <c r="E282" s="8" t="s">
        <v>77</v>
      </c>
      <c r="F282" s="8" t="s">
        <v>77</v>
      </c>
      <c r="G282" s="8" t="s">
        <v>77</v>
      </c>
    </row>
    <row r="283" spans="1:7" ht="15" customHeight="1" x14ac:dyDescent="0.2">
      <c r="A283" s="8" t="s">
        <v>77</v>
      </c>
      <c r="B283" s="8" t="s">
        <v>77</v>
      </c>
      <c r="C283" s="8" t="s">
        <v>77</v>
      </c>
      <c r="D283" s="8" t="s">
        <v>77</v>
      </c>
      <c r="E283" s="8" t="s">
        <v>77</v>
      </c>
      <c r="F283" s="8" t="s">
        <v>77</v>
      </c>
      <c r="G283" s="8" t="s">
        <v>77</v>
      </c>
    </row>
    <row r="284" spans="1:7" ht="15" customHeight="1" x14ac:dyDescent="0.2">
      <c r="A284" s="24" t="s">
        <v>435</v>
      </c>
      <c r="B284" s="8" t="s">
        <v>77</v>
      </c>
      <c r="C284" s="8" t="s">
        <v>77</v>
      </c>
      <c r="D284" s="8" t="s">
        <v>77</v>
      </c>
      <c r="E284" s="8" t="s">
        <v>77</v>
      </c>
      <c r="F284" s="8" t="s">
        <v>77</v>
      </c>
      <c r="G284" s="8" t="s">
        <v>77</v>
      </c>
    </row>
    <row r="285" spans="1:7" ht="15" customHeight="1" x14ac:dyDescent="0.2">
      <c r="A285" s="17" t="s">
        <v>436</v>
      </c>
      <c r="B285" s="8">
        <f>B278*(B281-B276)</f>
        <v>54.413562365152984</v>
      </c>
      <c r="C285" s="17" t="s">
        <v>183</v>
      </c>
      <c r="D285" s="17" t="s">
        <v>437</v>
      </c>
      <c r="E285" s="8" t="s">
        <v>77</v>
      </c>
      <c r="F285" s="8" t="s">
        <v>77</v>
      </c>
      <c r="G285" s="8" t="s">
        <v>77</v>
      </c>
    </row>
    <row r="286" spans="1:7" ht="15" customHeight="1" x14ac:dyDescent="0.2">
      <c r="A286" s="17" t="s">
        <v>438</v>
      </c>
      <c r="B286" s="8">
        <f>B260*B285</f>
        <v>2.6519798756872891E-2</v>
      </c>
      <c r="C286" s="17" t="s">
        <v>281</v>
      </c>
      <c r="D286" s="17" t="s">
        <v>439</v>
      </c>
      <c r="E286" s="8" t="s">
        <v>77</v>
      </c>
      <c r="F286" s="8" t="s">
        <v>77</v>
      </c>
      <c r="G286" s="8" t="s">
        <v>77</v>
      </c>
    </row>
    <row r="287" spans="1:7" ht="15" customHeight="1" x14ac:dyDescent="0.2">
      <c r="A287" s="8" t="s">
        <v>77</v>
      </c>
      <c r="B287" s="8">
        <f>B286*1000</f>
        <v>26.519798756872891</v>
      </c>
      <c r="C287" s="17" t="s">
        <v>148</v>
      </c>
      <c r="D287" s="8" t="s">
        <v>77</v>
      </c>
      <c r="E287" s="8" t="s">
        <v>77</v>
      </c>
      <c r="F287" s="8" t="s">
        <v>77</v>
      </c>
      <c r="G287" s="8" t="s">
        <v>77</v>
      </c>
    </row>
    <row r="288" spans="1:7" ht="15" customHeight="1" x14ac:dyDescent="0.2">
      <c r="A288" s="8" t="s">
        <v>77</v>
      </c>
      <c r="B288" s="8" t="s">
        <v>77</v>
      </c>
      <c r="C288" s="8" t="s">
        <v>77</v>
      </c>
      <c r="D288" s="8" t="s">
        <v>77</v>
      </c>
      <c r="E288" s="8" t="s">
        <v>77</v>
      </c>
      <c r="F288" s="8" t="s">
        <v>77</v>
      </c>
      <c r="G288" s="8" t="s">
        <v>77</v>
      </c>
    </row>
    <row r="289" spans="1:7" ht="15" customHeight="1" x14ac:dyDescent="0.2">
      <c r="A289" s="24" t="s">
        <v>440</v>
      </c>
      <c r="B289" s="8" t="s">
        <v>77</v>
      </c>
      <c r="C289" s="8" t="s">
        <v>77</v>
      </c>
      <c r="D289" s="17" t="s">
        <v>441</v>
      </c>
      <c r="E289" s="8" t="s">
        <v>77</v>
      </c>
      <c r="F289" s="8" t="s">
        <v>77</v>
      </c>
      <c r="G289" s="8" t="s">
        <v>77</v>
      </c>
    </row>
    <row r="290" spans="1:7" ht="15" customHeight="1" x14ac:dyDescent="0.2">
      <c r="A290" s="17" t="s">
        <v>442</v>
      </c>
      <c r="B290" s="8">
        <f>B279</f>
        <v>6.4178069999999998</v>
      </c>
      <c r="C290" s="17" t="s">
        <v>203</v>
      </c>
      <c r="D290" s="8" t="s">
        <v>77</v>
      </c>
      <c r="E290" s="8" t="s">
        <v>77</v>
      </c>
      <c r="F290" s="8" t="s">
        <v>77</v>
      </c>
      <c r="G290" s="8" t="s">
        <v>77</v>
      </c>
    </row>
    <row r="291" spans="1:7" ht="15" customHeight="1" x14ac:dyDescent="0.2">
      <c r="A291" s="17" t="s">
        <v>443</v>
      </c>
      <c r="B291" s="8">
        <f>B12/B260</f>
        <v>0.75942634811269571</v>
      </c>
      <c r="C291" s="17" t="s">
        <v>201</v>
      </c>
      <c r="D291" s="8" t="s">
        <v>77</v>
      </c>
      <c r="E291" s="8" t="s">
        <v>77</v>
      </c>
      <c r="F291" s="8" t="s">
        <v>77</v>
      </c>
      <c r="G291" s="8" t="s">
        <v>77</v>
      </c>
    </row>
    <row r="292" spans="1:7" ht="15" customHeight="1" x14ac:dyDescent="0.2">
      <c r="A292" s="8" t="s">
        <v>77</v>
      </c>
      <c r="B292" s="8" t="s">
        <v>77</v>
      </c>
      <c r="C292" s="8" t="s">
        <v>77</v>
      </c>
      <c r="D292" s="8" t="s">
        <v>77</v>
      </c>
      <c r="E292" s="8" t="s">
        <v>77</v>
      </c>
      <c r="F292" s="8" t="s">
        <v>77</v>
      </c>
      <c r="G292" s="8" t="s">
        <v>77</v>
      </c>
    </row>
    <row r="293" spans="1:7" ht="15" customHeight="1" x14ac:dyDescent="0.2">
      <c r="A293" s="17" t="s">
        <v>444</v>
      </c>
      <c r="B293" s="8">
        <v>2100.8184799999999</v>
      </c>
      <c r="C293" s="17" t="s">
        <v>153</v>
      </c>
      <c r="D293" s="17" t="s">
        <v>445</v>
      </c>
      <c r="E293" s="8" t="s">
        <v>77</v>
      </c>
      <c r="F293" s="8" t="s">
        <v>77</v>
      </c>
      <c r="G293" s="8" t="s">
        <v>77</v>
      </c>
    </row>
    <row r="294" spans="1:7" ht="15" customHeight="1" x14ac:dyDescent="0.2">
      <c r="A294" s="17" t="s">
        <v>446</v>
      </c>
      <c r="B294" s="8">
        <v>7927.7587700000004</v>
      </c>
      <c r="C294" s="17" t="s">
        <v>155</v>
      </c>
      <c r="D294" s="8" t="s">
        <v>77</v>
      </c>
      <c r="E294" s="8" t="s">
        <v>77</v>
      </c>
      <c r="F294" s="8" t="s">
        <v>77</v>
      </c>
      <c r="G294" s="8" t="s">
        <v>77</v>
      </c>
    </row>
    <row r="295" spans="1:7" ht="15" customHeight="1" x14ac:dyDescent="0.2">
      <c r="A295" s="17" t="s">
        <v>447</v>
      </c>
      <c r="B295" s="58">
        <v>-403.21</v>
      </c>
      <c r="C295" s="17" t="s">
        <v>183</v>
      </c>
      <c r="D295" s="8" t="s">
        <v>77</v>
      </c>
      <c r="E295" s="8" t="s">
        <v>77</v>
      </c>
      <c r="F295" s="8" t="s">
        <v>77</v>
      </c>
      <c r="G295" s="8" t="s">
        <v>77</v>
      </c>
    </row>
    <row r="296" spans="1:7" ht="15" customHeight="1" x14ac:dyDescent="0.2">
      <c r="A296" s="17" t="s">
        <v>448</v>
      </c>
      <c r="B296" s="8">
        <f>B290</f>
        <v>6.4178069999999998</v>
      </c>
      <c r="C296" s="17" t="s">
        <v>203</v>
      </c>
      <c r="D296" s="8" t="s">
        <v>77</v>
      </c>
      <c r="E296" s="8" t="s">
        <v>77</v>
      </c>
      <c r="F296" s="8" t="s">
        <v>77</v>
      </c>
      <c r="G296" s="8" t="s">
        <v>77</v>
      </c>
    </row>
    <row r="297" spans="1:7" ht="15" customHeight="1" x14ac:dyDescent="0.2">
      <c r="A297" s="8" t="s">
        <v>77</v>
      </c>
      <c r="B297" s="8" t="s">
        <v>77</v>
      </c>
      <c r="C297" s="8" t="s">
        <v>77</v>
      </c>
      <c r="D297" s="8" t="s">
        <v>77</v>
      </c>
      <c r="E297" s="8" t="s">
        <v>77</v>
      </c>
      <c r="F297" s="8" t="s">
        <v>77</v>
      </c>
      <c r="G297" s="8" t="s">
        <v>77</v>
      </c>
    </row>
    <row r="298" spans="1:7" ht="15" customHeight="1" x14ac:dyDescent="0.2">
      <c r="A298" s="17" t="s">
        <v>449</v>
      </c>
      <c r="B298" s="8">
        <f>B273-B295</f>
        <v>-5.031792876010627</v>
      </c>
      <c r="C298" s="17" t="s">
        <v>183</v>
      </c>
      <c r="D298" s="17" t="s">
        <v>450</v>
      </c>
      <c r="E298" s="8" t="s">
        <v>77</v>
      </c>
      <c r="F298" s="8" t="s">
        <v>77</v>
      </c>
      <c r="G298" s="8" t="s">
        <v>77</v>
      </c>
    </row>
    <row r="299" spans="1:7" ht="15" customHeight="1" x14ac:dyDescent="0.2">
      <c r="A299" s="17" t="s">
        <v>451</v>
      </c>
      <c r="B299" s="8">
        <f>B260*B298</f>
        <v>-2.4523690171685255E-3</v>
      </c>
      <c r="C299" s="17" t="s">
        <v>281</v>
      </c>
      <c r="D299" s="17" t="s">
        <v>439</v>
      </c>
      <c r="E299" s="8" t="s">
        <v>77</v>
      </c>
      <c r="F299" s="8" t="s">
        <v>77</v>
      </c>
      <c r="G299" s="8" t="s">
        <v>77</v>
      </c>
    </row>
    <row r="300" spans="1:7" ht="15" customHeight="1" x14ac:dyDescent="0.2">
      <c r="A300" s="8" t="s">
        <v>77</v>
      </c>
      <c r="B300" s="8">
        <f>B299*1000</f>
        <v>-2.4523690171685257</v>
      </c>
      <c r="C300" s="17" t="s">
        <v>148</v>
      </c>
      <c r="D300" s="8" t="s">
        <v>77</v>
      </c>
      <c r="E300" s="8" t="s">
        <v>77</v>
      </c>
      <c r="F300" s="8" t="s">
        <v>77</v>
      </c>
      <c r="G300" s="8" t="s">
        <v>77</v>
      </c>
    </row>
    <row r="301" spans="1:7" ht="15" customHeight="1" x14ac:dyDescent="0.2">
      <c r="A301" s="8" t="s">
        <v>77</v>
      </c>
      <c r="B301" s="8" t="s">
        <v>77</v>
      </c>
      <c r="C301" s="8" t="s">
        <v>77</v>
      </c>
      <c r="D301" s="8" t="s">
        <v>77</v>
      </c>
      <c r="E301" s="8" t="s">
        <v>77</v>
      </c>
      <c r="F301" s="8" t="s">
        <v>77</v>
      </c>
      <c r="G301" s="8" t="s">
        <v>77</v>
      </c>
    </row>
    <row r="302" spans="1:7" ht="15" customHeight="1" x14ac:dyDescent="0.2">
      <c r="A302" s="24" t="s">
        <v>452</v>
      </c>
      <c r="B302" s="8" t="s">
        <v>77</v>
      </c>
      <c r="C302" s="8" t="s">
        <v>77</v>
      </c>
      <c r="D302" s="8" t="s">
        <v>77</v>
      </c>
      <c r="E302" s="8" t="s">
        <v>77</v>
      </c>
      <c r="F302" s="8" t="s">
        <v>77</v>
      </c>
      <c r="G302" s="8" t="s">
        <v>77</v>
      </c>
    </row>
    <row r="303" spans="1:7" ht="15" customHeight="1" x14ac:dyDescent="0.2">
      <c r="A303" s="17" t="s">
        <v>453</v>
      </c>
      <c r="B303" s="8">
        <f>B124</f>
        <v>1.9171290000000001</v>
      </c>
      <c r="C303" s="17" t="s">
        <v>201</v>
      </c>
      <c r="D303" s="17" t="s">
        <v>454</v>
      </c>
      <c r="E303" s="8" t="s">
        <v>77</v>
      </c>
      <c r="F303" s="8" t="s">
        <v>77</v>
      </c>
      <c r="G303" s="8" t="s">
        <v>77</v>
      </c>
    </row>
    <row r="304" spans="1:7" ht="15" customHeight="1" x14ac:dyDescent="0.2">
      <c r="A304" s="17" t="s">
        <v>455</v>
      </c>
      <c r="B304" s="8">
        <f>1/B303</f>
        <v>0.52161330823330088</v>
      </c>
      <c r="C304" s="17" t="s">
        <v>201</v>
      </c>
      <c r="D304" s="17" t="s">
        <v>456</v>
      </c>
      <c r="E304" s="8" t="s">
        <v>77</v>
      </c>
      <c r="F304" s="8" t="s">
        <v>77</v>
      </c>
      <c r="G304" s="8" t="s">
        <v>77</v>
      </c>
    </row>
    <row r="305" spans="1:7" ht="15" customHeight="1" x14ac:dyDescent="0.2">
      <c r="A305" s="17" t="s">
        <v>457</v>
      </c>
      <c r="B305" s="7">
        <f>(B44/2)/B22</f>
        <v>24.890392174827145</v>
      </c>
      <c r="C305" s="17" t="s">
        <v>121</v>
      </c>
      <c r="D305" s="17" t="s">
        <v>458</v>
      </c>
      <c r="E305" s="8">
        <f>(B44/2)/B22</f>
        <v>24.890392174827145</v>
      </c>
      <c r="F305" s="8" t="s">
        <v>77</v>
      </c>
      <c r="G305" s="8" t="s">
        <v>77</v>
      </c>
    </row>
    <row r="306" spans="1:7" ht="15" customHeight="1" x14ac:dyDescent="0.2">
      <c r="A306" s="17" t="s">
        <v>231</v>
      </c>
      <c r="B306" s="7">
        <v>202.68343065067199</v>
      </c>
      <c r="C306" s="17" t="s">
        <v>232</v>
      </c>
      <c r="D306" s="8" t="s">
        <v>77</v>
      </c>
      <c r="E306" s="8" t="s">
        <v>77</v>
      </c>
      <c r="F306" s="8" t="s">
        <v>77</v>
      </c>
      <c r="G306" s="8" t="s">
        <v>77</v>
      </c>
    </row>
    <row r="307" spans="1:7" ht="15" customHeight="1" x14ac:dyDescent="0.2">
      <c r="A307" s="17" t="s">
        <v>459</v>
      </c>
      <c r="B307" s="7">
        <f>((1/2)*5*B304*B305^2)/1000</f>
        <v>0.80788984807059983</v>
      </c>
      <c r="C307" s="17" t="s">
        <v>155</v>
      </c>
      <c r="D307" s="17" t="s">
        <v>460</v>
      </c>
      <c r="E307" s="8">
        <f>((1/2)*5*B304*B305^2)/1000</f>
        <v>0.80788984807059983</v>
      </c>
      <c r="F307" s="8" t="s">
        <v>77</v>
      </c>
      <c r="G307" s="8" t="s">
        <v>77</v>
      </c>
    </row>
    <row r="308" spans="1:7" ht="15" customHeight="1" x14ac:dyDescent="0.2">
      <c r="A308" s="8" t="s">
        <v>77</v>
      </c>
      <c r="B308" s="8" t="s">
        <v>77</v>
      </c>
      <c r="C308" s="8" t="s">
        <v>77</v>
      </c>
      <c r="D308" s="8" t="s">
        <v>77</v>
      </c>
      <c r="E308" s="8" t="s">
        <v>77</v>
      </c>
      <c r="F308" s="8" t="s">
        <v>77</v>
      </c>
      <c r="G308" s="8" t="s">
        <v>77</v>
      </c>
    </row>
    <row r="309" spans="1:7" ht="15" customHeight="1" x14ac:dyDescent="0.2">
      <c r="A309" s="17" t="s">
        <v>461</v>
      </c>
      <c r="B309" s="8">
        <f>B56-B307</f>
        <v>99.192110151929398</v>
      </c>
      <c r="C309" s="17" t="s">
        <v>155</v>
      </c>
      <c r="D309" s="17" t="s">
        <v>462</v>
      </c>
      <c r="E309" s="8" t="s">
        <v>77</v>
      </c>
      <c r="F309" s="8" t="s">
        <v>77</v>
      </c>
      <c r="G309" s="8" t="s">
        <v>77</v>
      </c>
    </row>
    <row r="310" spans="1:7" ht="15" customHeight="1" x14ac:dyDescent="0.2">
      <c r="A310" s="17" t="s">
        <v>463</v>
      </c>
      <c r="B310" s="8">
        <f>B296</f>
        <v>6.4178069999999998</v>
      </c>
      <c r="C310" s="17" t="s">
        <v>203</v>
      </c>
      <c r="D310" s="8" t="s">
        <v>77</v>
      </c>
      <c r="E310" s="8" t="s">
        <v>77</v>
      </c>
      <c r="F310" s="8" t="s">
        <v>77</v>
      </c>
      <c r="G310" s="8" t="s">
        <v>77</v>
      </c>
    </row>
    <row r="311" spans="1:7" ht="15" customHeight="1" x14ac:dyDescent="0.2">
      <c r="A311" s="8" t="s">
        <v>77</v>
      </c>
      <c r="B311" s="8" t="s">
        <v>77</v>
      </c>
      <c r="C311" s="8" t="s">
        <v>77</v>
      </c>
      <c r="D311" s="8" t="s">
        <v>77</v>
      </c>
      <c r="E311" s="8" t="s">
        <v>77</v>
      </c>
      <c r="F311" s="8" t="s">
        <v>77</v>
      </c>
      <c r="G311" s="8" t="s">
        <v>77</v>
      </c>
    </row>
    <row r="312" spans="1:7" ht="15" customHeight="1" x14ac:dyDescent="0.2">
      <c r="A312" s="17" t="s">
        <v>464</v>
      </c>
      <c r="B312" s="8">
        <v>761.83208500000001</v>
      </c>
      <c r="C312" s="17" t="s">
        <v>153</v>
      </c>
      <c r="D312" s="17" t="s">
        <v>465</v>
      </c>
      <c r="E312" s="8" t="s">
        <v>77</v>
      </c>
      <c r="F312" s="8" t="s">
        <v>77</v>
      </c>
      <c r="G312" s="8" t="s">
        <v>77</v>
      </c>
    </row>
    <row r="313" spans="1:7" ht="15" customHeight="1" x14ac:dyDescent="0.2">
      <c r="A313" s="17" t="s">
        <v>466</v>
      </c>
      <c r="B313" s="58">
        <v>2.5020760000000002</v>
      </c>
      <c r="C313" s="17" t="s">
        <v>201</v>
      </c>
      <c r="D313" s="8" t="s">
        <v>77</v>
      </c>
      <c r="E313" s="8" t="s">
        <v>77</v>
      </c>
      <c r="F313" s="8" t="s">
        <v>77</v>
      </c>
      <c r="G313" s="8" t="s">
        <v>77</v>
      </c>
    </row>
    <row r="314" spans="1:7" ht="15" customHeight="1" x14ac:dyDescent="0.2">
      <c r="A314" s="17" t="s">
        <v>467</v>
      </c>
      <c r="B314" s="8">
        <f>B313*B260</f>
        <v>1.2194487754563126E-3</v>
      </c>
      <c r="C314" s="17" t="s">
        <v>201</v>
      </c>
      <c r="D314" s="17" t="s">
        <v>468</v>
      </c>
      <c r="E314" s="8" t="s">
        <v>77</v>
      </c>
      <c r="F314" s="8" t="s">
        <v>77</v>
      </c>
      <c r="G314" s="8" t="s">
        <v>77</v>
      </c>
    </row>
    <row r="315" spans="1:7" ht="15" customHeight="1" x14ac:dyDescent="0.2">
      <c r="A315" s="17" t="s">
        <v>469</v>
      </c>
      <c r="B315" s="8">
        <v>0</v>
      </c>
      <c r="C315" s="17" t="s">
        <v>91</v>
      </c>
      <c r="D315" s="8">
        <f>B12-B314</f>
        <v>-8.4932351537017376E-4</v>
      </c>
      <c r="E315" s="8" t="s">
        <v>529</v>
      </c>
      <c r="F315" s="8" t="s">
        <v>77</v>
      </c>
      <c r="G315" s="8" t="s">
        <v>77</v>
      </c>
    </row>
    <row r="316" spans="1:7" ht="15" customHeight="1" x14ac:dyDescent="0.2">
      <c r="A316" s="8" t="s">
        <v>77</v>
      </c>
      <c r="B316" s="8" t="s">
        <v>77</v>
      </c>
      <c r="C316" s="8" t="s">
        <v>77</v>
      </c>
      <c r="D316" s="8" t="s">
        <v>77</v>
      </c>
      <c r="E316" s="8" t="s">
        <v>77</v>
      </c>
      <c r="F316" s="8" t="s">
        <v>77</v>
      </c>
      <c r="G316" s="8" t="s">
        <v>77</v>
      </c>
    </row>
    <row r="317" spans="1:7" ht="15" customHeight="1" x14ac:dyDescent="0.2">
      <c r="A317" s="17" t="s">
        <v>470</v>
      </c>
      <c r="B317" s="8">
        <v>0</v>
      </c>
      <c r="C317" s="17" t="s">
        <v>281</v>
      </c>
      <c r="D317" s="17" t="s">
        <v>471</v>
      </c>
      <c r="E317" s="8">
        <f>D315*B307</f>
        <v>-6.8615984579519743E-4</v>
      </c>
      <c r="F317" s="8" t="s">
        <v>77</v>
      </c>
      <c r="G317" s="8" t="s">
        <v>77</v>
      </c>
    </row>
    <row r="318" spans="1:7" ht="15" customHeight="1" x14ac:dyDescent="0.2">
      <c r="A318" s="8" t="s">
        <v>77</v>
      </c>
      <c r="B318" s="8">
        <v>0</v>
      </c>
      <c r="C318" s="17" t="s">
        <v>148</v>
      </c>
      <c r="D318" s="8" t="s">
        <v>77</v>
      </c>
      <c r="E318" s="8">
        <f>E317*1000</f>
        <v>-0.6861598457951974</v>
      </c>
      <c r="F318" s="8" t="s">
        <v>530</v>
      </c>
      <c r="G318" s="8" t="s">
        <v>77</v>
      </c>
    </row>
    <row r="319" spans="1:7" ht="15" customHeight="1" x14ac:dyDescent="0.2">
      <c r="A319" s="17" t="s">
        <v>472</v>
      </c>
      <c r="B319" s="7">
        <v>0</v>
      </c>
      <c r="C319" s="17" t="s">
        <v>281</v>
      </c>
      <c r="D319" s="17" t="s">
        <v>473</v>
      </c>
      <c r="E319" s="8" t="s">
        <v>77</v>
      </c>
      <c r="F319" s="8" t="s">
        <v>77</v>
      </c>
      <c r="G319" s="8" t="s">
        <v>77</v>
      </c>
    </row>
    <row r="320" spans="1:7" ht="15" customHeight="1" x14ac:dyDescent="0.2">
      <c r="A320" s="8" t="s">
        <v>77</v>
      </c>
      <c r="B320" s="8">
        <v>0</v>
      </c>
      <c r="C320" s="17" t="s">
        <v>148</v>
      </c>
      <c r="D320" s="8" t="s">
        <v>77</v>
      </c>
      <c r="E320" s="8" t="s">
        <v>77</v>
      </c>
      <c r="F320" s="8" t="s">
        <v>77</v>
      </c>
      <c r="G320" s="8" t="s">
        <v>77</v>
      </c>
    </row>
    <row r="321" spans="1:7" ht="15" customHeight="1" x14ac:dyDescent="0.2">
      <c r="A321" s="24" t="s">
        <v>474</v>
      </c>
      <c r="B321" s="8" t="s">
        <v>77</v>
      </c>
      <c r="C321" s="8" t="s">
        <v>77</v>
      </c>
      <c r="D321" s="8" t="s">
        <v>77</v>
      </c>
      <c r="E321" s="8" t="s">
        <v>77</v>
      </c>
      <c r="F321" s="8" t="s">
        <v>77</v>
      </c>
      <c r="G321" s="8" t="s">
        <v>77</v>
      </c>
    </row>
    <row r="322" spans="1:7" ht="15" customHeight="1" x14ac:dyDescent="0.2">
      <c r="A322" s="17" t="s">
        <v>475</v>
      </c>
      <c r="B322" s="7">
        <f>B51</f>
        <v>0.10728418923199437</v>
      </c>
      <c r="C322" s="17" t="s">
        <v>148</v>
      </c>
      <c r="D322" s="17" t="s">
        <v>476</v>
      </c>
      <c r="E322" s="8" t="s">
        <v>77</v>
      </c>
      <c r="F322" s="8" t="s">
        <v>77</v>
      </c>
      <c r="G322" s="8" t="s">
        <v>77</v>
      </c>
    </row>
    <row r="323" spans="1:7" ht="15" customHeight="1" x14ac:dyDescent="0.2">
      <c r="A323" s="17" t="s">
        <v>280</v>
      </c>
      <c r="B323" s="7">
        <f>B155</f>
        <v>0.30047610135732072</v>
      </c>
      <c r="C323" s="17" t="s">
        <v>148</v>
      </c>
      <c r="D323" s="17" t="s">
        <v>477</v>
      </c>
      <c r="E323" s="8" t="s">
        <v>77</v>
      </c>
      <c r="F323" s="8" t="s">
        <v>77</v>
      </c>
      <c r="G323" s="8" t="s">
        <v>77</v>
      </c>
    </row>
    <row r="324" spans="1:7" ht="15" customHeight="1" x14ac:dyDescent="0.2">
      <c r="A324" s="17" t="s">
        <v>310</v>
      </c>
      <c r="B324" s="7">
        <f>B181</f>
        <v>91.679637832799955</v>
      </c>
      <c r="C324" s="17" t="s">
        <v>148</v>
      </c>
      <c r="D324" s="17" t="s">
        <v>478</v>
      </c>
      <c r="E324" s="8" t="s">
        <v>77</v>
      </c>
      <c r="F324" s="8" t="s">
        <v>77</v>
      </c>
      <c r="G324" s="8" t="s">
        <v>77</v>
      </c>
    </row>
    <row r="325" spans="1:7" ht="15" customHeight="1" x14ac:dyDescent="0.2">
      <c r="A325" s="17" t="s">
        <v>479</v>
      </c>
      <c r="B325" s="7">
        <f>B287</f>
        <v>26.519798756872891</v>
      </c>
      <c r="C325" s="17" t="s">
        <v>148</v>
      </c>
      <c r="D325" s="17" t="s">
        <v>480</v>
      </c>
      <c r="E325" s="8" t="s">
        <v>77</v>
      </c>
      <c r="F325" s="8" t="s">
        <v>77</v>
      </c>
      <c r="G325" s="8" t="s">
        <v>77</v>
      </c>
    </row>
    <row r="326" spans="1:7" ht="15" customHeight="1" x14ac:dyDescent="0.2">
      <c r="A326" s="17" t="s">
        <v>481</v>
      </c>
      <c r="B326" s="7">
        <f>B300</f>
        <v>-2.4523690171685257</v>
      </c>
      <c r="C326" s="17" t="s">
        <v>148</v>
      </c>
      <c r="D326" s="17" t="s">
        <v>482</v>
      </c>
      <c r="E326" s="8" t="s">
        <v>77</v>
      </c>
      <c r="F326" s="8" t="s">
        <v>77</v>
      </c>
      <c r="G326" s="8" t="s">
        <v>77</v>
      </c>
    </row>
    <row r="327" spans="1:7" ht="15" customHeight="1" x14ac:dyDescent="0.2">
      <c r="A327" s="17" t="s">
        <v>470</v>
      </c>
      <c r="B327" s="7">
        <f>MAX(B317,E317)</f>
        <v>0</v>
      </c>
      <c r="C327" s="17" t="s">
        <v>148</v>
      </c>
      <c r="D327" s="17" t="s">
        <v>483</v>
      </c>
      <c r="E327" s="8" t="s">
        <v>77</v>
      </c>
      <c r="F327" s="8" t="s">
        <v>77</v>
      </c>
      <c r="G327" s="8" t="s">
        <v>77</v>
      </c>
    </row>
    <row r="328" spans="1:7" ht="15" customHeight="1" x14ac:dyDescent="0.2">
      <c r="A328" s="17" t="s">
        <v>484</v>
      </c>
      <c r="B328" s="7">
        <f>(4*B322*-1)+(B323*-1)+(B324*-1)+B325+B326+(-1*B327)</f>
        <v>-68.341820951380882</v>
      </c>
      <c r="C328" s="17" t="s">
        <v>148</v>
      </c>
      <c r="D328" s="17" t="s">
        <v>485</v>
      </c>
      <c r="E328" s="8" t="s">
        <v>77</v>
      </c>
      <c r="F328" s="8" t="s">
        <v>77</v>
      </c>
      <c r="G328" s="8" t="s">
        <v>77</v>
      </c>
    </row>
    <row r="329" spans="1:7" ht="15" customHeight="1" x14ac:dyDescent="0.2">
      <c r="A329" s="8" t="s">
        <v>77</v>
      </c>
      <c r="B329" s="8" t="s">
        <v>77</v>
      </c>
      <c r="C329" s="8" t="s">
        <v>77</v>
      </c>
      <c r="D329" s="8" t="s">
        <v>77</v>
      </c>
      <c r="E329" s="8" t="s">
        <v>77</v>
      </c>
      <c r="F329" s="8" t="s">
        <v>77</v>
      </c>
      <c r="G329" s="8" t="s">
        <v>77</v>
      </c>
    </row>
    <row r="330" spans="1:7" ht="15" customHeight="1" x14ac:dyDescent="0.2">
      <c r="A330" s="24" t="s">
        <v>486</v>
      </c>
      <c r="B330" s="8" t="s">
        <v>77</v>
      </c>
      <c r="C330" s="8" t="s">
        <v>77</v>
      </c>
      <c r="D330" s="8" t="s">
        <v>77</v>
      </c>
      <c r="E330" s="8" t="s">
        <v>77</v>
      </c>
      <c r="F330" s="8" t="s">
        <v>527</v>
      </c>
      <c r="G330" s="8">
        <f>B328/B10/1000</f>
        <v>-206.3680689158551</v>
      </c>
    </row>
    <row r="331" spans="1:7" ht="15" customHeight="1" x14ac:dyDescent="0.2">
      <c r="A331" s="17" t="s">
        <v>487</v>
      </c>
      <c r="B331" s="8">
        <f>B197*1000</f>
        <v>1810.900525485707</v>
      </c>
      <c r="C331" s="17" t="s">
        <v>148</v>
      </c>
      <c r="D331" s="17" t="s">
        <v>488</v>
      </c>
      <c r="E331" s="8" t="s">
        <v>77</v>
      </c>
      <c r="F331" s="8">
        <v>1</v>
      </c>
      <c r="G331" s="8">
        <f>B32</f>
        <v>2500</v>
      </c>
    </row>
    <row r="332" spans="1:7" ht="15" customHeight="1" x14ac:dyDescent="0.2">
      <c r="A332" s="17" t="s">
        <v>489</v>
      </c>
      <c r="B332" s="8">
        <f>B328/B331</f>
        <v>-3.77391358551021E-2</v>
      </c>
      <c r="C332" s="8" t="s">
        <v>77</v>
      </c>
      <c r="D332" s="17" t="s">
        <v>490</v>
      </c>
      <c r="E332" s="8" t="s">
        <v>77</v>
      </c>
      <c r="F332" s="8">
        <v>2</v>
      </c>
      <c r="G332" s="8">
        <f>B38</f>
        <v>0.74</v>
      </c>
    </row>
    <row r="333" spans="1:7" ht="15" customHeight="1" x14ac:dyDescent="0.2">
      <c r="A333" s="17" t="s">
        <v>491</v>
      </c>
      <c r="B333" s="8">
        <f>B328*B32/120</f>
        <v>-1423.7879364871017</v>
      </c>
      <c r="C333" s="17" t="s">
        <v>343</v>
      </c>
      <c r="D333" s="17" t="s">
        <v>492</v>
      </c>
      <c r="E333" s="8" t="s">
        <v>77</v>
      </c>
      <c r="F333" s="8">
        <v>3</v>
      </c>
      <c r="G333" s="8">
        <f>B39</f>
        <v>11.1</v>
      </c>
    </row>
    <row r="334" spans="1:7" ht="15" customHeight="1" x14ac:dyDescent="0.2">
      <c r="A334" s="8" t="s">
        <v>77</v>
      </c>
      <c r="B334" s="7">
        <f>B333/1000</f>
        <v>-1.4237879364871016</v>
      </c>
      <c r="C334" s="17" t="s">
        <v>493</v>
      </c>
      <c r="D334" s="8" t="s">
        <v>77</v>
      </c>
      <c r="E334" s="8" t="s">
        <v>77</v>
      </c>
      <c r="F334" s="8">
        <v>4</v>
      </c>
      <c r="G334" s="8">
        <f>B39/(B38*B34/1000)</f>
        <v>1</v>
      </c>
    </row>
    <row r="335" spans="1:7" ht="15" customHeight="1" x14ac:dyDescent="0.2">
      <c r="A335" s="17" t="s">
        <v>494</v>
      </c>
      <c r="B335" s="8">
        <f>B151*(B32/120)</f>
        <v>8.8420114092416398E-4</v>
      </c>
      <c r="C335" s="17" t="s">
        <v>495</v>
      </c>
      <c r="D335" s="17" t="s">
        <v>496</v>
      </c>
      <c r="E335" s="8" t="s">
        <v>77</v>
      </c>
      <c r="F335" s="8">
        <v>5</v>
      </c>
      <c r="G335" s="8">
        <f>B43</f>
        <v>7.1271247132957045</v>
      </c>
    </row>
    <row r="336" spans="1:7" ht="15" customHeight="1" x14ac:dyDescent="0.2">
      <c r="A336" s="8" t="s">
        <v>77</v>
      </c>
      <c r="B336" s="8">
        <f>B335*1000</f>
        <v>0.88420114092416402</v>
      </c>
      <c r="C336" s="17" t="s">
        <v>497</v>
      </c>
      <c r="D336" s="8" t="s">
        <v>77</v>
      </c>
      <c r="E336" s="8" t="s">
        <v>77</v>
      </c>
      <c r="F336" s="8">
        <v>6</v>
      </c>
      <c r="G336" s="8">
        <f>B150</f>
        <v>0.42441654764359876</v>
      </c>
    </row>
    <row r="337" spans="1:7" ht="15" customHeight="1" x14ac:dyDescent="0.2">
      <c r="A337" s="17" t="s">
        <v>498</v>
      </c>
      <c r="B337" s="8">
        <f>B335*B112</f>
        <v>2.2448538389808426E-4</v>
      </c>
      <c r="C337" s="17" t="s">
        <v>499</v>
      </c>
      <c r="D337" s="17" t="s">
        <v>500</v>
      </c>
      <c r="E337" s="8" t="s">
        <v>77</v>
      </c>
      <c r="F337" s="8">
        <v>7</v>
      </c>
      <c r="G337" s="8">
        <f>B271</f>
        <v>3.0653489108426715E-3</v>
      </c>
    </row>
    <row r="338" spans="1:7" ht="15" customHeight="1" x14ac:dyDescent="0.2">
      <c r="A338" s="8" t="s">
        <v>77</v>
      </c>
      <c r="B338" s="8">
        <f>B337*3600</f>
        <v>0.80814738203310332</v>
      </c>
      <c r="C338" s="17" t="s">
        <v>501</v>
      </c>
      <c r="D338" s="8" t="s">
        <v>77</v>
      </c>
      <c r="E338" s="8" t="s">
        <v>77</v>
      </c>
      <c r="F338" s="8">
        <f>F337+1</f>
        <v>8</v>
      </c>
      <c r="G338" s="8">
        <f>B322</f>
        <v>0.10728418923199437</v>
      </c>
    </row>
    <row r="339" spans="1:7" ht="15" customHeight="1" x14ac:dyDescent="0.2">
      <c r="A339" s="8" t="s">
        <v>77</v>
      </c>
      <c r="B339" s="8" t="s">
        <v>77</v>
      </c>
      <c r="C339" s="8" t="s">
        <v>77</v>
      </c>
      <c r="D339" s="8" t="s">
        <v>77</v>
      </c>
      <c r="E339" s="8" t="s">
        <v>77</v>
      </c>
      <c r="F339" s="8">
        <f>F338+1</f>
        <v>9</v>
      </c>
      <c r="G339" s="8">
        <f>B323</f>
        <v>0.30047610135732072</v>
      </c>
    </row>
    <row r="340" spans="1:7" ht="15" customHeight="1" x14ac:dyDescent="0.2">
      <c r="A340" s="24" t="s">
        <v>502</v>
      </c>
      <c r="B340" s="8" t="s">
        <v>77</v>
      </c>
      <c r="C340" s="8" t="s">
        <v>77</v>
      </c>
      <c r="D340" s="8" t="s">
        <v>77</v>
      </c>
      <c r="E340" s="8" t="s">
        <v>77</v>
      </c>
      <c r="F340" s="8">
        <f>F339+1</f>
        <v>10</v>
      </c>
      <c r="G340" s="8">
        <f>B327</f>
        <v>0</v>
      </c>
    </row>
    <row r="341" spans="1:7" ht="15" customHeight="1" x14ac:dyDescent="0.2">
      <c r="A341" s="17" t="s">
        <v>503</v>
      </c>
      <c r="B341" s="7">
        <v>89</v>
      </c>
      <c r="C341" s="17" t="s">
        <v>504</v>
      </c>
      <c r="D341" s="8" t="s">
        <v>77</v>
      </c>
      <c r="E341" s="8" t="s">
        <v>77</v>
      </c>
      <c r="F341" s="8">
        <f t="shared" ref="F341:F348" si="0">F340+1</f>
        <v>11</v>
      </c>
      <c r="G341" s="8">
        <f>B324</f>
        <v>91.679637832799955</v>
      </c>
    </row>
    <row r="342" spans="1:7" ht="15" customHeight="1" x14ac:dyDescent="0.2">
      <c r="A342" s="10" t="s">
        <v>77</v>
      </c>
      <c r="B342" s="10">
        <f>2.23694*B341</f>
        <v>199.08766</v>
      </c>
      <c r="C342" s="18" t="s">
        <v>121</v>
      </c>
      <c r="D342" s="8" t="s">
        <v>77</v>
      </c>
      <c r="E342" s="8" t="s">
        <v>77</v>
      </c>
      <c r="F342" s="8">
        <f t="shared" si="0"/>
        <v>12</v>
      </c>
      <c r="G342" s="8">
        <f>B325</f>
        <v>26.519798756872891</v>
      </c>
    </row>
    <row r="343" spans="1:7" ht="15" customHeight="1" x14ac:dyDescent="0.2">
      <c r="A343" s="11" t="s">
        <v>505</v>
      </c>
      <c r="B343" s="12">
        <v>1.86</v>
      </c>
      <c r="C343" s="12" t="s">
        <v>88</v>
      </c>
      <c r="D343" s="13" t="s">
        <v>77</v>
      </c>
      <c r="E343" s="8" t="s">
        <v>77</v>
      </c>
      <c r="F343" s="8">
        <f t="shared" si="0"/>
        <v>13</v>
      </c>
      <c r="G343" s="8">
        <f>B326</f>
        <v>-2.4523690171685257</v>
      </c>
    </row>
    <row r="344" spans="1:7" ht="15" customHeight="1" x14ac:dyDescent="0.2">
      <c r="A344" s="11" t="s">
        <v>506</v>
      </c>
      <c r="B344" s="12">
        <v>0.34</v>
      </c>
      <c r="C344" s="26" t="s">
        <v>77</v>
      </c>
      <c r="D344" s="13" t="s">
        <v>77</v>
      </c>
      <c r="E344" s="8" t="s">
        <v>77</v>
      </c>
      <c r="F344" s="8">
        <f t="shared" si="0"/>
        <v>14</v>
      </c>
      <c r="G344" s="8">
        <f>B328</f>
        <v>-68.341820951380882</v>
      </c>
    </row>
    <row r="345" spans="1:7" ht="15" customHeight="1" x14ac:dyDescent="0.2">
      <c r="A345" s="16" t="s">
        <v>507</v>
      </c>
      <c r="B345" s="19" t="e" cm="1">
        <f t="array" ref="B345">B</f>
        <v>#NAME?</v>
      </c>
      <c r="C345" s="16" t="s">
        <v>508</v>
      </c>
      <c r="D345" s="8" t="s">
        <v>77</v>
      </c>
      <c r="E345" s="8" t="s">
        <v>77</v>
      </c>
      <c r="F345" s="8">
        <f t="shared" si="0"/>
        <v>15</v>
      </c>
      <c r="G345" s="8">
        <f>B336</f>
        <v>0.88420114092416402</v>
      </c>
    </row>
    <row r="346" spans="1:7" ht="15" customHeight="1" x14ac:dyDescent="0.2">
      <c r="A346" s="17" t="s">
        <v>509</v>
      </c>
      <c r="B346" s="8" t="s">
        <v>77</v>
      </c>
      <c r="C346" s="17" t="s">
        <v>232</v>
      </c>
      <c r="D346" s="8" t="s">
        <v>77</v>
      </c>
      <c r="E346" s="8" t="s">
        <v>77</v>
      </c>
      <c r="F346" s="8">
        <f t="shared" si="0"/>
        <v>16</v>
      </c>
      <c r="G346" s="8">
        <f>B334</f>
        <v>-1.4237879364871016</v>
      </c>
    </row>
    <row r="347" spans="1:7" ht="15" customHeight="1" x14ac:dyDescent="0.2">
      <c r="A347" s="17" t="s">
        <v>510</v>
      </c>
      <c r="B347" s="8" t="s">
        <v>77</v>
      </c>
      <c r="C347" s="17" t="s">
        <v>146</v>
      </c>
      <c r="D347" s="8" t="s">
        <v>77</v>
      </c>
      <c r="E347" s="8" t="s">
        <v>77</v>
      </c>
      <c r="F347" s="8">
        <f t="shared" si="0"/>
        <v>17</v>
      </c>
      <c r="G347" s="8">
        <f>G346/0.7457</f>
        <v>-1.9093307449203454</v>
      </c>
    </row>
    <row r="348" spans="1:7" ht="15" customHeight="1" x14ac:dyDescent="0.2">
      <c r="A348" s="10" t="s">
        <v>77</v>
      </c>
      <c r="B348" s="10" t="s">
        <v>77</v>
      </c>
      <c r="C348" s="10" t="s">
        <v>77</v>
      </c>
      <c r="D348" s="8" t="s">
        <v>77</v>
      </c>
      <c r="E348" s="8" t="s">
        <v>77</v>
      </c>
      <c r="F348" s="8">
        <f t="shared" si="0"/>
        <v>18</v>
      </c>
      <c r="G348" s="8">
        <f>B332*100</f>
        <v>-3.7739135855102099</v>
      </c>
    </row>
    <row r="349" spans="1:7" ht="15" customHeight="1" x14ac:dyDescent="0.2">
      <c r="A349" s="11" t="s">
        <v>511</v>
      </c>
      <c r="B349" s="12">
        <v>1000</v>
      </c>
      <c r="C349" s="12" t="s">
        <v>255</v>
      </c>
      <c r="D349" s="13" t="s">
        <v>77</v>
      </c>
      <c r="E349" s="8" t="s">
        <v>77</v>
      </c>
      <c r="F349" s="8">
        <v>19</v>
      </c>
      <c r="G349" s="8">
        <f>G330</f>
        <v>-206.3680689158551</v>
      </c>
    </row>
    <row r="350" spans="1:7" ht="15" customHeight="1" x14ac:dyDescent="0.2">
      <c r="A350" s="15" t="s">
        <v>512</v>
      </c>
      <c r="B350" s="14" t="s">
        <v>77</v>
      </c>
      <c r="C350" s="15" t="s">
        <v>146</v>
      </c>
      <c r="D350" s="8" t="s">
        <v>77</v>
      </c>
      <c r="E350" s="8" t="s">
        <v>77</v>
      </c>
      <c r="F350" s="8" t="s">
        <v>77</v>
      </c>
      <c r="G350" s="8" t="s">
        <v>77</v>
      </c>
    </row>
    <row r="351" spans="1:7" ht="15" customHeight="1" x14ac:dyDescent="0.2">
      <c r="A351" s="11" t="s">
        <v>513</v>
      </c>
      <c r="B351" s="12">
        <v>1.4999999999999999E-2</v>
      </c>
      <c r="C351" s="26" t="s">
        <v>77</v>
      </c>
      <c r="D351" s="13" t="s">
        <v>77</v>
      </c>
      <c r="E351" s="8" t="s">
        <v>77</v>
      </c>
      <c r="F351" s="8" t="s">
        <v>77</v>
      </c>
      <c r="G351" s="8" t="s">
        <v>77</v>
      </c>
    </row>
    <row r="352" spans="1:7" ht="15" customHeight="1" x14ac:dyDescent="0.2">
      <c r="A352" s="16" t="s">
        <v>514</v>
      </c>
      <c r="B352" s="19" t="s">
        <v>77</v>
      </c>
      <c r="C352" s="16" t="s">
        <v>146</v>
      </c>
      <c r="D352" s="8" t="s">
        <v>77</v>
      </c>
      <c r="E352" s="8" t="s">
        <v>77</v>
      </c>
      <c r="F352" s="8" t="s">
        <v>77</v>
      </c>
      <c r="G352" s="8" t="s">
        <v>77</v>
      </c>
    </row>
    <row r="353" spans="1:7" ht="15" customHeight="1" x14ac:dyDescent="0.2">
      <c r="A353" s="8" t="s">
        <v>77</v>
      </c>
      <c r="B353" s="8" t="s">
        <v>77</v>
      </c>
      <c r="C353" s="8" t="s">
        <v>77</v>
      </c>
      <c r="D353" s="8" t="s">
        <v>77</v>
      </c>
      <c r="E353" s="8" t="s">
        <v>77</v>
      </c>
      <c r="F353" s="8" t="s">
        <v>77</v>
      </c>
      <c r="G353" s="8" t="s">
        <v>77</v>
      </c>
    </row>
    <row r="354" spans="1:7" ht="15" customHeight="1" x14ac:dyDescent="0.2">
      <c r="A354" s="17" t="s">
        <v>515</v>
      </c>
      <c r="B354" s="8" t="s">
        <v>77</v>
      </c>
      <c r="C354" s="17" t="s">
        <v>146</v>
      </c>
      <c r="D354" s="8" t="s">
        <v>77</v>
      </c>
      <c r="E354" s="8" t="s">
        <v>77</v>
      </c>
      <c r="F354" s="8" t="s">
        <v>77</v>
      </c>
      <c r="G354" s="8" t="s">
        <v>77</v>
      </c>
    </row>
    <row r="355" spans="1:7" ht="15" customHeight="1" x14ac:dyDescent="0.2">
      <c r="A355" s="17" t="s">
        <v>516</v>
      </c>
      <c r="B355" s="8" t="s">
        <v>77</v>
      </c>
      <c r="C355" s="17" t="s">
        <v>343</v>
      </c>
      <c r="D355" s="8" t="s">
        <v>77</v>
      </c>
      <c r="E355" s="8" t="s">
        <v>77</v>
      </c>
      <c r="F355" s="8" t="s">
        <v>77</v>
      </c>
      <c r="G355" s="8" t="s">
        <v>77</v>
      </c>
    </row>
    <row r="356" spans="1:7" ht="15" customHeight="1" x14ac:dyDescent="0.2">
      <c r="A356" s="8" t="s">
        <v>77</v>
      </c>
      <c r="B356" s="8" t="s">
        <v>77</v>
      </c>
      <c r="C356" s="17" t="s">
        <v>493</v>
      </c>
      <c r="D356" s="8" t="s">
        <v>77</v>
      </c>
      <c r="E356" s="8" t="s">
        <v>77</v>
      </c>
      <c r="F356" s="8" t="s">
        <v>77</v>
      </c>
      <c r="G356" s="8" t="s">
        <v>77</v>
      </c>
    </row>
    <row r="357" spans="1:7" ht="15" customHeight="1" x14ac:dyDescent="0.2">
      <c r="A357" s="10" t="s">
        <v>77</v>
      </c>
      <c r="B357" s="10" t="s">
        <v>77</v>
      </c>
      <c r="C357" s="10" t="s">
        <v>77</v>
      </c>
      <c r="D357" s="8" t="s">
        <v>77</v>
      </c>
      <c r="E357" s="8" t="s">
        <v>77</v>
      </c>
      <c r="F357" s="8" t="s">
        <v>77</v>
      </c>
      <c r="G357" s="8" t="s">
        <v>77</v>
      </c>
    </row>
    <row r="358" spans="1:7" ht="15" customHeight="1" x14ac:dyDescent="0.2">
      <c r="A358" s="11" t="s">
        <v>517</v>
      </c>
      <c r="B358" s="12">
        <v>0.85</v>
      </c>
      <c r="C358" s="26" t="s">
        <v>77</v>
      </c>
      <c r="D358" s="13" t="s">
        <v>77</v>
      </c>
      <c r="E358" s="8" t="s">
        <v>77</v>
      </c>
      <c r="F358" s="8" t="s">
        <v>77</v>
      </c>
      <c r="G358" s="8" t="s">
        <v>77</v>
      </c>
    </row>
    <row r="359" spans="1:7" ht="15" customHeight="1" x14ac:dyDescent="0.2">
      <c r="A359" s="16" t="s">
        <v>518</v>
      </c>
      <c r="B359" s="36">
        <v>37.495347210176199</v>
      </c>
      <c r="C359" s="16" t="s">
        <v>493</v>
      </c>
      <c r="D359" s="8" t="s">
        <v>77</v>
      </c>
      <c r="E359" s="8" t="s">
        <v>77</v>
      </c>
      <c r="F359" s="8" t="s">
        <v>77</v>
      </c>
      <c r="G359" s="8" t="s">
        <v>77</v>
      </c>
    </row>
    <row r="360" spans="1:7" ht="15" customHeight="1" x14ac:dyDescent="0.2">
      <c r="A360" s="8" t="s">
        <v>77</v>
      </c>
      <c r="B360" s="8" t="s">
        <v>77</v>
      </c>
      <c r="C360" s="8" t="s">
        <v>77</v>
      </c>
      <c r="D360" s="8" t="s">
        <v>77</v>
      </c>
      <c r="E360" s="8" t="s">
        <v>77</v>
      </c>
      <c r="F360" s="8" t="s">
        <v>77</v>
      </c>
      <c r="G360" s="8" t="s">
        <v>77</v>
      </c>
    </row>
    <row r="361" spans="1:7" ht="15" customHeight="1" x14ac:dyDescent="0.2">
      <c r="A361" s="17" t="s">
        <v>519</v>
      </c>
      <c r="B361" s="8" t="s">
        <v>77</v>
      </c>
      <c r="C361" s="8" t="s">
        <v>77</v>
      </c>
      <c r="D361" s="8" t="s">
        <v>77</v>
      </c>
      <c r="E361" s="8" t="s">
        <v>77</v>
      </c>
      <c r="F361" s="8" t="s">
        <v>77</v>
      </c>
      <c r="G361" s="8" t="s">
        <v>77</v>
      </c>
    </row>
    <row r="362" spans="1:7" ht="15" customHeight="1" x14ac:dyDescent="0.2"/>
    <row r="363" spans="1:7" ht="15" customHeight="1" x14ac:dyDescent="0.2"/>
    <row r="364" spans="1:7" ht="15" customHeight="1" x14ac:dyDescent="0.2"/>
    <row r="405" ht="1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33309-A1D6-DB45-AB91-CE886444ACE0}">
  <dimension ref="G13:P30"/>
  <sheetViews>
    <sheetView topLeftCell="F11" zoomScale="160" zoomScaleNormal="160" workbookViewId="0">
      <selection activeCell="S23" sqref="S23"/>
    </sheetView>
  </sheetViews>
  <sheetFormatPr baseColWidth="10" defaultRowHeight="15" x14ac:dyDescent="0.2"/>
  <sheetData>
    <row r="13" spans="7:16" ht="16" thickBot="1" x14ac:dyDescent="0.25"/>
    <row r="14" spans="7:16" ht="16" thickTop="1" x14ac:dyDescent="0.2">
      <c r="G14" s="2" t="s">
        <v>9</v>
      </c>
      <c r="H14" s="2" t="s">
        <v>39</v>
      </c>
      <c r="I14" s="2" t="s">
        <v>177</v>
      </c>
      <c r="J14" s="3" t="s">
        <v>10</v>
      </c>
      <c r="K14" s="3" t="s">
        <v>11</v>
      </c>
      <c r="L14" s="3" t="s">
        <v>12</v>
      </c>
      <c r="M14" s="3" t="s">
        <v>13</v>
      </c>
      <c r="N14" s="3" t="s">
        <v>14</v>
      </c>
      <c r="O14" s="3" t="s">
        <v>15</v>
      </c>
      <c r="P14" s="3" t="s">
        <v>16</v>
      </c>
    </row>
    <row r="15" spans="7:16" ht="16" thickBot="1" x14ac:dyDescent="0.25">
      <c r="G15" s="4" t="s">
        <v>17</v>
      </c>
      <c r="H15" s="4" t="s">
        <v>178</v>
      </c>
      <c r="I15" s="4" t="s">
        <v>179</v>
      </c>
      <c r="J15" s="4" t="s">
        <v>18</v>
      </c>
      <c r="K15" s="4" t="s">
        <v>19</v>
      </c>
      <c r="L15" s="4" t="s">
        <v>20</v>
      </c>
      <c r="M15" s="4" t="s">
        <v>21</v>
      </c>
      <c r="N15" s="4" t="s">
        <v>22</v>
      </c>
      <c r="O15" s="4" t="s">
        <v>23</v>
      </c>
      <c r="P15" s="4" t="s">
        <v>24</v>
      </c>
    </row>
    <row r="16" spans="7:16" ht="16" thickTop="1" x14ac:dyDescent="0.2">
      <c r="G16" s="5" t="s">
        <v>25</v>
      </c>
      <c r="H16" s="5">
        <v>28.013000000000002</v>
      </c>
      <c r="I16" s="5">
        <v>0</v>
      </c>
      <c r="J16" s="5">
        <v>3.8490000000000002</v>
      </c>
      <c r="K16" s="5">
        <v>-2.5630000000000002</v>
      </c>
      <c r="L16" s="5">
        <v>6.1150000000000002</v>
      </c>
      <c r="M16" s="5">
        <v>-5.3410000000000002</v>
      </c>
      <c r="N16" s="5">
        <v>2.34</v>
      </c>
      <c r="O16" s="5">
        <v>-0.51480000000000004</v>
      </c>
      <c r="P16" s="5">
        <v>4.5249999999999999E-2</v>
      </c>
    </row>
    <row r="17" spans="7:16" x14ac:dyDescent="0.2">
      <c r="G17" s="6" t="s">
        <v>26</v>
      </c>
      <c r="H17" s="6">
        <v>31.998999999999999</v>
      </c>
      <c r="I17" s="6">
        <v>0</v>
      </c>
      <c r="J17" s="6">
        <v>3.3090000000000002</v>
      </c>
      <c r="K17" s="6">
        <v>0.1012</v>
      </c>
      <c r="L17" s="6">
        <v>3.0070000000000001</v>
      </c>
      <c r="M17" s="6">
        <v>-3.8010000000000002</v>
      </c>
      <c r="N17" s="6">
        <v>2.0409999999999999</v>
      </c>
      <c r="O17" s="6">
        <v>-0.51290000000000002</v>
      </c>
      <c r="P17" s="6">
        <v>4.9500000000000002E-2</v>
      </c>
    </row>
    <row r="18" spans="7:16" x14ac:dyDescent="0.2">
      <c r="G18" s="6" t="s">
        <v>175</v>
      </c>
      <c r="H18" s="6">
        <v>18.015499999999999</v>
      </c>
      <c r="I18" s="6">
        <v>-241820</v>
      </c>
      <c r="J18" s="6">
        <v>4.008</v>
      </c>
      <c r="K18" s="6">
        <v>-0.65980000000000005</v>
      </c>
      <c r="L18" s="6">
        <v>3.0510000000000002</v>
      </c>
      <c r="M18" s="6">
        <v>-1.8939999999999999</v>
      </c>
      <c r="N18" s="6">
        <v>0.51139999999999997</v>
      </c>
      <c r="O18" s="6">
        <v>-5.8880000000000002E-2</v>
      </c>
      <c r="P18" s="6">
        <v>1.6819999999999999E-3</v>
      </c>
    </row>
    <row r="19" spans="7:16" x14ac:dyDescent="0.2">
      <c r="G19" s="6" t="s">
        <v>46</v>
      </c>
      <c r="H19" s="6">
        <v>2.016</v>
      </c>
      <c r="I19" s="6">
        <v>0</v>
      </c>
      <c r="J19" s="6">
        <v>3.2309999999999999</v>
      </c>
      <c r="K19" s="6">
        <v>1.5469999999999999</v>
      </c>
      <c r="L19" s="6">
        <v>-3.4049999999999998</v>
      </c>
      <c r="M19" s="6">
        <v>3.7679999999999998</v>
      </c>
      <c r="N19" s="6">
        <v>-1.94</v>
      </c>
      <c r="O19" s="6">
        <v>0.47499999999999998</v>
      </c>
      <c r="P19" s="6">
        <v>-4.496E-2</v>
      </c>
    </row>
    <row r="20" spans="7:16" x14ac:dyDescent="0.2">
      <c r="G20" s="6" t="s">
        <v>47</v>
      </c>
      <c r="H20" s="6">
        <v>44.01</v>
      </c>
      <c r="I20" s="6">
        <v>-393520</v>
      </c>
      <c r="J20" s="6">
        <v>2.3370000000000002</v>
      </c>
      <c r="K20" s="6">
        <v>9.4</v>
      </c>
      <c r="L20" s="6">
        <v>-8.7420000000000009</v>
      </c>
      <c r="M20" s="6">
        <v>4.9470000000000001</v>
      </c>
      <c r="N20" s="6">
        <v>-1.694</v>
      </c>
      <c r="O20" s="6">
        <v>0.32150000000000001</v>
      </c>
      <c r="P20" s="6">
        <v>-2.581E-2</v>
      </c>
    </row>
    <row r="21" spans="7:16" x14ac:dyDescent="0.2">
      <c r="G21" s="6" t="s">
        <v>48</v>
      </c>
      <c r="H21" s="6">
        <v>28.0105</v>
      </c>
      <c r="I21" s="6">
        <v>-110530</v>
      </c>
      <c r="J21" s="6">
        <v>3.78</v>
      </c>
      <c r="K21" s="6">
        <v>-2.3199999999999998</v>
      </c>
      <c r="L21" s="6">
        <v>6.1020000000000003</v>
      </c>
      <c r="M21" s="6">
        <v>-5.58</v>
      </c>
      <c r="N21" s="6">
        <v>2.524</v>
      </c>
      <c r="O21" s="6">
        <v>-0.56820000000000004</v>
      </c>
      <c r="P21" s="6">
        <v>5.0840000000000003E-2</v>
      </c>
    </row>
    <row r="22" spans="7:16" ht="16" thickBot="1" x14ac:dyDescent="0.25">
      <c r="G22" s="4" t="s">
        <v>49</v>
      </c>
      <c r="H22" s="4">
        <v>39.948</v>
      </c>
      <c r="I22" s="4">
        <v>0</v>
      </c>
      <c r="J22" s="4">
        <v>2.5</v>
      </c>
      <c r="K22" s="4">
        <v>0</v>
      </c>
      <c r="L22" s="4">
        <v>0</v>
      </c>
      <c r="M22" s="4">
        <v>0</v>
      </c>
      <c r="N22" s="4">
        <v>0</v>
      </c>
      <c r="O22" s="4">
        <v>0</v>
      </c>
      <c r="P22" s="4">
        <v>0</v>
      </c>
    </row>
    <row r="23" spans="7:16" ht="16" thickTop="1" x14ac:dyDescent="0.2">
      <c r="G23" s="2" t="s">
        <v>193</v>
      </c>
      <c r="H23" s="2" t="s">
        <v>39</v>
      </c>
      <c r="I23" s="2" t="s">
        <v>194</v>
      </c>
      <c r="J23" s="2" t="s">
        <v>164</v>
      </c>
      <c r="K23" s="2" t="s">
        <v>40</v>
      </c>
      <c r="L23" s="2" t="s">
        <v>195</v>
      </c>
      <c r="M23" s="3" t="s">
        <v>196</v>
      </c>
      <c r="N23" s="2" t="s">
        <v>197</v>
      </c>
      <c r="O23" s="2" t="s">
        <v>198</v>
      </c>
      <c r="P23" s="2" t="s">
        <v>199</v>
      </c>
    </row>
    <row r="24" spans="7:16" ht="16" thickBot="1" x14ac:dyDescent="0.25">
      <c r="G24" s="4" t="s">
        <v>17</v>
      </c>
      <c r="H24" s="4" t="s">
        <v>178</v>
      </c>
      <c r="I24" s="4" t="s">
        <v>202</v>
      </c>
      <c r="J24" s="4" t="s">
        <v>157</v>
      </c>
      <c r="K24" s="4" t="s">
        <v>203</v>
      </c>
      <c r="L24" s="4" t="s">
        <v>157</v>
      </c>
      <c r="M24" s="4" t="s">
        <v>204</v>
      </c>
      <c r="N24" s="4" t="s">
        <v>183</v>
      </c>
      <c r="O24" s="4" t="s">
        <v>205</v>
      </c>
      <c r="P24" s="4" t="s">
        <v>183</v>
      </c>
    </row>
    <row r="25" spans="7:16" ht="28" thickTop="1" x14ac:dyDescent="0.2">
      <c r="G25" s="5" t="s">
        <v>206</v>
      </c>
      <c r="H25" s="38">
        <v>44.0535</v>
      </c>
      <c r="I25" s="38">
        <v>-235310</v>
      </c>
      <c r="J25" s="39">
        <v>0.1</v>
      </c>
      <c r="K25" s="39" t="s">
        <v>77</v>
      </c>
      <c r="L25" s="38">
        <v>0.1</v>
      </c>
      <c r="M25" s="38">
        <v>0.79</v>
      </c>
      <c r="N25" s="38">
        <v>919</v>
      </c>
      <c r="O25" s="38">
        <v>1.6</v>
      </c>
      <c r="P25" s="38">
        <v>26810</v>
      </c>
    </row>
    <row r="26" spans="7:16" ht="28" thickBot="1" x14ac:dyDescent="0.25">
      <c r="G26" s="4" t="s">
        <v>209</v>
      </c>
      <c r="H26" s="40">
        <v>114.232</v>
      </c>
      <c r="I26" s="40">
        <v>-208450</v>
      </c>
      <c r="J26" s="41">
        <v>0.9</v>
      </c>
      <c r="K26" s="41" t="s">
        <v>77</v>
      </c>
      <c r="L26" s="40">
        <v>0.9</v>
      </c>
      <c r="M26" s="40">
        <v>0.70299999999999996</v>
      </c>
      <c r="N26" s="40">
        <v>363</v>
      </c>
      <c r="O26" s="40">
        <v>0.7</v>
      </c>
      <c r="P26" s="40">
        <v>44430</v>
      </c>
    </row>
    <row r="27" spans="7:16" ht="29" thickTop="1" thickBot="1" x14ac:dyDescent="0.25">
      <c r="G27" s="42" t="s">
        <v>212</v>
      </c>
      <c r="H27" s="43" t="s">
        <v>77</v>
      </c>
      <c r="I27" s="43" t="s">
        <v>77</v>
      </c>
      <c r="J27" s="43" t="s">
        <v>77</v>
      </c>
      <c r="K27" s="44" t="s">
        <v>77</v>
      </c>
      <c r="L27" s="45" t="s">
        <v>77</v>
      </c>
      <c r="M27" s="45" t="s">
        <v>77</v>
      </c>
      <c r="N27" s="45" t="s">
        <v>77</v>
      </c>
      <c r="O27" s="45" t="s">
        <v>77</v>
      </c>
      <c r="P27" s="45" t="s">
        <v>77</v>
      </c>
    </row>
    <row r="28" spans="7:16" ht="28" thickTop="1" x14ac:dyDescent="0.2">
      <c r="G28" s="46" t="s">
        <v>77</v>
      </c>
      <c r="H28" s="47" t="s">
        <v>215</v>
      </c>
      <c r="I28" s="48" t="s">
        <v>77</v>
      </c>
      <c r="J28" s="39" t="s">
        <v>77</v>
      </c>
      <c r="K28" s="46" t="s">
        <v>77</v>
      </c>
      <c r="L28" s="49" t="s">
        <v>216</v>
      </c>
      <c r="M28" s="48" t="s">
        <v>77</v>
      </c>
      <c r="N28" s="39" t="s">
        <v>77</v>
      </c>
      <c r="O28" s="39" t="s">
        <v>77</v>
      </c>
      <c r="P28" s="39" t="s">
        <v>77</v>
      </c>
    </row>
    <row r="29" spans="7:16" ht="27" x14ac:dyDescent="0.2">
      <c r="G29" s="6" t="s">
        <v>219</v>
      </c>
      <c r="H29" s="16">
        <v>8.31447</v>
      </c>
      <c r="I29" s="17" t="s">
        <v>220</v>
      </c>
      <c r="J29" s="8" t="s">
        <v>77</v>
      </c>
      <c r="K29" s="8" t="s">
        <v>77</v>
      </c>
      <c r="L29" s="19" t="s">
        <v>77</v>
      </c>
      <c r="M29" s="8" t="s">
        <v>77</v>
      </c>
      <c r="N29" s="8" t="s">
        <v>77</v>
      </c>
      <c r="O29" s="8" t="s">
        <v>77</v>
      </c>
      <c r="P29" s="8" t="s">
        <v>77</v>
      </c>
    </row>
    <row r="30" spans="7:16" ht="27" x14ac:dyDescent="0.2">
      <c r="G30" s="6" t="s">
        <v>8</v>
      </c>
      <c r="H30" s="17">
        <v>9.8066499999999994</v>
      </c>
      <c r="I30" s="17" t="s">
        <v>223</v>
      </c>
      <c r="J30" s="8" t="s">
        <v>77</v>
      </c>
      <c r="K30" s="8" t="s">
        <v>77</v>
      </c>
      <c r="L30" s="8" t="s">
        <v>77</v>
      </c>
      <c r="M30" s="8" t="s">
        <v>77</v>
      </c>
      <c r="N30" s="8" t="s">
        <v>77</v>
      </c>
      <c r="O30" s="8" t="s">
        <v>77</v>
      </c>
      <c r="P30" s="8"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336C-9F11-4DCD-BC2A-325908D5C56E}">
  <dimension ref="D3:AC27"/>
  <sheetViews>
    <sheetView topLeftCell="F6" workbookViewId="0">
      <selection activeCell="F3" sqref="F3"/>
    </sheetView>
  </sheetViews>
  <sheetFormatPr baseColWidth="10" defaultColWidth="8.83203125" defaultRowHeight="15" x14ac:dyDescent="0.2"/>
  <sheetData>
    <row r="3" spans="4:29" x14ac:dyDescent="0.2">
      <c r="F3" t="s">
        <v>69</v>
      </c>
    </row>
    <row r="4" spans="4:29" x14ac:dyDescent="0.2">
      <c r="F4">
        <v>0</v>
      </c>
      <c r="G4">
        <v>1</v>
      </c>
      <c r="H4">
        <v>2</v>
      </c>
      <c r="I4">
        <v>3</v>
      </c>
      <c r="J4">
        <v>4</v>
      </c>
      <c r="K4">
        <v>5</v>
      </c>
      <c r="L4">
        <v>6</v>
      </c>
    </row>
    <row r="5" spans="4:29" x14ac:dyDescent="0.2">
      <c r="F5">
        <v>1</v>
      </c>
      <c r="G5">
        <f>(298.15)^1</f>
        <v>298.14999999999998</v>
      </c>
      <c r="H5">
        <f>(298.15)^2</f>
        <v>88893.422499999986</v>
      </c>
      <c r="I5">
        <f>(298.15)^3</f>
        <v>26503573.918374993</v>
      </c>
      <c r="J5">
        <f>(298.15)^4</f>
        <v>7902040563.763504</v>
      </c>
      <c r="K5">
        <f>(298.15)^5</f>
        <v>2355993394086.0884</v>
      </c>
      <c r="L5">
        <f>(298.15)^6</f>
        <v>702439430446767.25</v>
      </c>
    </row>
    <row r="6" spans="4:29" x14ac:dyDescent="0.2">
      <c r="F6">
        <v>298.14999999999998</v>
      </c>
      <c r="G6">
        <f>((298.15)^2)/2</f>
        <v>44446.711249999993</v>
      </c>
      <c r="H6">
        <f>((298.15)^3)/3</f>
        <v>8834524.6394583303</v>
      </c>
      <c r="I6">
        <f>((298.15)^4)/4</f>
        <v>1975510140.940876</v>
      </c>
      <c r="J6">
        <f>((298.15)^5)/5</f>
        <v>471198678817.21765</v>
      </c>
      <c r="K6">
        <f>((298.15)^6)/6</f>
        <v>117073238407794.55</v>
      </c>
      <c r="L6">
        <f>((298.15)^7)/7</f>
        <v>2.9918902312529088E+16</v>
      </c>
    </row>
    <row r="7" spans="4:29" x14ac:dyDescent="0.2">
      <c r="F7">
        <f>LN(F6)</f>
        <v>5.697596715569115</v>
      </c>
      <c r="G7">
        <f t="shared" ref="G7:L7" si="0">F6</f>
        <v>298.14999999999998</v>
      </c>
      <c r="H7">
        <f t="shared" si="0"/>
        <v>44446.711249999993</v>
      </c>
      <c r="I7">
        <f t="shared" si="0"/>
        <v>8834524.6394583303</v>
      </c>
      <c r="J7">
        <f t="shared" si="0"/>
        <v>1975510140.940876</v>
      </c>
      <c r="K7">
        <f t="shared" si="0"/>
        <v>471198678817.21765</v>
      </c>
      <c r="L7">
        <f t="shared" si="0"/>
        <v>117073238407794.55</v>
      </c>
    </row>
    <row r="8" spans="4:29" x14ac:dyDescent="0.2">
      <c r="F8" t="s">
        <v>0</v>
      </c>
      <c r="N8" t="s">
        <v>1</v>
      </c>
    </row>
    <row r="9" spans="4:29" x14ac:dyDescent="0.2">
      <c r="F9">
        <v>0</v>
      </c>
      <c r="G9">
        <v>1</v>
      </c>
      <c r="H9">
        <v>2</v>
      </c>
      <c r="I9">
        <v>3</v>
      </c>
      <c r="J9">
        <v>4</v>
      </c>
      <c r="K9">
        <v>5</v>
      </c>
      <c r="L9">
        <v>6</v>
      </c>
      <c r="N9" t="s">
        <v>2</v>
      </c>
      <c r="O9" t="s">
        <v>3</v>
      </c>
      <c r="P9" t="s">
        <v>4</v>
      </c>
      <c r="Q9" t="s">
        <v>5</v>
      </c>
      <c r="R9" t="s">
        <v>6</v>
      </c>
      <c r="S9" t="s">
        <v>7</v>
      </c>
      <c r="T9" t="s">
        <v>8</v>
      </c>
      <c r="U9" s="2" t="s">
        <v>9</v>
      </c>
      <c r="V9" s="3" t="s">
        <v>10</v>
      </c>
      <c r="W9" s="3" t="s">
        <v>11</v>
      </c>
      <c r="X9" s="3" t="s">
        <v>12</v>
      </c>
      <c r="Y9" s="3" t="s">
        <v>13</v>
      </c>
      <c r="Z9" s="3" t="s">
        <v>14</v>
      </c>
      <c r="AA9" s="3" t="s">
        <v>15</v>
      </c>
      <c r="AB9" s="3" t="s">
        <v>16</v>
      </c>
      <c r="AC9" t="s">
        <v>70</v>
      </c>
    </row>
    <row r="10" spans="4:29" x14ac:dyDescent="0.2">
      <c r="F10">
        <v>1</v>
      </c>
      <c r="G10">
        <f>D15^1</f>
        <v>908.95195999999999</v>
      </c>
      <c r="H10">
        <f>D15^2</f>
        <v>826193.66558784153</v>
      </c>
      <c r="I10">
        <f>D15^3</f>
        <v>750970351.6756531</v>
      </c>
      <c r="J10">
        <f>D15^4</f>
        <v>682595973057.47412</v>
      </c>
      <c r="K10">
        <f>D15^5</f>
        <v>620446947598698.25</v>
      </c>
      <c r="L10">
        <f>D15^6</f>
        <v>5.6395646909585408E+17</v>
      </c>
      <c r="N10">
        <f>SUMPRODUCT(F15:L15, U20:AA20)</f>
        <v>3.4561000000000002</v>
      </c>
      <c r="O10">
        <f>(SUMPRODUCT(F15:L15, U21:AA21))*G10*0.001</f>
        <v>-0.1984787499856</v>
      </c>
      <c r="P10">
        <f>(SUMPRODUCT(F15:L15, U22:AA22))*H10*0.000001</f>
        <v>2.0219437577931245</v>
      </c>
      <c r="Q10">
        <f>(SUMPRODUCT(F15:L15, U23:AA23))*I10*0.000000001</f>
        <v>-1.7966214693488327</v>
      </c>
      <c r="R10">
        <f>(SUMPRODUCT(F15:L15, U24:AA24))*J10*0.000000000001</f>
        <v>0.73736747393560564</v>
      </c>
      <c r="S10">
        <f>(SUMPRODUCT(F15:L15, U25:AA25))*K10*0.000000000000001</f>
        <v>-0.14907354720564409</v>
      </c>
      <c r="T10">
        <f>(SUMPRODUCT(F15:L15, U26:AA26))*L10*0.000000000000000001</f>
        <v>1.1970088847853324E-2</v>
      </c>
      <c r="U10" s="4" t="s">
        <v>17</v>
      </c>
      <c r="V10" s="4" t="s">
        <v>18</v>
      </c>
      <c r="W10" s="4" t="s">
        <v>19</v>
      </c>
      <c r="X10" s="4" t="s">
        <v>20</v>
      </c>
      <c r="Y10" s="4" t="s">
        <v>21</v>
      </c>
      <c r="Z10" s="4" t="s">
        <v>22</v>
      </c>
      <c r="AA10" s="4" t="s">
        <v>23</v>
      </c>
      <c r="AB10" s="4" t="s">
        <v>24</v>
      </c>
    </row>
    <row r="11" spans="4:29" x14ac:dyDescent="0.2">
      <c r="F11">
        <f>D15</f>
        <v>908.95195999999999</v>
      </c>
      <c r="G11">
        <f>(D15*D15)/2</f>
        <v>413096.83279392077</v>
      </c>
      <c r="H11">
        <f>(D15*D15*D15)/3</f>
        <v>250323450.55855104</v>
      </c>
      <c r="I11">
        <f>(D15*D15*D15*D15)/4</f>
        <v>170648993264.36853</v>
      </c>
      <c r="J11">
        <f>(D15*D15*D15*D15*D15)/5</f>
        <v>124089389519739.66</v>
      </c>
      <c r="K11">
        <f>(D15*D15*D15*D15*D15*D15)/6</f>
        <v>9.3992744849309008E+16</v>
      </c>
      <c r="L11">
        <f>(D15*D15*D15*D15*D15*D15*D15)/7</f>
        <v>7.3229905419907998E+19</v>
      </c>
      <c r="N11">
        <f>SUMPRODUCT(F15:L15, U20:AA20)</f>
        <v>3.4561000000000002</v>
      </c>
      <c r="O11">
        <f>(SUMPRODUCT(F15:L15, U21:AA21))*0.001</f>
        <v>-2.1835999999999999E-4</v>
      </c>
      <c r="P11">
        <f>(SUMPRODUCT(F15:L15, U22:AA22))*0.000001</f>
        <v>2.4473000000000003E-6</v>
      </c>
      <c r="Q11">
        <f>(SUMPRODUCT(F15:L15, U23:AA23))*0.000000001</f>
        <v>-2.3924000000000005E-9</v>
      </c>
      <c r="R11">
        <f>(SUMPRODUCT(F15:L15, U24:AA24))*0.000000000001</f>
        <v>1.0802399999999998E-12</v>
      </c>
      <c r="S11">
        <f>(SUMPRODUCT(F15:L15, U25:AA25))*0.000000000000001</f>
        <v>-2.4026800000000007E-16</v>
      </c>
      <c r="T11">
        <f>(SUMPRODUCT(F15:L15, U26:AA26))*0.000000000000000001</f>
        <v>2.1225200000000006E-20</v>
      </c>
      <c r="U11" s="5" t="s">
        <v>25</v>
      </c>
      <c r="V11" s="5">
        <v>3.8490000000000002</v>
      </c>
      <c r="W11" s="5">
        <v>-2.5630000000000002</v>
      </c>
      <c r="X11" s="5">
        <v>6.1150000000000002</v>
      </c>
      <c r="Y11" s="5">
        <v>-5.3410000000000002</v>
      </c>
      <c r="Z11" s="5">
        <v>2.34</v>
      </c>
      <c r="AA11" s="5">
        <v>-0.51480000000000004</v>
      </c>
      <c r="AB11" s="5">
        <v>4.5249999999999999E-2</v>
      </c>
      <c r="AC11">
        <v>0</v>
      </c>
    </row>
    <row r="12" spans="4:29" x14ac:dyDescent="0.2">
      <c r="F12">
        <f>LN(F11)</f>
        <v>6.8122922434959774</v>
      </c>
      <c r="G12">
        <f t="shared" ref="G12:L12" si="1">F11</f>
        <v>908.95195999999999</v>
      </c>
      <c r="H12">
        <f t="shared" si="1"/>
        <v>413096.83279392077</v>
      </c>
      <c r="I12">
        <f t="shared" si="1"/>
        <v>250323450.55855104</v>
      </c>
      <c r="J12">
        <f t="shared" si="1"/>
        <v>170648993264.36853</v>
      </c>
      <c r="K12">
        <f t="shared" si="1"/>
        <v>124089389519739.66</v>
      </c>
      <c r="L12">
        <f t="shared" si="1"/>
        <v>9.3992744849309008E+16</v>
      </c>
      <c r="U12" s="6" t="s">
        <v>26</v>
      </c>
      <c r="V12" s="6">
        <v>3.3090000000000002</v>
      </c>
      <c r="W12" s="6">
        <v>0.1012</v>
      </c>
      <c r="X12" s="6">
        <v>3.0070000000000001</v>
      </c>
      <c r="Y12" s="6">
        <v>-3.8010000000000002</v>
      </c>
      <c r="Z12" s="6">
        <v>2.0409999999999999</v>
      </c>
      <c r="AA12" s="6">
        <v>-0.51290000000000002</v>
      </c>
      <c r="AB12" s="6">
        <v>4.9500000000000002E-2</v>
      </c>
      <c r="AC12">
        <v>0</v>
      </c>
    </row>
    <row r="13" spans="4:29" x14ac:dyDescent="0.2">
      <c r="D13" t="s">
        <v>27</v>
      </c>
      <c r="N13" t="s">
        <v>28</v>
      </c>
      <c r="U13" s="6" t="s">
        <v>29</v>
      </c>
      <c r="V13" s="6">
        <v>4.008</v>
      </c>
      <c r="W13" s="6">
        <v>-0.65980000000000005</v>
      </c>
      <c r="X13" s="6">
        <v>3.0510000000000002</v>
      </c>
      <c r="Y13" s="6">
        <v>-1.8939999999999999</v>
      </c>
      <c r="Z13" s="6">
        <v>0.51139999999999997</v>
      </c>
      <c r="AA13" s="6">
        <v>-5.8880000000000002E-2</v>
      </c>
      <c r="AB13" s="6">
        <v>1.6819999999999999E-3</v>
      </c>
      <c r="AC13">
        <v>-241820</v>
      </c>
    </row>
    <row r="14" spans="4:29" x14ac:dyDescent="0.2">
      <c r="D14" t="s">
        <v>30</v>
      </c>
      <c r="E14" t="s">
        <v>31</v>
      </c>
      <c r="F14" t="s">
        <v>32</v>
      </c>
      <c r="G14" t="s">
        <v>33</v>
      </c>
      <c r="H14" t="s">
        <v>34</v>
      </c>
      <c r="I14" t="s">
        <v>35</v>
      </c>
      <c r="J14" t="s">
        <v>36</v>
      </c>
      <c r="K14" t="s">
        <v>37</v>
      </c>
      <c r="L14" t="s">
        <v>38</v>
      </c>
      <c r="N14" t="s">
        <v>39</v>
      </c>
      <c r="O14" t="s">
        <v>40</v>
      </c>
      <c r="P14" t="s">
        <v>41</v>
      </c>
      <c r="Q14" t="s">
        <v>42</v>
      </c>
      <c r="R14" t="s">
        <v>71</v>
      </c>
      <c r="S14" t="s">
        <v>44</v>
      </c>
      <c r="T14" t="s">
        <v>45</v>
      </c>
      <c r="U14" s="6" t="s">
        <v>46</v>
      </c>
      <c r="V14" s="6">
        <v>3.2309999999999999</v>
      </c>
      <c r="W14" s="6">
        <v>1.5469999999999999</v>
      </c>
      <c r="X14" s="6">
        <v>-3.4049999999999998</v>
      </c>
      <c r="Y14" s="6">
        <v>3.7679999999999998</v>
      </c>
      <c r="Z14" s="6">
        <v>-1.94</v>
      </c>
      <c r="AA14" s="6">
        <v>0.47499999999999998</v>
      </c>
      <c r="AB14" s="6">
        <v>-4.496E-2</v>
      </c>
      <c r="AC14">
        <v>0</v>
      </c>
    </row>
    <row r="15" spans="4:29" x14ac:dyDescent="0.2">
      <c r="D15" s="50">
        <v>908.95195999999999</v>
      </c>
      <c r="E15">
        <v>100</v>
      </c>
      <c r="F15">
        <v>0.4</v>
      </c>
      <c r="G15">
        <v>0.1</v>
      </c>
      <c r="H15">
        <v>0.1</v>
      </c>
      <c r="I15">
        <v>0.1</v>
      </c>
      <c r="J15">
        <v>0.1</v>
      </c>
      <c r="K15">
        <v>0.1</v>
      </c>
      <c r="L15">
        <v>0.1</v>
      </c>
      <c r="N15" s="1">
        <f>SUMPRODUCT(F15:L15, F16:L16)</f>
        <v>27.6051</v>
      </c>
      <c r="O15">
        <f>8.31447/N15</f>
        <v>0.30119325776758643</v>
      </c>
      <c r="P15">
        <f>SUM(N10:T10)*O15</f>
        <v>1.2298345853414738</v>
      </c>
      <c r="Q15">
        <f>(O15*D15)/E15</f>
        <v>2.7377020198663291</v>
      </c>
      <c r="R15">
        <f>((O15)*SUMPRODUCT(N11:T11, F11:L11))*N15</f>
        <v>28008.108395899832</v>
      </c>
      <c r="S15">
        <f>R17-(O15*D15)</f>
        <v>-2273.77020209287</v>
      </c>
      <c r="T15">
        <f>O15*(SUMPRODUCT(N11:T11,F12:L12))-(O15*LN(E15))</f>
        <v>5.8157208910166522</v>
      </c>
      <c r="U15" s="6" t="s">
        <v>47</v>
      </c>
      <c r="V15" s="6">
        <v>2.3370000000000002</v>
      </c>
      <c r="W15" s="6">
        <v>9.4</v>
      </c>
      <c r="X15" s="6">
        <v>-8.7420000000000009</v>
      </c>
      <c r="Y15" s="6">
        <v>4.9470000000000001</v>
      </c>
      <c r="Z15" s="6">
        <v>-1.694</v>
      </c>
      <c r="AA15" s="6">
        <v>0.32150000000000001</v>
      </c>
      <c r="AB15" s="6">
        <v>-2.581E-2</v>
      </c>
      <c r="AC15">
        <v>-393520</v>
      </c>
    </row>
    <row r="16" spans="4:29" x14ac:dyDescent="0.2">
      <c r="F16">
        <v>28.013000000000002</v>
      </c>
      <c r="G16">
        <v>31.998999999999999</v>
      </c>
      <c r="H16">
        <v>18.015499999999999</v>
      </c>
      <c r="I16">
        <v>2.016</v>
      </c>
      <c r="J16">
        <v>44.01</v>
      </c>
      <c r="K16">
        <v>28.0105</v>
      </c>
      <c r="L16">
        <v>39.948</v>
      </c>
      <c r="N16" t="s">
        <v>72</v>
      </c>
      <c r="O16" t="s">
        <v>68</v>
      </c>
      <c r="P16" t="s">
        <v>73</v>
      </c>
      <c r="Q16" t="s">
        <v>74</v>
      </c>
      <c r="R16" t="s">
        <v>43</v>
      </c>
      <c r="U16" s="6" t="s">
        <v>48</v>
      </c>
      <c r="V16" s="6">
        <v>3.78</v>
      </c>
      <c r="W16" s="6">
        <v>-2.3199999999999998</v>
      </c>
      <c r="X16" s="6">
        <v>6.1020000000000003</v>
      </c>
      <c r="Y16" s="6">
        <v>-5.58</v>
      </c>
      <c r="Z16" s="6">
        <v>2.524</v>
      </c>
      <c r="AA16" s="6">
        <v>-0.56820000000000004</v>
      </c>
      <c r="AB16" s="6">
        <v>5.0840000000000003E-2</v>
      </c>
      <c r="AC16">
        <v>-110530</v>
      </c>
    </row>
    <row r="17" spans="14:29" x14ac:dyDescent="0.2">
      <c r="N17">
        <f>SUMPRODUCT(U27:AA27,F15:L15)</f>
        <v>-74587</v>
      </c>
      <c r="O17">
        <f>P15-O15</f>
        <v>0.9286413275738874</v>
      </c>
      <c r="P17">
        <f>((O15)*SUMPRODUCT(N11:T11, F6:L6))*N15</f>
        <v>8631.3083988325197</v>
      </c>
      <c r="Q17">
        <f>N17+(R15-P17)</f>
        <v>-55210.200002932688</v>
      </c>
      <c r="R17">
        <f>Q17/N15</f>
        <v>-2000.0000001062372</v>
      </c>
      <c r="U17" s="4" t="s">
        <v>49</v>
      </c>
      <c r="V17" s="4">
        <v>2.5</v>
      </c>
      <c r="W17" s="4">
        <v>0</v>
      </c>
      <c r="X17" s="4">
        <v>0</v>
      </c>
      <c r="Y17" s="4">
        <v>0</v>
      </c>
      <c r="Z17" s="4">
        <v>0</v>
      </c>
      <c r="AA17" s="4">
        <v>0</v>
      </c>
      <c r="AB17" s="4">
        <v>0</v>
      </c>
      <c r="AC17">
        <v>0</v>
      </c>
    </row>
    <row r="20" spans="14:29" x14ac:dyDescent="0.2">
      <c r="T20" t="s">
        <v>2</v>
      </c>
      <c r="U20" s="5">
        <v>3.8490000000000002</v>
      </c>
      <c r="V20" s="6">
        <v>3.3090000000000002</v>
      </c>
      <c r="W20" s="6">
        <v>4.008</v>
      </c>
      <c r="X20" s="6">
        <v>3.2309999999999999</v>
      </c>
      <c r="Y20" s="6">
        <v>2.3370000000000002</v>
      </c>
      <c r="Z20" s="6">
        <v>3.78</v>
      </c>
      <c r="AA20" s="4">
        <v>2.5</v>
      </c>
    </row>
    <row r="21" spans="14:29" x14ac:dyDescent="0.2">
      <c r="T21" t="s">
        <v>3</v>
      </c>
      <c r="U21" s="5">
        <v>-2.5630000000000002</v>
      </c>
      <c r="V21" s="6">
        <v>0.1012</v>
      </c>
      <c r="W21" s="6">
        <v>-0.65980000000000005</v>
      </c>
      <c r="X21" s="6">
        <v>1.5469999999999999</v>
      </c>
      <c r="Y21" s="6">
        <v>9.4</v>
      </c>
      <c r="Z21" s="6">
        <v>-2.3199999999999998</v>
      </c>
      <c r="AA21" s="4">
        <v>0</v>
      </c>
    </row>
    <row r="22" spans="14:29" x14ac:dyDescent="0.2">
      <c r="T22" t="s">
        <v>4</v>
      </c>
      <c r="U22" s="5">
        <v>6.1150000000000002</v>
      </c>
      <c r="V22" s="6">
        <v>3.0070000000000001</v>
      </c>
      <c r="W22" s="6">
        <v>3.0510000000000002</v>
      </c>
      <c r="X22" s="6">
        <v>-3.4049999999999998</v>
      </c>
      <c r="Y22" s="6">
        <v>-8.7420000000000009</v>
      </c>
      <c r="Z22" s="6">
        <v>6.1020000000000003</v>
      </c>
      <c r="AA22" s="4">
        <v>0</v>
      </c>
    </row>
    <row r="23" spans="14:29" x14ac:dyDescent="0.2">
      <c r="T23" t="s">
        <v>5</v>
      </c>
      <c r="U23" s="5">
        <v>-5.3410000000000002</v>
      </c>
      <c r="V23" s="6">
        <v>-3.8010000000000002</v>
      </c>
      <c r="W23" s="6">
        <v>-1.8939999999999999</v>
      </c>
      <c r="X23" s="6">
        <v>3.7679999999999998</v>
      </c>
      <c r="Y23" s="6">
        <v>4.9470000000000001</v>
      </c>
      <c r="Z23" s="6">
        <v>-5.58</v>
      </c>
      <c r="AA23" s="4">
        <v>0</v>
      </c>
    </row>
    <row r="24" spans="14:29" x14ac:dyDescent="0.2">
      <c r="T24" t="s">
        <v>6</v>
      </c>
      <c r="U24" s="5">
        <v>2.34</v>
      </c>
      <c r="V24" s="6">
        <v>2.0409999999999999</v>
      </c>
      <c r="W24" s="6">
        <v>0.51139999999999997</v>
      </c>
      <c r="X24" s="6">
        <v>-1.94</v>
      </c>
      <c r="Y24" s="6">
        <v>-1.694</v>
      </c>
      <c r="Z24" s="6">
        <v>2.524</v>
      </c>
      <c r="AA24" s="4">
        <v>0</v>
      </c>
    </row>
    <row r="25" spans="14:29" x14ac:dyDescent="0.2">
      <c r="T25" t="s">
        <v>7</v>
      </c>
      <c r="U25" s="5">
        <v>-0.51480000000000004</v>
      </c>
      <c r="V25" s="6">
        <v>-0.51290000000000002</v>
      </c>
      <c r="W25" s="6">
        <v>-5.8880000000000002E-2</v>
      </c>
      <c r="X25" s="6">
        <v>0.47499999999999998</v>
      </c>
      <c r="Y25" s="6">
        <v>0.32150000000000001</v>
      </c>
      <c r="Z25" s="6">
        <v>-0.56820000000000004</v>
      </c>
      <c r="AA25">
        <v>0</v>
      </c>
    </row>
    <row r="26" spans="14:29" x14ac:dyDescent="0.2">
      <c r="T26" t="s">
        <v>8</v>
      </c>
      <c r="U26" s="5">
        <v>4.5249999999999999E-2</v>
      </c>
      <c r="V26" s="6">
        <v>4.9500000000000002E-2</v>
      </c>
      <c r="W26" s="6">
        <v>1.6819999999999999E-3</v>
      </c>
      <c r="X26" s="6">
        <v>-4.496E-2</v>
      </c>
      <c r="Y26" s="6">
        <v>-2.581E-2</v>
      </c>
      <c r="Z26" s="6">
        <v>5.0840000000000003E-2</v>
      </c>
      <c r="AA26">
        <v>0</v>
      </c>
    </row>
    <row r="27" spans="14:29" x14ac:dyDescent="0.2">
      <c r="T27" t="s">
        <v>70</v>
      </c>
      <c r="U27">
        <v>0</v>
      </c>
      <c r="V27">
        <v>0</v>
      </c>
      <c r="W27">
        <v>-241820</v>
      </c>
      <c r="X27">
        <v>0</v>
      </c>
      <c r="Y27">
        <v>-393520</v>
      </c>
      <c r="Z27">
        <v>-110530</v>
      </c>
      <c r="AA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HW6</vt:lpstr>
      <vt:lpstr>HW7(1)</vt:lpstr>
      <vt:lpstr>ProjectTask</vt:lpstr>
      <vt:lpstr>Constants</vt:lpstr>
      <vt:lpstr>HW7(2)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Hundley, Pryce</cp:lastModifiedBy>
  <cp:revision/>
  <dcterms:created xsi:type="dcterms:W3CDTF">2023-11-02T23:34:35Z</dcterms:created>
  <dcterms:modified xsi:type="dcterms:W3CDTF">2023-12-04T18:28:07Z</dcterms:modified>
  <cp:category/>
  <cp:contentStatus/>
</cp:coreProperties>
</file>