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pasq\security-graph-visualiser\doc\documents\"/>
    </mc:Choice>
  </mc:AlternateContent>
  <xr:revisionPtr revIDLastSave="0" documentId="13_ncr:1_{CF4D6EAD-37F9-49C8-BA75-7613713D7571}" xr6:coauthVersionLast="43" xr6:coauthVersionMax="43" xr10:uidLastSave="{00000000-0000-0000-0000-000000000000}"/>
  <bookViews>
    <workbookView xWindow="-120" yWindow="-120" windowWidth="29040" windowHeight="16185" tabRatio="500" xr2:uid="{00000000-000D-0000-FFFF-FFFF00000000}"/>
  </bookViews>
  <sheets>
    <sheet name="Calculations" sheetId="1" r:id="rId1"/>
    <sheet name="Sheet4" sheetId="8" state="hidden" r:id="rId2"/>
    <sheet name="classes_of_vulnerabilities" sheetId="7" state="hidden" r:id="rId3"/>
    <sheet name="OWASP" sheetId="2" r:id="rId4"/>
    <sheet name="OWASP_Source_data" sheetId="6" r:id="rId5"/>
    <sheet name="Acunetix" sheetId="4" r:id="rId6"/>
    <sheet name="Wapiti" sheetId="3" r:id="rId7"/>
  </sheets>
  <definedNames>
    <definedName name="_xlnm._FilterDatabase" localSheetId="3" hidden="1">OWASP!$A$2:$G$34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7" l="1"/>
  <c r="D13" i="7"/>
  <c r="D11" i="7"/>
  <c r="D9" i="7"/>
  <c r="D8" i="7"/>
  <c r="D7" i="7"/>
  <c r="D6" i="7"/>
  <c r="D5" i="7"/>
  <c r="D4" i="7"/>
  <c r="C9" i="7"/>
  <c r="C17" i="7"/>
  <c r="C16" i="7"/>
  <c r="C15" i="7"/>
  <c r="C14" i="7"/>
  <c r="C13" i="7"/>
  <c r="C12" i="7"/>
  <c r="C11" i="7"/>
  <c r="C10" i="7"/>
  <c r="C8" i="7"/>
  <c r="C5" i="7"/>
  <c r="C3" i="7"/>
  <c r="C6" i="7"/>
  <c r="C4" i="7"/>
  <c r="B7" i="1"/>
  <c r="B19" i="1"/>
  <c r="B6" i="1"/>
  <c r="C3" i="2"/>
  <c r="B17" i="1"/>
  <c r="B9" i="1"/>
  <c r="B12" i="1"/>
  <c r="C19" i="1"/>
  <c r="B8" i="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15" i="6"/>
  <c r="X46" i="6"/>
  <c r="X45" i="6"/>
  <c r="X44" i="6"/>
  <c r="X43" i="6"/>
  <c r="X42" i="6"/>
  <c r="X41" i="6"/>
  <c r="X40" i="6"/>
  <c r="X39" i="6"/>
  <c r="X38" i="6"/>
  <c r="X37" i="6"/>
  <c r="X36" i="6"/>
  <c r="X35" i="6"/>
  <c r="X34" i="6"/>
  <c r="X33" i="6"/>
  <c r="X32" i="6"/>
  <c r="X31" i="6"/>
  <c r="X30" i="6"/>
  <c r="X29" i="6"/>
  <c r="X28" i="6"/>
  <c r="X27" i="6"/>
  <c r="X26" i="6"/>
  <c r="X25" i="6"/>
  <c r="X24" i="6"/>
  <c r="X23" i="6"/>
  <c r="X22" i="6"/>
  <c r="X21" i="6"/>
  <c r="X20" i="6"/>
  <c r="X19" i="6"/>
  <c r="X18" i="6"/>
  <c r="X17" i="6"/>
  <c r="X16" i="6"/>
  <c r="X15" i="6"/>
  <c r="V46" i="6"/>
  <c r="V45" i="6"/>
  <c r="V44" i="6"/>
  <c r="V43" i="6"/>
  <c r="V42" i="6"/>
  <c r="V41" i="6"/>
  <c r="V40" i="6"/>
  <c r="V39" i="6"/>
  <c r="V38" i="6"/>
  <c r="V37" i="6"/>
  <c r="V36" i="6"/>
  <c r="V35" i="6"/>
  <c r="V34" i="6"/>
  <c r="V33" i="6"/>
  <c r="V32" i="6"/>
  <c r="V31" i="6"/>
  <c r="V30" i="6"/>
  <c r="V29" i="6"/>
  <c r="V28" i="6"/>
  <c r="V27" i="6"/>
  <c r="V26" i="6"/>
  <c r="V25" i="6"/>
  <c r="V24" i="6"/>
  <c r="V23" i="6"/>
  <c r="V22" i="6"/>
  <c r="V21" i="6"/>
  <c r="V20" i="6"/>
  <c r="V19" i="6"/>
  <c r="V18" i="6"/>
  <c r="V17" i="6"/>
  <c r="V16" i="6"/>
  <c r="V15" i="6"/>
  <c r="T46" i="6"/>
  <c r="T45" i="6"/>
  <c r="T44" i="6"/>
  <c r="T43" i="6"/>
  <c r="T42" i="6"/>
  <c r="T41" i="6"/>
  <c r="T40" i="6"/>
  <c r="T39" i="6"/>
  <c r="T38" i="6"/>
  <c r="T37" i="6"/>
  <c r="T36" i="6"/>
  <c r="T35" i="6"/>
  <c r="T34" i="6"/>
  <c r="T33" i="6"/>
  <c r="T32" i="6"/>
  <c r="T31" i="6"/>
  <c r="T30" i="6"/>
  <c r="T29" i="6"/>
  <c r="T28" i="6"/>
  <c r="T27" i="6"/>
  <c r="T26" i="6"/>
  <c r="T25" i="6"/>
  <c r="T24" i="6"/>
  <c r="T23" i="6"/>
  <c r="T22" i="6"/>
  <c r="T21" i="6"/>
  <c r="T20" i="6"/>
  <c r="T19" i="6"/>
  <c r="T18" i="6"/>
  <c r="T17" i="6"/>
  <c r="T16" i="6"/>
  <c r="T15" i="6"/>
  <c r="R46" i="6"/>
  <c r="R45" i="6"/>
  <c r="R44" i="6"/>
  <c r="R43" i="6"/>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15" i="6"/>
  <c r="W47" i="6"/>
  <c r="S47" i="6"/>
  <c r="Q47" i="6"/>
  <c r="M47" i="6"/>
  <c r="I47" i="6"/>
  <c r="G47" i="6"/>
  <c r="E47" i="6"/>
  <c r="C47" i="6"/>
  <c r="O45" i="6"/>
  <c r="U42" i="6"/>
  <c r="O41" i="6"/>
  <c r="O40" i="6"/>
  <c r="O28" i="6"/>
  <c r="O27" i="6"/>
  <c r="O25" i="6"/>
  <c r="U24" i="6"/>
  <c r="K20" i="6"/>
  <c r="K47" i="6" s="1"/>
  <c r="O19" i="6"/>
  <c r="U18" i="6"/>
  <c r="U47" i="6" s="1"/>
  <c r="O18" i="6"/>
  <c r="I33" i="4"/>
  <c r="I29" i="4"/>
  <c r="I28" i="4"/>
  <c r="I27" i="4"/>
  <c r="I26" i="4"/>
  <c r="I24" i="4"/>
  <c r="I20" i="4"/>
  <c r="I19" i="4"/>
  <c r="I18" i="4"/>
  <c r="I17" i="4"/>
  <c r="I16" i="4"/>
  <c r="I11" i="4"/>
  <c r="I9" i="4"/>
  <c r="I6" i="4"/>
  <c r="I3" i="4"/>
  <c r="I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2" i="4"/>
  <c r="O47" i="6" l="1"/>
  <c r="B47" i="6" l="1"/>
  <c r="W26" i="3"/>
  <c r="W25" i="3"/>
  <c r="W24" i="3"/>
  <c r="W23" i="3"/>
  <c r="W22" i="3"/>
  <c r="W21" i="3"/>
  <c r="W20" i="3"/>
  <c r="W19" i="3"/>
  <c r="W18" i="3"/>
  <c r="W17" i="3"/>
  <c r="W16" i="3"/>
  <c r="W15" i="3"/>
  <c r="W14" i="3"/>
  <c r="W13" i="3"/>
  <c r="W12" i="3"/>
  <c r="W11" i="3"/>
  <c r="W10" i="3"/>
  <c r="W9" i="3"/>
  <c r="W8" i="3"/>
  <c r="W7" i="3"/>
  <c r="W6" i="3"/>
  <c r="W5" i="3"/>
  <c r="W4" i="3"/>
  <c r="T12" i="3"/>
  <c r="S26" i="3"/>
  <c r="S25" i="3"/>
  <c r="S24" i="3"/>
  <c r="S23" i="3"/>
  <c r="S22" i="3"/>
  <c r="S21" i="3"/>
  <c r="S20" i="3"/>
  <c r="S19" i="3"/>
  <c r="S18" i="3"/>
  <c r="S17" i="3"/>
  <c r="S16" i="3"/>
  <c r="S15" i="3"/>
  <c r="S14" i="3"/>
  <c r="S13" i="3"/>
  <c r="S12" i="3"/>
  <c r="S11" i="3"/>
  <c r="S10" i="3"/>
  <c r="S9" i="3"/>
  <c r="S8" i="3"/>
  <c r="S7" i="3"/>
  <c r="S6" i="3"/>
  <c r="S5" i="3"/>
  <c r="S4" i="3"/>
  <c r="O5" i="3" l="1"/>
  <c r="O6" i="3"/>
  <c r="O7" i="3"/>
  <c r="O8" i="3"/>
  <c r="O9" i="3"/>
  <c r="O10" i="3"/>
  <c r="O11" i="3"/>
  <c r="O12" i="3"/>
  <c r="O13" i="3"/>
  <c r="O14" i="3"/>
  <c r="O15" i="3"/>
  <c r="O16" i="3"/>
  <c r="O17" i="3"/>
  <c r="O18" i="3"/>
  <c r="O19" i="3"/>
  <c r="O20" i="3"/>
  <c r="O21" i="3"/>
  <c r="O22" i="3"/>
  <c r="O23" i="3"/>
  <c r="O24" i="3"/>
  <c r="O25" i="3"/>
  <c r="O26" i="3"/>
  <c r="O4" i="3"/>
  <c r="E9" i="4"/>
  <c r="D35" i="4"/>
  <c r="D34" i="4"/>
  <c r="E33" i="4"/>
  <c r="D33" i="4"/>
  <c r="D32" i="4"/>
  <c r="D31" i="4"/>
  <c r="D30" i="4"/>
  <c r="D29" i="4"/>
  <c r="F28" i="4"/>
  <c r="D28" i="4"/>
  <c r="F27" i="4"/>
  <c r="D27" i="4"/>
  <c r="F26" i="4"/>
  <c r="C10" i="1" s="1"/>
  <c r="D26" i="4"/>
  <c r="D25" i="4"/>
  <c r="E24" i="4"/>
  <c r="D24" i="4"/>
  <c r="C6" i="1"/>
  <c r="D6" i="1" s="1"/>
  <c r="F19" i="4"/>
  <c r="D19" i="4"/>
  <c r="F18" i="4"/>
  <c r="D18" i="4"/>
  <c r="C13" i="1"/>
  <c r="F17" i="4"/>
  <c r="D17" i="4"/>
  <c r="F16" i="4"/>
  <c r="D16" i="4"/>
  <c r="D15" i="4"/>
  <c r="D14" i="4"/>
  <c r="D13" i="4"/>
  <c r="D12" i="4"/>
  <c r="E11" i="4"/>
  <c r="D11" i="4"/>
  <c r="D10" i="4"/>
  <c r="C3" i="1" s="1"/>
  <c r="C20" i="1"/>
  <c r="D9" i="4"/>
  <c r="E8" i="4"/>
  <c r="D8" i="4"/>
  <c r="E7" i="4"/>
  <c r="D7" i="4"/>
  <c r="E6" i="4"/>
  <c r="D6" i="4"/>
  <c r="I5" i="4"/>
  <c r="D5" i="4"/>
  <c r="I4" i="4"/>
  <c r="D4" i="4"/>
  <c r="F3" i="4"/>
  <c r="C11" i="1" s="1"/>
  <c r="E3" i="4"/>
  <c r="D3" i="4"/>
  <c r="F2" i="4"/>
  <c r="D2" i="4"/>
  <c r="C22" i="1"/>
  <c r="C7" i="1"/>
  <c r="C15" i="1"/>
  <c r="C8" i="1"/>
  <c r="C18" i="1"/>
  <c r="F9" i="4" l="1"/>
  <c r="F6" i="4"/>
  <c r="F33" i="4"/>
  <c r="C5" i="1" s="1"/>
  <c r="F24" i="4"/>
  <c r="C14" i="1" s="1"/>
  <c r="F11" i="4"/>
  <c r="B11" i="1" l="1"/>
  <c r="D11" i="1" s="1"/>
  <c r="B16" i="1"/>
  <c r="D16" i="1" s="1"/>
  <c r="B15" i="1"/>
  <c r="D15" i="1" s="1"/>
  <c r="D9" i="1"/>
  <c r="B5" i="1"/>
  <c r="D5" i="1" s="1"/>
  <c r="B3" i="1"/>
  <c r="D3" i="1" s="1"/>
  <c r="B14" i="1"/>
  <c r="D14" i="1" s="1"/>
  <c r="B22" i="1"/>
  <c r="D22" i="1" s="1"/>
  <c r="B10" i="1"/>
  <c r="D10" i="1" s="1"/>
  <c r="D7" i="1"/>
  <c r="B21" i="1"/>
  <c r="D21" i="1" s="1"/>
  <c r="B20" i="1"/>
  <c r="D20" i="1" s="1"/>
  <c r="B13" i="1"/>
  <c r="D13" i="1" s="1"/>
  <c r="D19" i="1"/>
  <c r="D17" i="1"/>
  <c r="D8" i="1"/>
  <c r="D12" i="1"/>
  <c r="B18" i="1" l="1"/>
  <c r="G5" i="2" s="1"/>
  <c r="G6" i="2" l="1"/>
  <c r="G13" i="2"/>
  <c r="G28" i="2"/>
  <c r="G34" i="2"/>
  <c r="G16" i="2"/>
  <c r="G25" i="2"/>
  <c r="G18" i="2"/>
  <c r="G9" i="2"/>
  <c r="G19" i="2"/>
  <c r="G7" i="2"/>
  <c r="G11" i="2"/>
  <c r="G8" i="2"/>
  <c r="G24" i="2"/>
  <c r="D18" i="1"/>
  <c r="G3" i="2"/>
  <c r="E19" i="1" l="1"/>
  <c r="E13" i="1"/>
  <c r="E9" i="1"/>
  <c r="E7" i="1"/>
  <c r="E16" i="1"/>
  <c r="E21" i="1"/>
  <c r="E14" i="1"/>
  <c r="E5" i="1"/>
  <c r="E11" i="1"/>
  <c r="E6" i="1"/>
  <c r="E18" i="1"/>
  <c r="E3" i="1"/>
  <c r="E20" i="1"/>
  <c r="E10" i="1"/>
  <c r="E12" i="1"/>
  <c r="E8" i="1"/>
  <c r="E17" i="1"/>
  <c r="E22" i="1"/>
  <c r="E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000-000001000000}">
      <text>
        <r>
          <rPr>
            <sz val="10"/>
            <rFont val="Arial"/>
            <family val="2"/>
          </rPr>
          <t>Includes CWE-799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rFont val="Arial"/>
            <family val="2"/>
          </rPr>
          <t>Missing scores were added per methodology used by OWASP.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Przemyslaw Buczkowski</author>
  </authors>
  <commentList>
    <comment ref="D7" authorId="0" shapeId="0" xr:uid="{2C05AAE7-41CE-4C6A-94F0-FC3BE603D8EF}">
      <text>
        <r>
          <rPr>
            <b/>
            <sz val="9"/>
            <color indexed="81"/>
            <rFont val="Tahoma"/>
            <family val="2"/>
          </rPr>
          <t>Reported incorrectly as SSRF.</t>
        </r>
      </text>
    </comment>
    <comment ref="K12" authorId="0" shapeId="0" xr:uid="{FD644FF9-B353-4774-BFD5-632A42A1D425}">
      <text>
        <r>
          <rPr>
            <b/>
            <sz val="9"/>
            <color indexed="81"/>
            <rFont val="Tahoma"/>
            <family val="2"/>
          </rPr>
          <t>Sum of attacks leading to a DoS.</t>
        </r>
      </text>
    </comment>
    <comment ref="K20" authorId="0" shapeId="0" xr:uid="{4FF2B36A-5E51-4406-B42A-4D5D0DAE0E4A}">
      <text>
        <r>
          <rPr>
            <b/>
            <sz val="9"/>
            <color indexed="81"/>
            <rFont val="Tahoma"/>
            <family val="2"/>
          </rPr>
          <t>The app does not have non-privileged users what was counted as 4 missing access controls.</t>
        </r>
      </text>
    </comment>
  </commentList>
</comments>
</file>

<file path=xl/sharedStrings.xml><?xml version="1.0" encoding="utf-8"?>
<sst xmlns="http://schemas.openxmlformats.org/spreadsheetml/2006/main" count="603" uniqueCount="372">
  <si>
    <t>Edge</t>
  </si>
  <si>
    <t>OWASP</t>
  </si>
  <si>
    <t>Acunetix</t>
  </si>
  <si>
    <t>Settings</t>
  </si>
  <si>
    <t>Command injection</t>
  </si>
  <si>
    <t>OWASP weight</t>
  </si>
  <si>
    <t>Weak password (login form)</t>
  </si>
  <si>
    <t>Acunetix weight</t>
  </si>
  <si>
    <t>Cross Site Request Forgery</t>
  </si>
  <si>
    <t>Hanging the script (self-inclusion)</t>
  </si>
  <si>
    <t>X</t>
  </si>
  <si>
    <t>File inclusion (remote PHP script injection)</t>
  </si>
  <si>
    <t>File inclusion (local PHP script injection)</t>
  </si>
  <si>
    <t>File inclusion (path traversal)</t>
  </si>
  <si>
    <t>File upload (PHP script)</t>
  </si>
  <si>
    <t>Denial of Service</t>
  </si>
  <si>
    <t>SQL injection</t>
  </si>
  <si>
    <t>Weak session ID</t>
  </si>
  <si>
    <t>DOM Cross Site Scripting</t>
  </si>
  <si>
    <t>Non-DOM Cross Site Scripting</t>
  </si>
  <si>
    <t>Password sniffing</t>
  </si>
  <si>
    <t>Web Server Vulnerabilities
&amp; Misconfigurations</t>
  </si>
  <si>
    <t>SSL vulnerabilities</t>
  </si>
  <si>
    <t>Missing/invalid access control</t>
  </si>
  <si>
    <t>Vulnerable library</t>
  </si>
  <si>
    <t>Server Side Request Forgery</t>
  </si>
  <si>
    <t>Unvalidated redirect / forward</t>
  </si>
  <si>
    <t>Network vulnerability</t>
  </si>
  <si>
    <t>Information leakage</t>
  </si>
  <si>
    <t>Authentication vulnerability</t>
  </si>
  <si>
    <t>Frequency</t>
  </si>
  <si>
    <t>Vulnerability type</t>
  </si>
  <si>
    <t>Score</t>
  </si>
  <si>
    <t>Detectability</t>
  </si>
  <si>
    <t>2017 rank</t>
  </si>
  <si>
    <t>2013 rank</t>
  </si>
  <si>
    <t># edges</t>
  </si>
  <si>
    <t>SQL Injection Vulnerabilities (CWE-89)</t>
  </si>
  <si>
    <t>Out of case study scope</t>
  </si>
  <si>
    <t>Hibernate Injection Vulnerabilities (CWE-564)</t>
  </si>
  <si>
    <t>-</t>
  </si>
  <si>
    <t>Command Injection Vulnerabilities (CWE-77)</t>
  </si>
  <si>
    <t>Authentication Vulnerabilities (CWE-287)</t>
  </si>
  <si>
    <t>Session Fixation Vulnerabilities (CWE-384)</t>
  </si>
  <si>
    <t>Cross-Site Scripting (XSS) Vulnerabilities (CWE-79)</t>
  </si>
  <si>
    <t>DOM-Based XSS Vulnerabilities (No CWE)</t>
  </si>
  <si>
    <t>Too broad</t>
  </si>
  <si>
    <t>Insecure Direct Object Reference Vulnerabilities (CWE-639)</t>
  </si>
  <si>
    <t>Path Traversal Vulnerabilities (CWE-22)</t>
  </si>
  <si>
    <t>Missing Authorization Vulnerabilities (CWE-285)</t>
  </si>
  <si>
    <t>Security Misconfiguration Vulnerabilities (CWE-2)</t>
  </si>
  <si>
    <t>Cleartext Transmission of Sensitive Information Vulnerabilities (CWE-319)</t>
  </si>
  <si>
    <t>Cleartext Storage of Sensitive Information Vulnerabilities (CWE-312)</t>
  </si>
  <si>
    <t>Cryptographic Vulnerabilities (CWEs-310/326/327/etc)</t>
  </si>
  <si>
    <t>Improper (Function Level) Access Control Vulnerabilities (CWE-285)</t>
  </si>
  <si>
    <t>Cross-Site Request Forgery (CSRF) Vulnerabilities (CWE-352)</t>
  </si>
  <si>
    <t>Use of Known Libraries (NEW 937)</t>
  </si>
  <si>
    <t>Unchecked Redirect Vulnerabilities (CWE-601)</t>
  </si>
  <si>
    <t>Unvalidated Forward Vulnerabilities (No CWE)</t>
  </si>
  <si>
    <t>Clickjacking Vulnerabilities (No CWE)</t>
  </si>
  <si>
    <t>Out of scope</t>
  </si>
  <si>
    <t>XML eXternal Entity Injection (XXE) Vulnerabilities (CWE-611)</t>
  </si>
  <si>
    <t>Server-Side Request Forgery (SSRF) Vulnerabilities (CWE-918)</t>
  </si>
  <si>
    <t>Denial of Service (DOS) Vulnerabilities (CWE-400)</t>
  </si>
  <si>
    <t>out of scope (JSP)</t>
  </si>
  <si>
    <t>Expression Language Injection Vulnerabilities (CWE-917)</t>
  </si>
  <si>
    <t>Error Handling Vulnerabilities (CWE-388)</t>
  </si>
  <si>
    <t>Information Leakage/Disclosure Vulnerabilities (CWE-200)</t>
  </si>
  <si>
    <t>Insufficient Anti-automation Vulnerabilities (CWE-799)</t>
  </si>
  <si>
    <t>Insufficient Security Logging Vulnerabilities (CWE-778)</t>
  </si>
  <si>
    <t>no cases</t>
  </si>
  <si>
    <t>Insufficient Intrusion Detection and Response Vulnerabilities (No CWE)</t>
  </si>
  <si>
    <t>out of scope</t>
  </si>
  <si>
    <t>Mass Assignment Vulnerabilities (CWE-915)</t>
  </si>
  <si>
    <t>out of scope (too broad)</t>
  </si>
  <si>
    <t>Input Validation</t>
  </si>
  <si>
    <t>Unrestricted Upload of File with Dangerous Type (CWE-434)</t>
  </si>
  <si>
    <t>Total:</t>
  </si>
  <si>
    <t>Vulnerability category</t>
  </si>
  <si>
    <t>Subcategory</t>
  </si>
  <si>
    <t># in subcat.</t>
  </si>
  <si>
    <t>% of targets</t>
  </si>
  <si>
    <t># in category</t>
  </si>
  <si>
    <t>Subcategory score</t>
  </si>
  <si>
    <t>Category score</t>
  </si>
  <si>
    <t>Used?</t>
  </si>
  <si>
    <t>Remote Code Execution</t>
  </si>
  <si>
    <t>SQL Injection (SQLi)</t>
  </si>
  <si>
    <t>BLIND SQLI</t>
  </si>
  <si>
    <t>UNION/EROR SQLI</t>
  </si>
  <si>
    <t xml:space="preserve">Local File Inclusion &amp;
Directory Traversal </t>
  </si>
  <si>
    <t>Local File Inclusion</t>
  </si>
  <si>
    <t>Directory Traversal</t>
  </si>
  <si>
    <t>Both</t>
  </si>
  <si>
    <t>XSS</t>
  </si>
  <si>
    <t>Dom-Based XSS</t>
  </si>
  <si>
    <t>JS library vulnerabilities</t>
  </si>
  <si>
    <t>JQUERY</t>
  </si>
  <si>
    <t>JQUERY MIGRATE</t>
  </si>
  <si>
    <t>YUI</t>
  </si>
  <si>
    <t>MOMENT.JS</t>
  </si>
  <si>
    <t>JQUERY UI</t>
  </si>
  <si>
    <t>Weak Passwords</t>
  </si>
  <si>
    <t>Source Code Disclosure</t>
  </si>
  <si>
    <t>Server-side Request Forgery</t>
  </si>
  <si>
    <t xml:space="preserve">Overflow Vulnerabilities </t>
  </si>
  <si>
    <t>Network Vulnerabilities</t>
  </si>
  <si>
    <t>SSH-related vulnerabilities</t>
  </si>
  <si>
    <t>~1900</t>
  </si>
  <si>
    <t>High: ~1600
Medium ~3500</t>
  </si>
  <si>
    <t>High: 16%
Medium: 35%</t>
  </si>
  <si>
    <t>FTP-related vulnerabilities</t>
  </si>
  <si>
    <t>~600</t>
  </si>
  <si>
    <t>Mail-related vulnerabilities</t>
  </si>
  <si>
    <t>~20</t>
  </si>
  <si>
    <t>DNS-related vulnerabilities</t>
  </si>
  <si>
    <t>DoS</t>
  </si>
  <si>
    <t>Slow HTTP DoS</t>
  </si>
  <si>
    <t>Cross-site Request Forgery</t>
  </si>
  <si>
    <t>Host Header Injection</t>
  </si>
  <si>
    <t>Directory Listing</t>
  </si>
  <si>
    <t>TLS/SSL Vulnerabilities</t>
  </si>
  <si>
    <t>BREACH</t>
  </si>
  <si>
    <t>~1700</t>
  </si>
  <si>
    <t>DROWN</t>
  </si>
  <si>
    <t>POODLE</t>
  </si>
  <si>
    <t>HEARTBLEED</t>
  </si>
  <si>
    <t>Apache</t>
  </si>
  <si>
    <t>IIS</t>
  </si>
  <si>
    <t>NGINX</t>
  </si>
  <si>
    <t>Easy</t>
  </si>
  <si>
    <t>Wapiti</t>
  </si>
  <si>
    <t>Page</t>
  </si>
  <si>
    <t>Medium</t>
  </si>
  <si>
    <t>Hard</t>
  </si>
  <si>
    <t>Weak password, medium anti-automation</t>
  </si>
  <si>
    <t>brute force</t>
  </si>
  <si>
    <t>command injection</t>
  </si>
  <si>
    <t>CSRF</t>
  </si>
  <si>
    <t>medium-hard CSRF</t>
  </si>
  <si>
    <t>very hard CSRF</t>
  </si>
  <si>
    <t>file inclusion</t>
  </si>
  <si>
    <t>file upload</t>
  </si>
  <si>
    <t>hard dangerous file upload, CSRF</t>
  </si>
  <si>
    <t>SQL injection (blind)</t>
  </si>
  <si>
    <t>medium SQL injection, XSS</t>
  </si>
  <si>
    <t>medium blind SQL injection, XSS</t>
  </si>
  <si>
    <t>very weak session ID, CSRF</t>
  </si>
  <si>
    <t>weak session ID, CSRF</t>
  </si>
  <si>
    <t>medium-weak session ID, CSRF</t>
  </si>
  <si>
    <t>XSS (DOM)</t>
  </si>
  <si>
    <t>easy XSS</t>
  </si>
  <si>
    <t>hard XSS</t>
  </si>
  <si>
    <t>XSS (reflected)</t>
  </si>
  <si>
    <t>medium XSS</t>
  </si>
  <si>
    <t>XSS (stored)</t>
  </si>
  <si>
    <r>
      <rPr>
        <sz val="10"/>
        <color rgb="FF00B050"/>
        <rFont val="Arial"/>
        <family val="2"/>
      </rPr>
      <t>sql injection</t>
    </r>
    <r>
      <rPr>
        <sz val="10"/>
        <rFont val="Arial"/>
        <family val="2"/>
      </rPr>
      <t xml:space="preserve">, </t>
    </r>
    <r>
      <rPr>
        <sz val="10"/>
        <color rgb="FFC00000"/>
        <rFont val="Arial"/>
        <family val="2"/>
      </rPr>
      <t>CSRF, weak password, no anti-automation</t>
    </r>
  </si>
  <si>
    <t>False positives</t>
  </si>
  <si>
    <t>blind SQL injection</t>
  </si>
  <si>
    <t>easy DOM XSS</t>
  </si>
  <si>
    <t>hard DOM XSS</t>
  </si>
  <si>
    <r>
      <rPr>
        <sz val="10"/>
        <color rgb="FF00B050"/>
        <rFont val="Arial"/>
        <family val="2"/>
      </rPr>
      <t>easy command injection</t>
    </r>
    <r>
      <rPr>
        <sz val="10"/>
        <rFont val="Arial"/>
        <family val="2"/>
      </rPr>
      <t xml:space="preserve">, </t>
    </r>
    <r>
      <rPr>
        <sz val="10"/>
        <color rgb="FFC00000"/>
        <rFont val="Arial"/>
        <family val="2"/>
      </rPr>
      <t>CSRF</t>
    </r>
  </si>
  <si>
    <r>
      <rPr>
        <sz val="10"/>
        <color rgb="FFC00000"/>
        <rFont val="Arial"/>
        <family val="2"/>
      </rPr>
      <t>dangerous file upload, CSRF</t>
    </r>
    <r>
      <rPr>
        <sz val="10"/>
        <rFont val="Arial"/>
        <family val="2"/>
      </rPr>
      <t xml:space="preserve">, </t>
    </r>
    <r>
      <rPr>
        <sz val="10"/>
        <color rgb="FF00B050"/>
        <rFont val="Arial"/>
        <family val="2"/>
      </rPr>
      <t>XSS</t>
    </r>
  </si>
  <si>
    <r>
      <rPr>
        <sz val="10"/>
        <color rgb="FF00B050"/>
        <rFont val="Arial"/>
        <family val="2"/>
      </rPr>
      <t>very easy SQL injection</t>
    </r>
    <r>
      <rPr>
        <sz val="10"/>
        <rFont val="Arial"/>
        <family val="2"/>
      </rPr>
      <t xml:space="preserve">, </t>
    </r>
    <r>
      <rPr>
        <sz val="10"/>
        <color rgb="FFC00000"/>
        <rFont val="Arial"/>
        <family val="2"/>
      </rPr>
      <t>XSS</t>
    </r>
  </si>
  <si>
    <r>
      <rPr>
        <sz val="10"/>
        <color rgb="FF00B050"/>
        <rFont val="Arial"/>
        <family val="2"/>
      </rPr>
      <t>very easy blind SQL injection</t>
    </r>
    <r>
      <rPr>
        <sz val="10"/>
        <rFont val="Arial"/>
        <family val="2"/>
      </rPr>
      <t xml:space="preserve">, </t>
    </r>
    <r>
      <rPr>
        <sz val="10"/>
        <color rgb="FFC00000"/>
        <rFont val="Arial"/>
        <family val="2"/>
      </rPr>
      <t>XSS</t>
    </r>
  </si>
  <si>
    <r>
      <rPr>
        <sz val="10"/>
        <color rgb="FF00B050"/>
        <rFont val="Arial"/>
        <family val="2"/>
      </rPr>
      <t>remote file inclusion</t>
    </r>
    <r>
      <rPr>
        <sz val="10"/>
        <rFont val="Arial"/>
        <family val="2"/>
      </rPr>
      <t xml:space="preserve">, </t>
    </r>
    <r>
      <rPr>
        <sz val="10"/>
        <color rgb="FF00B050"/>
        <rFont val="Arial"/>
        <family val="2"/>
      </rPr>
      <t>medium PHP command injection</t>
    </r>
    <r>
      <rPr>
        <sz val="10"/>
        <rFont val="Arial"/>
        <family val="2"/>
      </rPr>
      <t xml:space="preserve">, </t>
    </r>
    <r>
      <rPr>
        <sz val="10"/>
        <color rgb="FF00B050"/>
        <rFont val="Arial"/>
        <family val="2"/>
      </rPr>
      <t>SSRF</t>
    </r>
    <r>
      <rPr>
        <sz val="10"/>
        <rFont val="Arial"/>
        <family val="2"/>
      </rPr>
      <t xml:space="preserve">, </t>
    </r>
    <r>
      <rPr>
        <sz val="10"/>
        <color rgb="FFC00000"/>
        <rFont val="Arial"/>
        <family val="2"/>
      </rPr>
      <t>XSS</t>
    </r>
    <r>
      <rPr>
        <sz val="10"/>
        <rFont val="Arial"/>
        <family val="2"/>
      </rPr>
      <t xml:space="preserve">, </t>
    </r>
    <r>
      <rPr>
        <sz val="10"/>
        <color rgb="FFC00000"/>
        <rFont val="Arial"/>
        <family val="2"/>
      </rPr>
      <t>PHP misconfiguration</t>
    </r>
  </si>
  <si>
    <t>General configuration</t>
  </si>
  <si>
    <r>
      <t xml:space="preserve">leakage (phpinfo.php), leakage (PHP query), </t>
    </r>
    <r>
      <rPr>
        <sz val="10"/>
        <color rgb="FFC00000"/>
        <rFont val="Arial"/>
        <family val="2"/>
      </rPr>
      <t>old server version</t>
    </r>
  </si>
  <si>
    <t>configuration does not change with levels</t>
  </si>
  <si>
    <t>FP</t>
  </si>
  <si>
    <t>/config/, /login.php</t>
  </si>
  <si>
    <t>TBD</t>
  </si>
  <si>
    <r>
      <rPr>
        <sz val="10"/>
        <color rgb="FFC00000"/>
        <rFont val="Arial"/>
        <family val="2"/>
      </rPr>
      <t xml:space="preserve">CSRF, weak password, </t>
    </r>
    <r>
      <rPr>
        <i/>
        <sz val="10"/>
        <color rgb="FFC00000"/>
        <rFont val="Arial"/>
        <family val="2"/>
      </rPr>
      <t>medium</t>
    </r>
    <r>
      <rPr>
        <sz val="10"/>
        <color rgb="FFC00000"/>
        <rFont val="Arial"/>
        <family val="2"/>
      </rPr>
      <t xml:space="preserve"> anti-automation</t>
    </r>
  </si>
  <si>
    <r>
      <rPr>
        <sz val="10"/>
        <color rgb="FF00B050"/>
        <rFont val="Arial"/>
        <family val="2"/>
      </rPr>
      <t>easy SQL injection</t>
    </r>
    <r>
      <rPr>
        <sz val="10"/>
        <rFont val="Arial"/>
        <family val="2"/>
      </rPr>
      <t xml:space="preserve">, </t>
    </r>
    <r>
      <rPr>
        <sz val="10"/>
        <color rgb="FFC00000"/>
        <rFont val="Arial"/>
        <family val="2"/>
      </rPr>
      <t>XSS</t>
    </r>
  </si>
  <si>
    <r>
      <rPr>
        <sz val="10"/>
        <color rgb="FF00B050"/>
        <rFont val="Arial"/>
        <family val="2"/>
      </rPr>
      <t>medium command injection</t>
    </r>
    <r>
      <rPr>
        <sz val="10"/>
        <rFont val="Arial"/>
        <family val="2"/>
      </rPr>
      <t xml:space="preserve">, </t>
    </r>
    <r>
      <rPr>
        <sz val="10"/>
        <color rgb="FFC00000"/>
        <rFont val="Arial"/>
        <family val="2"/>
      </rPr>
      <t>CSRF</t>
    </r>
  </si>
  <si>
    <t>Scanner</t>
  </si>
  <si>
    <t>Manual</t>
  </si>
  <si>
    <r>
      <rPr>
        <sz val="10"/>
        <color rgb="FF00B050"/>
        <rFont val="Arial"/>
        <family val="2"/>
      </rPr>
      <t>local file inclusion</t>
    </r>
    <r>
      <rPr>
        <sz val="10"/>
        <color rgb="FFC00000"/>
        <rFont val="Arial"/>
        <family val="2"/>
      </rPr>
      <t>, XSS</t>
    </r>
  </si>
  <si>
    <t>easy-medium dangerous file upload, CSRF, XSS</t>
  </si>
  <si>
    <r>
      <rPr>
        <sz val="10"/>
        <color rgb="FFC00000"/>
        <rFont val="Arial"/>
        <family val="2"/>
      </rPr>
      <t>easy blind SQL injection</t>
    </r>
    <r>
      <rPr>
        <sz val="10"/>
        <rFont val="Arial"/>
        <family val="2"/>
      </rPr>
      <t xml:space="preserve">, </t>
    </r>
    <r>
      <rPr>
        <sz val="10"/>
        <color rgb="FFC00000"/>
        <rFont val="Arial"/>
        <family val="2"/>
      </rPr>
      <t>XSS</t>
    </r>
  </si>
  <si>
    <r>
      <rPr>
        <sz val="10"/>
        <color rgb="FF00B050"/>
        <rFont val="Arial"/>
        <family val="2"/>
      </rPr>
      <t>hard command injection</t>
    </r>
    <r>
      <rPr>
        <sz val="10"/>
        <color rgb="FFC00000"/>
        <rFont val="Arial"/>
        <family val="2"/>
      </rPr>
      <t>, CSRF</t>
    </r>
  </si>
  <si>
    <r>
      <rPr>
        <sz val="10"/>
        <color rgb="FFFFC000"/>
        <rFont val="Arial"/>
        <family val="2"/>
      </rPr>
      <t>hard local file inclusion</t>
    </r>
    <r>
      <rPr>
        <sz val="10"/>
        <color rgb="FFC00000"/>
        <rFont val="Arial"/>
        <family val="2"/>
      </rPr>
      <t>, XSS</t>
    </r>
  </si>
  <si>
    <t>High</t>
  </si>
  <si>
    <t>Low</t>
  </si>
  <si>
    <t>Name of Company/Organization</t>
  </si>
  <si>
    <t>Edgescan</t>
  </si>
  <si>
    <t>Veracode</t>
  </si>
  <si>
    <t>Branding Brand</t>
  </si>
  <si>
    <t>Paladion Networks</t>
  </si>
  <si>
    <t>Vantage Point</t>
  </si>
  <si>
    <t>iBLISS Segurança &amp; Inteligência</t>
  </si>
  <si>
    <t>AsTech Consulting</t>
  </si>
  <si>
    <t>Contrast Security</t>
  </si>
  <si>
    <t>Minded Security</t>
  </si>
  <si>
    <t>Aspect Security</t>
  </si>
  <si>
    <t>Softtek</t>
  </si>
  <si>
    <t>Company/Organization Web Site</t>
  </si>
  <si>
    <t>https://www.veracode.com/</t>
  </si>
  <si>
    <t>www.brandingbrand.com</t>
  </si>
  <si>
    <t>www.paladion.net</t>
  </si>
  <si>
    <t>www.vantagepoint.sg</t>
  </si>
  <si>
    <t>www.ibliss.com.br</t>
  </si>
  <si>
    <t>https://www.astechconsulting.com</t>
  </si>
  <si>
    <t>http://contrastsecurity.com</t>
  </si>
  <si>
    <t>https://www.mindedsecurity.com/</t>
  </si>
  <si>
    <t>www.aspectsecurity.com</t>
  </si>
  <si>
    <t>http://www.softtek.com/</t>
  </si>
  <si>
    <t>Point of Contact E-Mail</t>
  </si>
  <si>
    <t>eoin@edgescan.com</t>
  </si>
  <si>
    <t>tjarrett@veracode.com</t>
  </si>
  <si>
    <t>alex.cline@brandingbrand.com</t>
  </si>
  <si>
    <t>prashant.verma@paladion.net</t>
  </si>
  <si>
    <t>gerhard@vantagepoint.sg</t>
  </si>
  <si>
    <t>bruno.freire@ibliss.com.br</t>
  </si>
  <si>
    <t>jason.white@owasp.org</t>
  </si>
  <si>
    <t>jeff.williams@contrastsecurity.com</t>
  </si>
  <si>
    <t>gianrico.ingrosso@mindedsecurity.com</t>
  </si>
  <si>
    <t>john.pavone@aspectsecurity.com</t>
  </si>
  <si>
    <t>julio.maldonado@softtek.com, martha.salgado@softtek.com, raul.muro@softtek.com</t>
  </si>
  <si>
    <t>During what year(s) was this data collected?</t>
  </si>
  <si>
    <t>Both 2014 &amp; 2015</t>
  </si>
  <si>
    <t>If the application vulnerability data you are submitting was extracted from a publicly available report, please provide a link to that report (or reports), and the relevant page number(s)</t>
  </si>
  <si>
    <t>NA</t>
  </si>
  <si>
    <t>http://www.vantagepoint.sg/blog/69-owasp-top-10-data-call-submission</t>
  </si>
  <si>
    <t>Data is from a random sample of client applications using Contrast Enterprise SAAS edition only (not Contrast On-Premise edition)</t>
  </si>
  <si>
    <t>How many web applications do the submitted results cover?</t>
  </si>
  <si>
    <t>What were the primary programming languages the applications you reviewed written in?</t>
  </si>
  <si>
    <t>Java, .NET, PHP</t>
  </si>
  <si>
    <t>Java, PHP, Node.js, Objective-C</t>
  </si>
  <si>
    <t>Java, .NET</t>
  </si>
  <si>
    <t>Java, .NET, Node.js</t>
  </si>
  <si>
    <t>Java;.NET;PHP;Play;Oracle</t>
  </si>
  <si>
    <t>Please supply the exact percentage of applications per language checked off above:</t>
  </si>
  <si>
    <t>Java = 45%. .Net = 45% PHP=10%</t>
  </si>
  <si>
    <t>Java - 53.4%, .NET - 33.1%, PHP - 5.4%</t>
  </si>
  <si>
    <t>Node.js - 80%, PHP 10%, Java 5%, Objective-C 5%</t>
  </si>
  <si>
    <t>Java 70%, .NET 10%, PHP 12%</t>
  </si>
  <si>
    <t>56% Java, 33% .Net, 11% PHP</t>
  </si>
  <si>
    <t>Java - 54%,  .Net-24%</t>
  </si>
  <si>
    <t>67% Java, 28% .NET, 5% Node.js</t>
  </si>
  <si>
    <t xml:space="preserve">Java: 62.5%, .NET: 10.3%, PHP: 7.2%, Oracle: 7.9%, </t>
  </si>
  <si>
    <t>What were the primary industries these applications supported?</t>
  </si>
  <si>
    <t>Financial, Healthcare, eCommerce, Energy, Government, Gaming</t>
  </si>
  <si>
    <t>Financial, eCommerce, Internet/Social Media, Commercial software, telecommunications, manufacturing, education</t>
  </si>
  <si>
    <t>eCommerce</t>
  </si>
  <si>
    <t>Financial, eCommerce, Internet/Social Media, Government</t>
  </si>
  <si>
    <t>Financial, eCommerce, Internet/Social Media, Entertainment (Games/Music/Movies), Government</t>
  </si>
  <si>
    <t>Financial, Healthcare, eCommerce, Internet/Social Media, Entertainment (Games/Music/Movies), Government, Defense</t>
  </si>
  <si>
    <t>Financial, Healthcare</t>
  </si>
  <si>
    <t>Financial, Healthcare, eCommerce, Entertainment (Games/Music/Movies), Government</t>
  </si>
  <si>
    <t>Financial, Government, Healthcare, Technology Services, Defense, Airline, Retail, Education</t>
  </si>
  <si>
    <t>Healthcare;eCommerce;Airline;Energy;Bank, Financial Services, Transportation</t>
  </si>
  <si>
    <t>Where in the world were the application owners primarily?</t>
  </si>
  <si>
    <t>North America, Europe, Middle East</t>
  </si>
  <si>
    <t>North America</t>
  </si>
  <si>
    <t>North America, AsiaPac, Middle East</t>
  </si>
  <si>
    <t>AsiaPac</t>
  </si>
  <si>
    <t>South America</t>
  </si>
  <si>
    <t>North America, Europe, AsiaPac</t>
  </si>
  <si>
    <t>North America, Europe</t>
  </si>
  <si>
    <t>North America;Europe;AsiaPac</t>
  </si>
  <si>
    <t>What type of team did the bulk of this work?</t>
  </si>
  <si>
    <t>Consulting Organization</t>
  </si>
  <si>
    <t>Product Vendor/Service Provider (e.g., SaaS)</t>
  </si>
  <si>
    <t>Internal Assessment Team(s)</t>
  </si>
  <si>
    <t>What type of analysis tools do they use?</t>
  </si>
  <si>
    <t>Free/Open Source Dynamic Application Security Testing (DAST) Tools, Commercial Dynamic Application Security Testing (DAST) Tools, edgescan bespoke engine</t>
  </si>
  <si>
    <t>Commercial Static Application Security Testing (SAST) Tools, Commercial Dynamic Application Security Testing (DAST) Tools</t>
  </si>
  <si>
    <t>Free/Open Source Static Application Security Testing (SAST) Tools, Free/Open Source Dynamic Application Security Testing (DAST) Tools, Commercial Static Application Security Testing (SAST) Tools, Commercial Dynamic Application Security Testing (DAST) Tools</t>
  </si>
  <si>
    <t>Free/Open Source Static Application Security Testing (SAST) Tools, Free/Open Source Dynamic Application Security Testing (DAST) Tools, Free/Open Source Interactive Application Security Testing (IAST) Tools, Commercial Dynamic Application Security Testing (DAST) Tools</t>
  </si>
  <si>
    <t>Commercial Interactive Application Security Testing (IAST) Tools</t>
  </si>
  <si>
    <t>Free/Open Source Static Application Security Testing (SAST) Tools, Free/Open Source Dynamic Application Security Testing (DAST) Tools, Commercial Dynamic Application Security Testing (DAST) Tools</t>
  </si>
  <si>
    <t>Free &amp; Commercial Dynamic Application Security Testing (DAST) Tools, Commercial Static Application Security Testing (SAST) Tools, Commercial Interactive Application Security Testing (IAST) Tools</t>
  </si>
  <si>
    <t>Free/Open Source Static Application Security Testing (SAST) Tools;Free/Open Source Dynamic Application Security Testing (DAST) Tools;Commercial Static Application Security Testing (SAST) Tools;Commercial Dynamic Application Security Testing (DAST) Tools</t>
  </si>
  <si>
    <t>Which analysis tools do you frequently use?</t>
  </si>
  <si>
    <t>edgescan, Burp, Acunetix, OWASP Zap</t>
  </si>
  <si>
    <t>Veracode Static Analysis, Veracode DynamicDS, Veracode DynamicMP</t>
  </si>
  <si>
    <t>Nessus, Checkmarx, Bespoke Analysis, HackerGuardian</t>
  </si>
  <si>
    <t>Burp Suite Pro, NetSparker</t>
  </si>
  <si>
    <t>OWASP ZAP, Acunetix, Burp, mantra</t>
  </si>
  <si>
    <t>Contrast Enterprise Edition</t>
  </si>
  <si>
    <t>Burp Pro, OWASP ZAP, Contrast, Fortify, IBM AppScan Source</t>
  </si>
  <si>
    <t>Checkmarx, Nessus, nMap, Fiddler, Burp, HP Web Inspect, OWASP ZAP, WIreshark, Paros, AppSentry, Kali Linux, SoapUI</t>
  </si>
  <si>
    <t>What is your primary assessment methodology?</t>
  </si>
  <si>
    <t>Output from manually tailored automated analysis tool(s) - with manual false positive analysis/elimination</t>
  </si>
  <si>
    <t>Raw output of automated analysis tools, using rules tuned by earlier stage manual false positive analysis</t>
  </si>
  <si>
    <t>Combined manual expert code review and penetration testing with only commercial tools</t>
  </si>
  <si>
    <t>Manual expert penetration testing with commercial DAST tool(s)</t>
  </si>
  <si>
    <t>manual expert penetration testing or/and code review coupled with commercial as well as free DAST and SAST tools</t>
  </si>
  <si>
    <t>Manual expert code review with commercial SAST tool(s)</t>
  </si>
  <si>
    <t>Raw (untriaged) output of automated analysis tool results using default rules</t>
  </si>
  <si>
    <t>Combined manual expert code review and penetration testing with only free tools</t>
  </si>
  <si>
    <t>manual expert penetration testing or/and code review coupled with commercial DAST/SAST/IAST tools and free DAST/SAST tools</t>
  </si>
  <si>
    <t>Combined manual expert code review and penetration testing with free and commercial tools, Automated analysis tool results - with manual false positive analysis/elimination</t>
  </si>
  <si>
    <t>Number of SQL Injection Vulnerabilities Found (CWE-89)?</t>
  </si>
  <si>
    <t>Number of Hibernate Injection Vulnerabilities Found (CWE-564)?</t>
  </si>
  <si>
    <t>Number of Command Injection Vulnerabilities Found (CWE-77)?</t>
  </si>
  <si>
    <t>Number of Authentication Vulnerabilities Found (CWE-287)?</t>
  </si>
  <si>
    <t>Number of Session Fixation Vulnerabilities Found (CWE-384)?</t>
  </si>
  <si>
    <t>Number of Cross-Site Scripting (XSS) Vulnerabilities Found (CWE-79)?</t>
  </si>
  <si>
    <t>Number of DOM-Based XSS Vulnerabilities Found (No CWE)?</t>
  </si>
  <si>
    <t>Number of Insecure Direct Object Reference Vulnerabilities Found (CWE-639)?</t>
  </si>
  <si>
    <t>Number of Path Traversal Vulnerabilities Found (CWE-22)?</t>
  </si>
  <si>
    <t>Number of Missing Authorization Vulnerabilities Found (CWE-285)?</t>
  </si>
  <si>
    <t>Number of Security Misconfiguration Vulnerabilities Found (CWE-2)?</t>
  </si>
  <si>
    <t>Number of Cleartext Transmission of Sensitive Information Vulnerabilities Found (CWE-319)?</t>
  </si>
  <si>
    <t>Number of Cleartext Storage of Sensitive Information Vulnerabilities Found (CWE-312)?</t>
  </si>
  <si>
    <t>Number of Cryptographic Vulnerabilities Found (CWEs-310/326/327/etc)?</t>
  </si>
  <si>
    <t>Number of Improper (Function Level) Access Control Vulnerabilities Found (CWE-285)?</t>
  </si>
  <si>
    <t>Number of Cross-Site Request Forgery (CSRF) Vulnerabilities Found (CWE-352)?</t>
  </si>
  <si>
    <t>Number of Use of Known Libraries Found (NEW 937)?</t>
  </si>
  <si>
    <t>Number of Unchecked Redirect Vulnerabilities Found (CWE-601)?</t>
  </si>
  <si>
    <t>Number of Unvalidated Forward Vulnerabilities Found (No CWE)?</t>
  </si>
  <si>
    <t>Number of Clickjacking Vulnerabilities Found (No CWE)?</t>
  </si>
  <si>
    <t>Number of XML eXternal Entity Injection (XXE) Vulnerabilities Found (CWE-611)?</t>
  </si>
  <si>
    <t>Number of Server-Side Request Forgery (SSRF) Vulnerabilities Found (CWE-918)?</t>
  </si>
  <si>
    <t>Number of Denial of Service (DOS) Vulnerabilities Found (CWE-400)?</t>
  </si>
  <si>
    <t>Number of Expression Language Injection Vulnerabilities Found (CWE-917)?</t>
  </si>
  <si>
    <t>Number of Error Handling Vulnerabilities Found (CWE-388)?</t>
  </si>
  <si>
    <t>Number of Information Leakage/Disclosure Vulnerabilities Found (CWE-200)?</t>
  </si>
  <si>
    <t>Number of Insufficient Anti-automation Vulnerabilities Found (CWE-799)?</t>
  </si>
  <si>
    <t>Number of Insufficient Security Logging Vulnerabilities Found (CWE-778)?</t>
  </si>
  <si>
    <t>Number of Insufficient Intrusion Detection and Response Vulnerabilities Found (No CWE)?</t>
  </si>
  <si>
    <t>Number of Mass Assignment Vulnerabilities Found (CWE-915)?</t>
  </si>
  <si>
    <t>Totals:</t>
  </si>
  <si>
    <t>What other vulnerabilities did you find?</t>
  </si>
  <si>
    <t>XML Injection  - 23 Exposed Admin Interface: 11</t>
  </si>
  <si>
    <t>via email</t>
  </si>
  <si>
    <t>Cross Site History Manipulation, 203, 6
Client Insecure Randomness, 330, 29
Privacy Violation, 359, 11
HTML/Cookie Injection, 94, 433
Remote File Inclusion, 829, 23
Regex Injection, 624, 10</t>
  </si>
  <si>
    <t>Sent in email</t>
  </si>
  <si>
    <t>User enumeration, CWE 203, 158
HTTP Response splitting, CWE 113, 62 
Insecure session cookie, CWE 614, 316
Weak Password policy, CWE 521, 84
Arbitrary file upload, CWE 434, 188
No Session timeout, CWE 613, 65
LDAP injection, CWE 90, 57
View state MAC disabled, No CWE, 60
Insecure logout, No CWE, 55
Concurrent sessions permitted, No CWE, 102
Incorrect Content-Type in JSON responses, No CWE, 70</t>
  </si>
  <si>
    <t>Vulnerability types you think should be added to the T10?</t>
  </si>
  <si>
    <t>SSL/HTTPS as a specific Topic?</t>
  </si>
  <si>
    <t>CWE 611 -- almost as many applications affected as CWE 89, also bears info disclosure risk (if application is deployed in the cloud).</t>
  </si>
  <si>
    <t>Explicitly calling out Regular Expression Injection and DoS vulnerabilities.</t>
  </si>
  <si>
    <t>SQL Injection and Other Injection attacks can be separated. 95% of our discovered injection attacks are SQL Injection. Similarly Broken Authentication &amp; Session Management can be separated into two different categories.</t>
  </si>
  <si>
    <t>CWE-434: Unrestricted Upload of File with Dangerous Type</t>
  </si>
  <si>
    <t>Lack of attack detection/prevention, unprotected APIs, XXE, untrusted deserialization, use of non-standard controls, weak HTTP headers</t>
  </si>
  <si>
    <t>Vulnerability types you think should be removed from the T10?</t>
  </si>
  <si>
    <t>Security Misconfiguration - Change to "Poor maintenance / insecure deployment"</t>
  </si>
  <si>
    <t>"Using components with known vulnerabilities" can be a subset of "Security Misconfiguration" as patched components are not used.</t>
  </si>
  <si>
    <t>Suggested changes to the Top 10 Document/Wiki?</t>
  </si>
  <si>
    <t>None, its great</t>
  </si>
  <si>
    <t>More transparent documentation of data collection methodology from contributors. For instance, Veracode's statement would be: collected from applications on their first scan by a particular SAAS vendor, excluding results from languages written in primarily non-web languages (ObjectiveC, Swift, C/C++, VB6)</t>
  </si>
  <si>
    <t>If CWEs can be listed down against each Top 10 that will be of great help to pentesters.</t>
  </si>
  <si>
    <t>The difficulty with Top 10 is the density and categorization. When unpacked, there are many more than 10 items and some can be cross-categorized. Highlighted somewhat in this post: https://www.astechconsulting.com/blog/2016/whats-in-a-name/
Also, maybe include risk as part of the top 10 data collection. However, that is likely to run into similar subjectivity problems as the labeling</t>
  </si>
  <si>
    <t>It's perfect the way it is</t>
  </si>
  <si>
    <t>Suggestions on how to improve this call for data?</t>
  </si>
  <si>
    <t>None its also a great start</t>
  </si>
  <si>
    <t>Shift from # of vulnerabilities found (vulnerability prevalence) to number of applications affected (app prevalence), or reporting both. Vulnerability prevalence gives you an idea of developer effort to fix; arguably app prevalence gives you an idea of the enterprise risk.</t>
  </si>
  <si>
    <t>Bifurcation of automated and manual pentest vulnerability count is important to arrive at real weightage to each of Top10. If data call format is available in a year advance, then more detailed data can be recorded and submitted.</t>
  </si>
  <si>
    <t>Will think this over some more and send thoughts along directly via email</t>
  </si>
  <si>
    <t>OWASP should redo the CWE correctly</t>
  </si>
  <si>
    <t>Prevalence</t>
  </si>
  <si>
    <t>Average prevalence</t>
  </si>
  <si>
    <t>Avg prevalence</t>
  </si>
  <si>
    <t>Score (scaled)</t>
  </si>
  <si>
    <t>User interaction (i.e. phishing)</t>
  </si>
  <si>
    <t>Assumed</t>
  </si>
  <si>
    <t>File inclusion (PHP script injection)</t>
  </si>
  <si>
    <t>SSL and authentication vulnerabilities</t>
  </si>
  <si>
    <t>DVWA</t>
  </si>
  <si>
    <t>Brute Force</t>
  </si>
  <si>
    <t>File Inclusion</t>
  </si>
  <si>
    <t>Graph</t>
  </si>
  <si>
    <t>Weak Session IDs</t>
  </si>
  <si>
    <t>Web Server Vulnerabilities &amp; Misconfigurations</t>
  </si>
  <si>
    <t>i.e. File Upload, File Inclusion</t>
  </si>
  <si>
    <t>no admin/user separation</t>
  </si>
  <si>
    <t>XSS (Reflected)
XSS (Stored)</t>
  </si>
  <si>
    <t>SQL Injection
SQL Injection (Blind)</t>
  </si>
  <si>
    <t>Local File Inclusion and Directory Traversal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</si>
</sst>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6">
    <font>
      <sz val="10"/>
      <name val="Arial"/>
      <family val="2"/>
    </font>
    <font>
      <sz val="11"/>
      <color theme="1"/>
      <name val="Calibri"/>
      <family val="2"/>
      <scheme val="minor"/>
    </font>
    <font>
      <sz val="10"/>
      <name val="Arial"/>
    </font>
    <font>
      <b/>
      <sz val="10"/>
      <name val="Arial"/>
      <family val="2"/>
    </font>
    <font>
      <sz val="10"/>
      <name val="DejaVu Sans"/>
      <family val="2"/>
    </font>
    <font>
      <sz val="10"/>
      <name val="Times New Roman"/>
      <family val="1"/>
    </font>
    <font>
      <sz val="10"/>
      <name val="Arial"/>
      <family val="2"/>
    </font>
    <font>
      <sz val="10"/>
      <color rgb="FF00B050"/>
      <name val="Arial"/>
      <family val="2"/>
    </font>
    <font>
      <sz val="10"/>
      <color rgb="FFC00000"/>
      <name val="Arial"/>
      <family val="2"/>
    </font>
    <font>
      <b/>
      <sz val="9"/>
      <color indexed="81"/>
      <name val="Tahoma"/>
      <family val="2"/>
    </font>
    <font>
      <i/>
      <sz val="10"/>
      <color rgb="FFC00000"/>
      <name val="Arial"/>
      <family val="2"/>
    </font>
    <font>
      <sz val="10"/>
      <color rgb="FFFFC000"/>
      <name val="Arial"/>
      <family val="2"/>
    </font>
    <font>
      <b/>
      <sz val="10"/>
      <color rgb="FF000000"/>
      <name val="Arial"/>
      <family val="2"/>
    </font>
    <font>
      <sz val="10"/>
      <color rgb="FF000000"/>
      <name val="Arial"/>
      <family val="2"/>
    </font>
    <font>
      <u/>
      <sz val="10"/>
      <color rgb="FF0000FF"/>
      <name val="Arial"/>
      <family val="2"/>
    </font>
    <font>
      <i/>
      <sz val="10"/>
      <name val="Arial"/>
      <family val="2"/>
    </font>
  </fonts>
  <fills count="3">
    <fill>
      <patternFill patternType="none"/>
    </fill>
    <fill>
      <patternFill patternType="gray125"/>
    </fill>
    <fill>
      <patternFill patternType="solid">
        <fgColor theme="6" tint="0.79998168889431442"/>
        <bgColor indexed="65"/>
      </patternFill>
    </fill>
  </fills>
  <borders count="1">
    <border>
      <left/>
      <right/>
      <top/>
      <bottom/>
      <diagonal/>
    </border>
  </borders>
  <cellStyleXfs count="10">
    <xf numFmtId="0" fontId="0" fillId="0" borderId="0"/>
    <xf numFmtId="43" fontId="2" fillId="0" borderId="0" applyBorder="0" applyAlignment="0" applyProtection="0"/>
    <xf numFmtId="0" fontId="6" fillId="0" borderId="0" applyBorder="0" applyProtection="0">
      <alignment horizontal="left"/>
    </xf>
    <xf numFmtId="0" fontId="6" fillId="0" borderId="0" applyBorder="0" applyProtection="0"/>
    <xf numFmtId="0" fontId="6" fillId="0" borderId="0" applyBorder="0" applyProtection="0"/>
    <xf numFmtId="0" fontId="3" fillId="0" borderId="0" applyBorder="0" applyProtection="0"/>
    <xf numFmtId="0" fontId="3" fillId="0" borderId="0" applyBorder="0" applyProtection="0">
      <alignment horizontal="left"/>
    </xf>
    <xf numFmtId="0" fontId="6" fillId="0" borderId="0" applyBorder="0" applyProtection="0"/>
    <xf numFmtId="9" fontId="6" fillId="0" borderId="0" applyFont="0" applyFill="0" applyBorder="0" applyAlignment="0" applyProtection="0"/>
    <xf numFmtId="0" fontId="1" fillId="2" borderId="0" applyNumberFormat="0" applyBorder="0" applyAlignment="0" applyProtection="0"/>
  </cellStyleXfs>
  <cellXfs count="53">
    <xf numFmtId="0" fontId="0" fillId="0" borderId="0" xfId="0"/>
    <xf numFmtId="0" fontId="0" fillId="0" borderId="0" xfId="0" applyAlignment="1">
      <alignment horizontal="center"/>
    </xf>
    <xf numFmtId="0" fontId="3" fillId="0" borderId="0" xfId="0" applyFont="1" applyAlignment="1">
      <alignment horizontal="center"/>
    </xf>
    <xf numFmtId="0" fontId="3" fillId="0" borderId="0" xfId="0" applyFont="1"/>
    <xf numFmtId="0" fontId="4" fillId="0" borderId="0" xfId="0" applyFont="1" applyAlignment="1">
      <alignment horizontal="center"/>
    </xf>
    <xf numFmtId="164" fontId="0" fillId="0" borderId="0" xfId="0" applyNumberFormat="1" applyAlignment="1">
      <alignment horizontal="center"/>
    </xf>
    <xf numFmtId="164" fontId="3" fillId="0" borderId="0" xfId="0" applyNumberFormat="1" applyFont="1" applyAlignment="1">
      <alignment horizontal="center"/>
    </xf>
    <xf numFmtId="0" fontId="0" fillId="0" borderId="0" xfId="0" applyFont="1" applyAlignment="1">
      <alignment horizontal="center" wrapText="1"/>
    </xf>
    <xf numFmtId="0" fontId="0" fillId="0" borderId="0" xfId="0" applyFont="1" applyAlignment="1">
      <alignment horizontal="center"/>
    </xf>
    <xf numFmtId="164" fontId="0" fillId="0" borderId="0" xfId="0" applyNumberFormat="1" applyFont="1" applyAlignment="1">
      <alignment horizontal="center"/>
    </xf>
    <xf numFmtId="164" fontId="0" fillId="0" borderId="0" xfId="0" applyNumberFormat="1"/>
    <xf numFmtId="10" fontId="0" fillId="0" borderId="0" xfId="0" applyNumberFormat="1" applyAlignment="1">
      <alignment horizontal="center"/>
    </xf>
    <xf numFmtId="0" fontId="3" fillId="0" borderId="0" xfId="0" applyFont="1" applyAlignment="1">
      <alignment horizontal="right"/>
    </xf>
    <xf numFmtId="0" fontId="5" fillId="0" borderId="0" xfId="0" applyFont="1" applyAlignment="1">
      <alignment horizontal="center" vertical="center" wrapText="1"/>
    </xf>
    <xf numFmtId="0" fontId="0" fillId="0" borderId="0" xfId="0" applyAlignment="1">
      <alignment horizontal="center" vertical="center"/>
    </xf>
    <xf numFmtId="10"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64" fontId="2" fillId="0" borderId="0" xfId="1" applyNumberFormat="1" applyAlignment="1">
      <alignment horizontal="center"/>
    </xf>
    <xf numFmtId="0" fontId="0" fillId="0" borderId="0" xfId="0" applyAlignment="1">
      <alignment horizontal="center" vertical="center" wrapText="1"/>
    </xf>
    <xf numFmtId="0" fontId="3" fillId="0" borderId="0" xfId="0" applyFont="1" applyAlignment="1">
      <alignment horizontal="center"/>
    </xf>
    <xf numFmtId="0" fontId="0" fillId="0" borderId="0" xfId="0"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vertical="center"/>
    </xf>
    <xf numFmtId="0" fontId="0" fillId="0" borderId="0" xfId="0" applyAlignment="1">
      <alignment horizontal="right"/>
    </xf>
    <xf numFmtId="0" fontId="3" fillId="0" borderId="0" xfId="0" applyFont="1" applyAlignment="1">
      <alignment horizontal="center"/>
    </xf>
    <xf numFmtId="164" fontId="0" fillId="0" borderId="0" xfId="0" applyNumberFormat="1" applyAlignment="1">
      <alignment horizontal="center" vertical="center"/>
    </xf>
    <xf numFmtId="0" fontId="12" fillId="0" borderId="0" xfId="0" applyFont="1"/>
    <xf numFmtId="10" fontId="0" fillId="0" borderId="0" xfId="8" applyNumberFormat="1" applyFont="1"/>
    <xf numFmtId="0" fontId="13" fillId="0" borderId="0" xfId="0" applyFont="1"/>
    <xf numFmtId="0" fontId="6" fillId="0" borderId="0" xfId="0" applyFont="1"/>
    <xf numFmtId="0" fontId="14" fillId="0" borderId="0" xfId="0" applyFont="1"/>
    <xf numFmtId="3" fontId="6" fillId="0" borderId="0" xfId="0" applyNumberFormat="1" applyFont="1"/>
    <xf numFmtId="0" fontId="0" fillId="0" borderId="0" xfId="0" applyAlignment="1">
      <alignment wrapText="1"/>
    </xf>
    <xf numFmtId="10" fontId="6" fillId="0" borderId="0" xfId="8" applyNumberFormat="1" applyFont="1"/>
    <xf numFmtId="0" fontId="15" fillId="0" borderId="0" xfId="0" applyFont="1" applyAlignment="1">
      <alignment horizontal="center"/>
    </xf>
    <xf numFmtId="0" fontId="1" fillId="2" borderId="0" xfId="9" applyAlignment="1">
      <alignment horizontal="center"/>
    </xf>
    <xf numFmtId="164" fontId="1" fillId="2" borderId="0" xfId="9" applyNumberFormat="1" applyAlignment="1">
      <alignment horizontal="center"/>
    </xf>
    <xf numFmtId="0" fontId="15" fillId="0" borderId="0" xfId="0" applyFont="1" applyAlignment="1">
      <alignment wrapText="1"/>
    </xf>
    <xf numFmtId="0" fontId="3" fillId="0" borderId="0" xfId="0" applyFont="1" applyAlignment="1">
      <alignment horizontal="center"/>
    </xf>
    <xf numFmtId="0" fontId="5" fillId="0" borderId="0" xfId="0" applyFont="1" applyBorder="1" applyAlignment="1">
      <alignment horizontal="center" vertical="center" wrapText="1"/>
    </xf>
    <xf numFmtId="0" fontId="0" fillId="0" borderId="0" xfId="0" applyFont="1" applyBorder="1" applyAlignment="1">
      <alignment horizontal="center" vertical="center"/>
    </xf>
    <xf numFmtId="10"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ont="1" applyBorder="1" applyAlignment="1">
      <alignment horizontal="center" vertical="center" wrapText="1"/>
    </xf>
    <xf numFmtId="164" fontId="0" fillId="0" borderId="0" xfId="0" applyNumberForma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cellXfs>
  <cellStyles count="10">
    <cellStyle name="20% - Accent3" xfId="9" builtinId="38"/>
    <cellStyle name="Comma" xfId="1" builtinId="3"/>
    <cellStyle name="Normal" xfId="0" builtinId="0"/>
    <cellStyle name="Percent" xfId="8" builtinId="5"/>
    <cellStyle name="Pivot Table Category" xfId="2" xr:uid="{00000000-0005-0000-0000-000006000000}"/>
    <cellStyle name="Pivot Table Corner" xfId="3" xr:uid="{00000000-0005-0000-0000-000007000000}"/>
    <cellStyle name="Pivot Table Field" xfId="4" xr:uid="{00000000-0005-0000-0000-000008000000}"/>
    <cellStyle name="Pivot Table Result" xfId="5" xr:uid="{00000000-0005-0000-0000-000009000000}"/>
    <cellStyle name="Pivot Table Title" xfId="6" xr:uid="{00000000-0005-0000-0000-00000A000000}"/>
    <cellStyle name="Pivot Table Value" xfId="7" xr:uid="{00000000-0005-0000-0000-00000B000000}"/>
  </cellStyles>
  <dxfs count="7">
    <dxf>
      <font>
        <b val="0"/>
        <i val="0"/>
        <sz val="10"/>
        <color rgb="FF996600"/>
        <name val="Arial"/>
        <family val="2"/>
      </font>
      <fill>
        <patternFill>
          <bgColor rgb="FFFFFFCC"/>
        </patternFill>
      </fill>
    </dxf>
    <dxf>
      <font>
        <b val="0"/>
        <i val="0"/>
        <sz val="10"/>
        <color rgb="FF006600"/>
        <name val="Arial"/>
        <family val="2"/>
      </font>
      <fill>
        <patternFill>
          <bgColor rgb="FFCCFFCC"/>
        </patternFill>
      </fill>
    </dxf>
    <dxf>
      <font>
        <b/>
        <i val="0"/>
        <strike val="0"/>
        <condense val="0"/>
        <extend val="0"/>
        <outline val="0"/>
        <shadow val="0"/>
        <u val="none"/>
        <vertAlign val="baseline"/>
        <sz val="10"/>
        <color auto="1"/>
        <name val="Arial"/>
        <family val="2"/>
        <scheme val="none"/>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55</xdr:row>
      <xdr:rowOff>133350</xdr:rowOff>
    </xdr:to>
    <xdr:sp macro="" textlink="">
      <xdr:nvSpPr>
        <xdr:cNvPr id="1028" name="_x0000_t202" hidden="1">
          <a:extLst>
            <a:ext uri="{FF2B5EF4-FFF2-40B4-BE49-F238E27FC236}">
              <a16:creationId xmlns:a16="http://schemas.microsoft.com/office/drawing/2014/main" id="{5EBE86A8-B24E-418D-87BA-C671EA6C7F8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1026" name="_x0000_t202" hidden="1">
          <a:extLst>
            <a:ext uri="{FF2B5EF4-FFF2-40B4-BE49-F238E27FC236}">
              <a16:creationId xmlns:a16="http://schemas.microsoft.com/office/drawing/2014/main" id="{08C013A3-DF68-4ADA-96AC-621FB2F8DA2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2" name="AutoShape 4">
          <a:extLst>
            <a:ext uri="{FF2B5EF4-FFF2-40B4-BE49-F238E27FC236}">
              <a16:creationId xmlns:a16="http://schemas.microsoft.com/office/drawing/2014/main" id="{6DFC025C-1DF5-4E2B-AB0A-E661C26C31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3" name="AutoShape 2">
          <a:extLst>
            <a:ext uri="{FF2B5EF4-FFF2-40B4-BE49-F238E27FC236}">
              <a16:creationId xmlns:a16="http://schemas.microsoft.com/office/drawing/2014/main" id="{C16B133D-DC0E-47AE-94CE-B316E5AC26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4" name="AutoShape 4">
          <a:extLst>
            <a:ext uri="{FF2B5EF4-FFF2-40B4-BE49-F238E27FC236}">
              <a16:creationId xmlns:a16="http://schemas.microsoft.com/office/drawing/2014/main" id="{4B1D2138-C2A8-47A2-B7B6-4526A75157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5" name="AutoShape 2">
          <a:extLst>
            <a:ext uri="{FF2B5EF4-FFF2-40B4-BE49-F238E27FC236}">
              <a16:creationId xmlns:a16="http://schemas.microsoft.com/office/drawing/2014/main" id="{055BA33E-0BDF-432C-8B85-60309E9E47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6" name="AutoShape 4">
          <a:extLst>
            <a:ext uri="{FF2B5EF4-FFF2-40B4-BE49-F238E27FC236}">
              <a16:creationId xmlns:a16="http://schemas.microsoft.com/office/drawing/2014/main" id="{98BE63CC-FC33-4066-BCE8-A7D3A5D718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7" name="AutoShape 2">
          <a:extLst>
            <a:ext uri="{FF2B5EF4-FFF2-40B4-BE49-F238E27FC236}">
              <a16:creationId xmlns:a16="http://schemas.microsoft.com/office/drawing/2014/main" id="{9F513B2E-FDA0-49E4-A9A8-63CE37073B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8" name="AutoShape 4">
          <a:extLst>
            <a:ext uri="{FF2B5EF4-FFF2-40B4-BE49-F238E27FC236}">
              <a16:creationId xmlns:a16="http://schemas.microsoft.com/office/drawing/2014/main" id="{04D1B709-968B-4A34-9F13-9FFAADD6C2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9" name="AutoShape 2">
          <a:extLst>
            <a:ext uri="{FF2B5EF4-FFF2-40B4-BE49-F238E27FC236}">
              <a16:creationId xmlns:a16="http://schemas.microsoft.com/office/drawing/2014/main" id="{C60DF1AF-4919-4A6C-B5B4-B534C066EA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10" name="AutoShape 4">
          <a:extLst>
            <a:ext uri="{FF2B5EF4-FFF2-40B4-BE49-F238E27FC236}">
              <a16:creationId xmlns:a16="http://schemas.microsoft.com/office/drawing/2014/main" id="{DD0AF983-BB6E-4F89-8FBD-6FFEC864448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200025</xdr:colOff>
      <xdr:row>55</xdr:row>
      <xdr:rowOff>133350</xdr:rowOff>
    </xdr:to>
    <xdr:sp macro="" textlink="">
      <xdr:nvSpPr>
        <xdr:cNvPr id="11" name="AutoShape 2">
          <a:extLst>
            <a:ext uri="{FF2B5EF4-FFF2-40B4-BE49-F238E27FC236}">
              <a16:creationId xmlns:a16="http://schemas.microsoft.com/office/drawing/2014/main" id="{73C732F0-3947-4745-91D7-A20DC0E717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342900</xdr:colOff>
      <xdr:row>68</xdr:row>
      <xdr:rowOff>133350</xdr:rowOff>
    </xdr:to>
    <xdr:sp macro="" textlink="">
      <xdr:nvSpPr>
        <xdr:cNvPr id="2050" name="_x0000_t202" hidden="1">
          <a:extLst>
            <a:ext uri="{FF2B5EF4-FFF2-40B4-BE49-F238E27FC236}">
              <a16:creationId xmlns:a16="http://schemas.microsoft.com/office/drawing/2014/main" id="{3F79474E-46AC-4060-8403-E72518B1FBF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2" name="AutoShape 2">
          <a:extLst>
            <a:ext uri="{FF2B5EF4-FFF2-40B4-BE49-F238E27FC236}">
              <a16:creationId xmlns:a16="http://schemas.microsoft.com/office/drawing/2014/main" id="{55A14767-8C3A-438C-ACA6-F0F67D716D3F}"/>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3" name="AutoShape 2">
          <a:extLst>
            <a:ext uri="{FF2B5EF4-FFF2-40B4-BE49-F238E27FC236}">
              <a16:creationId xmlns:a16="http://schemas.microsoft.com/office/drawing/2014/main" id="{3CA39AB2-252F-431B-A72B-76FC40CA67F2}"/>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4" name="AutoShape 2">
          <a:extLst>
            <a:ext uri="{FF2B5EF4-FFF2-40B4-BE49-F238E27FC236}">
              <a16:creationId xmlns:a16="http://schemas.microsoft.com/office/drawing/2014/main" id="{A07CAC0B-C359-443A-8763-2512249EA89F}"/>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5" name="AutoShape 2">
          <a:extLst>
            <a:ext uri="{FF2B5EF4-FFF2-40B4-BE49-F238E27FC236}">
              <a16:creationId xmlns:a16="http://schemas.microsoft.com/office/drawing/2014/main" id="{757D06C5-76E1-4D63-9012-1369AE686EC6}"/>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342900</xdr:colOff>
      <xdr:row>68</xdr:row>
      <xdr:rowOff>133350</xdr:rowOff>
    </xdr:to>
    <xdr:sp macro="" textlink="">
      <xdr:nvSpPr>
        <xdr:cNvPr id="6" name="AutoShape 2">
          <a:extLst>
            <a:ext uri="{FF2B5EF4-FFF2-40B4-BE49-F238E27FC236}">
              <a16:creationId xmlns:a16="http://schemas.microsoft.com/office/drawing/2014/main" id="{5674AE69-405C-4724-BA57-05C4188085B0}"/>
            </a:ext>
          </a:extLst>
        </xdr:cNvPr>
        <xdr:cNvSpPr>
          <a:spLocks noChangeArrowheads="1"/>
        </xdr:cNvSpPr>
      </xdr:nvSpPr>
      <xdr:spPr bwMode="auto">
        <a:xfrm>
          <a:off x="0" y="0"/>
          <a:ext cx="9525000" cy="1114425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D7BE7D-1C8C-40C5-9470-D286EE71E6AF}" name="Table1" displayName="Table1" ref="A2:E22" totalsRowShown="0" headerRowDxfId="6">
  <autoFilter ref="A2:E22" xr:uid="{43C3B140-222F-47F2-8676-716F60684D15}"/>
  <sortState xmlns:xlrd2="http://schemas.microsoft.com/office/spreadsheetml/2017/richdata2" ref="A3:E22">
    <sortCondition descending="1" ref="E2:E22"/>
  </sortState>
  <tableColumns count="5">
    <tableColumn id="1" xr3:uid="{DFE38709-0FF8-4FD1-8E83-2DB4F0CC6900}" name="Edge" dataDxfId="5"/>
    <tableColumn id="2" xr3:uid="{3E7AB764-8F24-4648-939D-387AC1FA6530}" name="OWASP" dataDxfId="4"/>
    <tableColumn id="3" xr3:uid="{6F80DC22-3D99-4789-9945-B6C652E99816}" name="Acunetix"/>
    <tableColumn id="4" xr3:uid="{2314B598-1B4F-48AB-A32C-06DB122DF228}" name="Score" dataDxfId="3"/>
    <tableColumn id="5" xr3:uid="{139FFC6B-224E-4BDE-AFFB-B43C2515A1C7}" name="Score (scal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7"/>
  <sheetViews>
    <sheetView tabSelected="1" zoomScale="110" zoomScaleNormal="110" workbookViewId="0">
      <selection activeCell="A2" sqref="A2"/>
    </sheetView>
  </sheetViews>
  <sheetFormatPr defaultRowHeight="12.75" outlineLevelCol="1"/>
  <cols>
    <col min="1" max="1" width="41.42578125" customWidth="1"/>
    <col min="2" max="3" width="9.140625" hidden="1" customWidth="1" outlineLevel="1"/>
    <col min="4" max="4" width="10.5703125" hidden="1" customWidth="1" collapsed="1"/>
    <col min="5" max="5" width="16.140625" customWidth="1"/>
    <col min="12" max="12" width="6" customWidth="1"/>
    <col min="14" max="14" width="14.5703125" customWidth="1"/>
  </cols>
  <sheetData>
    <row r="1" spans="1:15">
      <c r="A1" s="1"/>
      <c r="B1" s="43" t="s">
        <v>30</v>
      </c>
      <c r="C1" s="43"/>
      <c r="D1" s="43"/>
      <c r="E1" s="43"/>
    </row>
    <row r="2" spans="1:15">
      <c r="A2" s="29" t="s">
        <v>0</v>
      </c>
      <c r="B2" s="29" t="s">
        <v>1</v>
      </c>
      <c r="C2" s="29" t="s">
        <v>2</v>
      </c>
      <c r="D2" s="29" t="s">
        <v>32</v>
      </c>
      <c r="E2" s="29" t="s">
        <v>356</v>
      </c>
      <c r="L2" s="3"/>
      <c r="N2" s="3" t="s">
        <v>3</v>
      </c>
    </row>
    <row r="3" spans="1:15" ht="12.75" customHeight="1">
      <c r="A3" s="4" t="s">
        <v>19</v>
      </c>
      <c r="B3" s="5">
        <f>OWASP!C8</f>
        <v>23.546853473931446</v>
      </c>
      <c r="C3" s="5">
        <f>Acunetix!H10</f>
        <v>29.14</v>
      </c>
      <c r="D3" s="9">
        <f>(IF(ISNUMBER(B3),B3*$O$3,0)+IF(ISNUMBER(C3),C3*$O$4,0))/(IF(ISNUMBER(B3),$O$3,0)+IF(ISNUMBER(C3),$O$4,0))</f>
        <v>24.012949017770492</v>
      </c>
      <c r="E3" s="6">
        <f>D3/MAX(D$3:D$21)*100</f>
        <v>100</v>
      </c>
      <c r="N3" t="s">
        <v>5</v>
      </c>
      <c r="O3">
        <v>11</v>
      </c>
    </row>
    <row r="4" spans="1:15" ht="12.75" customHeight="1">
      <c r="A4" s="8" t="s">
        <v>357</v>
      </c>
      <c r="B4" s="5"/>
      <c r="C4" s="39" t="s">
        <v>358</v>
      </c>
      <c r="D4" s="39"/>
      <c r="E4" s="6">
        <v>50</v>
      </c>
      <c r="N4" t="s">
        <v>7</v>
      </c>
      <c r="O4">
        <v>1</v>
      </c>
    </row>
    <row r="5" spans="1:15" ht="12.75" customHeight="1">
      <c r="A5" s="7" t="s">
        <v>21</v>
      </c>
      <c r="B5" s="5">
        <f>OWASP!C13</f>
        <v>8.5861360434867411</v>
      </c>
      <c r="C5" s="5">
        <f>Acunetix!I33</f>
        <v>42.85</v>
      </c>
      <c r="D5" s="9">
        <f t="shared" ref="D5:D22" si="0">(IF(ISNUMBER(B5),B5*$O$3,0)+IF(ISNUMBER(C5),C5*$O$4,0))/(IF(ISNUMBER(B5),$O$3,0)+IF(ISNUMBER(C5),$O$4,0))</f>
        <v>11.441458039862846</v>
      </c>
      <c r="E5" s="6">
        <f t="shared" ref="E5:E22" si="1">D5/MAX(D$3:D$21)*100</f>
        <v>47.647034237218158</v>
      </c>
    </row>
    <row r="6" spans="1:15">
      <c r="A6" s="8" t="s">
        <v>27</v>
      </c>
      <c r="B6" s="5">
        <f>OWASP!C13</f>
        <v>8.5861360434867411</v>
      </c>
      <c r="C6" s="5">
        <f>Acunetix!I20</f>
        <v>28.666666666666668</v>
      </c>
      <c r="D6" s="9">
        <f t="shared" si="0"/>
        <v>10.259513595418403</v>
      </c>
      <c r="E6" s="6">
        <f t="shared" si="1"/>
        <v>42.724921407303931</v>
      </c>
    </row>
    <row r="7" spans="1:15" ht="12.95" customHeight="1">
      <c r="A7" s="8" t="s">
        <v>360</v>
      </c>
      <c r="B7" s="5">
        <f>(OWASP!C16+OWASP!C6)/2</f>
        <v>6.0291932664022134</v>
      </c>
      <c r="C7" s="5">
        <f>Acunetix!I29</f>
        <v>17</v>
      </c>
      <c r="D7" s="9">
        <f t="shared" si="0"/>
        <v>6.943427160868695</v>
      </c>
      <c r="E7" s="6">
        <f t="shared" si="1"/>
        <v>28.915345448534026</v>
      </c>
    </row>
    <row r="8" spans="1:15">
      <c r="A8" s="4" t="s">
        <v>6</v>
      </c>
      <c r="B8" s="5">
        <f>(OWASP!B6+OWASP!B29)*100</f>
        <v>7.405284823616018</v>
      </c>
      <c r="C8" s="5">
        <f>Acunetix!I16</f>
        <v>0.79</v>
      </c>
      <c r="D8" s="9">
        <f t="shared" si="0"/>
        <v>6.8540110883146843</v>
      </c>
      <c r="E8" s="6">
        <f t="shared" si="1"/>
        <v>28.54297938684023</v>
      </c>
    </row>
    <row r="9" spans="1:15">
      <c r="A9" s="8" t="s">
        <v>23</v>
      </c>
      <c r="B9" s="5">
        <f>(OWASP!B12+OWASP!B17)*100</f>
        <v>6.7652287109112628</v>
      </c>
      <c r="C9" s="9" t="s">
        <v>10</v>
      </c>
      <c r="D9" s="9">
        <f t="shared" si="0"/>
        <v>6.7652287109112628</v>
      </c>
      <c r="E9" s="6">
        <f t="shared" si="1"/>
        <v>28.173252297769579</v>
      </c>
    </row>
    <row r="10" spans="1:15">
      <c r="A10" s="4" t="s">
        <v>8</v>
      </c>
      <c r="B10" s="5">
        <f>OWASP!C18</f>
        <v>2.6591548091418482</v>
      </c>
      <c r="C10" s="5">
        <f>Acunetix!I26</f>
        <v>46.739999999999995</v>
      </c>
      <c r="D10" s="9">
        <f t="shared" si="0"/>
        <v>6.3325585750466935</v>
      </c>
      <c r="E10" s="6">
        <f t="shared" si="1"/>
        <v>26.371432223340669</v>
      </c>
    </row>
    <row r="11" spans="1:15" ht="12.4" customHeight="1">
      <c r="A11" s="4" t="s">
        <v>16</v>
      </c>
      <c r="B11" s="5">
        <f>OWASP!C3</f>
        <v>3.9337416545295936</v>
      </c>
      <c r="C11" s="5">
        <f>Acunetix!I3</f>
        <v>26.56</v>
      </c>
      <c r="D11" s="9">
        <f t="shared" si="0"/>
        <v>5.8192631833187933</v>
      </c>
      <c r="E11" s="6">
        <f t="shared" si="1"/>
        <v>24.233854738176134</v>
      </c>
    </row>
    <row r="12" spans="1:15">
      <c r="A12" s="1" t="s">
        <v>20</v>
      </c>
      <c r="B12" s="5">
        <f>(OWASP!B14+OWASP!B15)*100</f>
        <v>5.0421229094070856</v>
      </c>
      <c r="C12" s="5" t="s">
        <v>10</v>
      </c>
      <c r="D12" s="9">
        <f t="shared" si="0"/>
        <v>5.0421229094070856</v>
      </c>
      <c r="E12" s="6">
        <f t="shared" si="1"/>
        <v>20.997516405318329</v>
      </c>
    </row>
    <row r="13" spans="1:15">
      <c r="A13" s="8" t="s">
        <v>28</v>
      </c>
      <c r="B13" s="5">
        <f>OWASP!C28</f>
        <v>4.9795900396539095</v>
      </c>
      <c r="C13" s="5">
        <f>Acunetix!I17</f>
        <v>3.95</v>
      </c>
      <c r="D13" s="9">
        <f t="shared" si="0"/>
        <v>4.8937908696827508</v>
      </c>
      <c r="E13" s="6">
        <f t="shared" si="1"/>
        <v>20.379799524253187</v>
      </c>
    </row>
    <row r="14" spans="1:15">
      <c r="A14" s="4" t="s">
        <v>15</v>
      </c>
      <c r="B14" s="5">
        <f>OWASP!C25</f>
        <v>1.9575881276408278</v>
      </c>
      <c r="C14" s="5">
        <f>Acunetix!I24</f>
        <v>29.049999999999997</v>
      </c>
      <c r="D14" s="9">
        <f t="shared" si="0"/>
        <v>4.215289117004092</v>
      </c>
      <c r="E14" s="6">
        <f t="shared" si="1"/>
        <v>17.554233400839767</v>
      </c>
    </row>
    <row r="15" spans="1:15">
      <c r="A15" s="4" t="s">
        <v>13</v>
      </c>
      <c r="B15" s="5">
        <f>OWASP!C11</f>
        <v>3.3101175619379664</v>
      </c>
      <c r="C15" s="5">
        <f>Acunetix!H7</f>
        <v>1.38</v>
      </c>
      <c r="D15" s="9">
        <f t="shared" si="0"/>
        <v>3.1492744317764694</v>
      </c>
      <c r="E15" s="6">
        <f t="shared" si="1"/>
        <v>13.114900753946909</v>
      </c>
    </row>
    <row r="16" spans="1:15">
      <c r="A16" s="4" t="s">
        <v>17</v>
      </c>
      <c r="B16" s="5">
        <f>OWASP!C7</f>
        <v>3.1476525477702273</v>
      </c>
      <c r="C16" s="5" t="s">
        <v>10</v>
      </c>
      <c r="D16" s="9">
        <f t="shared" si="0"/>
        <v>3.1476525477702277</v>
      </c>
      <c r="E16" s="6">
        <f t="shared" si="1"/>
        <v>13.108146548101383</v>
      </c>
    </row>
    <row r="17" spans="1:5">
      <c r="A17" s="8" t="s">
        <v>26</v>
      </c>
      <c r="B17" s="5">
        <f>(OWASP!B20+OWASP!B21)*100</f>
        <v>1.2651198633455827</v>
      </c>
      <c r="C17" s="9" t="s">
        <v>10</v>
      </c>
      <c r="D17" s="9">
        <f t="shared" si="0"/>
        <v>1.2651198633455827</v>
      </c>
      <c r="E17" s="6">
        <f t="shared" si="1"/>
        <v>5.2684901900609793</v>
      </c>
    </row>
    <row r="18" spans="1:5">
      <c r="A18" s="4" t="s">
        <v>4</v>
      </c>
      <c r="B18" s="5">
        <f>OWASP!C5</f>
        <v>0.80079122167949113</v>
      </c>
      <c r="C18" s="5">
        <f>Acunetix!I2</f>
        <v>1.6500000000000001</v>
      </c>
      <c r="D18" s="9">
        <f t="shared" si="0"/>
        <v>0.87155861987286698</v>
      </c>
      <c r="E18" s="6">
        <f t="shared" si="1"/>
        <v>3.6295359609012645</v>
      </c>
    </row>
    <row r="19" spans="1:5" ht="12.4" customHeight="1">
      <c r="A19" s="1" t="s">
        <v>359</v>
      </c>
      <c r="B19" s="5">
        <f>(OWASP!B5)*100</f>
        <v>0.80079122167949113</v>
      </c>
      <c r="C19" s="5">
        <f>(Acunetix!D2/2)*100</f>
        <v>0.82500000000000007</v>
      </c>
      <c r="D19" s="5">
        <f t="shared" si="0"/>
        <v>0.80280861987286689</v>
      </c>
      <c r="E19" s="6">
        <f t="shared" si="1"/>
        <v>3.3432321006418584</v>
      </c>
    </row>
    <row r="20" spans="1:5" ht="15" customHeight="1">
      <c r="A20" s="40" t="s">
        <v>18</v>
      </c>
      <c r="B20" s="41">
        <f>OWASP!C9</f>
        <v>0.4535018658029642</v>
      </c>
      <c r="C20" s="41">
        <f>Acunetix!H9</f>
        <v>0.53</v>
      </c>
      <c r="D20" s="41">
        <f t="shared" si="0"/>
        <v>0.45987671031938387</v>
      </c>
      <c r="E20" s="41">
        <f t="shared" si="1"/>
        <v>1.9151196713867076</v>
      </c>
    </row>
    <row r="21" spans="1:5" ht="15" customHeight="1">
      <c r="A21" s="40" t="s">
        <v>14</v>
      </c>
      <c r="B21" s="41">
        <f>OWASP!C34</f>
        <v>0.15169574168382274</v>
      </c>
      <c r="C21" s="41" t="s">
        <v>10</v>
      </c>
      <c r="D21" s="41">
        <f t="shared" si="0"/>
        <v>0.15169574168382274</v>
      </c>
      <c r="E21" s="41">
        <f t="shared" si="1"/>
        <v>0.63172474805806711</v>
      </c>
    </row>
    <row r="22" spans="1:5" ht="15" customHeight="1">
      <c r="A22" s="40" t="s">
        <v>25</v>
      </c>
      <c r="B22" s="41">
        <f>OWASP!C24</f>
        <v>3.9632061309863041E-2</v>
      </c>
      <c r="C22" s="41">
        <f>Acunetix!I18</f>
        <v>0.70000000000000007</v>
      </c>
      <c r="D22" s="41">
        <f t="shared" si="0"/>
        <v>9.4662722867374469E-2</v>
      </c>
      <c r="E22" s="41">
        <f t="shared" si="1"/>
        <v>0.39421531606684573</v>
      </c>
    </row>
    <row r="23" spans="1:5">
      <c r="A23" s="8"/>
      <c r="B23" s="8"/>
      <c r="C23" s="8"/>
    </row>
    <row r="24" spans="1:5">
      <c r="A24" s="8"/>
      <c r="B24" s="9"/>
      <c r="C24" s="9"/>
    </row>
    <row r="25" spans="1:5">
      <c r="A25" s="8"/>
      <c r="B25" s="9"/>
      <c r="C25" s="9"/>
    </row>
    <row r="26" spans="1:5">
      <c r="A26" s="8"/>
      <c r="B26" s="9"/>
      <c r="C26" s="9"/>
    </row>
    <row r="27" spans="1:5">
      <c r="A27" s="8"/>
      <c r="B27" s="9"/>
      <c r="C27" s="9"/>
    </row>
    <row r="28" spans="1:5">
      <c r="A28" s="8"/>
      <c r="B28" s="9"/>
      <c r="C28" s="9"/>
    </row>
    <row r="29" spans="1:5">
      <c r="A29" s="8"/>
      <c r="B29" s="9"/>
      <c r="C29" s="9"/>
    </row>
    <row r="30" spans="1:5">
      <c r="A30" s="8"/>
      <c r="B30" s="9"/>
      <c r="C30" s="9"/>
    </row>
    <row r="31" spans="1:5">
      <c r="A31" s="8"/>
      <c r="B31" s="9"/>
      <c r="C31" s="9"/>
    </row>
    <row r="32" spans="1:5">
      <c r="A32" s="8"/>
      <c r="B32" s="9"/>
      <c r="C32" s="9"/>
    </row>
    <row r="33" spans="1:3">
      <c r="A33" s="8"/>
      <c r="B33" s="9"/>
      <c r="C33" s="9"/>
    </row>
    <row r="34" spans="1:3">
      <c r="A34" s="8"/>
      <c r="B34" s="9"/>
      <c r="C34" s="9"/>
    </row>
    <row r="35" spans="1:3">
      <c r="A35" s="8"/>
      <c r="B35" s="9"/>
      <c r="C35" s="9"/>
    </row>
    <row r="36" spans="1:3">
      <c r="A36" s="8"/>
      <c r="B36" s="9"/>
      <c r="C36" s="9"/>
    </row>
    <row r="37" spans="1:3">
      <c r="A37" s="8"/>
      <c r="B37" s="9"/>
      <c r="C37" s="9"/>
    </row>
    <row r="38" spans="1:3">
      <c r="A38" s="8"/>
      <c r="B38" s="9"/>
      <c r="C38" s="9"/>
    </row>
    <row r="39" spans="1:3">
      <c r="A39" s="8"/>
      <c r="B39" s="9"/>
      <c r="C39" s="9"/>
    </row>
    <row r="40" spans="1:3">
      <c r="A40" s="8"/>
      <c r="B40" s="9"/>
      <c r="C40" s="9"/>
    </row>
    <row r="41" spans="1:3">
      <c r="A41" s="8"/>
      <c r="B41" s="9"/>
      <c r="C41" s="9"/>
    </row>
    <row r="42" spans="1:3">
      <c r="A42" s="8"/>
      <c r="B42" s="9"/>
      <c r="C42" s="9"/>
    </row>
    <row r="43" spans="1:3">
      <c r="B43" s="10"/>
      <c r="C43" s="10"/>
    </row>
    <row r="44" spans="1:3">
      <c r="B44" s="10"/>
      <c r="C44" s="10"/>
    </row>
    <row r="45" spans="1:3">
      <c r="B45" s="10"/>
      <c r="C45" s="10"/>
    </row>
    <row r="46" spans="1:3">
      <c r="B46" s="10"/>
      <c r="C46" s="10"/>
    </row>
    <row r="47" spans="1:3">
      <c r="B47" s="10"/>
      <c r="C47" s="10"/>
    </row>
    <row r="48" spans="1:3">
      <c r="B48" s="10"/>
      <c r="C48" s="10"/>
    </row>
    <row r="49" spans="2:3">
      <c r="B49" s="10"/>
      <c r="C49" s="10"/>
    </row>
    <row r="50" spans="2:3">
      <c r="B50" s="10"/>
      <c r="C50" s="10"/>
    </row>
    <row r="51" spans="2:3">
      <c r="B51" s="10"/>
      <c r="C51" s="10"/>
    </row>
    <row r="52" spans="2:3">
      <c r="B52" s="10"/>
      <c r="C52" s="10"/>
    </row>
    <row r="53" spans="2:3">
      <c r="B53" s="10"/>
      <c r="C53" s="10"/>
    </row>
    <row r="54" spans="2:3">
      <c r="B54" s="10"/>
      <c r="C54" s="10"/>
    </row>
    <row r="55" spans="2:3">
      <c r="B55" s="10"/>
      <c r="C55" s="10"/>
    </row>
    <row r="56" spans="2:3">
      <c r="B56" s="10"/>
      <c r="C56" s="10"/>
    </row>
    <row r="57" spans="2:3">
      <c r="B57" s="10"/>
      <c r="C57" s="10"/>
    </row>
    <row r="58" spans="2:3">
      <c r="B58" s="10"/>
      <c r="C58" s="10"/>
    </row>
    <row r="59" spans="2:3">
      <c r="B59" s="10"/>
      <c r="C59" s="10"/>
    </row>
    <row r="60" spans="2:3">
      <c r="B60" s="10"/>
      <c r="C60" s="10"/>
    </row>
    <row r="61" spans="2:3">
      <c r="B61" s="10"/>
      <c r="C61" s="10"/>
    </row>
    <row r="62" spans="2:3">
      <c r="B62" s="10"/>
      <c r="C62" s="10"/>
    </row>
    <row r="63" spans="2:3">
      <c r="B63" s="10"/>
      <c r="C63" s="10"/>
    </row>
    <row r="64" spans="2:3">
      <c r="B64" s="10"/>
      <c r="C64" s="10"/>
    </row>
    <row r="65" spans="2:3">
      <c r="B65" s="10"/>
      <c r="C65" s="10"/>
    </row>
    <row r="66" spans="2:3">
      <c r="B66" s="10"/>
      <c r="C66" s="10"/>
    </row>
    <row r="67" spans="2:3">
      <c r="B67" s="10"/>
      <c r="C67" s="10"/>
    </row>
    <row r="68" spans="2:3">
      <c r="B68" s="10"/>
      <c r="C68" s="10"/>
    </row>
    <row r="69" spans="2:3">
      <c r="B69" s="10"/>
      <c r="C69" s="10"/>
    </row>
    <row r="70" spans="2:3">
      <c r="B70" s="10"/>
      <c r="C70" s="10"/>
    </row>
    <row r="71" spans="2:3">
      <c r="B71" s="10"/>
      <c r="C71" s="10"/>
    </row>
    <row r="72" spans="2:3">
      <c r="B72" s="10"/>
      <c r="C72" s="10"/>
    </row>
    <row r="73" spans="2:3">
      <c r="B73" s="10"/>
      <c r="C73" s="10"/>
    </row>
    <row r="74" spans="2:3">
      <c r="B74" s="10"/>
      <c r="C74" s="10"/>
    </row>
    <row r="75" spans="2:3">
      <c r="B75" s="10"/>
      <c r="C75" s="10"/>
    </row>
    <row r="76" spans="2:3">
      <c r="B76" s="10"/>
      <c r="C76" s="10"/>
    </row>
    <row r="77" spans="2:3">
      <c r="B77" s="10"/>
      <c r="C77" s="10"/>
    </row>
  </sheetData>
  <mergeCells count="1">
    <mergeCell ref="B1:E1"/>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B4EA2-A3B6-4E96-8DA9-B3583BB39FE8}">
  <dimension ref="A1:E17"/>
  <sheetViews>
    <sheetView workbookViewId="0">
      <selection activeCell="E6" sqref="A1:E17"/>
    </sheetView>
  </sheetViews>
  <sheetFormatPr defaultRowHeight="12.75"/>
  <sheetData>
    <row r="1" spans="1:5">
      <c r="A1" s="29" t="s">
        <v>0</v>
      </c>
      <c r="B1" s="29" t="s">
        <v>1</v>
      </c>
      <c r="C1" s="29" t="s">
        <v>2</v>
      </c>
      <c r="D1" s="29" t="s">
        <v>32</v>
      </c>
      <c r="E1" s="29" t="s">
        <v>356</v>
      </c>
    </row>
    <row r="2" spans="1:5">
      <c r="A2" s="1" t="s">
        <v>19</v>
      </c>
      <c r="B2" s="5">
        <v>23.546853473931446</v>
      </c>
      <c r="C2" s="5">
        <v>29.14</v>
      </c>
      <c r="D2" s="5">
        <v>25.411235649287629</v>
      </c>
      <c r="E2" s="5">
        <v>100</v>
      </c>
    </row>
    <row r="3" spans="1:5">
      <c r="A3" s="1" t="s">
        <v>21</v>
      </c>
      <c r="B3" s="5">
        <v>8.5861360434867411</v>
      </c>
      <c r="C3" s="5">
        <v>42.85</v>
      </c>
      <c r="D3" s="5">
        <v>20.007424028991164</v>
      </c>
      <c r="E3" s="5">
        <v>78.734557835451199</v>
      </c>
    </row>
    <row r="4" spans="1:5">
      <c r="A4" s="1" t="s">
        <v>8</v>
      </c>
      <c r="B4" s="5">
        <v>2.6591548091418482</v>
      </c>
      <c r="C4" s="5">
        <v>46.739999999999995</v>
      </c>
      <c r="D4" s="5">
        <v>17.352769872761233</v>
      </c>
      <c r="E4" s="5">
        <v>68.287784632966847</v>
      </c>
    </row>
    <row r="5" spans="1:5">
      <c r="A5" s="1" t="s">
        <v>27</v>
      </c>
      <c r="B5" s="5">
        <v>8.5861360434867411</v>
      </c>
      <c r="C5" s="5">
        <v>28.666666666666668</v>
      </c>
      <c r="D5" s="5">
        <v>15.279646251213384</v>
      </c>
      <c r="E5" s="5">
        <v>60.129489419935901</v>
      </c>
    </row>
    <row r="6" spans="1:5">
      <c r="A6" s="1" t="s">
        <v>16</v>
      </c>
      <c r="B6" s="5">
        <v>3.9337416545295936</v>
      </c>
      <c r="C6" s="5">
        <v>26.56</v>
      </c>
      <c r="D6" s="5">
        <v>11.475827769686395</v>
      </c>
      <c r="E6" s="5">
        <v>45.160447638476427</v>
      </c>
    </row>
    <row r="7" spans="1:5">
      <c r="A7" s="1" t="s">
        <v>15</v>
      </c>
      <c r="B7" s="5">
        <v>1.9575881276408278</v>
      </c>
      <c r="C7" s="5">
        <v>29.049999999999997</v>
      </c>
      <c r="D7" s="5">
        <v>10.988392085093885</v>
      </c>
      <c r="E7" s="5">
        <v>43.242258018263392</v>
      </c>
    </row>
    <row r="8" spans="1:5">
      <c r="A8" s="1" t="s">
        <v>360</v>
      </c>
      <c r="B8" s="5">
        <v>6.0291932664022134</v>
      </c>
      <c r="C8" s="5">
        <v>17</v>
      </c>
      <c r="D8" s="5">
        <v>9.6861288442681417</v>
      </c>
      <c r="E8" s="5">
        <v>38.11750431167907</v>
      </c>
    </row>
    <row r="9" spans="1:5">
      <c r="A9" s="1" t="s">
        <v>23</v>
      </c>
      <c r="B9" s="5">
        <v>6.7652287109112628</v>
      </c>
      <c r="C9" s="5" t="s">
        <v>10</v>
      </c>
      <c r="D9" s="5">
        <v>6.7652287109112628</v>
      </c>
      <c r="E9" s="5">
        <v>26.622982070928604</v>
      </c>
    </row>
    <row r="10" spans="1:5">
      <c r="A10" s="1" t="s">
        <v>6</v>
      </c>
      <c r="B10" s="5">
        <v>7.405284823616018</v>
      </c>
      <c r="C10" s="5">
        <v>0.79</v>
      </c>
      <c r="D10" s="5">
        <v>5.2001898824106787</v>
      </c>
      <c r="E10" s="5">
        <v>20.464136235564993</v>
      </c>
    </row>
    <row r="11" spans="1:5">
      <c r="A11" s="1" t="s">
        <v>20</v>
      </c>
      <c r="B11" s="5">
        <v>5.0421229094070856</v>
      </c>
      <c r="C11" s="5" t="s">
        <v>10</v>
      </c>
      <c r="D11" s="5">
        <v>5.0421229094070856</v>
      </c>
      <c r="E11" s="5">
        <v>19.842100474749778</v>
      </c>
    </row>
    <row r="12" spans="1:5">
      <c r="A12" s="1" t="s">
        <v>28</v>
      </c>
      <c r="B12" s="5">
        <v>4.9795900396539095</v>
      </c>
      <c r="C12" s="5">
        <v>3.95</v>
      </c>
      <c r="D12" s="5">
        <v>4.636393359769273</v>
      </c>
      <c r="E12" s="5">
        <v>18.245446320510776</v>
      </c>
    </row>
    <row r="13" spans="1:5">
      <c r="A13" s="1" t="s">
        <v>17</v>
      </c>
      <c r="B13" s="5">
        <v>3.1476525477702273</v>
      </c>
      <c r="C13" s="5" t="s">
        <v>10</v>
      </c>
      <c r="D13" s="5">
        <v>3.1476525477702273</v>
      </c>
      <c r="E13" s="5">
        <v>12.386853560418922</v>
      </c>
    </row>
    <row r="14" spans="1:5">
      <c r="A14" s="1" t="s">
        <v>13</v>
      </c>
      <c r="B14" s="5">
        <v>3.3101175619379664</v>
      </c>
      <c r="C14" s="5">
        <v>1.38</v>
      </c>
      <c r="D14" s="5">
        <v>2.6667450412919771</v>
      </c>
      <c r="E14" s="5">
        <v>10.494354064859241</v>
      </c>
    </row>
    <row r="15" spans="1:5">
      <c r="A15" s="1" t="s">
        <v>26</v>
      </c>
      <c r="B15" s="5">
        <v>1.2651198633455827</v>
      </c>
      <c r="C15" s="5" t="s">
        <v>10</v>
      </c>
      <c r="D15" s="5">
        <v>1.2651198633455827</v>
      </c>
      <c r="E15" s="5">
        <v>4.9785845946497629</v>
      </c>
    </row>
    <row r="16" spans="1:5">
      <c r="A16" s="1" t="s">
        <v>4</v>
      </c>
      <c r="B16" s="5">
        <v>0.80079122167949113</v>
      </c>
      <c r="C16" s="5">
        <v>1.6500000000000001</v>
      </c>
      <c r="D16" s="5">
        <v>1.0838608144529942</v>
      </c>
      <c r="E16" s="5">
        <v>4.2652818202619711</v>
      </c>
    </row>
    <row r="17" spans="1:5">
      <c r="A17" s="1" t="s">
        <v>359</v>
      </c>
      <c r="B17" s="5">
        <v>0.80079122167949113</v>
      </c>
      <c r="C17" s="5">
        <v>0.82500000000000007</v>
      </c>
      <c r="D17" s="5">
        <v>0.80886081445299407</v>
      </c>
      <c r="E17" s="5">
        <v>3.183083363660316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98596-5D99-48FB-B5C1-06E2080807B8}">
  <dimension ref="A2:D19"/>
  <sheetViews>
    <sheetView workbookViewId="0">
      <selection activeCell="D17" sqref="A2:D17"/>
    </sheetView>
  </sheetViews>
  <sheetFormatPr defaultRowHeight="12.75"/>
  <cols>
    <col min="1" max="1" width="40.5703125" bestFit="1" customWidth="1"/>
    <col min="2" max="2" width="26" bestFit="1" customWidth="1"/>
    <col min="3" max="3" width="63.28515625" bestFit="1" customWidth="1"/>
    <col min="4" max="4" width="27" customWidth="1"/>
  </cols>
  <sheetData>
    <row r="2" spans="1:4">
      <c r="A2" s="3" t="s">
        <v>364</v>
      </c>
      <c r="B2" s="3" t="s">
        <v>361</v>
      </c>
      <c r="C2" s="3" t="s">
        <v>1</v>
      </c>
      <c r="D2" s="3" t="s">
        <v>2</v>
      </c>
    </row>
    <row r="3" spans="1:4" ht="25.5">
      <c r="A3" t="s">
        <v>19</v>
      </c>
      <c r="B3" s="37" t="s">
        <v>369</v>
      </c>
      <c r="C3" s="37" t="str">
        <f>OWASP!A8</f>
        <v>Cross-Site Scripting (XSS) Vulnerabilities (CWE-79)</v>
      </c>
      <c r="D3" s="37" t="s">
        <v>94</v>
      </c>
    </row>
    <row r="4" spans="1:4" ht="25.5">
      <c r="A4" t="s">
        <v>366</v>
      </c>
      <c r="B4" s="42" t="s">
        <v>72</v>
      </c>
      <c r="C4" s="37" t="str">
        <f>OWASP!A13</f>
        <v>Security Misconfiguration Vulnerabilities (CWE-2)</v>
      </c>
      <c r="D4" s="37" t="str">
        <f>Acunetix!A33</f>
        <v>Web Server Vulnerabilities
&amp; Misconfigurations</v>
      </c>
    </row>
    <row r="5" spans="1:4">
      <c r="A5" t="s">
        <v>8</v>
      </c>
      <c r="B5" s="37" t="s">
        <v>138</v>
      </c>
      <c r="C5" s="37" t="str">
        <f>OWASP!A18</f>
        <v>Cross-Site Request Forgery (CSRF) Vulnerabilities (CWE-352)</v>
      </c>
      <c r="D5" s="37" t="str">
        <f>Acunetix!A26</f>
        <v>Cross-site Request Forgery</v>
      </c>
    </row>
    <row r="6" spans="1:4">
      <c r="A6" t="s">
        <v>27</v>
      </c>
      <c r="B6" s="42" t="s">
        <v>72</v>
      </c>
      <c r="C6" s="37" t="str">
        <f>OWASP!A13</f>
        <v>Security Misconfiguration Vulnerabilities (CWE-2)</v>
      </c>
      <c r="D6" s="37" t="str">
        <f>Acunetix!A20</f>
        <v>Network Vulnerabilities</v>
      </c>
    </row>
    <row r="7" spans="1:4" ht="25.5">
      <c r="A7" t="s">
        <v>16</v>
      </c>
      <c r="B7" s="37" t="s">
        <v>370</v>
      </c>
      <c r="C7" s="37" t="s">
        <v>37</v>
      </c>
      <c r="D7" s="37" t="str">
        <f>Acunetix!A3</f>
        <v>SQL Injection (SQLi)</v>
      </c>
    </row>
    <row r="8" spans="1:4">
      <c r="A8" t="s">
        <v>15</v>
      </c>
      <c r="B8" s="37" t="s">
        <v>367</v>
      </c>
      <c r="C8" s="37" t="str">
        <f>OWASP!A25</f>
        <v>Denial of Service (DOS) Vulnerabilities (CWE-400)</v>
      </c>
      <c r="D8" s="37" t="str">
        <f>Acunetix!A24</f>
        <v>DoS</v>
      </c>
    </row>
    <row r="9" spans="1:4" ht="25.5">
      <c r="A9" t="s">
        <v>360</v>
      </c>
      <c r="B9" s="37" t="s">
        <v>362</v>
      </c>
      <c r="C9" s="37" t="str">
        <f>OWASP!A16 &amp; "
" &amp; OWASP!A6</f>
        <v>Cryptographic Vulnerabilities (CWEs-310/326/327/etc)
Authentication Vulnerabilities (CWE-287)</v>
      </c>
      <c r="D9" s="37" t="str">
        <f>Acunetix!A29</f>
        <v>TLS/SSL Vulnerabilities</v>
      </c>
    </row>
    <row r="10" spans="1:4" ht="25.5">
      <c r="A10" t="s">
        <v>23</v>
      </c>
      <c r="B10" s="42" t="s">
        <v>368</v>
      </c>
      <c r="C10" s="37" t="str">
        <f>OWASP!A12 &amp; "
" &amp; OWASP!A17</f>
        <v>Missing Authorization Vulnerabilities (CWE-285)
Improper (Function Level) Access Control Vulnerabilities (CWE-285)</v>
      </c>
      <c r="D10" s="37" t="s">
        <v>40</v>
      </c>
    </row>
    <row r="11" spans="1:4" ht="25.5">
      <c r="A11" t="s">
        <v>6</v>
      </c>
      <c r="B11" s="37" t="s">
        <v>362</v>
      </c>
      <c r="C11" s="37" t="str">
        <f>OWASP!A6 &amp; "
" &amp; OWASP!A29</f>
        <v>Authentication Vulnerabilities (CWE-287)
Insufficient Anti-automation Vulnerabilities (CWE-799)</v>
      </c>
      <c r="D11" s="37" t="str">
        <f>Acunetix!A16</f>
        <v>Weak Passwords</v>
      </c>
    </row>
    <row r="12" spans="1:4" ht="25.5">
      <c r="A12" t="s">
        <v>20</v>
      </c>
      <c r="B12" s="37" t="s">
        <v>362</v>
      </c>
      <c r="C12" s="37" t="str">
        <f>OWASP!A14 &amp; "
" &amp; OWASP!A15</f>
        <v>Cleartext Transmission of Sensitive Information Vulnerabilities (CWE-319)
Cleartext Storage of Sensitive Information Vulnerabilities (CWE-312)</v>
      </c>
      <c r="D12" s="37" t="s">
        <v>40</v>
      </c>
    </row>
    <row r="13" spans="1:4">
      <c r="A13" t="s">
        <v>28</v>
      </c>
      <c r="B13" s="37" t="s">
        <v>40</v>
      </c>
      <c r="C13" s="37" t="str">
        <f>OWASP!A28</f>
        <v>Information Leakage/Disclosure Vulnerabilities (CWE-200)</v>
      </c>
      <c r="D13" s="37" t="str">
        <f>Acunetix!A17</f>
        <v>Source Code Disclosure</v>
      </c>
    </row>
    <row r="14" spans="1:4">
      <c r="A14" t="s">
        <v>17</v>
      </c>
      <c r="B14" s="37" t="s">
        <v>365</v>
      </c>
      <c r="C14" s="37" t="str">
        <f>OWASP!A7</f>
        <v>Session Fixation Vulnerabilities (CWE-384)</v>
      </c>
      <c r="D14" s="37" t="s">
        <v>40</v>
      </c>
    </row>
    <row r="15" spans="1:4" ht="25.5">
      <c r="A15" t="s">
        <v>13</v>
      </c>
      <c r="B15" s="37" t="s">
        <v>363</v>
      </c>
      <c r="C15" s="37" t="str">
        <f>OWASP!A11</f>
        <v>Path Traversal Vulnerabilities (CWE-22)</v>
      </c>
      <c r="D15" s="37" t="s">
        <v>371</v>
      </c>
    </row>
    <row r="16" spans="1:4" ht="25.5">
      <c r="A16" t="s">
        <v>26</v>
      </c>
      <c r="B16" s="37" t="s">
        <v>40</v>
      </c>
      <c r="C16" s="37" t="str">
        <f>OWASP!A20 &amp; "
" &amp; OWASP!A21</f>
        <v>Unchecked Redirect Vulnerabilities (CWE-601)
Unvalidated Forward Vulnerabilities (No CWE)</v>
      </c>
      <c r="D16" s="37" t="s">
        <v>40</v>
      </c>
    </row>
    <row r="17" spans="1:4">
      <c r="A17" t="s">
        <v>4</v>
      </c>
      <c r="B17" s="37" t="s">
        <v>4</v>
      </c>
      <c r="C17" s="37" t="str">
        <f>OWASP!A5</f>
        <v>Command Injection Vulnerabilities (CWE-77)</v>
      </c>
      <c r="D17" s="37" t="str">
        <f>Acunetix!A2</f>
        <v>Remote Code Execution</v>
      </c>
    </row>
    <row r="18" spans="1:4">
      <c r="D18" s="37"/>
    </row>
    <row r="19" spans="1:4">
      <c r="D19"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6"/>
  <sheetViews>
    <sheetView zoomScale="110" zoomScaleNormal="110" workbookViewId="0">
      <selection activeCell="A3" sqref="A3"/>
    </sheetView>
  </sheetViews>
  <sheetFormatPr defaultRowHeight="12.75"/>
  <cols>
    <col min="1" max="1" width="66" customWidth="1"/>
    <col min="2" max="2" width="13.140625" customWidth="1"/>
    <col min="4" max="4" width="13.85546875" style="1" customWidth="1"/>
    <col min="5" max="5" width="11.28515625" customWidth="1"/>
    <col min="6" max="6" width="12.42578125" customWidth="1"/>
  </cols>
  <sheetData>
    <row r="1" spans="1:9">
      <c r="A1" s="2"/>
      <c r="B1" s="43" t="s">
        <v>353</v>
      </c>
      <c r="C1" s="43"/>
      <c r="D1" s="3"/>
      <c r="E1" s="3"/>
      <c r="F1" s="3"/>
      <c r="G1" s="2"/>
    </row>
    <row r="2" spans="1:9">
      <c r="A2" s="2" t="s">
        <v>31</v>
      </c>
      <c r="B2" s="2" t="s">
        <v>355</v>
      </c>
      <c r="C2" s="2" t="s">
        <v>32</v>
      </c>
      <c r="D2" s="3" t="s">
        <v>33</v>
      </c>
      <c r="E2" s="3" t="s">
        <v>34</v>
      </c>
      <c r="F2" s="3" t="s">
        <v>35</v>
      </c>
      <c r="G2" s="2" t="s">
        <v>36</v>
      </c>
    </row>
    <row r="3" spans="1:9">
      <c r="A3" s="1" t="s">
        <v>37</v>
      </c>
      <c r="B3" s="11">
        <v>3.9337416545295933E-2</v>
      </c>
      <c r="C3" s="5">
        <f>B3*100</f>
        <v>3.9337416545295936</v>
      </c>
      <c r="D3" s="1">
        <v>3</v>
      </c>
      <c r="E3" s="8">
        <v>1</v>
      </c>
      <c r="F3" s="8">
        <v>1</v>
      </c>
      <c r="G3" s="1">
        <f>COUNTIF(Calculations!$B$3:$B$17, C3)</f>
        <v>1</v>
      </c>
      <c r="I3" t="s">
        <v>38</v>
      </c>
    </row>
    <row r="4" spans="1:9">
      <c r="A4" s="1" t="s">
        <v>39</v>
      </c>
      <c r="B4" s="11">
        <v>2.145887384511991E-4</v>
      </c>
      <c r="C4" s="5">
        <f t="shared" ref="C4:C34" si="0">B4*100</f>
        <v>2.1458873845119911E-2</v>
      </c>
      <c r="D4"/>
      <c r="G4" s="1" t="s">
        <v>40</v>
      </c>
    </row>
    <row r="5" spans="1:9">
      <c r="A5" s="1" t="s">
        <v>41</v>
      </c>
      <c r="B5" s="11">
        <v>8.0079122167949109E-3</v>
      </c>
      <c r="C5" s="5">
        <f t="shared" si="0"/>
        <v>0.80079122167949113</v>
      </c>
      <c r="D5" s="1">
        <v>3</v>
      </c>
      <c r="E5" s="8">
        <v>1</v>
      </c>
      <c r="F5" s="8">
        <v>1</v>
      </c>
      <c r="G5" s="1">
        <f>COUNTIF(Calculations!$B$3:$B$17, C5)</f>
        <v>0</v>
      </c>
    </row>
    <row r="6" spans="1:9">
      <c r="A6" s="1" t="s">
        <v>42</v>
      </c>
      <c r="B6" s="11">
        <v>6.1078507539355002E-2</v>
      </c>
      <c r="C6" s="5">
        <f t="shared" si="0"/>
        <v>6.1078507539354998</v>
      </c>
      <c r="D6" s="1">
        <v>2</v>
      </c>
      <c r="E6" s="8">
        <v>2</v>
      </c>
      <c r="F6" s="8">
        <v>2</v>
      </c>
      <c r="G6" s="1">
        <f>COUNTIF(Calculations!$B$3:$B$21, C6)</f>
        <v>0</v>
      </c>
    </row>
    <row r="7" spans="1:9">
      <c r="A7" s="1" t="s">
        <v>43</v>
      </c>
      <c r="B7" s="11">
        <v>3.1476525477702272E-2</v>
      </c>
      <c r="C7" s="5">
        <f t="shared" si="0"/>
        <v>3.1476525477702273</v>
      </c>
      <c r="D7" s="1">
        <v>2</v>
      </c>
      <c r="E7" s="8">
        <v>2</v>
      </c>
      <c r="F7" s="8">
        <v>2</v>
      </c>
      <c r="G7" s="1">
        <f>COUNTIF(Calculations!$B$3:$B$17, C7)</f>
        <v>1</v>
      </c>
    </row>
    <row r="8" spans="1:9">
      <c r="A8" s="1" t="s">
        <v>44</v>
      </c>
      <c r="B8" s="11">
        <v>0.23546853473931445</v>
      </c>
      <c r="C8" s="5">
        <f t="shared" si="0"/>
        <v>23.546853473931446</v>
      </c>
      <c r="D8" s="1">
        <v>3</v>
      </c>
      <c r="E8" s="8">
        <v>7</v>
      </c>
      <c r="F8" s="8">
        <v>3</v>
      </c>
      <c r="G8" s="1">
        <f>COUNTIF(Calculations!$B$3:$B$17, C8)</f>
        <v>1</v>
      </c>
    </row>
    <row r="9" spans="1:9">
      <c r="A9" s="1" t="s">
        <v>45</v>
      </c>
      <c r="B9" s="11">
        <v>4.5350186580296421E-3</v>
      </c>
      <c r="C9" s="5">
        <f t="shared" si="0"/>
        <v>0.4535018658029642</v>
      </c>
      <c r="D9" s="1">
        <v>3</v>
      </c>
      <c r="E9" s="8">
        <v>7</v>
      </c>
      <c r="F9" s="8">
        <v>3</v>
      </c>
      <c r="G9" s="1">
        <f>COUNTIF(Calculations!$B$3:$B$17, C9)</f>
        <v>0</v>
      </c>
      <c r="I9" t="s">
        <v>46</v>
      </c>
    </row>
    <row r="10" spans="1:9">
      <c r="A10" s="1" t="s">
        <v>47</v>
      </c>
      <c r="B10" s="11">
        <v>2.4771672752547692E-2</v>
      </c>
      <c r="C10" s="5">
        <f t="shared" si="0"/>
        <v>2.4771672752547693</v>
      </c>
      <c r="D10"/>
      <c r="G10" s="1" t="s">
        <v>40</v>
      </c>
    </row>
    <row r="11" spans="1:9">
      <c r="A11" s="1" t="s">
        <v>48</v>
      </c>
      <c r="B11" s="11">
        <v>3.3101175619379662E-2</v>
      </c>
      <c r="C11" s="5">
        <f t="shared" si="0"/>
        <v>3.3101175619379664</v>
      </c>
      <c r="D11" s="1">
        <v>2</v>
      </c>
      <c r="E11" s="8" t="s">
        <v>40</v>
      </c>
      <c r="F11" s="8" t="s">
        <v>40</v>
      </c>
      <c r="G11" s="1">
        <f>COUNTIF(Calculations!$B$3:$B$17, C11)</f>
        <v>1</v>
      </c>
    </row>
    <row r="12" spans="1:9">
      <c r="A12" s="1" t="s">
        <v>49</v>
      </c>
      <c r="B12" s="11">
        <v>4.5898506591226955E-2</v>
      </c>
      <c r="C12" s="5">
        <f t="shared" si="0"/>
        <v>4.5898506591226953</v>
      </c>
      <c r="D12" s="1">
        <v>2</v>
      </c>
      <c r="E12" s="8">
        <v>5</v>
      </c>
      <c r="F12" s="8">
        <v>7</v>
      </c>
      <c r="G12" s="1">
        <v>1</v>
      </c>
    </row>
    <row r="13" spans="1:9">
      <c r="A13" s="1" t="s">
        <v>50</v>
      </c>
      <c r="B13" s="11">
        <v>8.5861360434867418E-2</v>
      </c>
      <c r="C13" s="5">
        <f t="shared" si="0"/>
        <v>8.5861360434867411</v>
      </c>
      <c r="D13" s="1">
        <v>3</v>
      </c>
      <c r="E13" s="8">
        <v>6</v>
      </c>
      <c r="F13" s="8">
        <v>5</v>
      </c>
      <c r="G13" s="1">
        <f>COUNTIF(Calculations!$B$3:$B$22, C13)</f>
        <v>2</v>
      </c>
    </row>
    <row r="14" spans="1:9">
      <c r="A14" s="1" t="s">
        <v>51</v>
      </c>
      <c r="B14" s="11">
        <v>3.9572447987347603E-2</v>
      </c>
      <c r="C14" s="5">
        <f t="shared" si="0"/>
        <v>3.9572447987347603</v>
      </c>
      <c r="D14" s="1">
        <v>2</v>
      </c>
      <c r="E14" s="8">
        <v>3</v>
      </c>
      <c r="F14" s="8">
        <v>6</v>
      </c>
      <c r="G14" s="1">
        <v>1</v>
      </c>
    </row>
    <row r="15" spans="1:9">
      <c r="A15" s="1" t="s">
        <v>52</v>
      </c>
      <c r="B15" s="11">
        <v>1.084878110672325E-2</v>
      </c>
      <c r="C15" s="5">
        <f t="shared" si="0"/>
        <v>1.0848781106723251</v>
      </c>
      <c r="D15" s="1">
        <v>2</v>
      </c>
      <c r="E15" s="8">
        <v>3</v>
      </c>
      <c r="F15" s="8">
        <v>6</v>
      </c>
      <c r="G15" s="1">
        <v>1</v>
      </c>
    </row>
    <row r="16" spans="1:9">
      <c r="A16" s="1" t="s">
        <v>53</v>
      </c>
      <c r="B16" s="11">
        <v>5.9505357788689268E-2</v>
      </c>
      <c r="C16" s="5">
        <f t="shared" si="0"/>
        <v>5.950535778868927</v>
      </c>
      <c r="D16" s="1">
        <v>2</v>
      </c>
      <c r="E16" s="8">
        <v>3</v>
      </c>
      <c r="F16" s="8">
        <v>6</v>
      </c>
      <c r="G16" s="1">
        <f>COUNTIF(Calculations!$B$3:$B$22, C16)</f>
        <v>0</v>
      </c>
    </row>
    <row r="17" spans="1:9">
      <c r="A17" s="1" t="s">
        <v>54</v>
      </c>
      <c r="B17" s="11">
        <v>2.1753780517885676E-2</v>
      </c>
      <c r="C17" s="5">
        <f t="shared" si="0"/>
        <v>2.1753780517885675</v>
      </c>
      <c r="D17" s="1">
        <v>2</v>
      </c>
      <c r="E17" s="8">
        <v>5</v>
      </c>
      <c r="F17" s="8">
        <v>7</v>
      </c>
      <c r="G17" s="1">
        <v>1</v>
      </c>
    </row>
    <row r="18" spans="1:9">
      <c r="A18" s="1" t="s">
        <v>55</v>
      </c>
      <c r="B18" s="11">
        <v>2.6591548091418483E-2</v>
      </c>
      <c r="C18" s="5">
        <f t="shared" si="0"/>
        <v>2.6591548091418482</v>
      </c>
      <c r="D18" s="1">
        <v>3</v>
      </c>
      <c r="E18" s="8" t="s">
        <v>40</v>
      </c>
      <c r="F18" s="8">
        <v>8</v>
      </c>
      <c r="G18" s="1">
        <f>COUNTIF(Calculations!$B$3:$B$17, C18)</f>
        <v>1</v>
      </c>
    </row>
    <row r="19" spans="1:9">
      <c r="A19" s="1" t="s">
        <v>56</v>
      </c>
      <c r="B19" s="11">
        <v>3.3663377036675213E-2</v>
      </c>
      <c r="C19" s="5">
        <f t="shared" si="0"/>
        <v>3.3663377036675213</v>
      </c>
      <c r="D19" s="1">
        <v>2</v>
      </c>
      <c r="E19" s="8">
        <v>9</v>
      </c>
      <c r="F19" s="8">
        <v>9</v>
      </c>
      <c r="G19" s="1">
        <f>COUNTIF(Calculations!$B$3:$B$22, C19)</f>
        <v>0</v>
      </c>
    </row>
    <row r="20" spans="1:9">
      <c r="A20" s="1" t="s">
        <v>57</v>
      </c>
      <c r="B20" s="11">
        <v>9.2815731684324655E-3</v>
      </c>
      <c r="C20" s="5">
        <f t="shared" si="0"/>
        <v>0.92815731684324654</v>
      </c>
      <c r="D20" s="1">
        <v>3</v>
      </c>
      <c r="E20" s="8" t="s">
        <v>40</v>
      </c>
      <c r="F20" s="8">
        <v>10</v>
      </c>
      <c r="G20" s="1">
        <v>1</v>
      </c>
    </row>
    <row r="21" spans="1:9">
      <c r="A21" s="1" t="s">
        <v>58</v>
      </c>
      <c r="B21" s="11">
        <v>3.3696254650233608E-3</v>
      </c>
      <c r="C21" s="5">
        <f t="shared" si="0"/>
        <v>0.33696254650233609</v>
      </c>
      <c r="D21" s="1">
        <v>3</v>
      </c>
      <c r="E21" s="8" t="s">
        <v>40</v>
      </c>
      <c r="F21" s="8">
        <v>10</v>
      </c>
      <c r="G21" s="1">
        <v>1</v>
      </c>
      <c r="I21" t="s">
        <v>38</v>
      </c>
    </row>
    <row r="22" spans="1:9">
      <c r="A22" s="1" t="s">
        <v>59</v>
      </c>
      <c r="B22" s="11">
        <v>4.1136727169704124E-2</v>
      </c>
      <c r="C22" s="5">
        <f t="shared" si="0"/>
        <v>4.1136727169704121</v>
      </c>
      <c r="D22"/>
      <c r="G22" s="1" t="s">
        <v>40</v>
      </c>
      <c r="I22" t="s">
        <v>60</v>
      </c>
    </row>
    <row r="23" spans="1:9">
      <c r="A23" s="1" t="s">
        <v>61</v>
      </c>
      <c r="B23" s="11">
        <v>5.2673129176244527E-3</v>
      </c>
      <c r="C23" s="5">
        <f t="shared" si="0"/>
        <v>0.52673129176244526</v>
      </c>
      <c r="D23"/>
      <c r="G23" s="1" t="s">
        <v>40</v>
      </c>
    </row>
    <row r="24" spans="1:9">
      <c r="A24" s="1" t="s">
        <v>62</v>
      </c>
      <c r="B24" s="11">
        <v>3.9632061309863043E-4</v>
      </c>
      <c r="C24" s="5">
        <f t="shared" si="0"/>
        <v>3.9632061309863041E-2</v>
      </c>
      <c r="D24" s="1">
        <v>2</v>
      </c>
      <c r="E24" s="8" t="s">
        <v>40</v>
      </c>
      <c r="F24" s="8" t="s">
        <v>40</v>
      </c>
      <c r="G24" s="1">
        <f>COUNTIF(Calculations!$B$3:$B$22, C24)</f>
        <v>1</v>
      </c>
    </row>
    <row r="25" spans="1:9">
      <c r="A25" s="1" t="s">
        <v>63</v>
      </c>
      <c r="B25" s="11">
        <v>1.9575881276408278E-2</v>
      </c>
      <c r="C25" s="5">
        <f t="shared" si="0"/>
        <v>1.9575881276408278</v>
      </c>
      <c r="D25" s="1">
        <v>2</v>
      </c>
      <c r="E25" s="8" t="s">
        <v>40</v>
      </c>
      <c r="F25" s="8" t="s">
        <v>40</v>
      </c>
      <c r="G25" s="1">
        <f>COUNTIF(Calculations!$B$3:$B$22, C25)</f>
        <v>1</v>
      </c>
      <c r="I25" t="s">
        <v>64</v>
      </c>
    </row>
    <row r="26" spans="1:9">
      <c r="A26" s="1" t="s">
        <v>65</v>
      </c>
      <c r="B26" s="11">
        <v>9.8404203393299438E-5</v>
      </c>
      <c r="C26" s="5">
        <f t="shared" si="0"/>
        <v>9.8404203393299434E-3</v>
      </c>
      <c r="D26"/>
      <c r="G26" s="1" t="s">
        <v>40</v>
      </c>
      <c r="I26" t="s">
        <v>60</v>
      </c>
    </row>
    <row r="27" spans="1:9">
      <c r="A27" s="1" t="s">
        <v>66</v>
      </c>
      <c r="B27" s="11">
        <v>4.8099945665098544E-2</v>
      </c>
      <c r="C27" s="5">
        <f t="shared" si="0"/>
        <v>4.8099945665098547</v>
      </c>
      <c r="D27"/>
      <c r="G27" s="1" t="s">
        <v>40</v>
      </c>
    </row>
    <row r="28" spans="1:9">
      <c r="A28" s="1" t="s">
        <v>67</v>
      </c>
      <c r="B28" s="11">
        <v>4.9795900396539097E-2</v>
      </c>
      <c r="C28" s="5">
        <f t="shared" si="0"/>
        <v>4.9795900396539095</v>
      </c>
      <c r="D28" s="1">
        <v>2</v>
      </c>
      <c r="E28" s="8">
        <v>3</v>
      </c>
      <c r="F28" s="8">
        <v>6</v>
      </c>
      <c r="G28" s="1">
        <f>COUNTIF(Calculations!$B$3:$B$22, C28)</f>
        <v>1</v>
      </c>
    </row>
    <row r="29" spans="1:9">
      <c r="A29" s="1" t="s">
        <v>68</v>
      </c>
      <c r="B29" s="11">
        <v>1.297434069680518E-2</v>
      </c>
      <c r="C29" s="5">
        <f t="shared" si="0"/>
        <v>1.297434069680518</v>
      </c>
      <c r="D29" s="1">
        <v>2</v>
      </c>
      <c r="E29" s="8">
        <v>6</v>
      </c>
      <c r="F29" s="8">
        <v>5</v>
      </c>
      <c r="G29" s="1">
        <v>1</v>
      </c>
    </row>
    <row r="30" spans="1:9">
      <c r="A30" s="1" t="s">
        <v>69</v>
      </c>
      <c r="B30" s="11">
        <v>7.8537099227444385E-3</v>
      </c>
      <c r="C30" s="5">
        <f t="shared" si="0"/>
        <v>0.78537099227444385</v>
      </c>
      <c r="D30"/>
      <c r="G30" s="1" t="s">
        <v>40</v>
      </c>
      <c r="I30" t="s">
        <v>70</v>
      </c>
    </row>
    <row r="31" spans="1:9">
      <c r="A31" s="1" t="s">
        <v>71</v>
      </c>
      <c r="B31" s="11">
        <v>6.9901392435737315E-5</v>
      </c>
      <c r="C31" s="5">
        <f t="shared" si="0"/>
        <v>6.9901392435737317E-3</v>
      </c>
      <c r="D31"/>
      <c r="G31" s="1" t="s">
        <v>40</v>
      </c>
      <c r="I31" t="s">
        <v>72</v>
      </c>
    </row>
    <row r="32" spans="1:9">
      <c r="A32" s="1" t="s">
        <v>73</v>
      </c>
      <c r="B32" s="11">
        <v>1.5879721609041732E-3</v>
      </c>
      <c r="C32" s="5">
        <f t="shared" si="0"/>
        <v>0.15879721609041733</v>
      </c>
      <c r="D32"/>
      <c r="G32" s="1" t="s">
        <v>40</v>
      </c>
      <c r="I32" t="s">
        <v>74</v>
      </c>
    </row>
    <row r="33" spans="1:7">
      <c r="A33" s="1" t="s">
        <v>75</v>
      </c>
      <c r="B33" s="11">
        <v>3.72889156932453E-2</v>
      </c>
      <c r="C33" s="5">
        <f t="shared" si="0"/>
        <v>3.7288915693245301</v>
      </c>
      <c r="D33"/>
      <c r="G33" s="1" t="s">
        <v>40</v>
      </c>
    </row>
    <row r="34" spans="1:7">
      <c r="A34" s="1" t="s">
        <v>76</v>
      </c>
      <c r="B34" s="11">
        <v>1.5169574168382273E-3</v>
      </c>
      <c r="C34" s="5">
        <f t="shared" si="0"/>
        <v>0.15169574168382274</v>
      </c>
      <c r="D34" s="1">
        <v>3</v>
      </c>
      <c r="E34" s="8" t="s">
        <v>40</v>
      </c>
      <c r="F34" s="8" t="s">
        <v>40</v>
      </c>
      <c r="G34" s="1">
        <f>COUNTIF(Calculations!$B$3:$B$22, C34)</f>
        <v>1</v>
      </c>
    </row>
    <row r="35" spans="1:7">
      <c r="B35" s="1"/>
      <c r="C35" s="1"/>
    </row>
    <row r="36" spans="1:7">
      <c r="A36" s="12" t="s">
        <v>77</v>
      </c>
    </row>
  </sheetData>
  <autoFilter ref="A2:G34" xr:uid="{00000000-0009-0000-0000-000001000000}"/>
  <mergeCells count="1">
    <mergeCell ref="B1:C1"/>
  </mergeCells>
  <conditionalFormatting sqref="D3:D34">
    <cfRule type="cellIs" dxfId="1" priority="2" operator="equal">
      <formula>3</formula>
    </cfRule>
    <cfRule type="cellIs" dxfId="0" priority="3" operator="equal">
      <formula>2</formula>
    </cfRule>
  </conditionalFormatting>
  <conditionalFormatting sqref="C3:C34">
    <cfRule type="dataBar" priority="4">
      <dataBar>
        <cfvo type="min"/>
        <cfvo type="max"/>
        <color rgb="FF0000FF"/>
      </dataBar>
      <extLst>
        <ext xmlns:x14="http://schemas.microsoft.com/office/spreadsheetml/2009/9/main" uri="{B025F937-C7B1-47D3-B67F-A62EFF666E3E}">
          <x14:id>{58D5455D-6659-404B-B347-AE4376EF3BB2}</x14:id>
        </ext>
      </extLst>
    </cfRule>
  </conditionalFormatting>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ignoredErrors>
    <ignoredError sqref="G6:G34" formula="1"/>
  </ignoredErrors>
  <drawing r:id="rId1"/>
  <legacyDrawing r:id="rId2"/>
  <extLst>
    <ext xmlns:x14="http://schemas.microsoft.com/office/spreadsheetml/2009/9/main" uri="{78C0D931-6437-407d-A8EE-F0AAD7539E65}">
      <x14:conditionalFormattings>
        <x14:conditionalFormatting xmlns:xm="http://schemas.microsoft.com/office/excel/2006/main">
          <x14:cfRule type="dataBar" id="{58D5455D-6659-404B-B347-AE4376EF3BB2}">
            <x14:dataBar minLength="0" maxLength="100">
              <x14:cfvo type="autoMin"/>
              <x14:cfvo type="autoMax"/>
              <x14:negativeFillColor rgb="FFFF0000"/>
              <x14:axisColor rgb="FF000000"/>
            </x14:dataBar>
          </x14:cfRule>
          <xm:sqref>C3:C34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733CD-42C4-4DAF-9E30-BEA085CAF746}">
  <dimension ref="A1:Z53"/>
  <sheetViews>
    <sheetView topLeftCell="A8" workbookViewId="0">
      <selection activeCell="B15" sqref="B15"/>
    </sheetView>
  </sheetViews>
  <sheetFormatPr defaultRowHeight="12.75"/>
  <cols>
    <col min="1" max="1" width="82.140625" customWidth="1"/>
    <col min="2" max="2" width="17.5703125" customWidth="1"/>
    <col min="3" max="3" width="61" customWidth="1"/>
    <col min="5" max="5" width="45.140625" customWidth="1"/>
    <col min="7" max="7" width="40" customWidth="1"/>
    <col min="9" max="9" width="45.5703125" customWidth="1"/>
    <col min="11" max="11" width="63.5703125" customWidth="1"/>
    <col min="13" max="13" width="62.140625" customWidth="1"/>
    <col min="15" max="15" width="57.28515625" customWidth="1"/>
    <col min="17" max="17" width="51.42578125" customWidth="1"/>
    <col min="19" max="19" width="54.42578125" customWidth="1"/>
    <col min="21" max="21" width="75.28515625" customWidth="1"/>
    <col min="23" max="23" width="40.28515625" customWidth="1"/>
  </cols>
  <sheetData>
    <row r="1" spans="1:26">
      <c r="A1" t="s">
        <v>184</v>
      </c>
      <c r="C1" s="34" t="s">
        <v>185</v>
      </c>
      <c r="D1" s="34"/>
      <c r="E1" s="34" t="s">
        <v>186</v>
      </c>
      <c r="F1" s="34"/>
      <c r="G1" s="34" t="s">
        <v>187</v>
      </c>
      <c r="H1" s="34"/>
      <c r="I1" s="34" t="s">
        <v>188</v>
      </c>
      <c r="J1" s="34"/>
      <c r="K1" s="34" t="s">
        <v>189</v>
      </c>
      <c r="L1" s="34"/>
      <c r="M1" s="34" t="s">
        <v>190</v>
      </c>
      <c r="N1" s="34"/>
      <c r="O1" s="34" t="s">
        <v>191</v>
      </c>
      <c r="P1" s="34"/>
      <c r="Q1" s="34" t="s">
        <v>192</v>
      </c>
      <c r="R1" s="34"/>
      <c r="S1" s="34" t="s">
        <v>193</v>
      </c>
      <c r="T1" s="34"/>
      <c r="U1" s="34" t="s">
        <v>194</v>
      </c>
      <c r="V1" s="34"/>
      <c r="W1" t="s">
        <v>195</v>
      </c>
    </row>
    <row r="2" spans="1:26">
      <c r="A2" t="s">
        <v>196</v>
      </c>
      <c r="E2" t="s">
        <v>197</v>
      </c>
      <c r="F2" s="35"/>
      <c r="G2" t="s">
        <v>198</v>
      </c>
      <c r="H2" s="35"/>
      <c r="I2" t="s">
        <v>199</v>
      </c>
      <c r="J2" s="35"/>
      <c r="K2" t="s">
        <v>200</v>
      </c>
      <c r="L2" s="35"/>
      <c r="M2" t="s">
        <v>201</v>
      </c>
      <c r="N2" s="35"/>
      <c r="O2" t="s">
        <v>202</v>
      </c>
      <c r="P2" s="35"/>
      <c r="Q2" t="s">
        <v>203</v>
      </c>
      <c r="R2" s="35"/>
      <c r="S2" t="s">
        <v>204</v>
      </c>
      <c r="T2" s="35"/>
      <c r="U2" t="s">
        <v>205</v>
      </c>
      <c r="V2" s="35"/>
      <c r="W2" t="s">
        <v>206</v>
      </c>
    </row>
    <row r="3" spans="1:26">
      <c r="A3" t="s">
        <v>207</v>
      </c>
      <c r="C3" s="34" t="s">
        <v>208</v>
      </c>
      <c r="D3" s="34"/>
      <c r="E3" s="34" t="s">
        <v>209</v>
      </c>
      <c r="F3" s="34"/>
      <c r="G3" s="34" t="s">
        <v>210</v>
      </c>
      <c r="H3" s="34"/>
      <c r="I3" s="34" t="s">
        <v>211</v>
      </c>
      <c r="J3" s="34"/>
      <c r="K3" s="34" t="s">
        <v>212</v>
      </c>
      <c r="L3" s="34"/>
      <c r="M3" s="34" t="s">
        <v>213</v>
      </c>
      <c r="N3" s="34"/>
      <c r="O3" s="34" t="s">
        <v>214</v>
      </c>
      <c r="P3" s="34"/>
      <c r="Q3" s="34" t="s">
        <v>215</v>
      </c>
      <c r="R3" s="34"/>
      <c r="S3" s="34" t="s">
        <v>216</v>
      </c>
      <c r="T3" s="34"/>
      <c r="U3" s="34" t="s">
        <v>217</v>
      </c>
      <c r="V3" s="34"/>
      <c r="W3" t="s">
        <v>218</v>
      </c>
    </row>
    <row r="4" spans="1:26">
      <c r="A4" t="s">
        <v>219</v>
      </c>
      <c r="C4" s="34" t="s">
        <v>220</v>
      </c>
      <c r="D4" s="34"/>
      <c r="E4" s="34">
        <v>2015</v>
      </c>
      <c r="F4" s="34"/>
      <c r="G4" s="34" t="s">
        <v>220</v>
      </c>
      <c r="H4" s="34"/>
      <c r="I4" s="34" t="s">
        <v>220</v>
      </c>
      <c r="J4" s="34"/>
      <c r="K4" s="34">
        <v>2015</v>
      </c>
      <c r="L4" s="34"/>
      <c r="M4" s="34" t="s">
        <v>220</v>
      </c>
      <c r="N4" s="34"/>
      <c r="O4" s="34" t="s">
        <v>220</v>
      </c>
      <c r="P4" s="34"/>
      <c r="Q4" s="34">
        <v>2015</v>
      </c>
      <c r="R4" s="34"/>
      <c r="S4" s="34" t="s">
        <v>220</v>
      </c>
      <c r="T4" s="34"/>
      <c r="U4" s="34" t="s">
        <v>220</v>
      </c>
      <c r="V4" s="34"/>
      <c r="W4" t="s">
        <v>220</v>
      </c>
    </row>
    <row r="5" spans="1:26">
      <c r="A5" t="s">
        <v>221</v>
      </c>
      <c r="I5" s="34" t="s">
        <v>222</v>
      </c>
      <c r="J5" s="34"/>
      <c r="K5" t="s">
        <v>223</v>
      </c>
      <c r="L5" s="35"/>
      <c r="Q5" s="34" t="s">
        <v>224</v>
      </c>
      <c r="R5" s="34"/>
    </row>
    <row r="6" spans="1:26">
      <c r="A6" t="s">
        <v>225</v>
      </c>
      <c r="C6" s="34">
        <v>356</v>
      </c>
      <c r="D6" s="34"/>
      <c r="E6" s="34">
        <v>44627</v>
      </c>
      <c r="F6" s="34"/>
      <c r="G6" s="34">
        <v>200</v>
      </c>
      <c r="H6" s="34"/>
      <c r="I6" s="34">
        <v>1400</v>
      </c>
      <c r="J6" s="34"/>
      <c r="K6" s="34">
        <v>111</v>
      </c>
      <c r="L6" s="34"/>
      <c r="M6" s="34">
        <v>148</v>
      </c>
      <c r="N6" s="34"/>
      <c r="O6" s="34">
        <v>54</v>
      </c>
      <c r="P6" s="34"/>
      <c r="Q6" s="34">
        <v>3734</v>
      </c>
      <c r="R6" s="34"/>
      <c r="S6" s="34">
        <v>110</v>
      </c>
      <c r="T6" s="34"/>
      <c r="U6" s="34">
        <v>155</v>
      </c>
      <c r="V6" s="34"/>
      <c r="W6">
        <v>2490</v>
      </c>
    </row>
    <row r="7" spans="1:26">
      <c r="A7" t="s">
        <v>226</v>
      </c>
      <c r="C7" s="34" t="s">
        <v>227</v>
      </c>
      <c r="D7" s="34"/>
      <c r="E7" s="34" t="s">
        <v>227</v>
      </c>
      <c r="F7" s="34"/>
      <c r="G7" s="34" t="s">
        <v>228</v>
      </c>
      <c r="H7" s="34"/>
      <c r="I7" s="34" t="s">
        <v>227</v>
      </c>
      <c r="J7" s="34"/>
      <c r="K7" s="34" t="s">
        <v>227</v>
      </c>
      <c r="L7" s="34"/>
      <c r="M7" s="34" t="s">
        <v>227</v>
      </c>
      <c r="N7" s="34"/>
      <c r="O7" s="34" t="s">
        <v>229</v>
      </c>
      <c r="P7" s="34"/>
      <c r="Q7" s="34" t="s">
        <v>230</v>
      </c>
      <c r="R7" s="34"/>
      <c r="S7" s="34" t="s">
        <v>227</v>
      </c>
      <c r="T7" s="34"/>
      <c r="U7" s="34" t="s">
        <v>229</v>
      </c>
      <c r="V7" s="34"/>
      <c r="W7" t="s">
        <v>231</v>
      </c>
    </row>
    <row r="8" spans="1:26">
      <c r="A8" t="s">
        <v>232</v>
      </c>
      <c r="C8" s="34" t="s">
        <v>233</v>
      </c>
      <c r="D8" s="34"/>
      <c r="E8" s="34" t="s">
        <v>234</v>
      </c>
      <c r="F8" s="34"/>
      <c r="G8" s="34" t="s">
        <v>235</v>
      </c>
      <c r="H8" s="34"/>
      <c r="I8" s="34" t="s">
        <v>236</v>
      </c>
      <c r="J8" s="34"/>
      <c r="M8" s="34" t="s">
        <v>237</v>
      </c>
      <c r="N8" s="34"/>
      <c r="O8" s="34" t="s">
        <v>238</v>
      </c>
      <c r="P8" s="34"/>
      <c r="Q8" s="34" t="s">
        <v>239</v>
      </c>
      <c r="R8" s="34"/>
      <c r="U8" s="34"/>
      <c r="V8" s="34"/>
      <c r="W8" t="s">
        <v>240</v>
      </c>
    </row>
    <row r="9" spans="1:26">
      <c r="A9" t="s">
        <v>241</v>
      </c>
      <c r="C9" s="34" t="s">
        <v>242</v>
      </c>
      <c r="D9" s="34"/>
      <c r="E9" s="34" t="s">
        <v>243</v>
      </c>
      <c r="F9" s="34"/>
      <c r="G9" s="34" t="s">
        <v>244</v>
      </c>
      <c r="H9" s="34"/>
      <c r="I9" s="34" t="s">
        <v>245</v>
      </c>
      <c r="J9" s="34"/>
      <c r="K9" s="34" t="s">
        <v>246</v>
      </c>
      <c r="L9" s="34"/>
      <c r="M9" s="34" t="s">
        <v>247</v>
      </c>
      <c r="N9" s="34"/>
      <c r="O9" s="34" t="s">
        <v>248</v>
      </c>
      <c r="P9" s="34"/>
      <c r="Q9" s="34" t="s">
        <v>249</v>
      </c>
      <c r="R9" s="34"/>
      <c r="U9" s="34" t="s">
        <v>250</v>
      </c>
      <c r="W9" t="s">
        <v>251</v>
      </c>
    </row>
    <row r="10" spans="1:26">
      <c r="A10" t="s">
        <v>252</v>
      </c>
      <c r="C10" s="34" t="s">
        <v>253</v>
      </c>
      <c r="D10" s="34"/>
      <c r="G10" s="34" t="s">
        <v>254</v>
      </c>
      <c r="H10" s="34"/>
      <c r="I10" s="34" t="s">
        <v>255</v>
      </c>
      <c r="J10" s="34"/>
      <c r="K10" s="34" t="s">
        <v>256</v>
      </c>
      <c r="L10" s="34"/>
      <c r="M10" s="34" t="s">
        <v>257</v>
      </c>
      <c r="N10" s="34"/>
      <c r="O10" s="34" t="s">
        <v>254</v>
      </c>
      <c r="P10" s="34"/>
      <c r="Q10" s="34" t="s">
        <v>258</v>
      </c>
      <c r="R10" s="34"/>
      <c r="S10" s="34" t="s">
        <v>259</v>
      </c>
      <c r="T10" s="34"/>
      <c r="U10" s="34" t="s">
        <v>259</v>
      </c>
      <c r="V10" s="34"/>
      <c r="W10" t="s">
        <v>260</v>
      </c>
    </row>
    <row r="11" spans="1:26">
      <c r="A11" t="s">
        <v>261</v>
      </c>
      <c r="C11" s="34" t="s">
        <v>262</v>
      </c>
      <c r="D11" s="34"/>
      <c r="E11" s="34" t="s">
        <v>263</v>
      </c>
      <c r="F11" s="34"/>
      <c r="G11" s="34" t="s">
        <v>264</v>
      </c>
      <c r="H11" s="34"/>
      <c r="I11" s="34" t="s">
        <v>262</v>
      </c>
      <c r="J11" s="34"/>
      <c r="K11" s="34" t="s">
        <v>262</v>
      </c>
      <c r="L11" s="34"/>
      <c r="M11" s="34" t="s">
        <v>264</v>
      </c>
      <c r="N11" s="34"/>
      <c r="O11" s="34" t="s">
        <v>262</v>
      </c>
      <c r="P11" s="34"/>
      <c r="Q11" s="34" t="s">
        <v>263</v>
      </c>
      <c r="R11" s="34"/>
      <c r="S11" s="34" t="s">
        <v>262</v>
      </c>
      <c r="T11" s="34"/>
      <c r="U11" s="34" t="s">
        <v>262</v>
      </c>
      <c r="V11" s="34"/>
      <c r="W11" t="s">
        <v>264</v>
      </c>
    </row>
    <row r="12" spans="1:26">
      <c r="A12" t="s">
        <v>265</v>
      </c>
      <c r="C12" s="34" t="s">
        <v>266</v>
      </c>
      <c r="D12" s="34"/>
      <c r="E12" s="34" t="s">
        <v>267</v>
      </c>
      <c r="F12" s="34"/>
      <c r="G12" s="34" t="s">
        <v>268</v>
      </c>
      <c r="H12" s="34"/>
      <c r="I12" s="34" t="s">
        <v>267</v>
      </c>
      <c r="J12" s="34"/>
      <c r="K12" s="34" t="s">
        <v>268</v>
      </c>
      <c r="L12" s="34"/>
      <c r="M12" s="34" t="s">
        <v>269</v>
      </c>
      <c r="N12" s="34"/>
      <c r="O12" s="34" t="s">
        <v>267</v>
      </c>
      <c r="P12" s="34"/>
      <c r="Q12" s="34" t="s">
        <v>270</v>
      </c>
      <c r="R12" s="34"/>
      <c r="S12" s="34" t="s">
        <v>271</v>
      </c>
      <c r="T12" s="34"/>
      <c r="U12" s="34" t="s">
        <v>272</v>
      </c>
      <c r="V12" s="34"/>
      <c r="W12" t="s">
        <v>273</v>
      </c>
    </row>
    <row r="13" spans="1:26">
      <c r="A13" t="s">
        <v>274</v>
      </c>
      <c r="C13" s="34" t="s">
        <v>275</v>
      </c>
      <c r="D13" s="34"/>
      <c r="E13" s="34" t="s">
        <v>276</v>
      </c>
      <c r="F13" s="34"/>
      <c r="G13" s="34" t="s">
        <v>277</v>
      </c>
      <c r="H13" s="34"/>
      <c r="I13" s="34" t="s">
        <v>278</v>
      </c>
      <c r="J13" s="34"/>
      <c r="M13" s="34" t="s">
        <v>279</v>
      </c>
      <c r="N13" s="34"/>
      <c r="Q13" s="34" t="s">
        <v>280</v>
      </c>
      <c r="R13" s="34"/>
      <c r="U13" s="34" t="s">
        <v>281</v>
      </c>
      <c r="V13" s="34"/>
      <c r="W13" t="s">
        <v>282</v>
      </c>
      <c r="X13" s="31"/>
      <c r="Y13" s="31"/>
      <c r="Z13" s="31"/>
    </row>
    <row r="14" spans="1:26">
      <c r="A14" t="s">
        <v>283</v>
      </c>
      <c r="B14" s="3" t="s">
        <v>354</v>
      </c>
      <c r="C14" s="34" t="s">
        <v>284</v>
      </c>
      <c r="D14" s="3" t="s">
        <v>353</v>
      </c>
      <c r="E14" s="34" t="s">
        <v>285</v>
      </c>
      <c r="F14" s="3" t="s">
        <v>353</v>
      </c>
      <c r="G14" s="34" t="s">
        <v>286</v>
      </c>
      <c r="H14" s="3" t="s">
        <v>353</v>
      </c>
      <c r="I14" s="34" t="s">
        <v>287</v>
      </c>
      <c r="J14" s="3" t="s">
        <v>353</v>
      </c>
      <c r="K14" s="34" t="s">
        <v>288</v>
      </c>
      <c r="L14" s="3" t="s">
        <v>353</v>
      </c>
      <c r="M14" s="34" t="s">
        <v>284</v>
      </c>
      <c r="N14" s="3" t="s">
        <v>353</v>
      </c>
      <c r="O14" s="34" t="s">
        <v>289</v>
      </c>
      <c r="P14" s="3" t="s">
        <v>353</v>
      </c>
      <c r="Q14" s="34" t="s">
        <v>290</v>
      </c>
      <c r="R14" s="3" t="s">
        <v>353</v>
      </c>
      <c r="S14" s="34" t="s">
        <v>291</v>
      </c>
      <c r="T14" s="3" t="s">
        <v>353</v>
      </c>
      <c r="U14" s="34" t="s">
        <v>292</v>
      </c>
      <c r="V14" s="3" t="s">
        <v>353</v>
      </c>
      <c r="W14" t="s">
        <v>293</v>
      </c>
      <c r="X14" s="3" t="s">
        <v>353</v>
      </c>
      <c r="Y14" s="34"/>
      <c r="Z14" s="34"/>
    </row>
    <row r="15" spans="1:26">
      <c r="A15" t="s">
        <v>294</v>
      </c>
      <c r="B15" s="32">
        <f>(D15+F15+H15+J15+L15+N15+P15+R15+T15+V15+X15)/11</f>
        <v>3.9337416545295933E-2</v>
      </c>
      <c r="C15" s="34">
        <v>27</v>
      </c>
      <c r="D15" s="38">
        <f>C15/C$47</f>
        <v>5.697404515720616E-3</v>
      </c>
      <c r="E15" s="34">
        <v>173883</v>
      </c>
      <c r="F15" s="38">
        <f>E15/E$47</f>
        <v>7.8967015899399168E-2</v>
      </c>
      <c r="G15" s="34">
        <v>9</v>
      </c>
      <c r="H15" s="38">
        <f>G15/G$47</f>
        <v>4.8806941431670282E-3</v>
      </c>
      <c r="I15" s="34">
        <v>780</v>
      </c>
      <c r="J15" s="38">
        <f>I15/I$47</f>
        <v>6.6683765067966139E-2</v>
      </c>
      <c r="K15" s="34">
        <v>50</v>
      </c>
      <c r="L15" s="38">
        <f>K15/K$47</f>
        <v>5.959475566150179E-2</v>
      </c>
      <c r="M15" s="34">
        <v>17</v>
      </c>
      <c r="N15" s="38">
        <f>M15/M$47</f>
        <v>1.486013986013986E-2</v>
      </c>
      <c r="O15" s="34">
        <v>371</v>
      </c>
      <c r="P15" s="38">
        <f>O15/O$47</f>
        <v>3.2384776536312852E-2</v>
      </c>
      <c r="Q15" s="34">
        <v>7506</v>
      </c>
      <c r="R15" s="38">
        <f>Q15/Q$47</f>
        <v>0.1251333688983729</v>
      </c>
      <c r="S15" s="34">
        <v>154</v>
      </c>
      <c r="T15" s="38">
        <f>S15/S$47</f>
        <v>2.2331786542923435E-2</v>
      </c>
      <c r="U15" s="34">
        <v>13</v>
      </c>
      <c r="V15" s="38">
        <f>U15/U$47</f>
        <v>8.4911822338340961E-3</v>
      </c>
      <c r="W15">
        <v>267</v>
      </c>
      <c r="X15" s="38">
        <f>W15/W$47</f>
        <v>1.3686692638917367E-2</v>
      </c>
    </row>
    <row r="16" spans="1:26">
      <c r="A16" t="s">
        <v>295</v>
      </c>
      <c r="B16" s="32">
        <f t="shared" ref="B16:B46" si="0">(D16+F16+H16+J16+L16+N16+P16+R16+T16+V16+X16)/11</f>
        <v>2.145887384511991E-4</v>
      </c>
      <c r="C16" s="34">
        <v>0</v>
      </c>
      <c r="D16" s="38">
        <f t="shared" ref="D16:F46" si="1">C16/C$47</f>
        <v>0</v>
      </c>
      <c r="E16" s="34">
        <v>1993</v>
      </c>
      <c r="F16" s="38">
        <f t="shared" si="1"/>
        <v>9.0509861623909503E-4</v>
      </c>
      <c r="G16" s="34">
        <v>0</v>
      </c>
      <c r="H16" s="38">
        <f t="shared" ref="H16" si="2">G16/G$47</f>
        <v>0</v>
      </c>
      <c r="I16" s="34">
        <v>0</v>
      </c>
      <c r="J16" s="38">
        <f t="shared" ref="J16" si="3">I16/I$47</f>
        <v>0</v>
      </c>
      <c r="K16" s="34">
        <v>0</v>
      </c>
      <c r="L16" s="38">
        <f t="shared" ref="L16" si="4">K16/K$47</f>
        <v>0</v>
      </c>
      <c r="M16" s="34">
        <v>0</v>
      </c>
      <c r="N16" s="38">
        <f t="shared" ref="N16" si="5">M16/M$47</f>
        <v>0</v>
      </c>
      <c r="O16" s="34">
        <v>0</v>
      </c>
      <c r="P16" s="38">
        <f t="shared" ref="P16" si="6">O16/O$47</f>
        <v>0</v>
      </c>
      <c r="Q16" s="34">
        <v>75</v>
      </c>
      <c r="R16" s="38">
        <f t="shared" ref="R16" si="7">Q16/Q$47</f>
        <v>1.2503334222459322E-3</v>
      </c>
      <c r="T16" s="38">
        <f t="shared" ref="T16" si="8">S16/S$47</f>
        <v>0</v>
      </c>
      <c r="V16" s="38">
        <f t="shared" ref="V16" si="9">U16/U$47</f>
        <v>0</v>
      </c>
      <c r="W16">
        <v>4</v>
      </c>
      <c r="X16" s="38">
        <f t="shared" ref="X16" si="10">W16/W$47</f>
        <v>2.0504408447816281E-4</v>
      </c>
    </row>
    <row r="17" spans="1:24">
      <c r="A17" t="s">
        <v>296</v>
      </c>
      <c r="B17" s="32">
        <f t="shared" si="0"/>
        <v>8.0079122167949109E-3</v>
      </c>
      <c r="C17" s="34">
        <v>22</v>
      </c>
      <c r="D17" s="38">
        <f t="shared" si="1"/>
        <v>4.6423296054019835E-3</v>
      </c>
      <c r="E17" s="34">
        <v>7673</v>
      </c>
      <c r="F17" s="38">
        <f t="shared" si="1"/>
        <v>3.4846069655808209E-3</v>
      </c>
      <c r="G17" s="34">
        <v>2</v>
      </c>
      <c r="H17" s="38">
        <f t="shared" ref="H17" si="11">G17/G$47</f>
        <v>1.0845986984815619E-3</v>
      </c>
      <c r="I17" s="34">
        <v>14</v>
      </c>
      <c r="J17" s="38">
        <f t="shared" ref="J17" si="12">I17/I$47</f>
        <v>1.1968880909634949E-3</v>
      </c>
      <c r="K17" s="34">
        <v>6</v>
      </c>
      <c r="L17" s="38">
        <f t="shared" ref="L17" si="13">K17/K$47</f>
        <v>7.1513706793802142E-3</v>
      </c>
      <c r="M17" s="34">
        <v>1</v>
      </c>
      <c r="N17" s="38">
        <f t="shared" ref="N17" si="14">M17/M$47</f>
        <v>8.7412587412587413E-4</v>
      </c>
      <c r="O17" s="34">
        <v>1</v>
      </c>
      <c r="P17" s="38">
        <f t="shared" ref="P17" si="15">O17/O$47</f>
        <v>8.7290502793296092E-5</v>
      </c>
      <c r="Q17" s="34">
        <v>196</v>
      </c>
      <c r="R17" s="38">
        <f t="shared" ref="R17" si="16">Q17/Q$47</f>
        <v>3.2675380101360361E-3</v>
      </c>
      <c r="S17" s="34">
        <v>8</v>
      </c>
      <c r="T17" s="38">
        <f t="shared" ref="T17" si="17">S17/S$47</f>
        <v>1.1600928074245939E-3</v>
      </c>
      <c r="U17" s="34">
        <v>98</v>
      </c>
      <c r="V17" s="38">
        <f t="shared" ref="V17" si="18">U17/U$47</f>
        <v>6.4010450685826253E-2</v>
      </c>
      <c r="W17">
        <v>22</v>
      </c>
      <c r="X17" s="38">
        <f t="shared" ref="X17" si="19">W17/W$47</f>
        <v>1.1277424646298955E-3</v>
      </c>
    </row>
    <row r="18" spans="1:24">
      <c r="A18" t="s">
        <v>297</v>
      </c>
      <c r="B18" s="32">
        <f t="shared" si="0"/>
        <v>6.1078507539355002E-2</v>
      </c>
      <c r="C18" s="34">
        <v>21</v>
      </c>
      <c r="D18" s="38">
        <f t="shared" si="1"/>
        <v>4.4313146233382573E-3</v>
      </c>
      <c r="E18" s="34">
        <v>30</v>
      </c>
      <c r="F18" s="38">
        <f t="shared" si="1"/>
        <v>1.3624163816945735E-5</v>
      </c>
      <c r="G18" s="34">
        <v>124</v>
      </c>
      <c r="H18" s="38">
        <f t="shared" ref="H18" si="20">G18/G$47</f>
        <v>6.7245119305856832E-2</v>
      </c>
      <c r="I18" s="34">
        <v>400</v>
      </c>
      <c r="J18" s="38">
        <f t="shared" ref="J18" si="21">I18/I$47</f>
        <v>3.4196802598957E-2</v>
      </c>
      <c r="K18" s="34">
        <v>70</v>
      </c>
      <c r="L18" s="38">
        <f t="shared" ref="L18" si="22">K18/K$47</f>
        <v>8.3432657926102508E-2</v>
      </c>
      <c r="N18" s="38">
        <f t="shared" ref="N18" si="23">M18/M$47</f>
        <v>0</v>
      </c>
      <c r="O18" s="34">
        <f>176+64+131</f>
        <v>371</v>
      </c>
      <c r="P18" s="38">
        <f t="shared" ref="P18" si="24">O18/O$47</f>
        <v>3.2384776536312852E-2</v>
      </c>
      <c r="Q18" s="34">
        <v>3196</v>
      </c>
      <c r="R18" s="38">
        <f t="shared" ref="R18" si="25">Q18/Q$47</f>
        <v>5.3280874899973324E-2</v>
      </c>
      <c r="S18" s="34">
        <v>102</v>
      </c>
      <c r="T18" s="38">
        <f t="shared" ref="T18" si="26">S18/S$47</f>
        <v>1.4791183294663572E-2</v>
      </c>
      <c r="U18" s="34">
        <f>219+30</f>
        <v>249</v>
      </c>
      <c r="V18" s="38">
        <f t="shared" ref="V18" si="27">U18/U$47</f>
        <v>0.16263879817112997</v>
      </c>
      <c r="W18">
        <v>4281</v>
      </c>
      <c r="X18" s="38">
        <f t="shared" ref="X18" si="28">W18/W$47</f>
        <v>0.21944843141275375</v>
      </c>
    </row>
    <row r="19" spans="1:24">
      <c r="A19" t="s">
        <v>298</v>
      </c>
      <c r="B19" s="32">
        <f t="shared" si="0"/>
        <v>3.1476525477702272E-2</v>
      </c>
      <c r="C19" s="34">
        <v>20</v>
      </c>
      <c r="D19" s="38">
        <f t="shared" si="1"/>
        <v>4.2202996412745303E-3</v>
      </c>
      <c r="E19" s="34">
        <v>2973</v>
      </c>
      <c r="F19" s="38">
        <f t="shared" si="1"/>
        <v>1.3501546342593223E-3</v>
      </c>
      <c r="G19" s="34">
        <v>76</v>
      </c>
      <c r="H19" s="38">
        <f t="shared" ref="H19" si="29">G19/G$47</f>
        <v>4.1214750542299353E-2</v>
      </c>
      <c r="I19" s="34">
        <v>780</v>
      </c>
      <c r="J19" s="38">
        <f t="shared" ref="J19" si="30">I19/I$47</f>
        <v>6.6683765067966139E-2</v>
      </c>
      <c r="K19" s="34">
        <v>1</v>
      </c>
      <c r="L19" s="38">
        <f t="shared" ref="L19" si="31">K19/K$47</f>
        <v>1.1918951132300357E-3</v>
      </c>
      <c r="M19" s="34">
        <v>111</v>
      </c>
      <c r="N19" s="38">
        <f t="shared" ref="N19" si="32">M19/M$47</f>
        <v>9.7027972027972031E-2</v>
      </c>
      <c r="O19" s="34">
        <f>9+57+9</f>
        <v>75</v>
      </c>
      <c r="P19" s="38">
        <f t="shared" ref="P19" si="33">O19/O$47</f>
        <v>6.5467877094972067E-3</v>
      </c>
      <c r="Q19" s="34">
        <v>558</v>
      </c>
      <c r="R19" s="38">
        <f t="shared" ref="R19" si="34">Q19/Q$47</f>
        <v>9.302480661509736E-3</v>
      </c>
      <c r="S19" s="34">
        <v>110</v>
      </c>
      <c r="T19" s="38">
        <f t="shared" ref="T19" si="35">S19/S$47</f>
        <v>1.5951276102088168E-2</v>
      </c>
      <c r="U19" s="34">
        <v>157</v>
      </c>
      <c r="V19" s="38">
        <f t="shared" ref="V19" si="36">U19/U$47</f>
        <v>0.10254735467015023</v>
      </c>
      <c r="W19">
        <v>4</v>
      </c>
      <c r="X19" s="38">
        <f t="shared" ref="X19" si="37">W19/W$47</f>
        <v>2.0504408447816281E-4</v>
      </c>
    </row>
    <row r="20" spans="1:24">
      <c r="A20" t="s">
        <v>299</v>
      </c>
      <c r="B20" s="32">
        <f t="shared" si="0"/>
        <v>0.23546853473931445</v>
      </c>
      <c r="C20" s="34">
        <v>1023</v>
      </c>
      <c r="D20" s="38">
        <f t="shared" si="1"/>
        <v>0.21586832665119224</v>
      </c>
      <c r="E20" s="36">
        <v>1903322</v>
      </c>
      <c r="F20" s="38">
        <f t="shared" si="1"/>
        <v>0.86437235747989305</v>
      </c>
      <c r="G20" s="34">
        <v>681</v>
      </c>
      <c r="H20" s="38">
        <f t="shared" ref="H20" si="38">G20/G$47</f>
        <v>0.36930585683297179</v>
      </c>
      <c r="I20" s="34">
        <v>1040</v>
      </c>
      <c r="J20" s="38">
        <f t="shared" ref="J20" si="39">I20/I$47</f>
        <v>8.8911686757288194E-2</v>
      </c>
      <c r="K20" s="34">
        <f>145+80</f>
        <v>225</v>
      </c>
      <c r="L20" s="38">
        <f t="shared" ref="L20" si="40">K20/K$47</f>
        <v>0.26817640047675806</v>
      </c>
      <c r="M20" s="34">
        <v>47</v>
      </c>
      <c r="N20" s="38">
        <f t="shared" ref="N20" si="41">M20/M$47</f>
        <v>4.1083916083916081E-2</v>
      </c>
      <c r="O20" s="34">
        <v>2012</v>
      </c>
      <c r="P20" s="38">
        <f t="shared" ref="P20" si="42">O20/O$47</f>
        <v>0.17562849162011174</v>
      </c>
      <c r="Q20" s="34">
        <v>13846</v>
      </c>
      <c r="R20" s="38">
        <f t="shared" ref="R20" si="43">Q20/Q$47</f>
        <v>0.23082822085889571</v>
      </c>
      <c r="S20" s="34">
        <v>1080</v>
      </c>
      <c r="T20" s="38">
        <f t="shared" ref="T20" si="44">S20/S$47</f>
        <v>0.15661252900232017</v>
      </c>
      <c r="U20" s="34">
        <v>147</v>
      </c>
      <c r="V20" s="38">
        <f t="shared" ref="V20" si="45">U20/U$47</f>
        <v>9.601567602873938E-2</v>
      </c>
      <c r="W20">
        <v>1626</v>
      </c>
      <c r="X20" s="38">
        <f t="shared" ref="X20" si="46">W20/W$47</f>
        <v>8.3350420340373182E-2</v>
      </c>
    </row>
    <row r="21" spans="1:24">
      <c r="A21" t="s">
        <v>300</v>
      </c>
      <c r="B21" s="32">
        <f t="shared" si="0"/>
        <v>4.5350186580296421E-3</v>
      </c>
      <c r="C21" s="34">
        <v>76</v>
      </c>
      <c r="D21" s="38">
        <f t="shared" si="1"/>
        <v>1.6037138636843216E-2</v>
      </c>
      <c r="F21" s="38">
        <f t="shared" si="1"/>
        <v>0</v>
      </c>
      <c r="G21" s="34">
        <v>19</v>
      </c>
      <c r="H21" s="38">
        <f t="shared" ref="H21" si="47">G21/G$47</f>
        <v>1.0303687635574838E-2</v>
      </c>
      <c r="I21" s="34">
        <v>15</v>
      </c>
      <c r="J21" s="38">
        <f t="shared" ref="J21" si="48">I21/I$47</f>
        <v>1.2823800974608873E-3</v>
      </c>
      <c r="K21" s="34">
        <v>0</v>
      </c>
      <c r="L21" s="38">
        <f t="shared" ref="L21" si="49">K21/K$47</f>
        <v>0</v>
      </c>
      <c r="M21" s="34">
        <v>2</v>
      </c>
      <c r="N21" s="38">
        <f t="shared" ref="N21" si="50">M21/M$47</f>
        <v>1.7482517482517483E-3</v>
      </c>
      <c r="O21" s="34">
        <v>0</v>
      </c>
      <c r="P21" s="38">
        <f t="shared" ref="P21" si="51">O21/O$47</f>
        <v>0</v>
      </c>
      <c r="Q21" s="34">
        <v>6</v>
      </c>
      <c r="R21" s="38">
        <f t="shared" ref="R21" si="52">Q21/Q$47</f>
        <v>1.0002667377967459E-4</v>
      </c>
      <c r="S21" s="34">
        <v>98</v>
      </c>
      <c r="T21" s="38">
        <f t="shared" ref="T21" si="53">S21/S$47</f>
        <v>1.4211136890951276E-2</v>
      </c>
      <c r="U21" s="34"/>
      <c r="V21" s="38">
        <f t="shared" ref="V21" si="54">U21/U$47</f>
        <v>0</v>
      </c>
      <c r="W21">
        <v>121</v>
      </c>
      <c r="X21" s="38">
        <f t="shared" ref="X21" si="55">W21/W$47</f>
        <v>6.2025835554644247E-3</v>
      </c>
    </row>
    <row r="22" spans="1:24">
      <c r="A22" t="s">
        <v>301</v>
      </c>
      <c r="B22" s="32">
        <f t="shared" si="0"/>
        <v>2.4771672752547692E-2</v>
      </c>
      <c r="C22" s="34">
        <v>56</v>
      </c>
      <c r="D22" s="38">
        <f t="shared" si="1"/>
        <v>1.1816838995568686E-2</v>
      </c>
      <c r="E22" s="34">
        <v>100</v>
      </c>
      <c r="F22" s="38">
        <f t="shared" si="1"/>
        <v>4.5413879389819116E-5</v>
      </c>
      <c r="G22" s="34">
        <v>6</v>
      </c>
      <c r="H22" s="38">
        <f t="shared" ref="H22" si="56">G22/G$47</f>
        <v>3.2537960954446853E-3</v>
      </c>
      <c r="I22" s="34">
        <v>530</v>
      </c>
      <c r="J22" s="38">
        <f t="shared" ref="J22" si="57">I22/I$47</f>
        <v>4.5310763443618021E-2</v>
      </c>
      <c r="K22" s="34">
        <v>104</v>
      </c>
      <c r="L22" s="38">
        <f t="shared" ref="L22" si="58">K22/K$47</f>
        <v>0.12395709177592372</v>
      </c>
      <c r="M22" s="34">
        <v>5</v>
      </c>
      <c r="N22" s="38">
        <f t="shared" ref="N22" si="59">M22/M$47</f>
        <v>4.370629370629371E-3</v>
      </c>
      <c r="O22" s="34">
        <v>0</v>
      </c>
      <c r="P22" s="38">
        <f t="shared" ref="P22" si="60">O22/O$47</f>
        <v>0</v>
      </c>
      <c r="Q22" s="34">
        <v>3250</v>
      </c>
      <c r="R22" s="38">
        <f t="shared" ref="R22" si="61">Q22/Q$47</f>
        <v>5.4181114963990397E-2</v>
      </c>
      <c r="S22" s="34">
        <v>184</v>
      </c>
      <c r="T22" s="38">
        <f t="shared" ref="T22" si="62">S22/S$47</f>
        <v>2.668213457076566E-2</v>
      </c>
      <c r="U22" s="34"/>
      <c r="V22" s="38">
        <f t="shared" ref="V22" si="63">U22/U$47</f>
        <v>0</v>
      </c>
      <c r="W22">
        <v>56</v>
      </c>
      <c r="X22" s="38">
        <f t="shared" ref="X22" si="64">W22/W$47</f>
        <v>2.8706171826942792E-3</v>
      </c>
    </row>
    <row r="23" spans="1:24">
      <c r="A23" t="s">
        <v>302</v>
      </c>
      <c r="B23" s="32">
        <f t="shared" si="0"/>
        <v>3.3101175619379662E-2</v>
      </c>
      <c r="C23" s="34">
        <v>33</v>
      </c>
      <c r="D23" s="38">
        <f t="shared" si="1"/>
        <v>6.9634944081029757E-3</v>
      </c>
      <c r="E23" s="34">
        <v>8573</v>
      </c>
      <c r="F23" s="38">
        <f t="shared" si="1"/>
        <v>3.8933318800891928E-3</v>
      </c>
      <c r="G23" s="34">
        <v>22</v>
      </c>
      <c r="H23" s="38">
        <f t="shared" ref="H23" si="65">G23/G$47</f>
        <v>1.193058568329718E-2</v>
      </c>
      <c r="I23" s="34">
        <v>130</v>
      </c>
      <c r="J23" s="38">
        <f t="shared" ref="J23" si="66">I23/I$47</f>
        <v>1.1113960844661024E-2</v>
      </c>
      <c r="K23" s="34">
        <v>20</v>
      </c>
      <c r="L23" s="38">
        <f t="shared" ref="L23" si="67">K23/K$47</f>
        <v>2.3837902264600714E-2</v>
      </c>
      <c r="M23" s="34">
        <v>29</v>
      </c>
      <c r="N23" s="38">
        <f t="shared" ref="N23" si="68">M23/M$47</f>
        <v>2.5349650349650348E-2</v>
      </c>
      <c r="O23" s="34">
        <v>175</v>
      </c>
      <c r="P23" s="38">
        <f t="shared" ref="P23" si="69">O23/O$47</f>
        <v>1.5275837988826816E-2</v>
      </c>
      <c r="Q23" s="34">
        <v>2946</v>
      </c>
      <c r="R23" s="38">
        <f t="shared" ref="R23" si="70">Q23/Q$47</f>
        <v>4.911309682582022E-2</v>
      </c>
      <c r="S23" s="34">
        <v>164</v>
      </c>
      <c r="T23" s="38">
        <f t="shared" ref="T23" si="71">S23/S$47</f>
        <v>2.3781902552204175E-2</v>
      </c>
      <c r="U23">
        <v>290</v>
      </c>
      <c r="V23" s="38">
        <f t="shared" ref="V23" si="72">U23/U$47</f>
        <v>0.18941868060091444</v>
      </c>
      <c r="W23">
        <v>67</v>
      </c>
      <c r="X23" s="38">
        <f t="shared" ref="X23" si="73">W23/W$47</f>
        <v>3.4344884150092269E-3</v>
      </c>
    </row>
    <row r="24" spans="1:24">
      <c r="A24" t="s">
        <v>303</v>
      </c>
      <c r="B24" s="32">
        <f t="shared" si="0"/>
        <v>4.5898506591226955E-2</v>
      </c>
      <c r="C24" s="34">
        <v>24</v>
      </c>
      <c r="D24" s="38">
        <f t="shared" si="1"/>
        <v>5.0643595695294367E-3</v>
      </c>
      <c r="F24" s="38">
        <f t="shared" si="1"/>
        <v>0</v>
      </c>
      <c r="G24" s="34">
        <v>7</v>
      </c>
      <c r="H24" s="38">
        <f t="shared" ref="H24" si="74">G24/G$47</f>
        <v>3.7960954446854662E-3</v>
      </c>
      <c r="I24" s="34">
        <v>1100</v>
      </c>
      <c r="J24" s="38">
        <f t="shared" ref="J24" si="75">I24/I$47</f>
        <v>9.4041207147131739E-2</v>
      </c>
      <c r="K24" s="34">
        <v>76</v>
      </c>
      <c r="L24" s="38">
        <f t="shared" ref="L24" si="76">K24/K$47</f>
        <v>9.0584028605482717E-2</v>
      </c>
      <c r="M24" s="34">
        <v>157</v>
      </c>
      <c r="N24" s="38">
        <f t="shared" ref="N24" si="77">M24/M$47</f>
        <v>0.13723776223776224</v>
      </c>
      <c r="O24" s="34">
        <v>3</v>
      </c>
      <c r="P24" s="38">
        <f t="shared" ref="P24" si="78">O24/O$47</f>
        <v>2.6187150837988826E-4</v>
      </c>
      <c r="Q24" s="34">
        <v>1684</v>
      </c>
      <c r="R24" s="38">
        <f t="shared" ref="R24" si="79">Q24/Q$47</f>
        <v>2.8074153107495333E-2</v>
      </c>
      <c r="S24" s="34">
        <v>100</v>
      </c>
      <c r="T24" s="38">
        <f t="shared" ref="T24" si="80">S24/S$47</f>
        <v>1.4501160092807424E-2</v>
      </c>
      <c r="U24" s="34">
        <f>67+77</f>
        <v>144</v>
      </c>
      <c r="V24" s="38">
        <f t="shared" ref="V24" si="81">U24/U$47</f>
        <v>9.4056172436316129E-2</v>
      </c>
      <c r="W24">
        <v>727</v>
      </c>
      <c r="X24" s="38">
        <f t="shared" ref="X24" si="82">W24/W$47</f>
        <v>3.7266762353906087E-2</v>
      </c>
    </row>
    <row r="25" spans="1:24">
      <c r="A25" t="s">
        <v>304</v>
      </c>
      <c r="B25" s="32">
        <f t="shared" si="0"/>
        <v>8.5861360434867418E-2</v>
      </c>
      <c r="C25" s="34">
        <v>418</v>
      </c>
      <c r="D25" s="38">
        <f t="shared" si="1"/>
        <v>8.8204262502637687E-2</v>
      </c>
      <c r="F25" s="38">
        <f t="shared" si="1"/>
        <v>0</v>
      </c>
      <c r="G25" s="34">
        <v>14</v>
      </c>
      <c r="H25" s="38">
        <f t="shared" ref="H25" si="83">G25/G$47</f>
        <v>7.5921908893709323E-3</v>
      </c>
      <c r="I25" s="34">
        <v>400</v>
      </c>
      <c r="J25" s="38">
        <f t="shared" ref="J25" si="84">I25/I$47</f>
        <v>3.4196802598957E-2</v>
      </c>
      <c r="K25" s="34">
        <v>0</v>
      </c>
      <c r="L25" s="38">
        <f t="shared" ref="L25" si="85">K25/K$47</f>
        <v>0</v>
      </c>
      <c r="M25" s="34">
        <v>99</v>
      </c>
      <c r="N25" s="38">
        <f t="shared" ref="N25" si="86">M25/M$47</f>
        <v>8.6538461538461536E-2</v>
      </c>
      <c r="O25" s="34">
        <f>67+353</f>
        <v>420</v>
      </c>
      <c r="P25" s="38">
        <f t="shared" ref="P25" si="87">O25/O$47</f>
        <v>3.6662011173184357E-2</v>
      </c>
      <c r="Q25" s="34">
        <v>9453</v>
      </c>
      <c r="R25" s="38">
        <f t="shared" ref="R25" si="88">Q25/Q$47</f>
        <v>0.15759202453987731</v>
      </c>
      <c r="S25" s="34">
        <v>1010</v>
      </c>
      <c r="T25" s="38">
        <f t="shared" ref="T25" si="89">S25/S$47</f>
        <v>0.14646171693735499</v>
      </c>
      <c r="U25" s="34">
        <v>27</v>
      </c>
      <c r="V25" s="38">
        <f t="shared" ref="V25" si="90">U25/U$47</f>
        <v>1.7635532331809273E-2</v>
      </c>
      <c r="W25">
        <v>7210</v>
      </c>
      <c r="X25" s="38">
        <f t="shared" ref="X25" si="91">W25/W$47</f>
        <v>0.36959196227188845</v>
      </c>
    </row>
    <row r="26" spans="1:24">
      <c r="A26" t="s">
        <v>305</v>
      </c>
      <c r="B26" s="32">
        <f t="shared" si="0"/>
        <v>3.9572447987347603E-2</v>
      </c>
      <c r="C26" s="34">
        <v>114</v>
      </c>
      <c r="D26" s="38">
        <f t="shared" si="1"/>
        <v>2.4055707955264825E-2</v>
      </c>
      <c r="F26" s="38">
        <f t="shared" si="1"/>
        <v>0</v>
      </c>
      <c r="G26" s="34">
        <v>149</v>
      </c>
      <c r="H26" s="38">
        <f t="shared" ref="H26" si="92">G26/G$47</f>
        <v>8.080260303687635E-2</v>
      </c>
      <c r="I26" s="34">
        <v>1020</v>
      </c>
      <c r="J26" s="38">
        <f t="shared" ref="J26" si="93">I26/I$47</f>
        <v>8.7201846627340346E-2</v>
      </c>
      <c r="K26" s="34">
        <v>22</v>
      </c>
      <c r="L26" s="38">
        <f t="shared" ref="L26" si="94">K26/K$47</f>
        <v>2.6221692491060787E-2</v>
      </c>
      <c r="M26" s="34">
        <v>115</v>
      </c>
      <c r="N26" s="38">
        <f t="shared" ref="N26" si="95">M26/M$47</f>
        <v>0.10052447552447552</v>
      </c>
      <c r="O26" s="34">
        <v>0</v>
      </c>
      <c r="P26" s="38">
        <f t="shared" ref="P26" si="96">O26/O$47</f>
        <v>0</v>
      </c>
      <c r="Q26" s="34">
        <v>640</v>
      </c>
      <c r="R26" s="38">
        <f t="shared" ref="R26" si="97">Q26/Q$47</f>
        <v>1.0669511869831956E-2</v>
      </c>
      <c r="S26" s="34">
        <v>194</v>
      </c>
      <c r="T26" s="38">
        <f t="shared" ref="T26" si="98">S26/S$47</f>
        <v>2.8132250580046404E-2</v>
      </c>
      <c r="U26" s="34">
        <v>87</v>
      </c>
      <c r="V26" s="38">
        <f t="shared" ref="V26" si="99">U26/U$47</f>
        <v>5.6825604180274332E-2</v>
      </c>
      <c r="W26">
        <v>407</v>
      </c>
      <c r="X26" s="38">
        <f t="shared" ref="X26" si="100">W26/W$47</f>
        <v>2.0863235595653066E-2</v>
      </c>
    </row>
    <row r="27" spans="1:24">
      <c r="A27" t="s">
        <v>306</v>
      </c>
      <c r="B27" s="32">
        <f t="shared" si="0"/>
        <v>1.084878110672325E-2</v>
      </c>
      <c r="C27" s="34">
        <v>0</v>
      </c>
      <c r="D27" s="38">
        <f t="shared" si="1"/>
        <v>0</v>
      </c>
      <c r="E27" s="34">
        <v>113</v>
      </c>
      <c r="F27" s="38">
        <f t="shared" si="1"/>
        <v>5.1317683710495599E-5</v>
      </c>
      <c r="G27" s="34">
        <v>0</v>
      </c>
      <c r="H27" s="38">
        <f t="shared" ref="H27" si="101">G27/G$47</f>
        <v>0</v>
      </c>
      <c r="I27" s="34">
        <v>170</v>
      </c>
      <c r="J27" s="38">
        <f t="shared" ref="J27" si="102">I27/I$47</f>
        <v>1.4533641104556724E-2</v>
      </c>
      <c r="K27" s="34">
        <v>15</v>
      </c>
      <c r="L27" s="38">
        <f t="shared" ref="L27" si="103">K27/K$47</f>
        <v>1.7878426698450536E-2</v>
      </c>
      <c r="M27" s="34">
        <v>1</v>
      </c>
      <c r="N27" s="38">
        <f t="shared" ref="N27" si="104">M27/M$47</f>
        <v>8.7412587412587413E-4</v>
      </c>
      <c r="O27" s="34">
        <f>164+156</f>
        <v>320</v>
      </c>
      <c r="P27" s="38">
        <f t="shared" ref="P27" si="105">O27/O$47</f>
        <v>2.7932960893854747E-2</v>
      </c>
      <c r="Q27" s="34">
        <v>594</v>
      </c>
      <c r="R27" s="38">
        <f t="shared" ref="R27" si="106">Q27/Q$47</f>
        <v>9.9026407041877835E-3</v>
      </c>
      <c r="S27" s="34">
        <v>60</v>
      </c>
      <c r="T27" s="38">
        <f t="shared" ref="T27" si="107">S27/S$47</f>
        <v>8.7006960556844544E-3</v>
      </c>
      <c r="U27" s="34">
        <v>20</v>
      </c>
      <c r="V27" s="38">
        <f t="shared" ref="V27" si="108">U27/U$47</f>
        <v>1.3063357282821686E-2</v>
      </c>
      <c r="W27">
        <v>515</v>
      </c>
      <c r="X27" s="38">
        <f t="shared" ref="X27" si="109">W27/W$47</f>
        <v>2.6399425876563461E-2</v>
      </c>
    </row>
    <row r="28" spans="1:24">
      <c r="A28" t="s">
        <v>307</v>
      </c>
      <c r="B28" s="32">
        <f t="shared" si="0"/>
        <v>5.9505357788689268E-2</v>
      </c>
      <c r="C28" s="34">
        <v>655</v>
      </c>
      <c r="D28" s="38">
        <f t="shared" si="1"/>
        <v>0.13821481325174087</v>
      </c>
      <c r="F28" s="38">
        <f t="shared" si="1"/>
        <v>0</v>
      </c>
      <c r="G28" s="34">
        <v>102</v>
      </c>
      <c r="H28" s="38">
        <f t="shared" ref="H28" si="110">G28/G$47</f>
        <v>5.5314533622559656E-2</v>
      </c>
      <c r="I28" s="34">
        <v>35</v>
      </c>
      <c r="J28" s="38">
        <f t="shared" ref="J28" si="111">I28/I$47</f>
        <v>2.9922202274087371E-3</v>
      </c>
      <c r="K28" s="34">
        <v>5</v>
      </c>
      <c r="L28" s="38">
        <f t="shared" ref="L28" si="112">K28/K$47</f>
        <v>5.9594755661501785E-3</v>
      </c>
      <c r="M28" s="34">
        <v>111</v>
      </c>
      <c r="N28" s="38">
        <f t="shared" ref="N28" si="113">M28/M$47</f>
        <v>9.7027972027972031E-2</v>
      </c>
      <c r="O28">
        <f>195+15+46</f>
        <v>256</v>
      </c>
      <c r="P28" s="38">
        <f t="shared" ref="P28" si="114">O28/O$47</f>
        <v>2.23463687150838E-2</v>
      </c>
      <c r="Q28" s="34">
        <v>7459</v>
      </c>
      <c r="R28" s="38">
        <f t="shared" ref="R28" si="115">Q28/Q$47</f>
        <v>0.12434982662043212</v>
      </c>
      <c r="S28" s="34">
        <v>971</v>
      </c>
      <c r="T28" s="38">
        <f t="shared" ref="T28" si="116">S28/S$47</f>
        <v>0.1408062645011601</v>
      </c>
      <c r="U28" s="34">
        <v>98</v>
      </c>
      <c r="V28" s="38">
        <f t="shared" ref="V28" si="117">U28/U$47</f>
        <v>6.4010450685826253E-2</v>
      </c>
      <c r="W28">
        <v>69</v>
      </c>
      <c r="X28" s="38">
        <f t="shared" ref="X28" si="118">W28/W$47</f>
        <v>3.5370104572483084E-3</v>
      </c>
    </row>
    <row r="29" spans="1:24">
      <c r="A29" t="s">
        <v>308</v>
      </c>
      <c r="B29" s="32">
        <f t="shared" si="0"/>
        <v>2.1753780517885676E-2</v>
      </c>
      <c r="C29" s="34">
        <v>0</v>
      </c>
      <c r="D29" s="38">
        <f t="shared" si="1"/>
        <v>0</v>
      </c>
      <c r="F29" s="38">
        <f t="shared" si="1"/>
        <v>0</v>
      </c>
      <c r="G29" s="34">
        <v>69</v>
      </c>
      <c r="H29" s="38">
        <f t="shared" ref="H29" si="119">G29/G$47</f>
        <v>3.7418655097613884E-2</v>
      </c>
      <c r="I29" s="34">
        <v>304</v>
      </c>
      <c r="J29" s="38">
        <f t="shared" ref="J29" si="120">I29/I$47</f>
        <v>2.5989569975207318E-2</v>
      </c>
      <c r="K29" s="34">
        <v>0</v>
      </c>
      <c r="L29" s="38">
        <f t="shared" ref="L29" si="121">K29/K$47</f>
        <v>0</v>
      </c>
      <c r="M29" s="34">
        <v>157</v>
      </c>
      <c r="N29" s="38">
        <f t="shared" ref="N29" si="122">M29/M$47</f>
        <v>0.13723776223776224</v>
      </c>
      <c r="O29" s="34">
        <v>3</v>
      </c>
      <c r="P29" s="38">
        <f t="shared" ref="P29" si="123">O29/O$47</f>
        <v>2.6187150837988826E-4</v>
      </c>
      <c r="Q29" s="34">
        <v>67</v>
      </c>
      <c r="R29" s="38">
        <f t="shared" ref="R29" si="124">Q29/Q$47</f>
        <v>1.1169645238730329E-3</v>
      </c>
      <c r="T29" s="38">
        <f t="shared" ref="T29" si="125">S29/S$47</f>
        <v>0</v>
      </c>
      <c r="V29" s="38">
        <f t="shared" ref="V29" si="126">U29/U$47</f>
        <v>0</v>
      </c>
      <c r="W29">
        <v>727</v>
      </c>
      <c r="X29" s="38">
        <f t="shared" ref="X29" si="127">W29/W$47</f>
        <v>3.7266762353906087E-2</v>
      </c>
    </row>
    <row r="30" spans="1:24">
      <c r="A30" t="s">
        <v>309</v>
      </c>
      <c r="B30" s="32">
        <f t="shared" si="0"/>
        <v>2.6591548091418483E-2</v>
      </c>
      <c r="C30" s="34">
        <v>82</v>
      </c>
      <c r="D30" s="38">
        <f t="shared" si="1"/>
        <v>1.7303228529225573E-2</v>
      </c>
      <c r="E30" s="34">
        <v>43</v>
      </c>
      <c r="F30" s="38">
        <f t="shared" si="1"/>
        <v>1.9527968137622219E-5</v>
      </c>
      <c r="G30" s="34">
        <v>183</v>
      </c>
      <c r="H30" s="38">
        <f t="shared" ref="H30" si="128">G30/G$47</f>
        <v>9.9240780911062906E-2</v>
      </c>
      <c r="I30" s="34">
        <v>437</v>
      </c>
      <c r="J30" s="38">
        <f t="shared" ref="J30" si="129">I30/I$47</f>
        <v>3.736000683936052E-2</v>
      </c>
      <c r="K30" s="34">
        <v>10</v>
      </c>
      <c r="L30" s="38">
        <f t="shared" ref="L30" si="130">K30/K$47</f>
        <v>1.1918951132300357E-2</v>
      </c>
      <c r="M30" s="34">
        <v>12</v>
      </c>
      <c r="N30" s="38">
        <f t="shared" ref="N30" si="131">M30/M$47</f>
        <v>1.048951048951049E-2</v>
      </c>
      <c r="O30" s="34">
        <v>164</v>
      </c>
      <c r="P30" s="38">
        <f t="shared" ref="P30" si="132">O30/O$47</f>
        <v>1.4315642458100559E-2</v>
      </c>
      <c r="Q30" s="34">
        <v>75</v>
      </c>
      <c r="R30" s="38">
        <f t="shared" ref="R30" si="133">Q30/Q$47</f>
        <v>1.2503334222459322E-3</v>
      </c>
      <c r="S30" s="34">
        <v>243</v>
      </c>
      <c r="T30" s="38">
        <f t="shared" ref="T30" si="134">S30/S$47</f>
        <v>3.5237819025522039E-2</v>
      </c>
      <c r="U30" s="34">
        <v>61</v>
      </c>
      <c r="V30" s="38">
        <f t="shared" ref="V30" si="135">U30/U$47</f>
        <v>3.9843239712606136E-2</v>
      </c>
      <c r="W30">
        <v>498</v>
      </c>
      <c r="X30" s="38">
        <f t="shared" ref="X30" si="136">W30/W$47</f>
        <v>2.5527988517531269E-2</v>
      </c>
    </row>
    <row r="31" spans="1:24">
      <c r="A31" t="s">
        <v>310</v>
      </c>
      <c r="B31" s="32">
        <f t="shared" si="0"/>
        <v>3.3663377036675213E-2</v>
      </c>
      <c r="C31" s="34">
        <v>602</v>
      </c>
      <c r="D31" s="38">
        <f t="shared" si="1"/>
        <v>0.12703101920236337</v>
      </c>
      <c r="F31" s="38">
        <f t="shared" si="1"/>
        <v>0</v>
      </c>
      <c r="G31" s="34">
        <v>55</v>
      </c>
      <c r="H31" s="38">
        <f t="shared" ref="H31" si="137">G31/G$47</f>
        <v>2.9826464208242951E-2</v>
      </c>
      <c r="I31" s="34">
        <v>40</v>
      </c>
      <c r="J31" s="38">
        <f t="shared" ref="J31" si="138">I31/I$47</f>
        <v>3.4196802598956996E-3</v>
      </c>
      <c r="K31" s="34">
        <v>130</v>
      </c>
      <c r="L31" s="38">
        <f t="shared" ref="L31" si="139">K31/K$47</f>
        <v>0.15494636471990464</v>
      </c>
      <c r="M31" s="34">
        <v>0</v>
      </c>
      <c r="N31" s="38">
        <f t="shared" ref="N31" si="140">M31/M$47</f>
        <v>0</v>
      </c>
      <c r="O31" s="34">
        <v>0</v>
      </c>
      <c r="P31" s="38">
        <f t="shared" ref="P31" si="141">O31/O$47</f>
        <v>0</v>
      </c>
      <c r="Q31" s="34">
        <v>2425</v>
      </c>
      <c r="R31" s="38">
        <f t="shared" ref="R31" si="142">Q31/Q$47</f>
        <v>4.0427447319285145E-2</v>
      </c>
      <c r="S31" s="34">
        <v>101</v>
      </c>
      <c r="T31" s="38">
        <f t="shared" ref="T31" si="143">S31/S$47</f>
        <v>1.4646171693735499E-2</v>
      </c>
      <c r="U31" s="34"/>
      <c r="V31" s="38">
        <f t="shared" ref="V31" si="144">U31/U$47</f>
        <v>0</v>
      </c>
      <c r="W31">
        <v>0</v>
      </c>
      <c r="X31" s="38">
        <f t="shared" ref="X31" si="145">W31/W$47</f>
        <v>0</v>
      </c>
    </row>
    <row r="32" spans="1:24">
      <c r="A32" t="s">
        <v>311</v>
      </c>
      <c r="B32" s="32">
        <f t="shared" si="0"/>
        <v>9.2815731684324655E-3</v>
      </c>
      <c r="C32" s="34">
        <v>22</v>
      </c>
      <c r="D32" s="38">
        <f t="shared" si="1"/>
        <v>4.6423296054019835E-3</v>
      </c>
      <c r="E32" s="34">
        <v>56503</v>
      </c>
      <c r="F32" s="38">
        <f t="shared" si="1"/>
        <v>2.5660204271629496E-2</v>
      </c>
      <c r="G32" s="34">
        <v>26</v>
      </c>
      <c r="H32" s="38">
        <f t="shared" ref="H32" si="146">G32/G$47</f>
        <v>1.4099783080260303E-2</v>
      </c>
      <c r="I32" s="34">
        <v>50</v>
      </c>
      <c r="J32" s="38">
        <f t="shared" ref="J32" si="147">I32/I$47</f>
        <v>4.2746003248696251E-3</v>
      </c>
      <c r="K32" s="34">
        <v>0</v>
      </c>
      <c r="L32" s="38">
        <f t="shared" ref="L32" si="148">K32/K$47</f>
        <v>0</v>
      </c>
      <c r="M32" s="34">
        <v>8</v>
      </c>
      <c r="N32" s="38">
        <f t="shared" ref="N32" si="149">M32/M$47</f>
        <v>6.993006993006993E-3</v>
      </c>
      <c r="O32" s="34">
        <v>6</v>
      </c>
      <c r="P32" s="38">
        <f t="shared" ref="P32" si="150">O32/O$47</f>
        <v>5.2374301675977653E-4</v>
      </c>
      <c r="Q32" s="34">
        <v>385</v>
      </c>
      <c r="R32" s="38">
        <f t="shared" ref="R32" si="151">Q32/Q$47</f>
        <v>6.4183782341957858E-3</v>
      </c>
      <c r="S32" s="34">
        <v>172</v>
      </c>
      <c r="T32" s="38">
        <f t="shared" ref="T32" si="152">S32/S$47</f>
        <v>2.4941995359628769E-2</v>
      </c>
      <c r="U32" s="34">
        <v>5</v>
      </c>
      <c r="V32" s="38">
        <f t="shared" ref="V32" si="153">U32/U$47</f>
        <v>3.2658393207054214E-3</v>
      </c>
      <c r="W32">
        <v>220</v>
      </c>
      <c r="X32" s="38">
        <f t="shared" ref="X32" si="154">W32/W$47</f>
        <v>1.1277424646298955E-2</v>
      </c>
    </row>
    <row r="33" spans="1:24">
      <c r="A33" t="s">
        <v>312</v>
      </c>
      <c r="B33" s="32">
        <f t="shared" si="0"/>
        <v>3.3696254650233608E-3</v>
      </c>
      <c r="C33" s="34">
        <v>0</v>
      </c>
      <c r="D33" s="38">
        <f t="shared" si="1"/>
        <v>0</v>
      </c>
      <c r="F33" s="38">
        <f t="shared" si="1"/>
        <v>0</v>
      </c>
      <c r="G33" s="34">
        <v>33</v>
      </c>
      <c r="H33" s="38">
        <f t="shared" ref="H33" si="155">G33/G$47</f>
        <v>1.7895878524945771E-2</v>
      </c>
      <c r="I33" s="34">
        <v>48</v>
      </c>
      <c r="J33" s="38">
        <f t="shared" ref="J33" si="156">I33/I$47</f>
        <v>4.1036163118748394E-3</v>
      </c>
      <c r="K33" s="34">
        <v>0</v>
      </c>
      <c r="L33" s="38">
        <f t="shared" ref="L33" si="157">K33/K$47</f>
        <v>0</v>
      </c>
      <c r="N33" s="38">
        <f t="shared" ref="N33" si="158">M33/M$47</f>
        <v>0</v>
      </c>
      <c r="O33" s="34">
        <v>0</v>
      </c>
      <c r="P33" s="38">
        <f t="shared" ref="P33" si="159">O33/O$47</f>
        <v>0</v>
      </c>
      <c r="Q33" s="34">
        <v>750</v>
      </c>
      <c r="R33" s="38">
        <f t="shared" ref="R33" si="160">Q33/Q$47</f>
        <v>1.2503334222459323E-2</v>
      </c>
      <c r="T33" s="38">
        <f t="shared" ref="T33" si="161">S33/S$47</f>
        <v>0</v>
      </c>
      <c r="V33" s="38">
        <f t="shared" ref="V33" si="162">U33/U$47</f>
        <v>0</v>
      </c>
      <c r="W33">
        <v>50</v>
      </c>
      <c r="X33" s="38">
        <f t="shared" ref="X33" si="163">W33/W$47</f>
        <v>2.5630510559770349E-3</v>
      </c>
    </row>
    <row r="34" spans="1:24">
      <c r="A34" t="s">
        <v>313</v>
      </c>
      <c r="B34" s="32">
        <f t="shared" si="0"/>
        <v>4.1136727169704124E-2</v>
      </c>
      <c r="C34" s="34">
        <v>826</v>
      </c>
      <c r="D34" s="38">
        <f t="shared" si="1"/>
        <v>0.17429837518463812</v>
      </c>
      <c r="F34" s="38">
        <f t="shared" si="1"/>
        <v>0</v>
      </c>
      <c r="G34" s="34">
        <v>182</v>
      </c>
      <c r="H34" s="38">
        <f t="shared" ref="H34" si="164">G34/G$47</f>
        <v>9.8698481561822121E-2</v>
      </c>
      <c r="I34" s="34">
        <v>900</v>
      </c>
      <c r="J34" s="38">
        <f t="shared" ref="J34" si="165">I34/I$47</f>
        <v>7.6942805847653242E-2</v>
      </c>
      <c r="K34" s="34">
        <v>0</v>
      </c>
      <c r="L34" s="38">
        <f t="shared" ref="L34" si="166">K34/K$47</f>
        <v>0</v>
      </c>
      <c r="M34" s="34">
        <v>14</v>
      </c>
      <c r="N34" s="38">
        <f t="shared" ref="N34" si="167">M34/M$47</f>
        <v>1.2237762237762238E-2</v>
      </c>
      <c r="O34" s="34">
        <v>0</v>
      </c>
      <c r="P34" s="38">
        <f t="shared" ref="P34" si="168">O34/O$47</f>
        <v>0</v>
      </c>
      <c r="Q34" s="34">
        <v>1826</v>
      </c>
      <c r="R34" s="38">
        <f t="shared" ref="R34" si="169">Q34/Q$47</f>
        <v>3.0441451053614298E-2</v>
      </c>
      <c r="S34" s="34">
        <v>396</v>
      </c>
      <c r="T34" s="38">
        <f t="shared" ref="T34" si="170">S34/S$47</f>
        <v>5.7424593967517402E-2</v>
      </c>
      <c r="U34" s="34"/>
      <c r="V34" s="38">
        <f t="shared" ref="V34" si="171">U34/U$47</f>
        <v>0</v>
      </c>
      <c r="W34">
        <v>48</v>
      </c>
      <c r="X34" s="38">
        <f t="shared" ref="X34" si="172">W34/W$47</f>
        <v>2.4605290137379538E-3</v>
      </c>
    </row>
    <row r="35" spans="1:24">
      <c r="A35" t="s">
        <v>314</v>
      </c>
      <c r="B35" s="32">
        <f t="shared" si="0"/>
        <v>5.2673129176244527E-3</v>
      </c>
      <c r="C35" s="34">
        <v>30</v>
      </c>
      <c r="D35" s="38">
        <f t="shared" si="1"/>
        <v>6.3304494619117954E-3</v>
      </c>
      <c r="E35" s="34">
        <v>41849</v>
      </c>
      <c r="F35" s="38">
        <f t="shared" si="1"/>
        <v>1.9005254385845403E-2</v>
      </c>
      <c r="H35" s="38">
        <f t="shared" ref="H35" si="173">G35/G$47</f>
        <v>0</v>
      </c>
      <c r="I35" s="34">
        <v>200</v>
      </c>
      <c r="J35" s="38">
        <f t="shared" ref="J35" si="174">I35/I$47</f>
        <v>1.70984012994785E-2</v>
      </c>
      <c r="K35" s="34">
        <v>2</v>
      </c>
      <c r="L35" s="38">
        <f t="shared" ref="L35" si="175">K35/K$47</f>
        <v>2.3837902264600714E-3</v>
      </c>
      <c r="M35" s="34">
        <v>0</v>
      </c>
      <c r="N35" s="38">
        <f t="shared" ref="N35" si="176">M35/M$47</f>
        <v>0</v>
      </c>
      <c r="O35" s="34">
        <v>0</v>
      </c>
      <c r="P35" s="38">
        <f t="shared" ref="P35" si="177">O35/O$47</f>
        <v>0</v>
      </c>
      <c r="Q35" s="34">
        <v>191</v>
      </c>
      <c r="R35" s="38">
        <f t="shared" ref="R35" si="178">Q35/Q$47</f>
        <v>3.184182448652974E-3</v>
      </c>
      <c r="S35" s="34">
        <v>65</v>
      </c>
      <c r="T35" s="38">
        <f t="shared" ref="T35" si="179">S35/S$47</f>
        <v>9.4257540603248265E-3</v>
      </c>
      <c r="U35" s="34"/>
      <c r="V35" s="38">
        <f t="shared" ref="V35" si="180">U35/U$47</f>
        <v>0</v>
      </c>
      <c r="W35">
        <v>10</v>
      </c>
      <c r="X35" s="38">
        <f t="shared" ref="X35" si="181">W35/W$47</f>
        <v>5.1261021119540701E-4</v>
      </c>
    </row>
    <row r="36" spans="1:24">
      <c r="A36" t="s">
        <v>315</v>
      </c>
      <c r="B36" s="32">
        <f t="shared" si="0"/>
        <v>3.9632061309863043E-4</v>
      </c>
      <c r="C36" s="34">
        <v>3</v>
      </c>
      <c r="D36" s="38">
        <f t="shared" si="1"/>
        <v>6.3304494619117959E-4</v>
      </c>
      <c r="F36" s="38">
        <f t="shared" si="1"/>
        <v>0</v>
      </c>
      <c r="G36" s="34">
        <v>1</v>
      </c>
      <c r="H36" s="38">
        <f t="shared" ref="H36" si="182">G36/G$47</f>
        <v>5.4229934924078093E-4</v>
      </c>
      <c r="I36" s="34">
        <v>0</v>
      </c>
      <c r="J36" s="38">
        <f t="shared" ref="J36" si="183">I36/I$47</f>
        <v>0</v>
      </c>
      <c r="K36" s="34">
        <v>0</v>
      </c>
      <c r="L36" s="38">
        <f t="shared" ref="L36" si="184">K36/K$47</f>
        <v>0</v>
      </c>
      <c r="M36" s="34">
        <v>0</v>
      </c>
      <c r="N36" s="38">
        <f t="shared" ref="N36" si="185">M36/M$47</f>
        <v>0</v>
      </c>
      <c r="O36" s="34">
        <v>0</v>
      </c>
      <c r="P36" s="38">
        <f t="shared" ref="P36" si="186">O36/O$47</f>
        <v>0</v>
      </c>
      <c r="Q36" s="34">
        <v>191</v>
      </c>
      <c r="R36" s="38">
        <f t="shared" ref="R36" si="187">Q36/Q$47</f>
        <v>3.184182448652974E-3</v>
      </c>
      <c r="T36" s="38">
        <f t="shared" ref="T36" si="188">S36/S$47</f>
        <v>0</v>
      </c>
      <c r="V36" s="38">
        <f t="shared" ref="V36" si="189">U36/U$47</f>
        <v>0</v>
      </c>
      <c r="W36">
        <v>0</v>
      </c>
      <c r="X36" s="38">
        <f t="shared" ref="X36" si="190">W36/W$47</f>
        <v>0</v>
      </c>
    </row>
    <row r="37" spans="1:24">
      <c r="A37" t="s">
        <v>316</v>
      </c>
      <c r="B37" s="32">
        <f t="shared" si="0"/>
        <v>1.9575881276408278E-2</v>
      </c>
      <c r="C37" s="34">
        <v>374</v>
      </c>
      <c r="D37" s="38">
        <f t="shared" si="1"/>
        <v>7.8919603291833715E-2</v>
      </c>
      <c r="F37" s="38">
        <f t="shared" si="1"/>
        <v>0</v>
      </c>
      <c r="G37" s="34">
        <v>27</v>
      </c>
      <c r="H37" s="38">
        <f t="shared" ref="H37" si="191">G37/G$47</f>
        <v>1.4642082429501085E-2</v>
      </c>
      <c r="I37" s="34">
        <v>800</v>
      </c>
      <c r="J37" s="38">
        <f t="shared" ref="J37" si="192">I37/I$47</f>
        <v>6.8393605197914001E-2</v>
      </c>
      <c r="K37" s="34">
        <v>0</v>
      </c>
      <c r="L37" s="38">
        <f t="shared" ref="L37" si="193">K37/K$47</f>
        <v>0</v>
      </c>
      <c r="M37" s="34">
        <v>2</v>
      </c>
      <c r="N37" s="38">
        <f t="shared" ref="N37" si="194">M37/M$47</f>
        <v>1.7482517482517483E-3</v>
      </c>
      <c r="O37" s="34">
        <v>0</v>
      </c>
      <c r="P37" s="38">
        <f t="shared" ref="P37" si="195">O37/O$47</f>
        <v>0</v>
      </c>
      <c r="R37" s="38">
        <f t="shared" ref="R37" si="196">Q37/Q$47</f>
        <v>0</v>
      </c>
      <c r="S37" s="34">
        <v>224</v>
      </c>
      <c r="T37" s="38">
        <f t="shared" ref="T37" si="197">S37/S$47</f>
        <v>3.248259860788863E-2</v>
      </c>
      <c r="U37" s="34">
        <v>25</v>
      </c>
      <c r="V37" s="38">
        <f t="shared" ref="V37" si="198">U37/U$47</f>
        <v>1.6329196603527107E-2</v>
      </c>
      <c r="W37">
        <v>55</v>
      </c>
      <c r="X37" s="38">
        <f t="shared" ref="X37" si="199">W37/W$47</f>
        <v>2.8193561615747387E-3</v>
      </c>
    </row>
    <row r="38" spans="1:24">
      <c r="A38" t="s">
        <v>317</v>
      </c>
      <c r="B38" s="32">
        <f t="shared" si="0"/>
        <v>9.8404203393299438E-5</v>
      </c>
      <c r="C38" s="34">
        <v>4</v>
      </c>
      <c r="D38" s="38">
        <f t="shared" si="1"/>
        <v>8.4405992825490608E-4</v>
      </c>
      <c r="F38" s="38">
        <f t="shared" si="1"/>
        <v>0</v>
      </c>
      <c r="H38" s="38">
        <f t="shared" ref="H38" si="200">G38/G$47</f>
        <v>0</v>
      </c>
      <c r="I38" s="34">
        <v>0</v>
      </c>
      <c r="J38" s="38">
        <f t="shared" ref="J38" si="201">I38/I$47</f>
        <v>0</v>
      </c>
      <c r="K38" s="34">
        <v>0</v>
      </c>
      <c r="L38" s="38">
        <f t="shared" ref="L38" si="202">K38/K$47</f>
        <v>0</v>
      </c>
      <c r="M38" s="34">
        <v>0</v>
      </c>
      <c r="N38" s="38">
        <f t="shared" ref="N38" si="203">M38/M$47</f>
        <v>0</v>
      </c>
      <c r="O38" s="34">
        <v>0</v>
      </c>
      <c r="P38" s="38">
        <f t="shared" ref="P38" si="204">O38/O$47</f>
        <v>0</v>
      </c>
      <c r="Q38" s="34">
        <v>2</v>
      </c>
      <c r="R38" s="38">
        <f t="shared" ref="R38" si="205">Q38/Q$47</f>
        <v>3.3342224593224857E-5</v>
      </c>
      <c r="T38" s="38">
        <f t="shared" ref="T38" si="206">S38/S$47</f>
        <v>0</v>
      </c>
      <c r="V38" s="38">
        <f t="shared" ref="V38" si="207">U38/U$47</f>
        <v>0</v>
      </c>
      <c r="W38">
        <v>4</v>
      </c>
      <c r="X38" s="38">
        <f t="shared" ref="X38" si="208">W38/W$47</f>
        <v>2.0504408447816281E-4</v>
      </c>
    </row>
    <row r="39" spans="1:24">
      <c r="A39" t="s">
        <v>318</v>
      </c>
      <c r="B39" s="32">
        <f t="shared" si="0"/>
        <v>4.8099945665098544E-2</v>
      </c>
      <c r="C39" s="34">
        <v>136</v>
      </c>
      <c r="D39" s="38">
        <f t="shared" si="1"/>
        <v>2.8698037560666807E-2</v>
      </c>
      <c r="F39" s="38">
        <f t="shared" si="1"/>
        <v>0</v>
      </c>
      <c r="G39" s="34">
        <v>8</v>
      </c>
      <c r="H39" s="38">
        <f t="shared" ref="H39" si="209">G39/G$47</f>
        <v>4.3383947939262474E-3</v>
      </c>
      <c r="I39" s="34">
        <v>1200</v>
      </c>
      <c r="J39" s="38">
        <f t="shared" ref="J39" si="210">I39/I$47</f>
        <v>0.10259040779687099</v>
      </c>
      <c r="K39" s="34">
        <v>0</v>
      </c>
      <c r="L39" s="38">
        <f t="shared" ref="L39" si="211">K39/K$47</f>
        <v>0</v>
      </c>
      <c r="M39" s="34">
        <v>137</v>
      </c>
      <c r="N39" s="38">
        <f t="shared" ref="N39" si="212">M39/M$47</f>
        <v>0.11975524475524475</v>
      </c>
      <c r="O39" s="34">
        <v>1477</v>
      </c>
      <c r="P39" s="38">
        <f t="shared" ref="P39" si="213">O39/O$47</f>
        <v>0.12892807262569833</v>
      </c>
      <c r="Q39" s="34">
        <v>568</v>
      </c>
      <c r="R39" s="38">
        <f t="shared" ref="R39" si="214">Q39/Q$47</f>
        <v>9.4691917844758611E-3</v>
      </c>
      <c r="S39" s="34">
        <v>478</v>
      </c>
      <c r="T39" s="38">
        <f t="shared" ref="T39" si="215">S39/S$47</f>
        <v>6.9315545243619492E-2</v>
      </c>
      <c r="U39" s="34">
        <v>48</v>
      </c>
      <c r="V39" s="38">
        <f t="shared" ref="V39" si="216">U39/U$47</f>
        <v>3.1352057478772045E-2</v>
      </c>
      <c r="W39">
        <v>676</v>
      </c>
      <c r="X39" s="38">
        <f t="shared" ref="X39" si="217">W39/W$47</f>
        <v>3.4652450276809514E-2</v>
      </c>
    </row>
    <row r="40" spans="1:24">
      <c r="A40" t="s">
        <v>319</v>
      </c>
      <c r="B40" s="32">
        <f t="shared" si="0"/>
        <v>4.9795900396539097E-2</v>
      </c>
      <c r="C40" s="34">
        <v>136</v>
      </c>
      <c r="D40" s="38">
        <f t="shared" si="1"/>
        <v>2.8698037560666807E-2</v>
      </c>
      <c r="F40" s="38">
        <f t="shared" si="1"/>
        <v>0</v>
      </c>
      <c r="G40" s="34">
        <v>49</v>
      </c>
      <c r="H40" s="38">
        <f t="shared" ref="H40" si="218">G40/G$47</f>
        <v>2.6572668112798264E-2</v>
      </c>
      <c r="I40" s="34">
        <v>400</v>
      </c>
      <c r="J40" s="38">
        <f t="shared" ref="J40" si="219">I40/I$47</f>
        <v>3.4196802598957E-2</v>
      </c>
      <c r="K40" s="34">
        <v>75</v>
      </c>
      <c r="L40" s="38">
        <f t="shared" ref="L40" si="220">K40/K$47</f>
        <v>8.9392133492252682E-2</v>
      </c>
      <c r="M40" s="34">
        <v>30</v>
      </c>
      <c r="N40" s="38">
        <f t="shared" ref="N40" si="221">M40/M$47</f>
        <v>2.6223776223776224E-2</v>
      </c>
      <c r="O40" s="34">
        <f>308+48+1+658</f>
        <v>1015</v>
      </c>
      <c r="P40" s="38">
        <f t="shared" ref="P40" si="222">O40/O$47</f>
        <v>8.8599860335195527E-2</v>
      </c>
      <c r="Q40" s="34">
        <v>1422</v>
      </c>
      <c r="R40" s="38">
        <f t="shared" ref="R40" si="223">Q40/Q$47</f>
        <v>2.3706321685782874E-2</v>
      </c>
      <c r="S40" s="34">
        <v>982</v>
      </c>
      <c r="T40" s="38">
        <f t="shared" ref="T40" si="224">S40/S$47</f>
        <v>0.1424013921113689</v>
      </c>
      <c r="U40" s="34"/>
      <c r="V40" s="38">
        <f t="shared" ref="V40" si="225">U40/U$47</f>
        <v>0</v>
      </c>
      <c r="W40">
        <v>1716</v>
      </c>
      <c r="X40" s="38">
        <f t="shared" ref="X40" si="226">W40/W$47</f>
        <v>8.7963912241131842E-2</v>
      </c>
    </row>
    <row r="41" spans="1:24">
      <c r="A41" t="s">
        <v>320</v>
      </c>
      <c r="B41" s="32">
        <f t="shared" si="0"/>
        <v>1.297434069680518E-2</v>
      </c>
      <c r="C41" s="34">
        <v>23</v>
      </c>
      <c r="D41" s="38">
        <f t="shared" si="1"/>
        <v>4.8533445874657096E-3</v>
      </c>
      <c r="F41" s="38">
        <f t="shared" si="1"/>
        <v>0</v>
      </c>
      <c r="H41" s="38">
        <f t="shared" ref="H41" si="227">G41/G$47</f>
        <v>0</v>
      </c>
      <c r="I41" s="34">
        <v>520</v>
      </c>
      <c r="J41" s="38">
        <f t="shared" ref="J41" si="228">I41/I$47</f>
        <v>4.4455843378644097E-2</v>
      </c>
      <c r="K41" s="34">
        <v>14</v>
      </c>
      <c r="L41" s="38">
        <f t="shared" ref="L41" si="229">K41/K$47</f>
        <v>1.6686531585220502E-2</v>
      </c>
      <c r="M41" s="34">
        <v>83</v>
      </c>
      <c r="N41" s="38">
        <f t="shared" ref="N41" si="230">M41/M$47</f>
        <v>7.2552447552447552E-2</v>
      </c>
      <c r="O41" s="34">
        <f>17</f>
        <v>17</v>
      </c>
      <c r="P41" s="38">
        <f t="shared" ref="P41" si="231">O41/O$47</f>
        <v>1.4839385474860335E-3</v>
      </c>
      <c r="Q41" s="34">
        <v>75</v>
      </c>
      <c r="R41" s="38">
        <f t="shared" ref="R41" si="232">Q41/Q$47</f>
        <v>1.2503334222459322E-3</v>
      </c>
      <c r="T41" s="38">
        <f t="shared" ref="T41" si="233">S41/S$47</f>
        <v>0</v>
      </c>
      <c r="V41" s="38">
        <f t="shared" ref="V41" si="234">U41/U$47</f>
        <v>0</v>
      </c>
      <c r="W41">
        <v>28</v>
      </c>
      <c r="X41" s="38">
        <f t="shared" ref="X41" si="235">W41/W$47</f>
        <v>1.4353085913471396E-3</v>
      </c>
    </row>
    <row r="42" spans="1:24">
      <c r="A42" t="s">
        <v>321</v>
      </c>
      <c r="B42" s="32">
        <f t="shared" si="0"/>
        <v>7.8537099227444385E-3</v>
      </c>
      <c r="C42" s="34">
        <v>0</v>
      </c>
      <c r="D42" s="38">
        <f t="shared" si="1"/>
        <v>0</v>
      </c>
      <c r="F42" s="38">
        <f t="shared" si="1"/>
        <v>0</v>
      </c>
      <c r="H42" s="38">
        <f t="shared" ref="H42" si="236">G42/G$47</f>
        <v>0</v>
      </c>
      <c r="I42" s="34">
        <v>364</v>
      </c>
      <c r="J42" s="38">
        <f t="shared" ref="J42" si="237">I42/I$47</f>
        <v>3.1119090365050867E-2</v>
      </c>
      <c r="L42" s="38">
        <f t="shared" ref="L42" si="238">K42/K$47</f>
        <v>0</v>
      </c>
      <c r="N42" s="38">
        <f t="shared" ref="N42" si="239">M42/M$47</f>
        <v>0</v>
      </c>
      <c r="O42" s="34">
        <v>71</v>
      </c>
      <c r="P42" s="38">
        <f t="shared" ref="P42" si="240">O42/O$47</f>
        <v>6.1976256983240227E-3</v>
      </c>
      <c r="Q42" s="34">
        <v>493</v>
      </c>
      <c r="R42" s="38">
        <f t="shared" ref="R42" si="241">Q42/Q$47</f>
        <v>8.2188583622299274E-3</v>
      </c>
      <c r="T42" s="38">
        <f t="shared" ref="T42" si="242">S42/S$47</f>
        <v>0</v>
      </c>
      <c r="U42">
        <f>60+2</f>
        <v>62</v>
      </c>
      <c r="V42" s="38">
        <f t="shared" ref="V42" si="243">U42/U$47</f>
        <v>4.0496407576747225E-2</v>
      </c>
      <c r="W42">
        <v>7</v>
      </c>
      <c r="X42" s="38">
        <f t="shared" ref="X42" si="244">W42/W$47</f>
        <v>3.588271478367849E-4</v>
      </c>
    </row>
    <row r="43" spans="1:24">
      <c r="A43" t="s">
        <v>322</v>
      </c>
      <c r="B43" s="32">
        <f t="shared" si="0"/>
        <v>6.9901392435737315E-5</v>
      </c>
      <c r="C43" s="34">
        <v>0</v>
      </c>
      <c r="D43" s="38">
        <f t="shared" si="1"/>
        <v>0</v>
      </c>
      <c r="F43" s="38">
        <f t="shared" si="1"/>
        <v>0</v>
      </c>
      <c r="H43" s="38">
        <f t="shared" ref="H43" si="245">G43/G$47</f>
        <v>0</v>
      </c>
      <c r="I43" s="34">
        <v>0</v>
      </c>
      <c r="J43" s="38">
        <f t="shared" ref="J43" si="246">I43/I$47</f>
        <v>0</v>
      </c>
      <c r="L43" s="38">
        <f t="shared" ref="L43" si="247">K43/K$47</f>
        <v>0</v>
      </c>
      <c r="M43" s="34">
        <v>0</v>
      </c>
      <c r="N43" s="38">
        <f t="shared" ref="N43" si="248">M43/M$47</f>
        <v>0</v>
      </c>
      <c r="O43" s="34">
        <v>0</v>
      </c>
      <c r="P43" s="38">
        <f t="shared" ref="P43" si="249">O43/O$47</f>
        <v>0</v>
      </c>
      <c r="R43" s="38">
        <f t="shared" ref="R43" si="250">Q43/Q$47</f>
        <v>0</v>
      </c>
      <c r="T43" s="38">
        <f t="shared" ref="T43" si="251">S43/S$47</f>
        <v>0</v>
      </c>
      <c r="V43" s="38">
        <f t="shared" ref="V43" si="252">U43/U$47</f>
        <v>0</v>
      </c>
      <c r="W43">
        <v>15</v>
      </c>
      <c r="X43" s="38">
        <f t="shared" ref="X43" si="253">W43/W$47</f>
        <v>7.6891531679311052E-4</v>
      </c>
    </row>
    <row r="44" spans="1:24">
      <c r="A44" t="s">
        <v>323</v>
      </c>
      <c r="B44" s="32">
        <f t="shared" si="0"/>
        <v>1.5879721609041732E-3</v>
      </c>
      <c r="C44" s="34">
        <v>12</v>
      </c>
      <c r="D44" s="38">
        <f t="shared" si="1"/>
        <v>2.5321797847647183E-3</v>
      </c>
      <c r="E44" s="34">
        <v>4915</v>
      </c>
      <c r="F44" s="38">
        <f t="shared" si="1"/>
        <v>2.2320921720096094E-3</v>
      </c>
      <c r="H44" s="38">
        <f t="shared" ref="H44" si="254">G44/G$47</f>
        <v>0</v>
      </c>
      <c r="I44" s="34">
        <v>20</v>
      </c>
      <c r="J44" s="38">
        <f t="shared" ref="J44" si="255">I44/I$47</f>
        <v>1.7098401299478498E-3</v>
      </c>
      <c r="L44" s="38">
        <f t="shared" ref="L44" si="256">K44/K$47</f>
        <v>0</v>
      </c>
      <c r="M44" s="34">
        <v>6</v>
      </c>
      <c r="N44" s="38">
        <f t="shared" ref="N44" si="257">M44/M$47</f>
        <v>5.244755244755245E-3</v>
      </c>
      <c r="O44" s="34">
        <v>0</v>
      </c>
      <c r="P44" s="38">
        <f t="shared" ref="P44" si="258">O44/O$47</f>
        <v>0</v>
      </c>
      <c r="Q44" s="34">
        <v>105</v>
      </c>
      <c r="R44" s="38">
        <f t="shared" ref="R44" si="259">Q44/Q$47</f>
        <v>1.7504667911443052E-3</v>
      </c>
      <c r="T44" s="38">
        <f t="shared" ref="T44" si="260">S44/S$47</f>
        <v>0</v>
      </c>
      <c r="V44" s="38">
        <f t="shared" ref="V44" si="261">U44/U$47</f>
        <v>0</v>
      </c>
      <c r="W44">
        <v>78</v>
      </c>
      <c r="X44" s="38">
        <f t="shared" ref="X44" si="262">W44/W$47</f>
        <v>3.9983596473241751E-3</v>
      </c>
    </row>
    <row r="45" spans="1:24">
      <c r="A45" t="s">
        <v>75</v>
      </c>
      <c r="B45" s="32">
        <f t="shared" si="0"/>
        <v>3.72889156932453E-2</v>
      </c>
      <c r="C45" s="34"/>
      <c r="D45" s="38">
        <f t="shared" si="1"/>
        <v>0</v>
      </c>
      <c r="E45" s="34"/>
      <c r="F45" s="38">
        <f t="shared" si="1"/>
        <v>0</v>
      </c>
      <c r="H45" s="38">
        <f t="shared" ref="H45" si="263">G45/G$47</f>
        <v>0</v>
      </c>
      <c r="I45" s="34"/>
      <c r="J45" s="38">
        <f t="shared" ref="J45" si="264">I45/I$47</f>
        <v>0</v>
      </c>
      <c r="L45" s="38">
        <f t="shared" ref="L45" si="265">K45/K$47</f>
        <v>0</v>
      </c>
      <c r="M45" s="34"/>
      <c r="N45" s="38">
        <f t="shared" ref="N45" si="266">M45/M$47</f>
        <v>0</v>
      </c>
      <c r="O45" s="34">
        <f>4676+23</f>
        <v>4699</v>
      </c>
      <c r="P45" s="38">
        <f t="shared" ref="P45" si="267">O45/O$47</f>
        <v>0.41017807262569833</v>
      </c>
      <c r="Q45" s="34"/>
      <c r="R45" s="38">
        <f t="shared" ref="R45" si="268">Q45/Q$47</f>
        <v>0</v>
      </c>
      <c r="T45" s="38">
        <f t="shared" ref="T45" si="269">S45/S$47</f>
        <v>0</v>
      </c>
      <c r="V45" s="38">
        <f t="shared" ref="V45" si="270">U45/U$47</f>
        <v>0</v>
      </c>
      <c r="X45" s="38">
        <f t="shared" ref="X45" si="271">W45/W$47</f>
        <v>0</v>
      </c>
    </row>
    <row r="46" spans="1:24">
      <c r="A46" t="s">
        <v>76</v>
      </c>
      <c r="B46" s="32">
        <f t="shared" si="0"/>
        <v>1.5169574168382273E-3</v>
      </c>
      <c r="C46" s="34"/>
      <c r="D46" s="38">
        <f t="shared" si="1"/>
        <v>0</v>
      </c>
      <c r="E46" s="34"/>
      <c r="F46" s="38">
        <f t="shared" si="1"/>
        <v>0</v>
      </c>
      <c r="H46" s="38">
        <f t="shared" ref="H46" si="272">G46/G$47</f>
        <v>0</v>
      </c>
      <c r="I46" s="34"/>
      <c r="J46" s="38">
        <f t="shared" ref="J46" si="273">I46/I$47</f>
        <v>0</v>
      </c>
      <c r="K46">
        <v>14</v>
      </c>
      <c r="L46" s="38">
        <f t="shared" ref="L46" si="274">K46/K$47</f>
        <v>1.6686531585220502E-2</v>
      </c>
      <c r="M46" s="34"/>
      <c r="N46" s="38">
        <f t="shared" ref="N46" si="275">M46/M$47</f>
        <v>0</v>
      </c>
      <c r="O46" s="34"/>
      <c r="P46" s="38">
        <f t="shared" ref="P46" si="276">O46/O$47</f>
        <v>0</v>
      </c>
      <c r="Q46" s="34"/>
      <c r="R46" s="38">
        <f t="shared" ref="R46" si="277">Q46/Q$47</f>
        <v>0</v>
      </c>
      <c r="T46" s="38">
        <f t="shared" ref="T46" si="278">S46/S$47</f>
        <v>0</v>
      </c>
      <c r="V46" s="38">
        <f t="shared" ref="V46" si="279">U46/U$47</f>
        <v>0</v>
      </c>
      <c r="X46" s="38">
        <f t="shared" ref="X46" si="280">W46/W$47</f>
        <v>0</v>
      </c>
    </row>
    <row r="47" spans="1:24">
      <c r="A47" s="28" t="s">
        <v>324</v>
      </c>
      <c r="B47">
        <f>SUM(B15:B46)</f>
        <v>1.0000000000000002</v>
      </c>
      <c r="C47">
        <f t="shared" ref="C47:W47" si="281">SUM(C15:C46)</f>
        <v>4739</v>
      </c>
      <c r="E47">
        <f t="shared" si="281"/>
        <v>2201970</v>
      </c>
      <c r="G47">
        <f t="shared" si="281"/>
        <v>1844</v>
      </c>
      <c r="I47">
        <f t="shared" si="281"/>
        <v>11697</v>
      </c>
      <c r="K47">
        <f t="shared" si="281"/>
        <v>839</v>
      </c>
      <c r="M47">
        <f t="shared" si="281"/>
        <v>1144</v>
      </c>
      <c r="O47">
        <f t="shared" si="281"/>
        <v>11456</v>
      </c>
      <c r="Q47">
        <f t="shared" si="281"/>
        <v>59984</v>
      </c>
      <c r="S47">
        <f t="shared" si="281"/>
        <v>6896</v>
      </c>
      <c r="U47">
        <f t="shared" si="281"/>
        <v>1531</v>
      </c>
      <c r="W47">
        <f t="shared" si="281"/>
        <v>19508</v>
      </c>
    </row>
    <row r="49" spans="1:19" ht="76.5">
      <c r="A49" t="s">
        <v>325</v>
      </c>
      <c r="C49" t="s">
        <v>326</v>
      </c>
      <c r="E49" t="s">
        <v>327</v>
      </c>
      <c r="G49" s="37" t="s">
        <v>328</v>
      </c>
      <c r="Q49" t="s">
        <v>329</v>
      </c>
      <c r="S49" t="s">
        <v>330</v>
      </c>
    </row>
    <row r="50" spans="1:19">
      <c r="A50" t="s">
        <v>331</v>
      </c>
      <c r="C50" t="s">
        <v>332</v>
      </c>
      <c r="E50" t="s">
        <v>333</v>
      </c>
      <c r="G50" t="s">
        <v>334</v>
      </c>
      <c r="I50" t="s">
        <v>335</v>
      </c>
      <c r="K50" t="s">
        <v>336</v>
      </c>
      <c r="Q50" t="s">
        <v>337</v>
      </c>
    </row>
    <row r="51" spans="1:19">
      <c r="A51" t="s">
        <v>338</v>
      </c>
      <c r="C51" t="s">
        <v>339</v>
      </c>
      <c r="I51" t="s">
        <v>340</v>
      </c>
    </row>
    <row r="52" spans="1:19" ht="102">
      <c r="A52" t="s">
        <v>341</v>
      </c>
      <c r="C52" t="s">
        <v>342</v>
      </c>
      <c r="E52" t="s">
        <v>343</v>
      </c>
      <c r="I52" t="s">
        <v>344</v>
      </c>
      <c r="O52" s="37" t="s">
        <v>345</v>
      </c>
      <c r="Q52" t="s">
        <v>346</v>
      </c>
    </row>
    <row r="53" spans="1:19">
      <c r="A53" t="s">
        <v>347</v>
      </c>
      <c r="C53" t="s">
        <v>348</v>
      </c>
      <c r="E53" s="33" t="s">
        <v>349</v>
      </c>
      <c r="I53" t="s">
        <v>350</v>
      </c>
      <c r="O53" t="s">
        <v>351</v>
      </c>
      <c r="Q53" t="s">
        <v>352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5"/>
  <sheetViews>
    <sheetView topLeftCell="A2" zoomScale="110" zoomScaleNormal="110" workbookViewId="0">
      <selection activeCell="A6" sqref="A6:A8"/>
    </sheetView>
  </sheetViews>
  <sheetFormatPr defaultRowHeight="12.75"/>
  <cols>
    <col min="1" max="2" width="22.42578125" customWidth="1"/>
    <col min="3" max="3" width="22" customWidth="1"/>
    <col min="5" max="5" width="19" customWidth="1"/>
    <col min="6" max="6" width="15.140625" customWidth="1"/>
    <col min="7" max="7" width="10.5703125" customWidth="1"/>
    <col min="8" max="8" width="17.85546875" customWidth="1"/>
    <col min="9" max="9" width="15.42578125" customWidth="1"/>
  </cols>
  <sheetData>
    <row r="1" spans="1:11">
      <c r="A1" s="2" t="s">
        <v>78</v>
      </c>
      <c r="B1" s="2" t="s">
        <v>79</v>
      </c>
      <c r="C1" s="2" t="s">
        <v>80</v>
      </c>
      <c r="D1" s="2" t="s">
        <v>81</v>
      </c>
      <c r="E1" s="2" t="s">
        <v>82</v>
      </c>
      <c r="F1" s="2" t="s">
        <v>81</v>
      </c>
      <c r="H1" s="3" t="s">
        <v>83</v>
      </c>
      <c r="I1" s="2" t="s">
        <v>84</v>
      </c>
      <c r="K1" s="2" t="s">
        <v>85</v>
      </c>
    </row>
    <row r="2" spans="1:11">
      <c r="A2" s="13" t="s">
        <v>86</v>
      </c>
      <c r="B2" s="13" t="s">
        <v>86</v>
      </c>
      <c r="C2" s="14">
        <v>165</v>
      </c>
      <c r="D2" s="15">
        <f t="shared" ref="D2:D19" si="0">C2/10000</f>
        <v>1.6500000000000001E-2</v>
      </c>
      <c r="E2" s="14">
        <v>165</v>
      </c>
      <c r="F2" s="15">
        <f>E2/10000</f>
        <v>1.6500000000000001E-2</v>
      </c>
      <c r="H2" s="16">
        <f>D2*100</f>
        <v>1.6500000000000001</v>
      </c>
      <c r="I2" s="16">
        <f>F2*100</f>
        <v>1.6500000000000001</v>
      </c>
      <c r="K2" t="s">
        <v>10</v>
      </c>
    </row>
    <row r="3" spans="1:11" ht="12.75" customHeight="1">
      <c r="A3" s="44" t="s">
        <v>87</v>
      </c>
      <c r="B3" s="13" t="s">
        <v>87</v>
      </c>
      <c r="C3" s="14">
        <v>1328</v>
      </c>
      <c r="D3" s="15">
        <f t="shared" si="0"/>
        <v>0.1328</v>
      </c>
      <c r="E3" s="48">
        <f>SUM(C3:C5)</f>
        <v>2656</v>
      </c>
      <c r="F3" s="46">
        <f>SUM(D3:D5)</f>
        <v>0.2656</v>
      </c>
      <c r="H3" s="30">
        <f t="shared" ref="H3:H35" si="1">D3*100</f>
        <v>13.28</v>
      </c>
      <c r="I3" s="47">
        <f>F3*100</f>
        <v>26.56</v>
      </c>
      <c r="K3" t="s">
        <v>10</v>
      </c>
    </row>
    <row r="4" spans="1:11">
      <c r="A4" s="44"/>
      <c r="B4" s="13" t="s">
        <v>88</v>
      </c>
      <c r="C4" s="14">
        <v>776</v>
      </c>
      <c r="D4" s="15">
        <f t="shared" si="0"/>
        <v>7.7600000000000002E-2</v>
      </c>
      <c r="E4" s="48"/>
      <c r="F4" s="48"/>
      <c r="H4" s="30">
        <f t="shared" si="1"/>
        <v>7.76</v>
      </c>
      <c r="I4" s="47">
        <f>F4^(1/3)*100</f>
        <v>0</v>
      </c>
      <c r="K4" t="s">
        <v>10</v>
      </c>
    </row>
    <row r="5" spans="1:11">
      <c r="A5" s="44"/>
      <c r="B5" s="13" t="s">
        <v>89</v>
      </c>
      <c r="C5" s="14">
        <v>552</v>
      </c>
      <c r="D5" s="15">
        <f t="shared" si="0"/>
        <v>5.5199999999999999E-2</v>
      </c>
      <c r="E5" s="48"/>
      <c r="F5" s="48"/>
      <c r="H5" s="30">
        <f t="shared" si="1"/>
        <v>5.52</v>
      </c>
      <c r="I5" s="47">
        <f>F5^(1/3)*100</f>
        <v>0</v>
      </c>
      <c r="K5" t="s">
        <v>10</v>
      </c>
    </row>
    <row r="6" spans="1:11" ht="12.75" customHeight="1">
      <c r="A6" s="44" t="s">
        <v>90</v>
      </c>
      <c r="B6" s="13" t="s">
        <v>91</v>
      </c>
      <c r="C6" s="14">
        <v>79</v>
      </c>
      <c r="D6" s="15">
        <f t="shared" si="0"/>
        <v>7.9000000000000008E-3</v>
      </c>
      <c r="E6" s="48">
        <f>SUM(C6:C8)</f>
        <v>434</v>
      </c>
      <c r="F6" s="46">
        <f>SUM(D6:D8)</f>
        <v>4.3400000000000001E-2</v>
      </c>
      <c r="H6" s="30">
        <f t="shared" si="1"/>
        <v>0.79</v>
      </c>
      <c r="I6" s="47">
        <f>F6*100</f>
        <v>4.34</v>
      </c>
      <c r="K6" t="s">
        <v>10</v>
      </c>
    </row>
    <row r="7" spans="1:11">
      <c r="A7" s="44"/>
      <c r="B7" s="13" t="s">
        <v>92</v>
      </c>
      <c r="C7" s="14">
        <v>138</v>
      </c>
      <c r="D7" s="15">
        <f t="shared" si="0"/>
        <v>1.38E-2</v>
      </c>
      <c r="E7" s="48">
        <f>SUM(C7:C9)</f>
        <v>408</v>
      </c>
      <c r="F7" s="46"/>
      <c r="H7" s="30">
        <f t="shared" si="1"/>
        <v>1.38</v>
      </c>
      <c r="I7" s="47"/>
      <c r="K7" t="s">
        <v>10</v>
      </c>
    </row>
    <row r="8" spans="1:11">
      <c r="A8" s="44"/>
      <c r="B8" s="13" t="s">
        <v>93</v>
      </c>
      <c r="C8" s="14">
        <v>217</v>
      </c>
      <c r="D8" s="15">
        <f t="shared" si="0"/>
        <v>2.1700000000000001E-2</v>
      </c>
      <c r="E8" s="48">
        <f>SUM(C8:C10)</f>
        <v>3184</v>
      </c>
      <c r="F8" s="46"/>
      <c r="H8" s="30">
        <f t="shared" si="1"/>
        <v>2.17</v>
      </c>
      <c r="I8" s="47"/>
      <c r="K8" t="s">
        <v>10</v>
      </c>
    </row>
    <row r="9" spans="1:11">
      <c r="A9" s="45" t="s">
        <v>94</v>
      </c>
      <c r="B9" s="13" t="s">
        <v>95</v>
      </c>
      <c r="C9" s="14">
        <v>53</v>
      </c>
      <c r="D9" s="15">
        <f t="shared" si="0"/>
        <v>5.3E-3</v>
      </c>
      <c r="E9" s="45">
        <f>SUM(C9:C10)</f>
        <v>2967</v>
      </c>
      <c r="F9" s="46">
        <f>SUM(D9:D10)</f>
        <v>0.29670000000000002</v>
      </c>
      <c r="H9" s="30">
        <f t="shared" si="1"/>
        <v>0.53</v>
      </c>
      <c r="I9" s="47">
        <f>F9*100</f>
        <v>29.67</v>
      </c>
      <c r="K9" t="s">
        <v>10</v>
      </c>
    </row>
    <row r="10" spans="1:11">
      <c r="A10" s="45"/>
      <c r="B10" s="14" t="s">
        <v>94</v>
      </c>
      <c r="C10" s="14">
        <v>2914</v>
      </c>
      <c r="D10" s="15">
        <f t="shared" si="0"/>
        <v>0.29139999999999999</v>
      </c>
      <c r="E10" s="45"/>
      <c r="F10" s="45"/>
      <c r="H10" s="30">
        <f t="shared" si="1"/>
        <v>29.14</v>
      </c>
      <c r="I10" s="47"/>
      <c r="K10" t="s">
        <v>10</v>
      </c>
    </row>
    <row r="11" spans="1:11">
      <c r="A11" s="45" t="s">
        <v>96</v>
      </c>
      <c r="B11" s="13" t="s">
        <v>97</v>
      </c>
      <c r="C11" s="14">
        <v>2407</v>
      </c>
      <c r="D11" s="15">
        <f t="shared" si="0"/>
        <v>0.2407</v>
      </c>
      <c r="E11" s="45">
        <f>SUM(C11:C15)</f>
        <v>3265</v>
      </c>
      <c r="F11" s="46">
        <f>SUM(D11:D15)</f>
        <v>0.32650000000000001</v>
      </c>
      <c r="H11" s="30">
        <f t="shared" si="1"/>
        <v>24.07</v>
      </c>
      <c r="I11" s="47">
        <f>F11*100</f>
        <v>32.65</v>
      </c>
      <c r="K11" t="s">
        <v>10</v>
      </c>
    </row>
    <row r="12" spans="1:11">
      <c r="A12" s="45"/>
      <c r="B12" s="13" t="s">
        <v>98</v>
      </c>
      <c r="C12" s="14">
        <v>101</v>
      </c>
      <c r="D12" s="15">
        <f t="shared" si="0"/>
        <v>1.01E-2</v>
      </c>
      <c r="E12" s="45"/>
      <c r="F12" s="45"/>
      <c r="H12" s="30">
        <f t="shared" si="1"/>
        <v>1.01</v>
      </c>
      <c r="I12" s="47"/>
      <c r="K12" t="s">
        <v>10</v>
      </c>
    </row>
    <row r="13" spans="1:11">
      <c r="A13" s="45"/>
      <c r="B13" s="13" t="s">
        <v>99</v>
      </c>
      <c r="C13" s="14">
        <v>65</v>
      </c>
      <c r="D13" s="15">
        <f t="shared" si="0"/>
        <v>6.4999999999999997E-3</v>
      </c>
      <c r="E13" s="45"/>
      <c r="F13" s="45"/>
      <c r="H13" s="30">
        <f t="shared" si="1"/>
        <v>0.65</v>
      </c>
      <c r="I13" s="47"/>
      <c r="K13" t="s">
        <v>10</v>
      </c>
    </row>
    <row r="14" spans="1:11">
      <c r="A14" s="45"/>
      <c r="B14" s="13" t="s">
        <v>100</v>
      </c>
      <c r="C14" s="14">
        <v>72</v>
      </c>
      <c r="D14" s="15">
        <f t="shared" si="0"/>
        <v>7.1999999999999998E-3</v>
      </c>
      <c r="E14" s="45"/>
      <c r="F14" s="45"/>
      <c r="H14" s="30">
        <f t="shared" si="1"/>
        <v>0.72</v>
      </c>
      <c r="I14" s="47"/>
      <c r="K14" t="s">
        <v>10</v>
      </c>
    </row>
    <row r="15" spans="1:11">
      <c r="A15" s="45"/>
      <c r="B15" s="13" t="s">
        <v>101</v>
      </c>
      <c r="C15" s="14">
        <v>620</v>
      </c>
      <c r="D15" s="15">
        <f t="shared" si="0"/>
        <v>6.2E-2</v>
      </c>
      <c r="E15" s="45"/>
      <c r="F15" s="45"/>
      <c r="H15" s="30">
        <f t="shared" si="1"/>
        <v>6.2</v>
      </c>
      <c r="I15" s="47"/>
      <c r="K15" t="s">
        <v>10</v>
      </c>
    </row>
    <row r="16" spans="1:11">
      <c r="A16" s="13" t="s">
        <v>102</v>
      </c>
      <c r="B16" s="13" t="s">
        <v>102</v>
      </c>
      <c r="C16" s="14">
        <v>79</v>
      </c>
      <c r="D16" s="15">
        <f t="shared" si="0"/>
        <v>7.9000000000000008E-3</v>
      </c>
      <c r="E16" s="14">
        <v>79</v>
      </c>
      <c r="F16" s="15">
        <f>E16/10000</f>
        <v>7.9000000000000008E-3</v>
      </c>
      <c r="H16" s="30">
        <f t="shared" si="1"/>
        <v>0.79</v>
      </c>
      <c r="I16" s="16">
        <f>F16*100</f>
        <v>0.79</v>
      </c>
      <c r="K16" t="s">
        <v>10</v>
      </c>
    </row>
    <row r="17" spans="1:11">
      <c r="A17" s="13" t="s">
        <v>103</v>
      </c>
      <c r="B17" s="13" t="s">
        <v>103</v>
      </c>
      <c r="C17" s="14">
        <v>395</v>
      </c>
      <c r="D17" s="15">
        <f t="shared" si="0"/>
        <v>3.95E-2</v>
      </c>
      <c r="E17" s="14">
        <v>395</v>
      </c>
      <c r="F17" s="15">
        <f>E17/10000</f>
        <v>3.95E-2</v>
      </c>
      <c r="H17" s="30">
        <f t="shared" si="1"/>
        <v>3.95</v>
      </c>
      <c r="I17" s="16">
        <f>F17*100</f>
        <v>3.95</v>
      </c>
      <c r="K17" t="s">
        <v>10</v>
      </c>
    </row>
    <row r="18" spans="1:11" ht="25.5">
      <c r="A18" s="13" t="s">
        <v>104</v>
      </c>
      <c r="B18" s="13" t="s">
        <v>104</v>
      </c>
      <c r="C18" s="14">
        <v>70</v>
      </c>
      <c r="D18" s="15">
        <f t="shared" si="0"/>
        <v>7.0000000000000001E-3</v>
      </c>
      <c r="E18" s="14">
        <v>70</v>
      </c>
      <c r="F18" s="15">
        <f>E18/10000</f>
        <v>7.0000000000000001E-3</v>
      </c>
      <c r="H18" s="30">
        <f t="shared" si="1"/>
        <v>0.70000000000000007</v>
      </c>
      <c r="I18" s="16">
        <f>F18*100</f>
        <v>0.70000000000000007</v>
      </c>
      <c r="K18" t="s">
        <v>10</v>
      </c>
    </row>
    <row r="19" spans="1:11">
      <c r="A19" s="13" t="s">
        <v>105</v>
      </c>
      <c r="B19" s="13" t="s">
        <v>105</v>
      </c>
      <c r="C19" s="14">
        <v>475</v>
      </c>
      <c r="D19" s="15">
        <f t="shared" si="0"/>
        <v>4.7500000000000001E-2</v>
      </c>
      <c r="E19" s="14">
        <v>475</v>
      </c>
      <c r="F19" s="15">
        <f>E19/10000</f>
        <v>4.7500000000000001E-2</v>
      </c>
      <c r="H19" s="30">
        <f t="shared" si="1"/>
        <v>4.75</v>
      </c>
      <c r="I19" s="16">
        <f>F19*100</f>
        <v>4.75</v>
      </c>
      <c r="K19" t="s">
        <v>40</v>
      </c>
    </row>
    <row r="20" spans="1:11" ht="12.75" customHeight="1">
      <c r="A20" s="45" t="s">
        <v>106</v>
      </c>
      <c r="B20" s="13" t="s">
        <v>107</v>
      </c>
      <c r="C20" s="14" t="s">
        <v>108</v>
      </c>
      <c r="D20" s="15">
        <v>0.19</v>
      </c>
      <c r="E20" s="49" t="s">
        <v>109</v>
      </c>
      <c r="F20" s="49" t="s">
        <v>110</v>
      </c>
      <c r="H20" s="30">
        <f t="shared" si="1"/>
        <v>19</v>
      </c>
      <c r="I20" s="47">
        <f>((0.35*2+0.16)/3)*100</f>
        <v>28.666666666666668</v>
      </c>
      <c r="K20" t="s">
        <v>10</v>
      </c>
    </row>
    <row r="21" spans="1:11">
      <c r="A21" s="45"/>
      <c r="B21" s="13" t="s">
        <v>111</v>
      </c>
      <c r="C21" s="14" t="s">
        <v>112</v>
      </c>
      <c r="D21" s="15">
        <v>0.06</v>
      </c>
      <c r="E21" s="49"/>
      <c r="F21" s="49"/>
      <c r="H21" s="30">
        <f t="shared" si="1"/>
        <v>6</v>
      </c>
      <c r="I21" s="47"/>
      <c r="K21" t="s">
        <v>10</v>
      </c>
    </row>
    <row r="22" spans="1:11">
      <c r="A22" s="45"/>
      <c r="B22" s="13" t="s">
        <v>113</v>
      </c>
      <c r="C22" s="14" t="s">
        <v>114</v>
      </c>
      <c r="D22" s="15">
        <v>0.02</v>
      </c>
      <c r="E22" s="49"/>
      <c r="F22" s="49"/>
      <c r="H22" s="30">
        <f t="shared" si="1"/>
        <v>2</v>
      </c>
      <c r="I22" s="47"/>
      <c r="K22" t="s">
        <v>10</v>
      </c>
    </row>
    <row r="23" spans="1:11">
      <c r="A23" s="45"/>
      <c r="B23" s="13" t="s">
        <v>115</v>
      </c>
      <c r="C23" s="14" t="s">
        <v>114</v>
      </c>
      <c r="D23" s="15">
        <v>0.02</v>
      </c>
      <c r="E23" s="49"/>
      <c r="F23" s="49"/>
      <c r="H23" s="30">
        <f t="shared" si="1"/>
        <v>2</v>
      </c>
      <c r="I23" s="47"/>
      <c r="K23" t="s">
        <v>10</v>
      </c>
    </row>
    <row r="24" spans="1:11">
      <c r="A24" s="45" t="s">
        <v>116</v>
      </c>
      <c r="B24" s="13" t="s">
        <v>117</v>
      </c>
      <c r="C24" s="14">
        <v>1211</v>
      </c>
      <c r="D24" s="15">
        <f t="shared" ref="D24:D35" si="2">C24/10000</f>
        <v>0.1211</v>
      </c>
      <c r="E24" s="45">
        <f>SUM(C24:C25)</f>
        <v>2905</v>
      </c>
      <c r="F24" s="46">
        <f>SUM(D24:D25)</f>
        <v>0.29049999999999998</v>
      </c>
      <c r="H24" s="30">
        <f t="shared" si="1"/>
        <v>12.11</v>
      </c>
      <c r="I24" s="50">
        <f>F24*100</f>
        <v>29.049999999999997</v>
      </c>
      <c r="K24" t="s">
        <v>10</v>
      </c>
    </row>
    <row r="25" spans="1:11">
      <c r="A25" s="45"/>
      <c r="B25" s="14" t="s">
        <v>116</v>
      </c>
      <c r="C25" s="14">
        <v>1694</v>
      </c>
      <c r="D25" s="15">
        <f t="shared" si="2"/>
        <v>0.1694</v>
      </c>
      <c r="E25" s="45"/>
      <c r="F25" s="45"/>
      <c r="H25" s="30">
        <f t="shared" si="1"/>
        <v>16.939999999999998</v>
      </c>
      <c r="I25" s="50"/>
      <c r="K25" t="s">
        <v>10</v>
      </c>
    </row>
    <row r="26" spans="1:11">
      <c r="A26" s="13" t="s">
        <v>118</v>
      </c>
      <c r="B26" s="13" t="s">
        <v>118</v>
      </c>
      <c r="C26" s="14">
        <v>4674</v>
      </c>
      <c r="D26" s="15">
        <f t="shared" si="2"/>
        <v>0.46739999999999998</v>
      </c>
      <c r="E26" s="14">
        <v>4674</v>
      </c>
      <c r="F26" s="15">
        <f>E26/10000</f>
        <v>0.46739999999999998</v>
      </c>
      <c r="H26" s="30">
        <f t="shared" si="1"/>
        <v>46.739999999999995</v>
      </c>
      <c r="I26" s="16">
        <f>F26*100</f>
        <v>46.739999999999995</v>
      </c>
      <c r="K26" t="s">
        <v>10</v>
      </c>
    </row>
    <row r="27" spans="1:11">
      <c r="A27" s="13" t="s">
        <v>119</v>
      </c>
      <c r="B27" s="13" t="s">
        <v>119</v>
      </c>
      <c r="C27" s="14">
        <v>396</v>
      </c>
      <c r="D27" s="15">
        <f t="shared" si="2"/>
        <v>3.9600000000000003E-2</v>
      </c>
      <c r="E27" s="14">
        <v>396</v>
      </c>
      <c r="F27" s="15">
        <f>E27/10000</f>
        <v>3.9600000000000003E-2</v>
      </c>
      <c r="H27" s="30">
        <f t="shared" si="1"/>
        <v>3.9600000000000004</v>
      </c>
      <c r="I27" s="16">
        <f>F27*100</f>
        <v>3.9600000000000004</v>
      </c>
      <c r="K27" t="s">
        <v>40</v>
      </c>
    </row>
    <row r="28" spans="1:11">
      <c r="A28" s="13" t="s">
        <v>120</v>
      </c>
      <c r="B28" s="13" t="s">
        <v>120</v>
      </c>
      <c r="C28" s="14">
        <v>795</v>
      </c>
      <c r="D28" s="15">
        <f t="shared" si="2"/>
        <v>7.9500000000000001E-2</v>
      </c>
      <c r="E28" s="14">
        <v>795</v>
      </c>
      <c r="F28" s="15">
        <f>E28/10000</f>
        <v>7.9500000000000001E-2</v>
      </c>
      <c r="H28" s="30">
        <f t="shared" si="1"/>
        <v>7.95</v>
      </c>
      <c r="I28" s="16">
        <f>F28*100</f>
        <v>7.95</v>
      </c>
      <c r="K28" t="s">
        <v>40</v>
      </c>
    </row>
    <row r="29" spans="1:11" ht="12.75" customHeight="1">
      <c r="A29" s="44" t="s">
        <v>121</v>
      </c>
      <c r="B29" s="13" t="s">
        <v>122</v>
      </c>
      <c r="C29" s="14">
        <v>595</v>
      </c>
      <c r="D29" s="15">
        <f t="shared" si="2"/>
        <v>5.9499999999999997E-2</v>
      </c>
      <c r="E29" s="45" t="s">
        <v>123</v>
      </c>
      <c r="F29" s="46">
        <v>0.17</v>
      </c>
      <c r="H29" s="30">
        <f t="shared" si="1"/>
        <v>5.9499999999999993</v>
      </c>
      <c r="I29" s="47">
        <f>F29*100</f>
        <v>17</v>
      </c>
      <c r="K29" t="s">
        <v>10</v>
      </c>
    </row>
    <row r="30" spans="1:11">
      <c r="A30" s="44"/>
      <c r="B30" s="13" t="s">
        <v>124</v>
      </c>
      <c r="C30" s="14">
        <v>57</v>
      </c>
      <c r="D30" s="15">
        <f t="shared" si="2"/>
        <v>5.7000000000000002E-3</v>
      </c>
      <c r="E30" s="45"/>
      <c r="F30" s="45"/>
      <c r="H30" s="30">
        <f t="shared" si="1"/>
        <v>0.57000000000000006</v>
      </c>
      <c r="I30" s="47"/>
      <c r="K30" t="s">
        <v>10</v>
      </c>
    </row>
    <row r="31" spans="1:11">
      <c r="A31" s="44"/>
      <c r="B31" s="13" t="s">
        <v>125</v>
      </c>
      <c r="C31" s="14">
        <v>306</v>
      </c>
      <c r="D31" s="15">
        <f t="shared" si="2"/>
        <v>3.0599999999999999E-2</v>
      </c>
      <c r="E31" s="45"/>
      <c r="F31" s="45"/>
      <c r="H31" s="30">
        <f t="shared" si="1"/>
        <v>3.06</v>
      </c>
      <c r="I31" s="47"/>
      <c r="K31" t="s">
        <v>10</v>
      </c>
    </row>
    <row r="32" spans="1:11">
      <c r="A32" s="44"/>
      <c r="B32" s="13" t="s">
        <v>126</v>
      </c>
      <c r="C32" s="14">
        <v>2</v>
      </c>
      <c r="D32" s="15">
        <f t="shared" si="2"/>
        <v>2.0000000000000001E-4</v>
      </c>
      <c r="E32" s="45"/>
      <c r="F32" s="45"/>
      <c r="H32" s="30">
        <f t="shared" si="1"/>
        <v>0.02</v>
      </c>
      <c r="I32" s="47"/>
      <c r="K32" t="s">
        <v>10</v>
      </c>
    </row>
    <row r="33" spans="1:11" ht="12.75" customHeight="1">
      <c r="A33" s="44" t="s">
        <v>21</v>
      </c>
      <c r="B33" s="14" t="s">
        <v>127</v>
      </c>
      <c r="C33" s="14">
        <v>749</v>
      </c>
      <c r="D33" s="15">
        <f t="shared" si="2"/>
        <v>7.4899999999999994E-2</v>
      </c>
      <c r="E33" s="48">
        <f>SUM(C33:C35)</f>
        <v>4285</v>
      </c>
      <c r="F33" s="46">
        <f>SUM(D33:D35)</f>
        <v>0.42849999999999999</v>
      </c>
      <c r="H33" s="30">
        <f t="shared" si="1"/>
        <v>7.4899999999999993</v>
      </c>
      <c r="I33" s="47">
        <f>F33*100</f>
        <v>42.85</v>
      </c>
      <c r="K33" t="s">
        <v>10</v>
      </c>
    </row>
    <row r="34" spans="1:11">
      <c r="A34" s="44"/>
      <c r="B34" s="14" t="s">
        <v>128</v>
      </c>
      <c r="C34" s="14">
        <v>2097</v>
      </c>
      <c r="D34" s="15">
        <f t="shared" si="2"/>
        <v>0.2097</v>
      </c>
      <c r="E34" s="48"/>
      <c r="F34" s="48"/>
      <c r="H34" s="30">
        <f t="shared" si="1"/>
        <v>20.97</v>
      </c>
      <c r="I34" s="47"/>
      <c r="K34" t="s">
        <v>10</v>
      </c>
    </row>
    <row r="35" spans="1:11">
      <c r="A35" s="44"/>
      <c r="B35" s="14" t="s">
        <v>129</v>
      </c>
      <c r="C35" s="14">
        <v>1439</v>
      </c>
      <c r="D35" s="15">
        <f t="shared" si="2"/>
        <v>0.1439</v>
      </c>
      <c r="E35" s="48"/>
      <c r="F35" s="48"/>
      <c r="H35" s="30">
        <f t="shared" si="1"/>
        <v>14.39</v>
      </c>
      <c r="I35" s="47"/>
      <c r="K35" t="s">
        <v>10</v>
      </c>
    </row>
  </sheetData>
  <mergeCells count="32">
    <mergeCell ref="A3:A5"/>
    <mergeCell ref="E3:E5"/>
    <mergeCell ref="F3:F5"/>
    <mergeCell ref="I3:I5"/>
    <mergeCell ref="A6:A8"/>
    <mergeCell ref="E6:E8"/>
    <mergeCell ref="F6:F8"/>
    <mergeCell ref="I6:I8"/>
    <mergeCell ref="A9:A10"/>
    <mergeCell ref="E9:E10"/>
    <mergeCell ref="F9:F10"/>
    <mergeCell ref="I9:I10"/>
    <mergeCell ref="A11:A15"/>
    <mergeCell ref="E11:E15"/>
    <mergeCell ref="F11:F15"/>
    <mergeCell ref="I11:I15"/>
    <mergeCell ref="A20:A23"/>
    <mergeCell ref="E20:E23"/>
    <mergeCell ref="F20:F23"/>
    <mergeCell ref="I20:I23"/>
    <mergeCell ref="A24:A25"/>
    <mergeCell ref="E24:E25"/>
    <mergeCell ref="F24:F25"/>
    <mergeCell ref="I24:I25"/>
    <mergeCell ref="A29:A32"/>
    <mergeCell ref="E29:E32"/>
    <mergeCell ref="F29:F32"/>
    <mergeCell ref="I29:I32"/>
    <mergeCell ref="A33:A35"/>
    <mergeCell ref="E33:E35"/>
    <mergeCell ref="F33:F35"/>
    <mergeCell ref="I33:I3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ignoredErrors>
    <ignoredError sqref="E11" formulaRange="1"/>
  </ignoredError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2"/>
  <sheetViews>
    <sheetView zoomScale="110" zoomScaleNormal="110" workbookViewId="0">
      <selection activeCell="B3" sqref="B3"/>
    </sheetView>
  </sheetViews>
  <sheetFormatPr defaultRowHeight="12.75"/>
  <cols>
    <col min="1" max="1" width="19.140625" bestFit="1" customWidth="1"/>
    <col min="2" max="2" width="34.7109375" customWidth="1"/>
    <col min="3" max="3" width="30.42578125" customWidth="1"/>
    <col min="4" max="4" width="30" bestFit="1" customWidth="1"/>
    <col min="5" max="5" width="16.7109375" bestFit="1" customWidth="1"/>
    <col min="6" max="6" width="7.85546875" bestFit="1" customWidth="1"/>
    <col min="7" max="7" width="5" bestFit="1" customWidth="1"/>
    <col min="8" max="10" width="0" hidden="1" customWidth="1"/>
    <col min="11" max="11" width="37.42578125" bestFit="1" customWidth="1"/>
    <col min="12" max="12" width="16.5703125" customWidth="1"/>
    <col min="13" max="13" width="3.42578125" customWidth="1"/>
    <col min="14" max="14" width="13.28515625" customWidth="1"/>
    <col min="15" max="16" width="11.5703125"/>
    <col min="17" max="17" width="6.5703125" customWidth="1"/>
    <col min="18" max="18" width="11.5703125"/>
    <col min="20" max="1026" width="11.5703125"/>
  </cols>
  <sheetData>
    <row r="1" spans="1:24">
      <c r="A1" s="23" t="s">
        <v>131</v>
      </c>
    </row>
    <row r="2" spans="1:24">
      <c r="E2" s="43" t="s">
        <v>157</v>
      </c>
      <c r="F2" s="43"/>
      <c r="G2" s="43"/>
      <c r="L2" s="43" t="s">
        <v>183</v>
      </c>
      <c r="M2" s="43"/>
      <c r="N2" s="43"/>
      <c r="O2" s="43"/>
      <c r="P2" s="43" t="s">
        <v>133</v>
      </c>
      <c r="Q2" s="43"/>
      <c r="R2" s="43"/>
      <c r="S2" s="43"/>
      <c r="T2" s="43" t="s">
        <v>182</v>
      </c>
      <c r="U2" s="43"/>
      <c r="V2" s="43"/>
      <c r="W2" s="43"/>
      <c r="X2" s="51" t="s">
        <v>32</v>
      </c>
    </row>
    <row r="3" spans="1:24" ht="25.5">
      <c r="A3" s="26" t="s">
        <v>132</v>
      </c>
      <c r="B3" s="25" t="s">
        <v>130</v>
      </c>
      <c r="C3" s="25" t="s">
        <v>133</v>
      </c>
      <c r="D3" s="25" t="s">
        <v>182</v>
      </c>
      <c r="E3" s="25" t="s">
        <v>130</v>
      </c>
      <c r="F3" s="25" t="s">
        <v>133</v>
      </c>
      <c r="G3" s="25" t="s">
        <v>134</v>
      </c>
      <c r="H3" s="27"/>
      <c r="I3" s="27"/>
      <c r="J3" s="27"/>
      <c r="K3" s="26" t="s">
        <v>0</v>
      </c>
      <c r="L3" s="26" t="s">
        <v>175</v>
      </c>
      <c r="M3" s="26" t="s">
        <v>169</v>
      </c>
      <c r="N3" s="26" t="s">
        <v>176</v>
      </c>
      <c r="O3" s="26" t="s">
        <v>32</v>
      </c>
      <c r="P3" s="26" t="s">
        <v>175</v>
      </c>
      <c r="Q3" s="26" t="s">
        <v>169</v>
      </c>
      <c r="R3" s="26" t="s">
        <v>176</v>
      </c>
      <c r="S3" s="26" t="s">
        <v>32</v>
      </c>
      <c r="T3" s="26" t="s">
        <v>175</v>
      </c>
      <c r="U3" s="26" t="s">
        <v>169</v>
      </c>
      <c r="V3" s="26" t="s">
        <v>176</v>
      </c>
      <c r="W3" s="26" t="s">
        <v>32</v>
      </c>
      <c r="X3" s="51"/>
    </row>
    <row r="4" spans="1:24" ht="25.5">
      <c r="A4" s="14" t="s">
        <v>136</v>
      </c>
      <c r="B4" s="18" t="s">
        <v>156</v>
      </c>
      <c r="C4" s="20" t="s">
        <v>172</v>
      </c>
      <c r="D4" s="20" t="s">
        <v>135</v>
      </c>
      <c r="E4" s="18" t="s">
        <v>40</v>
      </c>
      <c r="F4" s="18" t="s">
        <v>40</v>
      </c>
      <c r="G4" s="18"/>
      <c r="K4" s="4" t="s">
        <v>4</v>
      </c>
      <c r="L4">
        <v>2</v>
      </c>
      <c r="M4">
        <v>0</v>
      </c>
      <c r="N4">
        <v>2</v>
      </c>
      <c r="O4" s="21">
        <f>IF(AND(ISNUMBER(N4),N4&lt;&gt;0),(L4-M4*0.25)/N4*100,"NA")</f>
        <v>100</v>
      </c>
      <c r="P4">
        <v>1</v>
      </c>
      <c r="Q4">
        <v>0</v>
      </c>
      <c r="R4">
        <v>1</v>
      </c>
      <c r="S4" s="21">
        <f>IF(AND(ISNUMBER(R4),R4&lt;&gt;0),(P4-Q4*0.25)/R4*100,"NA")</f>
        <v>100</v>
      </c>
      <c r="T4">
        <v>1</v>
      </c>
      <c r="U4">
        <v>0</v>
      </c>
      <c r="V4">
        <v>1</v>
      </c>
      <c r="W4" s="21">
        <f>IF(AND(ISNUMBER(V4),V4&lt;&gt;0),(T4-U4*0.25)/V4*100,"NA")</f>
        <v>100</v>
      </c>
    </row>
    <row r="5" spans="1:24" ht="25.5">
      <c r="A5" s="14" t="s">
        <v>137</v>
      </c>
      <c r="B5" s="18" t="s">
        <v>161</v>
      </c>
      <c r="C5" s="18" t="s">
        <v>174</v>
      </c>
      <c r="D5" s="20" t="s">
        <v>180</v>
      </c>
      <c r="E5" s="18" t="s">
        <v>40</v>
      </c>
      <c r="F5" s="18" t="s">
        <v>40</v>
      </c>
      <c r="G5" s="18"/>
      <c r="K5" s="4" t="s">
        <v>6</v>
      </c>
      <c r="L5">
        <v>0</v>
      </c>
      <c r="M5">
        <v>0</v>
      </c>
      <c r="N5">
        <v>1</v>
      </c>
      <c r="O5" s="21">
        <f t="shared" ref="O5:O26" si="0">IF(AND(ISNUMBER(N5),N5&lt;&gt;0),(L5-M5*0.25)/N5*100,"NA")</f>
        <v>0</v>
      </c>
      <c r="P5">
        <v>0</v>
      </c>
      <c r="Q5">
        <v>0</v>
      </c>
      <c r="R5">
        <v>1</v>
      </c>
      <c r="S5" s="21">
        <f t="shared" ref="S5:S26" si="1">IF(AND(ISNUMBER(R5),R5&lt;&gt;0),(P5-Q5*0.25)/R5*100,"NA")</f>
        <v>0</v>
      </c>
      <c r="T5">
        <v>0</v>
      </c>
      <c r="U5">
        <v>0</v>
      </c>
      <c r="V5">
        <v>1</v>
      </c>
      <c r="W5" s="21">
        <f t="shared" ref="W5:W26" si="2">IF(AND(ISNUMBER(V5),V5&lt;&gt;0),(T5-U5*0.25)/V5*100,"NA")</f>
        <v>0</v>
      </c>
    </row>
    <row r="6" spans="1:24">
      <c r="A6" s="14" t="s">
        <v>138</v>
      </c>
      <c r="B6" s="20" t="s">
        <v>138</v>
      </c>
      <c r="C6" s="20" t="s">
        <v>139</v>
      </c>
      <c r="D6" s="20" t="s">
        <v>140</v>
      </c>
      <c r="E6" s="18" t="s">
        <v>158</v>
      </c>
      <c r="F6" s="18" t="s">
        <v>40</v>
      </c>
      <c r="G6" s="18"/>
      <c r="K6" s="4" t="s">
        <v>8</v>
      </c>
      <c r="L6">
        <v>0</v>
      </c>
      <c r="M6">
        <v>0</v>
      </c>
      <c r="N6">
        <v>5</v>
      </c>
      <c r="O6" s="21">
        <f t="shared" si="0"/>
        <v>0</v>
      </c>
      <c r="P6">
        <v>0</v>
      </c>
      <c r="Q6">
        <v>0</v>
      </c>
      <c r="R6">
        <v>4</v>
      </c>
      <c r="S6" s="21">
        <f t="shared" si="1"/>
        <v>0</v>
      </c>
      <c r="T6">
        <v>0</v>
      </c>
      <c r="U6">
        <v>0</v>
      </c>
      <c r="V6">
        <v>4</v>
      </c>
      <c r="W6" s="21">
        <f t="shared" si="2"/>
        <v>0</v>
      </c>
    </row>
    <row r="7" spans="1:24" ht="38.25">
      <c r="A7" s="14" t="s">
        <v>141</v>
      </c>
      <c r="B7" s="18" t="s">
        <v>165</v>
      </c>
      <c r="C7" s="20" t="s">
        <v>177</v>
      </c>
      <c r="D7" s="20" t="s">
        <v>181</v>
      </c>
      <c r="E7" s="18" t="s">
        <v>158</v>
      </c>
      <c r="F7" s="18" t="s">
        <v>40</v>
      </c>
      <c r="G7" s="18"/>
      <c r="K7" s="4" t="s">
        <v>9</v>
      </c>
      <c r="L7">
        <v>1</v>
      </c>
      <c r="M7">
        <v>0</v>
      </c>
      <c r="N7">
        <v>1</v>
      </c>
      <c r="O7" s="21">
        <f t="shared" si="0"/>
        <v>100</v>
      </c>
      <c r="P7">
        <v>1</v>
      </c>
      <c r="Q7">
        <v>0</v>
      </c>
      <c r="R7">
        <v>1</v>
      </c>
      <c r="S7" s="21">
        <f t="shared" si="1"/>
        <v>100</v>
      </c>
      <c r="T7">
        <v>0.5</v>
      </c>
      <c r="U7">
        <v>0</v>
      </c>
      <c r="V7">
        <v>1</v>
      </c>
      <c r="W7" s="21">
        <f t="shared" si="2"/>
        <v>50</v>
      </c>
    </row>
    <row r="8" spans="1:24" ht="25.5">
      <c r="A8" s="14" t="s">
        <v>142</v>
      </c>
      <c r="B8" s="18" t="s">
        <v>162</v>
      </c>
      <c r="C8" s="20" t="s">
        <v>178</v>
      </c>
      <c r="D8" s="20" t="s">
        <v>143</v>
      </c>
      <c r="E8" s="18" t="s">
        <v>40</v>
      </c>
      <c r="F8" s="18" t="s">
        <v>40</v>
      </c>
      <c r="G8" s="18"/>
      <c r="K8" s="4" t="s">
        <v>11</v>
      </c>
      <c r="L8">
        <v>1</v>
      </c>
      <c r="M8">
        <v>0</v>
      </c>
      <c r="N8">
        <v>1</v>
      </c>
      <c r="O8" s="21">
        <f t="shared" si="0"/>
        <v>100</v>
      </c>
      <c r="P8">
        <v>0</v>
      </c>
      <c r="Q8">
        <v>0</v>
      </c>
      <c r="R8">
        <v>0</v>
      </c>
      <c r="S8" s="21" t="str">
        <f t="shared" si="1"/>
        <v>NA</v>
      </c>
      <c r="T8">
        <v>0</v>
      </c>
      <c r="U8">
        <v>0</v>
      </c>
      <c r="V8">
        <v>0</v>
      </c>
      <c r="W8" s="21" t="str">
        <f t="shared" si="2"/>
        <v>NA</v>
      </c>
    </row>
    <row r="9" spans="1:24">
      <c r="A9" s="14" t="s">
        <v>16</v>
      </c>
      <c r="B9" s="18" t="s">
        <v>163</v>
      </c>
      <c r="C9" s="18" t="s">
        <v>173</v>
      </c>
      <c r="D9" s="20" t="s">
        <v>145</v>
      </c>
      <c r="E9" s="18" t="s">
        <v>40</v>
      </c>
      <c r="F9" s="18" t="s">
        <v>40</v>
      </c>
      <c r="G9" s="18"/>
      <c r="K9" s="4" t="s">
        <v>12</v>
      </c>
      <c r="L9">
        <v>1</v>
      </c>
      <c r="M9">
        <v>0</v>
      </c>
      <c r="N9">
        <v>1</v>
      </c>
      <c r="O9" s="21">
        <f t="shared" si="0"/>
        <v>100</v>
      </c>
      <c r="P9">
        <v>1</v>
      </c>
      <c r="Q9">
        <v>0</v>
      </c>
      <c r="R9">
        <v>1</v>
      </c>
      <c r="S9" s="21">
        <f t="shared" si="1"/>
        <v>100</v>
      </c>
      <c r="T9">
        <v>0.5</v>
      </c>
      <c r="U9">
        <v>0</v>
      </c>
      <c r="V9">
        <v>1</v>
      </c>
      <c r="W9" s="21">
        <f t="shared" si="2"/>
        <v>50</v>
      </c>
    </row>
    <row r="10" spans="1:24">
      <c r="A10" s="14" t="s">
        <v>144</v>
      </c>
      <c r="B10" s="18" t="s">
        <v>164</v>
      </c>
      <c r="C10" s="18" t="s">
        <v>179</v>
      </c>
      <c r="D10" s="20" t="s">
        <v>146</v>
      </c>
      <c r="E10" s="18" t="s">
        <v>40</v>
      </c>
      <c r="F10" s="18" t="s">
        <v>40</v>
      </c>
      <c r="G10" s="18"/>
      <c r="K10" s="4" t="s">
        <v>13</v>
      </c>
      <c r="L10">
        <v>1</v>
      </c>
      <c r="M10">
        <v>0</v>
      </c>
      <c r="N10">
        <v>1</v>
      </c>
      <c r="O10" s="21">
        <f t="shared" si="0"/>
        <v>100</v>
      </c>
      <c r="P10">
        <v>1</v>
      </c>
      <c r="Q10">
        <v>0</v>
      </c>
      <c r="R10">
        <v>1</v>
      </c>
      <c r="S10" s="21">
        <f t="shared" si="1"/>
        <v>100</v>
      </c>
      <c r="T10">
        <v>0.5</v>
      </c>
      <c r="U10">
        <v>0</v>
      </c>
      <c r="V10">
        <v>1</v>
      </c>
      <c r="W10" s="21">
        <f t="shared" si="2"/>
        <v>50</v>
      </c>
    </row>
    <row r="11" spans="1:24">
      <c r="A11" s="14" t="s">
        <v>17</v>
      </c>
      <c r="B11" s="20" t="s">
        <v>147</v>
      </c>
      <c r="C11" s="20" t="s">
        <v>148</v>
      </c>
      <c r="D11" s="20" t="s">
        <v>149</v>
      </c>
      <c r="E11" s="18" t="s">
        <v>40</v>
      </c>
      <c r="F11" s="18" t="s">
        <v>40</v>
      </c>
      <c r="G11" s="18"/>
      <c r="K11" s="4" t="s">
        <v>14</v>
      </c>
      <c r="L11">
        <v>0</v>
      </c>
      <c r="M11">
        <v>0</v>
      </c>
      <c r="N11">
        <v>1</v>
      </c>
      <c r="O11" s="21">
        <f t="shared" si="0"/>
        <v>0</v>
      </c>
      <c r="P11">
        <v>0</v>
      </c>
      <c r="Q11">
        <v>0</v>
      </c>
      <c r="R11">
        <v>0</v>
      </c>
      <c r="S11" s="21" t="str">
        <f t="shared" si="1"/>
        <v>NA</v>
      </c>
      <c r="T11">
        <v>0</v>
      </c>
      <c r="U11">
        <v>0</v>
      </c>
      <c r="V11">
        <v>0</v>
      </c>
      <c r="W11" s="21" t="str">
        <f t="shared" si="2"/>
        <v>NA</v>
      </c>
    </row>
    <row r="12" spans="1:24">
      <c r="A12" s="14" t="s">
        <v>150</v>
      </c>
      <c r="B12" s="20" t="s">
        <v>159</v>
      </c>
      <c r="C12" s="20" t="s">
        <v>159</v>
      </c>
      <c r="D12" s="20" t="s">
        <v>160</v>
      </c>
      <c r="E12" s="18" t="s">
        <v>158</v>
      </c>
      <c r="F12" s="18" t="s">
        <v>40</v>
      </c>
      <c r="G12" s="18"/>
      <c r="K12" s="4" t="s">
        <v>15</v>
      </c>
      <c r="L12">
        <v>3</v>
      </c>
      <c r="M12">
        <v>0</v>
      </c>
      <c r="N12">
        <v>4</v>
      </c>
      <c r="O12" s="21">
        <f t="shared" si="0"/>
        <v>75</v>
      </c>
      <c r="P12">
        <v>2</v>
      </c>
      <c r="Q12">
        <v>0</v>
      </c>
      <c r="R12">
        <v>4</v>
      </c>
      <c r="S12" s="21">
        <f t="shared" si="1"/>
        <v>50</v>
      </c>
      <c r="T12" s="10">
        <f>1.5</f>
        <v>1.5</v>
      </c>
      <c r="U12">
        <v>0</v>
      </c>
      <c r="V12">
        <v>4</v>
      </c>
      <c r="W12" s="21">
        <f t="shared" si="2"/>
        <v>37.5</v>
      </c>
    </row>
    <row r="13" spans="1:24">
      <c r="A13" s="14" t="s">
        <v>153</v>
      </c>
      <c r="B13" s="19" t="s">
        <v>151</v>
      </c>
      <c r="C13" s="20" t="s">
        <v>154</v>
      </c>
      <c r="D13" s="20" t="s">
        <v>152</v>
      </c>
      <c r="E13" s="18" t="s">
        <v>158</v>
      </c>
      <c r="F13" s="18" t="s">
        <v>40</v>
      </c>
      <c r="G13" s="18"/>
      <c r="K13" s="4" t="s">
        <v>16</v>
      </c>
      <c r="L13">
        <v>3</v>
      </c>
      <c r="M13">
        <v>4</v>
      </c>
      <c r="N13">
        <v>3</v>
      </c>
      <c r="O13" s="21">
        <f t="shared" si="0"/>
        <v>66.666666666666657</v>
      </c>
      <c r="P13">
        <v>1</v>
      </c>
      <c r="Q13">
        <v>0</v>
      </c>
      <c r="R13">
        <v>2</v>
      </c>
      <c r="S13" s="21">
        <f t="shared" si="1"/>
        <v>50</v>
      </c>
      <c r="T13">
        <v>0</v>
      </c>
      <c r="U13">
        <v>0</v>
      </c>
      <c r="V13">
        <v>2</v>
      </c>
      <c r="W13" s="21">
        <f t="shared" si="2"/>
        <v>0</v>
      </c>
    </row>
    <row r="14" spans="1:24">
      <c r="A14" s="14" t="s">
        <v>155</v>
      </c>
      <c r="B14" s="19" t="s">
        <v>151</v>
      </c>
      <c r="C14" s="20" t="s">
        <v>154</v>
      </c>
      <c r="D14" s="20" t="s">
        <v>152</v>
      </c>
      <c r="E14" s="18"/>
      <c r="F14" s="18" t="s">
        <v>40</v>
      </c>
      <c r="G14" s="18"/>
      <c r="K14" s="4" t="s">
        <v>17</v>
      </c>
      <c r="L14">
        <v>0</v>
      </c>
      <c r="M14">
        <v>0</v>
      </c>
      <c r="N14">
        <v>1</v>
      </c>
      <c r="O14" s="21">
        <f t="shared" si="0"/>
        <v>0</v>
      </c>
      <c r="P14">
        <v>0</v>
      </c>
      <c r="Q14">
        <v>0</v>
      </c>
      <c r="R14">
        <v>1</v>
      </c>
      <c r="S14" s="21">
        <f t="shared" si="1"/>
        <v>0</v>
      </c>
      <c r="T14">
        <v>0</v>
      </c>
      <c r="U14">
        <v>0</v>
      </c>
      <c r="V14">
        <v>1</v>
      </c>
      <c r="W14" s="21">
        <f t="shared" si="2"/>
        <v>0</v>
      </c>
    </row>
    <row r="15" spans="1:24" ht="25.5" customHeight="1">
      <c r="A15" s="14" t="s">
        <v>166</v>
      </c>
      <c r="B15" s="19" t="s">
        <v>167</v>
      </c>
      <c r="C15" s="52" t="s">
        <v>168</v>
      </c>
      <c r="D15" s="52"/>
      <c r="E15" s="52" t="s">
        <v>170</v>
      </c>
      <c r="F15" s="52"/>
      <c r="G15" s="52"/>
      <c r="K15" s="4" t="s">
        <v>18</v>
      </c>
      <c r="L15">
        <v>0</v>
      </c>
      <c r="M15">
        <v>0</v>
      </c>
      <c r="N15">
        <v>1</v>
      </c>
      <c r="O15" s="21">
        <f t="shared" si="0"/>
        <v>0</v>
      </c>
      <c r="P15">
        <v>0</v>
      </c>
      <c r="Q15">
        <v>0</v>
      </c>
      <c r="R15">
        <v>1</v>
      </c>
      <c r="S15" s="21">
        <f t="shared" si="1"/>
        <v>0</v>
      </c>
      <c r="T15">
        <v>0</v>
      </c>
      <c r="U15">
        <v>0</v>
      </c>
      <c r="V15">
        <v>1</v>
      </c>
      <c r="W15" s="21">
        <f t="shared" si="2"/>
        <v>0</v>
      </c>
    </row>
    <row r="16" spans="1:24">
      <c r="A16" s="14"/>
      <c r="B16" s="19"/>
      <c r="D16" s="24"/>
      <c r="E16" s="22"/>
      <c r="K16" s="4" t="s">
        <v>19</v>
      </c>
      <c r="L16">
        <v>3</v>
      </c>
      <c r="M16">
        <v>0</v>
      </c>
      <c r="N16">
        <v>6</v>
      </c>
      <c r="O16" s="21">
        <f t="shared" si="0"/>
        <v>50</v>
      </c>
      <c r="P16">
        <v>0</v>
      </c>
      <c r="Q16">
        <v>0</v>
      </c>
      <c r="R16">
        <v>5</v>
      </c>
      <c r="S16" s="21">
        <f t="shared" si="1"/>
        <v>0</v>
      </c>
      <c r="T16">
        <v>0</v>
      </c>
      <c r="U16">
        <v>0</v>
      </c>
      <c r="V16">
        <v>5</v>
      </c>
      <c r="W16" s="21">
        <f t="shared" si="2"/>
        <v>0</v>
      </c>
    </row>
    <row r="17" spans="11:23">
      <c r="K17" s="1" t="s">
        <v>20</v>
      </c>
      <c r="L17">
        <v>0</v>
      </c>
      <c r="M17">
        <v>0</v>
      </c>
      <c r="N17">
        <v>1</v>
      </c>
      <c r="O17" s="21">
        <f t="shared" si="0"/>
        <v>0</v>
      </c>
      <c r="P17">
        <v>0</v>
      </c>
      <c r="Q17">
        <v>0</v>
      </c>
      <c r="R17">
        <v>1</v>
      </c>
      <c r="S17" s="21">
        <f t="shared" si="1"/>
        <v>0</v>
      </c>
      <c r="T17" s="28">
        <v>0</v>
      </c>
      <c r="U17" s="28">
        <v>0</v>
      </c>
      <c r="V17" s="28">
        <v>1</v>
      </c>
      <c r="W17" s="21">
        <f t="shared" si="2"/>
        <v>0</v>
      </c>
    </row>
    <row r="18" spans="11:23" ht="25.5">
      <c r="K18" s="7" t="s">
        <v>21</v>
      </c>
      <c r="L18">
        <v>2</v>
      </c>
      <c r="M18">
        <v>2</v>
      </c>
      <c r="N18">
        <v>3</v>
      </c>
      <c r="O18" s="21">
        <f t="shared" si="0"/>
        <v>50</v>
      </c>
      <c r="P18" s="28">
        <v>2</v>
      </c>
      <c r="Q18" s="28">
        <v>2</v>
      </c>
      <c r="R18" s="28">
        <v>3</v>
      </c>
      <c r="S18" s="21">
        <f t="shared" si="1"/>
        <v>50</v>
      </c>
      <c r="T18" s="28">
        <v>2</v>
      </c>
      <c r="U18" s="28">
        <v>2</v>
      </c>
      <c r="V18" s="28">
        <v>3</v>
      </c>
      <c r="W18" s="21">
        <f t="shared" si="2"/>
        <v>50</v>
      </c>
    </row>
    <row r="19" spans="11:23">
      <c r="K19" s="8" t="s">
        <v>22</v>
      </c>
      <c r="L19" s="17">
        <v>0</v>
      </c>
      <c r="M19" s="17">
        <v>0</v>
      </c>
      <c r="N19" s="17">
        <v>0</v>
      </c>
      <c r="O19" s="21" t="str">
        <f t="shared" si="0"/>
        <v>NA</v>
      </c>
      <c r="P19" s="28">
        <v>0</v>
      </c>
      <c r="Q19" s="28">
        <v>0</v>
      </c>
      <c r="R19" s="28">
        <v>0</v>
      </c>
      <c r="S19" s="21" t="str">
        <f t="shared" si="1"/>
        <v>NA</v>
      </c>
      <c r="T19" s="28">
        <v>0</v>
      </c>
      <c r="U19" s="28">
        <v>0</v>
      </c>
      <c r="V19" s="28">
        <v>0</v>
      </c>
      <c r="W19" s="21" t="str">
        <f t="shared" si="2"/>
        <v>NA</v>
      </c>
    </row>
    <row r="20" spans="11:23">
      <c r="K20" s="8" t="s">
        <v>23</v>
      </c>
      <c r="L20" s="17">
        <v>0</v>
      </c>
      <c r="M20">
        <v>0</v>
      </c>
      <c r="N20" s="17">
        <v>4</v>
      </c>
      <c r="O20" s="21">
        <f t="shared" si="0"/>
        <v>0</v>
      </c>
      <c r="P20" s="28">
        <v>0</v>
      </c>
      <c r="Q20" s="28">
        <v>0</v>
      </c>
      <c r="R20" s="28">
        <v>4</v>
      </c>
      <c r="S20" s="21">
        <f t="shared" si="1"/>
        <v>0</v>
      </c>
      <c r="T20" s="28">
        <v>0</v>
      </c>
      <c r="U20" s="28">
        <v>0</v>
      </c>
      <c r="V20" s="28">
        <v>4</v>
      </c>
      <c r="W20" s="21">
        <f t="shared" si="2"/>
        <v>0</v>
      </c>
    </row>
    <row r="21" spans="11:23">
      <c r="K21" s="8" t="s">
        <v>24</v>
      </c>
      <c r="L21">
        <v>0</v>
      </c>
      <c r="M21">
        <v>0</v>
      </c>
      <c r="N21">
        <v>0</v>
      </c>
      <c r="O21" s="21" t="str">
        <f t="shared" si="0"/>
        <v>NA</v>
      </c>
      <c r="P21" s="28">
        <v>0</v>
      </c>
      <c r="Q21" s="28">
        <v>0</v>
      </c>
      <c r="R21" s="28">
        <v>0</v>
      </c>
      <c r="S21" s="21" t="str">
        <f t="shared" si="1"/>
        <v>NA</v>
      </c>
      <c r="T21" s="28">
        <v>0</v>
      </c>
      <c r="U21" s="28">
        <v>0</v>
      </c>
      <c r="V21" s="28">
        <v>0</v>
      </c>
      <c r="W21" s="21" t="str">
        <f t="shared" si="2"/>
        <v>NA</v>
      </c>
    </row>
    <row r="22" spans="11:23">
      <c r="K22" s="8" t="s">
        <v>25</v>
      </c>
      <c r="L22">
        <v>1</v>
      </c>
      <c r="M22">
        <v>0</v>
      </c>
      <c r="N22">
        <v>1</v>
      </c>
      <c r="O22" s="21">
        <f t="shared" si="0"/>
        <v>100</v>
      </c>
      <c r="P22" s="28">
        <v>0</v>
      </c>
      <c r="Q22" s="28">
        <v>0</v>
      </c>
      <c r="R22" s="28">
        <v>0</v>
      </c>
      <c r="S22" s="21" t="str">
        <f t="shared" si="1"/>
        <v>NA</v>
      </c>
      <c r="T22">
        <v>0</v>
      </c>
      <c r="U22">
        <v>0</v>
      </c>
      <c r="V22">
        <v>0</v>
      </c>
      <c r="W22" s="21" t="str">
        <f t="shared" si="2"/>
        <v>NA</v>
      </c>
    </row>
    <row r="23" spans="11:23">
      <c r="K23" s="8" t="s">
        <v>26</v>
      </c>
      <c r="L23">
        <v>0</v>
      </c>
      <c r="M23">
        <v>0</v>
      </c>
      <c r="N23">
        <v>0</v>
      </c>
      <c r="O23" s="21" t="str">
        <f t="shared" si="0"/>
        <v>NA</v>
      </c>
      <c r="P23" s="28">
        <v>0</v>
      </c>
      <c r="Q23" s="28">
        <v>0</v>
      </c>
      <c r="R23" s="28">
        <v>0</v>
      </c>
      <c r="S23" s="21" t="str">
        <f t="shared" si="1"/>
        <v>NA</v>
      </c>
      <c r="T23">
        <v>0</v>
      </c>
      <c r="U23">
        <v>0</v>
      </c>
      <c r="V23">
        <v>0</v>
      </c>
      <c r="W23" s="21" t="str">
        <f t="shared" si="2"/>
        <v>NA</v>
      </c>
    </row>
    <row r="24" spans="11:23">
      <c r="K24" s="8" t="s">
        <v>27</v>
      </c>
      <c r="L24" t="s">
        <v>171</v>
      </c>
      <c r="M24" t="s">
        <v>171</v>
      </c>
      <c r="N24" t="s">
        <v>171</v>
      </c>
      <c r="O24" s="21" t="str">
        <f t="shared" si="0"/>
        <v>NA</v>
      </c>
      <c r="S24" s="21" t="str">
        <f t="shared" si="1"/>
        <v>NA</v>
      </c>
      <c r="W24" s="21" t="str">
        <f t="shared" si="2"/>
        <v>NA</v>
      </c>
    </row>
    <row r="25" spans="11:23">
      <c r="K25" s="8" t="s">
        <v>28</v>
      </c>
      <c r="L25">
        <v>2</v>
      </c>
      <c r="M25">
        <v>2</v>
      </c>
      <c r="N25">
        <v>3</v>
      </c>
      <c r="O25" s="21">
        <f t="shared" si="0"/>
        <v>50</v>
      </c>
      <c r="P25">
        <v>2</v>
      </c>
      <c r="Q25">
        <v>2</v>
      </c>
      <c r="R25">
        <v>3</v>
      </c>
      <c r="S25" s="21">
        <f t="shared" si="1"/>
        <v>50</v>
      </c>
      <c r="W25" s="21" t="str">
        <f t="shared" si="2"/>
        <v>NA</v>
      </c>
    </row>
    <row r="26" spans="11:23">
      <c r="K26" s="8" t="s">
        <v>29</v>
      </c>
      <c r="L26">
        <v>0</v>
      </c>
      <c r="M26">
        <v>0</v>
      </c>
      <c r="N26">
        <v>1</v>
      </c>
      <c r="O26" s="21">
        <f t="shared" si="0"/>
        <v>0</v>
      </c>
      <c r="P26">
        <v>0</v>
      </c>
      <c r="Q26">
        <v>0</v>
      </c>
      <c r="R26">
        <v>1</v>
      </c>
      <c r="S26" s="21">
        <f t="shared" si="1"/>
        <v>0</v>
      </c>
      <c r="T26">
        <v>0</v>
      </c>
      <c r="U26">
        <v>0</v>
      </c>
      <c r="V26">
        <v>1</v>
      </c>
      <c r="W26" s="21">
        <f t="shared" si="2"/>
        <v>0</v>
      </c>
    </row>
    <row r="41" spans="1:7">
      <c r="A41" s="14"/>
      <c r="B41" s="18"/>
      <c r="C41" s="18"/>
      <c r="D41" s="18"/>
      <c r="E41" s="18"/>
      <c r="F41" s="18"/>
      <c r="G41" s="18"/>
    </row>
    <row r="42" spans="1:7">
      <c r="A42" s="14"/>
      <c r="B42" s="18"/>
      <c r="C42" s="18"/>
      <c r="D42" s="18"/>
      <c r="E42" s="18"/>
      <c r="F42" s="18"/>
      <c r="G42" s="18"/>
    </row>
    <row r="43" spans="1:7">
      <c r="A43" s="14"/>
      <c r="B43" s="18"/>
      <c r="C43" s="18"/>
      <c r="D43" s="18"/>
      <c r="E43" s="18"/>
      <c r="F43" s="18"/>
      <c r="G43" s="18"/>
    </row>
    <row r="44" spans="1:7">
      <c r="B44" s="18"/>
      <c r="C44" s="18"/>
      <c r="D44" s="18"/>
      <c r="E44" s="18"/>
      <c r="F44" s="18"/>
      <c r="G44" s="18"/>
    </row>
    <row r="45" spans="1:7">
      <c r="B45" s="18"/>
      <c r="C45" s="18"/>
      <c r="D45" s="18"/>
      <c r="E45" s="18"/>
      <c r="F45" s="18"/>
      <c r="G45" s="18"/>
    </row>
    <row r="46" spans="1:7">
      <c r="B46" s="18"/>
      <c r="C46" s="18"/>
      <c r="D46" s="18"/>
      <c r="E46" s="18"/>
      <c r="F46" s="18"/>
      <c r="G46" s="18"/>
    </row>
    <row r="47" spans="1:7">
      <c r="B47" s="18"/>
      <c r="C47" s="18"/>
      <c r="D47" s="18"/>
      <c r="E47" s="18"/>
      <c r="F47" s="18"/>
      <c r="G47" s="18"/>
    </row>
    <row r="48" spans="1:7">
      <c r="B48" s="14"/>
      <c r="C48" s="14"/>
      <c r="D48" s="14"/>
    </row>
    <row r="49" spans="2:4">
      <c r="B49" s="14"/>
      <c r="C49" s="14"/>
      <c r="D49" s="14"/>
    </row>
    <row r="50" spans="2:4">
      <c r="B50" s="14"/>
      <c r="C50" s="14"/>
      <c r="D50" s="14"/>
    </row>
    <row r="51" spans="2:4">
      <c r="B51" s="14"/>
      <c r="C51" s="14"/>
      <c r="D51" s="14"/>
    </row>
    <row r="52" spans="2:4">
      <c r="B52" s="14"/>
      <c r="C52" s="14"/>
      <c r="D52" s="14"/>
    </row>
  </sheetData>
  <mergeCells count="7">
    <mergeCell ref="X2:X3"/>
    <mergeCell ref="C15:D15"/>
    <mergeCell ref="E2:G2"/>
    <mergeCell ref="L2:O2"/>
    <mergeCell ref="P2:S2"/>
    <mergeCell ref="T2:W2"/>
    <mergeCell ref="E15:G15"/>
  </mergeCell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t I o K T 3 h O U l G o A A A A + A A A A B I A H A B D b 2 5 m a W c v U G F j a 2 F n Z S 5 4 b W w g o h g A K K A U A A A A A A A A A A A A A A A A A A A A A A A A A A A A h Y 9 B D o I w F E S v Q r q n v y B G J Z + S 6 M K N J C Y m x i 2 p F R q h G F o s d 3 P h k b y C J I q 6 c z W Z y V u 8 e d z u m P Z 1 5 V 1 l a 1 S j E x J Q R j y p R X N U u k h I Z 0 / + n K Q c t 7 k 4 5 4 X 0 B l i b u D f H h J T W X m I A 5 x x 1 E 9 q 0 B Y S M B X D I N j t R y j o n H 1 j 9 h 3 2 l j c 2 1 k I T j / i X D Q z p j d B o t o i E D h H H G T O k v E g 7 G l C H 8 j L j q K t u 1 k k v t r 5 c I Y 0 V 4 v + B P U E s D B B Q A A g A I A L S K C 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i g p P K I p H u A 4 A A A A R A A A A E w A c A E Z v c m 1 1 b G F z L 1 N l Y 3 R p b 2 4 x L m 0 g o h g A K K A U A A A A A A A A A A A A A A A A A A A A A A A A A A A A K 0 5 N L s n M z 1 M I h t C G 1 g B Q S w E C L Q A U A A I A C A C 0 i g p P e E 5 S U a g A A A D 4 A A A A E g A A A A A A A A A A A A A A A A A A A A A A Q 2 9 u Z m l n L 1 B h Y 2 t h Z 2 U u e G 1 s U E s B A i 0 A F A A C A A g A t I o K T w / K 6 a u k A A A A 6 Q A A A B M A A A A A A A A A A A A A A A A A 9 A A A A F t D b 2 5 0 Z W 5 0 X 1 R 5 c G V z X S 5 4 b W x Q S w E C L Q A U A A I A C A C 0 i g p P 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X z K e v T / w k y Q V 7 i B d P s e G w A A A A A C A A A A A A A Q Z g A A A A E A A C A A A A A u j k 8 L l y u 3 T i A V N I V c S C z i o Z d p O r 2 S 9 T 7 6 B o P U H g T G 7 g A A A A A O g A A A A A I A A C A A A A A H 8 C 6 e 9 4 2 G u s C 1 w 2 E 8 / P 2 V W g T v I 3 B Z 5 8 h M X B A v X 7 u 7 M l A A A A D w w U J U W e q q I K b T U v N I F + b C 1 v L f Z B a I M o C 4 q M Q t 8 f z b U + R / B R B s k 2 2 b k 7 r x v P E s 4 o 1 E 8 Z q r 3 u b B B 2 m A i g C A p r 1 / K 1 Y 9 / Y U P 3 c H X 9 q r O x 6 J O i U A A A A D c 2 Z p J E Y M o c Y o 8 2 R C V H k I 5 Q T P h 7 G j P g q s S M 5 v k Z G + U C 7 R C K m b U q 3 g Q / i b Y h n V E v 8 2 Y 3 p C M G x v n u i z L T 2 s O 2 8 s h < / D a t a M a s h u p > 
</file>

<file path=customXml/itemProps1.xml><?xml version="1.0" encoding="utf-8"?>
<ds:datastoreItem xmlns:ds="http://schemas.openxmlformats.org/officeDocument/2006/customXml" ds:itemID="{1AE5B67B-A5D4-4FB1-AEA0-D2D84C8767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182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Calculations</vt:lpstr>
      <vt:lpstr>Sheet4</vt:lpstr>
      <vt:lpstr>classes_of_vulnerabilities</vt:lpstr>
      <vt:lpstr>OWASP</vt:lpstr>
      <vt:lpstr>OWASP_Source_data</vt:lpstr>
      <vt:lpstr>Acunetix</vt:lpstr>
      <vt:lpstr>Wapiti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Przemyslaw Buczkowski</dc:creator>
  <dc:description/>
  <cp:lastModifiedBy>Przemyslaw Buczkowski</cp:lastModifiedBy>
  <cp:revision>15</cp:revision>
  <dcterms:created xsi:type="dcterms:W3CDTF">2019-07-24T19:44:16Z</dcterms:created>
  <dcterms:modified xsi:type="dcterms:W3CDTF">2019-08-27T14:04:23Z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