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drawings/drawing4.xml" ContentType="application/vnd.openxmlformats-officedocument.drawing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hreadedComments/threadedComment7.xml" ContentType="application/vnd.ms-excel.threadedcomments+xml"/>
  <Override PartName="/xl/drawings/drawing5.xml" ContentType="application/vnd.openxmlformats-officedocument.drawing+xml"/>
  <Override PartName="/xl/comments10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3239" documentId="8_{C54E4173-2959-426F-A3E8-AE3759804B8F}" xr6:coauthVersionLast="47" xr6:coauthVersionMax="47" xr10:uidLastSave="{3C4A9708-336C-4E51-ABA2-DF18CFCC745A}"/>
  <bookViews>
    <workbookView xWindow="-120" yWindow="-120" windowWidth="38640" windowHeight="21120" tabRatio="908" activeTab="5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60" l="1"/>
  <c r="J56" i="160"/>
  <c r="J55" i="160"/>
  <c r="J54" i="160"/>
  <c r="J39" i="160"/>
  <c r="J38" i="160"/>
  <c r="J37" i="160"/>
  <c r="J21" i="160"/>
  <c r="J20" i="160"/>
  <c r="J19" i="160"/>
  <c r="J10" i="160"/>
  <c r="J9" i="160"/>
  <c r="J8" i="160"/>
  <c r="J36" i="160"/>
  <c r="J18" i="160"/>
  <c r="J7" i="160"/>
  <c r="I88" i="161"/>
  <c r="I80" i="161"/>
  <c r="I72" i="161"/>
  <c r="I64" i="161"/>
  <c r="I56" i="161"/>
  <c r="I48" i="161"/>
  <c r="I40" i="161"/>
  <c r="I32" i="161"/>
  <c r="I31" i="161"/>
  <c r="I39" i="161"/>
  <c r="I47" i="161"/>
  <c r="I55" i="161"/>
  <c r="I63" i="161"/>
  <c r="I71" i="161"/>
  <c r="I79" i="161"/>
  <c r="I87" i="161"/>
  <c r="I86" i="161"/>
  <c r="I78" i="161"/>
  <c r="I70" i="161"/>
  <c r="I62" i="161"/>
  <c r="I54" i="161"/>
  <c r="I46" i="161"/>
  <c r="I38" i="161"/>
  <c r="I30" i="161"/>
  <c r="K20" i="157"/>
  <c r="K21" i="157"/>
  <c r="K22" i="157"/>
  <c r="K23" i="157"/>
  <c r="K24" i="157"/>
  <c r="K25" i="157"/>
  <c r="K26" i="157"/>
  <c r="K27" i="157"/>
  <c r="K28" i="157"/>
  <c r="K29" i="157"/>
  <c r="K7" i="157"/>
  <c r="K8" i="157"/>
  <c r="K9" i="157"/>
  <c r="K10" i="157"/>
  <c r="K11" i="157"/>
  <c r="K12" i="157"/>
  <c r="K13" i="157"/>
  <c r="K14" i="157"/>
  <c r="K15" i="157"/>
  <c r="K16" i="157"/>
  <c r="K17" i="157"/>
  <c r="K18" i="157"/>
  <c r="K19" i="157"/>
  <c r="K30" i="157"/>
  <c r="K31" i="157"/>
  <c r="K32" i="157"/>
  <c r="K33" i="157"/>
  <c r="K34" i="157"/>
  <c r="K35" i="157"/>
  <c r="K36" i="157"/>
  <c r="K37" i="157"/>
  <c r="K38" i="157"/>
  <c r="K39" i="157"/>
  <c r="K40" i="157"/>
  <c r="K41" i="157"/>
  <c r="K42" i="157"/>
  <c r="K43" i="157"/>
  <c r="AC94" i="157"/>
  <c r="AC96" i="157"/>
  <c r="AC97" i="157"/>
  <c r="AB96" i="157"/>
  <c r="AB95" i="157"/>
  <c r="AB94" i="157"/>
  <c r="AB93" i="157"/>
  <c r="AF53" i="157"/>
  <c r="AF54" i="157"/>
  <c r="AF55" i="157"/>
  <c r="AF56" i="157"/>
  <c r="AF57" i="157"/>
  <c r="AF58" i="157"/>
  <c r="AF59" i="157"/>
  <c r="AF60" i="157"/>
  <c r="AF61" i="157"/>
  <c r="AF62" i="157"/>
  <c r="AF63" i="157"/>
  <c r="AF64" i="157"/>
  <c r="AE53" i="157"/>
  <c r="AE54" i="157"/>
  <c r="AE55" i="157"/>
  <c r="AE56" i="157"/>
  <c r="AE57" i="157"/>
  <c r="AE58" i="157"/>
  <c r="AE59" i="157"/>
  <c r="AE60" i="157"/>
  <c r="AE61" i="157"/>
  <c r="AE62" i="157"/>
  <c r="AE63" i="157"/>
  <c r="AE64" i="157"/>
  <c r="AF52" i="157"/>
  <c r="AE52" i="157"/>
  <c r="AD53" i="157"/>
  <c r="AD54" i="157"/>
  <c r="AD55" i="157"/>
  <c r="AD56" i="157"/>
  <c r="AD57" i="157"/>
  <c r="AD58" i="157"/>
  <c r="AD59" i="157"/>
  <c r="AD60" i="157"/>
  <c r="AD61" i="157"/>
  <c r="AD62" i="157"/>
  <c r="AD63" i="157"/>
  <c r="AD96" i="157" s="1"/>
  <c r="AD64" i="157"/>
  <c r="AD52" i="157"/>
  <c r="AD65" i="157" s="1"/>
  <c r="AC53" i="157"/>
  <c r="AC54" i="157"/>
  <c r="AC55" i="157"/>
  <c r="AC56" i="157"/>
  <c r="AC57" i="157"/>
  <c r="AC58" i="157"/>
  <c r="AC59" i="157"/>
  <c r="AC60" i="157"/>
  <c r="AC61" i="157"/>
  <c r="AC62" i="157"/>
  <c r="AC95" i="157" s="1"/>
  <c r="AC63" i="157"/>
  <c r="AC64" i="157"/>
  <c r="AC52" i="157"/>
  <c r="AC85" i="157" s="1"/>
  <c r="AB53" i="157"/>
  <c r="AB54" i="157"/>
  <c r="AB55" i="157"/>
  <c r="AB56" i="157"/>
  <c r="AB57" i="157"/>
  <c r="AB58" i="157"/>
  <c r="AB59" i="157"/>
  <c r="AB60" i="157"/>
  <c r="AB61" i="157"/>
  <c r="AB62" i="157"/>
  <c r="AB63" i="157"/>
  <c r="AB64" i="157"/>
  <c r="AB52" i="157"/>
  <c r="AC137" i="157"/>
  <c r="AC136" i="157"/>
  <c r="AC135" i="157"/>
  <c r="AC134" i="157"/>
  <c r="AE123" i="157"/>
  <c r="AE122" i="157"/>
  <c r="AD122" i="157"/>
  <c r="AE121" i="157"/>
  <c r="AD121" i="157"/>
  <c r="AE120" i="157"/>
  <c r="AD120" i="157"/>
  <c r="AE119" i="157"/>
  <c r="AD119" i="157"/>
  <c r="AE118" i="157"/>
  <c r="AD118" i="157"/>
  <c r="AE117" i="157"/>
  <c r="AD117" i="157"/>
  <c r="AE116" i="157"/>
  <c r="E32" i="157"/>
  <c r="E30" i="157"/>
  <c r="E20" i="157"/>
  <c r="D43" i="157"/>
  <c r="D42" i="157"/>
  <c r="D41" i="157"/>
  <c r="D40" i="157"/>
  <c r="D39" i="157"/>
  <c r="D38" i="157"/>
  <c r="D37" i="157"/>
  <c r="D36" i="157"/>
  <c r="D35" i="157"/>
  <c r="D34" i="157"/>
  <c r="D33" i="157"/>
  <c r="D32" i="157"/>
  <c r="B32" i="157"/>
  <c r="D31" i="157"/>
  <c r="D30" i="157"/>
  <c r="B30" i="157"/>
  <c r="D29" i="157"/>
  <c r="D28" i="157"/>
  <c r="D27" i="157"/>
  <c r="D26" i="157"/>
  <c r="D25" i="157"/>
  <c r="D24" i="157"/>
  <c r="D23" i="157"/>
  <c r="D22" i="157"/>
  <c r="D21" i="157"/>
  <c r="D20" i="157"/>
  <c r="B20" i="157"/>
  <c r="E10" i="157"/>
  <c r="D19" i="157"/>
  <c r="D18" i="157"/>
  <c r="D17" i="157"/>
  <c r="D16" i="157"/>
  <c r="D15" i="157"/>
  <c r="G52" i="157"/>
  <c r="G58" i="157"/>
  <c r="D14" i="157"/>
  <c r="D13" i="157"/>
  <c r="D12" i="157"/>
  <c r="D11" i="157"/>
  <c r="D10" i="157"/>
  <c r="B10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7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35" i="157"/>
  <c r="O136" i="157"/>
  <c r="O137" i="157"/>
  <c r="O134" i="157"/>
  <c r="P117" i="157"/>
  <c r="P118" i="157"/>
  <c r="P119" i="157"/>
  <c r="P120" i="157"/>
  <c r="P121" i="157"/>
  <c r="P122" i="157"/>
  <c r="J131" i="157"/>
  <c r="J130" i="157"/>
  <c r="J129" i="157"/>
  <c r="J128" i="157"/>
  <c r="J113" i="157"/>
  <c r="J112" i="157"/>
  <c r="J111" i="157"/>
  <c r="J110" i="157"/>
  <c r="J109" i="157"/>
  <c r="J108" i="157"/>
  <c r="J107" i="157"/>
  <c r="J106" i="157"/>
  <c r="G64" i="157"/>
  <c r="G63" i="157"/>
  <c r="G62" i="157"/>
  <c r="G61" i="157"/>
  <c r="G60" i="157"/>
  <c r="G59" i="157"/>
  <c r="G57" i="157"/>
  <c r="G56" i="157"/>
  <c r="G55" i="157"/>
  <c r="G54" i="157"/>
  <c r="G53" i="157"/>
  <c r="M12" i="149"/>
  <c r="Q50" i="161"/>
  <c r="D39" i="161"/>
  <c r="D38" i="161"/>
  <c r="E7" i="157"/>
  <c r="B7" i="157"/>
  <c r="D31" i="161"/>
  <c r="D30" i="161"/>
  <c r="B17" i="162"/>
  <c r="B29" i="150"/>
  <c r="E29" i="150"/>
  <c r="D29" i="150"/>
  <c r="E9" i="149"/>
  <c r="B21" i="145"/>
  <c r="D14" i="139"/>
  <c r="E22" i="145"/>
  <c r="G20" i="157" l="1"/>
  <c r="G21" i="157"/>
  <c r="G22" i="157"/>
  <c r="G23" i="157"/>
  <c r="G24" i="157"/>
  <c r="G26" i="157"/>
  <c r="G27" i="157"/>
  <c r="G28" i="157"/>
  <c r="G29" i="157"/>
  <c r="G25" i="157"/>
  <c r="J137" i="157"/>
  <c r="X131" i="157"/>
  <c r="X137" i="157" s="1"/>
  <c r="J136" i="157"/>
  <c r="X130" i="157"/>
  <c r="X136" i="157" s="1"/>
  <c r="J135" i="157"/>
  <c r="X129" i="157"/>
  <c r="X135" i="157" s="1"/>
  <c r="J134" i="157"/>
  <c r="X128" i="157"/>
  <c r="X134" i="157" s="1"/>
  <c r="J123" i="157"/>
  <c r="X113" i="157"/>
  <c r="X123" i="157" s="1"/>
  <c r="J122" i="157"/>
  <c r="X112" i="157"/>
  <c r="X122" i="157" s="1"/>
  <c r="J121" i="157"/>
  <c r="X111" i="157"/>
  <c r="X121" i="157" s="1"/>
  <c r="J120" i="157"/>
  <c r="X110" i="157"/>
  <c r="X120" i="157" s="1"/>
  <c r="J119" i="157"/>
  <c r="X109" i="157"/>
  <c r="X119" i="157" s="1"/>
  <c r="J118" i="157"/>
  <c r="X108" i="157"/>
  <c r="X118" i="157" s="1"/>
  <c r="J117" i="157"/>
  <c r="X107" i="157"/>
  <c r="X117" i="157" s="1"/>
  <c r="J116" i="157"/>
  <c r="X106" i="157"/>
  <c r="X116" i="157" s="1"/>
  <c r="AB91" i="157"/>
  <c r="AF91" i="157"/>
  <c r="AC91" i="157"/>
  <c r="AC98" i="157" s="1"/>
  <c r="AC99" i="157" s="1"/>
  <c r="I10" i="157" s="1"/>
  <c r="AD91" i="157"/>
  <c r="AE91" i="157"/>
  <c r="AE97" i="157"/>
  <c r="AD97" i="157"/>
  <c r="AB97" i="157"/>
  <c r="AF97" i="157"/>
  <c r="AF96" i="157"/>
  <c r="AE96" i="157"/>
  <c r="AD95" i="157"/>
  <c r="AE95" i="157"/>
  <c r="AF95" i="157"/>
  <c r="AD94" i="157"/>
  <c r="AE94" i="157"/>
  <c r="AF94" i="157"/>
  <c r="AE93" i="157"/>
  <c r="AD93" i="157"/>
  <c r="AC93" i="157"/>
  <c r="AF93" i="157"/>
  <c r="AC92" i="157"/>
  <c r="AB92" i="157"/>
  <c r="AD92" i="157"/>
  <c r="AF92" i="157"/>
  <c r="AE92" i="157"/>
  <c r="AF90" i="157"/>
  <c r="AE90" i="157"/>
  <c r="AD90" i="157"/>
  <c r="AC90" i="157"/>
  <c r="AB90" i="157"/>
  <c r="AF89" i="157"/>
  <c r="AE89" i="157"/>
  <c r="AD89" i="157"/>
  <c r="AC89" i="157"/>
  <c r="AB89" i="157"/>
  <c r="AF88" i="157"/>
  <c r="AE88" i="157"/>
  <c r="AD88" i="157"/>
  <c r="AB88" i="157"/>
  <c r="AC88" i="157"/>
  <c r="AF87" i="157"/>
  <c r="AE87" i="157"/>
  <c r="AD87" i="157"/>
  <c r="AB87" i="157"/>
  <c r="AC87" i="157"/>
  <c r="AC86" i="157"/>
  <c r="AF86" i="157"/>
  <c r="AE86" i="157"/>
  <c r="AD86" i="157"/>
  <c r="AB86" i="157"/>
  <c r="AF85" i="157"/>
  <c r="AF65" i="157"/>
  <c r="AE85" i="157"/>
  <c r="AE65" i="157"/>
  <c r="AD85" i="157"/>
  <c r="AC65" i="157"/>
  <c r="AB85" i="157"/>
  <c r="AB65" i="157"/>
  <c r="Q64" i="157"/>
  <c r="Q97" i="157" s="1"/>
  <c r="P64" i="157"/>
  <c r="N64" i="157"/>
  <c r="N97" i="157" s="1"/>
  <c r="O64" i="157"/>
  <c r="O97" i="157" s="1"/>
  <c r="R64" i="157"/>
  <c r="R63" i="157"/>
  <c r="O63" i="157"/>
  <c r="N63" i="157"/>
  <c r="P63" i="157"/>
  <c r="Q63" i="157"/>
  <c r="Q62" i="157"/>
  <c r="Q95" i="157" s="1"/>
  <c r="P62" i="157"/>
  <c r="R62" i="157"/>
  <c r="N62" i="157"/>
  <c r="N95" i="157" s="1"/>
  <c r="O62" i="157"/>
  <c r="R61" i="157"/>
  <c r="P61" i="157"/>
  <c r="P94" i="157" s="1"/>
  <c r="N61" i="157"/>
  <c r="O61" i="157"/>
  <c r="Q61" i="157"/>
  <c r="R60" i="157"/>
  <c r="P60" i="157"/>
  <c r="P93" i="157" s="1"/>
  <c r="O60" i="157"/>
  <c r="O93" i="157" s="1"/>
  <c r="Q60" i="157"/>
  <c r="Q93" i="157" s="1"/>
  <c r="N60" i="157"/>
  <c r="R59" i="157"/>
  <c r="P59" i="157"/>
  <c r="N59" i="157"/>
  <c r="N92" i="157" s="1"/>
  <c r="O59" i="157"/>
  <c r="Q59" i="157"/>
  <c r="Q92" i="157" s="1"/>
  <c r="Q58" i="157"/>
  <c r="Q91" i="157" s="1"/>
  <c r="O58" i="157"/>
  <c r="O91" i="157" s="1"/>
  <c r="N58" i="157"/>
  <c r="N91" i="157" s="1"/>
  <c r="P58" i="157"/>
  <c r="P91" i="157" s="1"/>
  <c r="R58" i="157"/>
  <c r="P57" i="157"/>
  <c r="O57" i="157"/>
  <c r="R57" i="157"/>
  <c r="N57" i="157"/>
  <c r="N90" i="157" s="1"/>
  <c r="Q57" i="157"/>
  <c r="Q90" i="157" s="1"/>
  <c r="O56" i="157"/>
  <c r="Q56" i="157"/>
  <c r="Q89" i="157" s="1"/>
  <c r="R56" i="157"/>
  <c r="N56" i="157"/>
  <c r="N89" i="157" s="1"/>
  <c r="P56" i="157"/>
  <c r="N55" i="157"/>
  <c r="N88" i="157" s="1"/>
  <c r="O55" i="157"/>
  <c r="Q55" i="157"/>
  <c r="Q88" i="157" s="1"/>
  <c r="R55" i="157"/>
  <c r="P55" i="157"/>
  <c r="N54" i="157"/>
  <c r="N87" i="157" s="1"/>
  <c r="O54" i="157"/>
  <c r="Q54" i="157"/>
  <c r="Q87" i="157" s="1"/>
  <c r="R54" i="157"/>
  <c r="P54" i="157"/>
  <c r="N53" i="157"/>
  <c r="N86" i="157" s="1"/>
  <c r="R53" i="157"/>
  <c r="Q53" i="157"/>
  <c r="Q86" i="157" s="1"/>
  <c r="P53" i="157"/>
  <c r="O53" i="157"/>
  <c r="R52" i="157"/>
  <c r="Q52" i="157"/>
  <c r="Q85" i="157" s="1"/>
  <c r="P52" i="157"/>
  <c r="O52" i="157"/>
  <c r="N52" i="157"/>
  <c r="N85" i="157" s="1"/>
  <c r="G65" i="157"/>
  <c r="T16" i="162"/>
  <c r="AF98" i="157" l="1"/>
  <c r="AF99" i="157" s="1"/>
  <c r="I32" i="157" s="1"/>
  <c r="AE98" i="157"/>
  <c r="AE99" i="157" s="1"/>
  <c r="I30" i="157" s="1"/>
  <c r="AD98" i="157"/>
  <c r="AD99" i="157" s="1"/>
  <c r="I20" i="157" s="1"/>
  <c r="R27" i="157" s="1"/>
  <c r="G43" i="157"/>
  <c r="G42" i="157"/>
  <c r="G41" i="157"/>
  <c r="G40" i="157"/>
  <c r="G39" i="157"/>
  <c r="G38" i="157"/>
  <c r="G32" i="157"/>
  <c r="G33" i="157"/>
  <c r="G36" i="157"/>
  <c r="G34" i="157"/>
  <c r="G35" i="157"/>
  <c r="G37" i="157"/>
  <c r="G31" i="157"/>
  <c r="G30" i="157"/>
  <c r="R29" i="157" s="1"/>
  <c r="G19" i="157"/>
  <c r="G18" i="157"/>
  <c r="G17" i="157"/>
  <c r="G16" i="157"/>
  <c r="G15" i="157"/>
  <c r="G14" i="157"/>
  <c r="G13" i="157"/>
  <c r="G11" i="157"/>
  <c r="G10" i="157"/>
  <c r="G12" i="157"/>
  <c r="G7" i="157"/>
  <c r="G9" i="157"/>
  <c r="G8" i="157"/>
  <c r="N96" i="157"/>
  <c r="N94" i="157"/>
  <c r="N93" i="157"/>
  <c r="N98" i="157" s="1"/>
  <c r="N99" i="157" s="1"/>
  <c r="H7" i="157" s="1"/>
  <c r="F7" i="157"/>
  <c r="AB98" i="157"/>
  <c r="AB99" i="157" s="1"/>
  <c r="I7" i="157" s="1"/>
  <c r="R7" i="157" s="1"/>
  <c r="R97" i="157"/>
  <c r="R96" i="157"/>
  <c r="R95" i="157"/>
  <c r="R94" i="157"/>
  <c r="R93" i="157"/>
  <c r="R92" i="157"/>
  <c r="R91" i="157"/>
  <c r="R90" i="157"/>
  <c r="R89" i="157"/>
  <c r="R88" i="157"/>
  <c r="R87" i="157"/>
  <c r="R86" i="157"/>
  <c r="R85" i="157"/>
  <c r="R98" i="157" s="1"/>
  <c r="R99" i="157" s="1"/>
  <c r="H32" i="157" s="1"/>
  <c r="H52" i="157"/>
  <c r="AF66" i="157"/>
  <c r="AF67" i="157"/>
  <c r="AE66" i="157"/>
  <c r="AE67" i="157"/>
  <c r="AD66" i="157"/>
  <c r="AD67" i="157"/>
  <c r="AC66" i="157"/>
  <c r="AC67" i="157"/>
  <c r="AB66" i="157"/>
  <c r="AB67" i="157"/>
  <c r="P97" i="157"/>
  <c r="P96" i="157"/>
  <c r="Q96" i="157"/>
  <c r="P95" i="157"/>
  <c r="Q94" i="157"/>
  <c r="Q98" i="157" s="1"/>
  <c r="Q99" i="157" s="1"/>
  <c r="H30" i="157" s="1"/>
  <c r="P92" i="157"/>
  <c r="P90" i="157"/>
  <c r="P89" i="157"/>
  <c r="P98" i="157" s="1"/>
  <c r="P99" i="157" s="1"/>
  <c r="H20" i="157" s="1"/>
  <c r="P88" i="157"/>
  <c r="P87" i="157"/>
  <c r="P86" i="157"/>
  <c r="P85" i="157"/>
  <c r="O96" i="157"/>
  <c r="O95" i="157"/>
  <c r="O94" i="157"/>
  <c r="O92" i="157"/>
  <c r="O90" i="157"/>
  <c r="O89" i="157"/>
  <c r="O88" i="157"/>
  <c r="O87" i="157"/>
  <c r="O86" i="157"/>
  <c r="O85" i="157"/>
  <c r="Q120" i="157"/>
  <c r="Q123" i="157"/>
  <c r="Q122" i="157"/>
  <c r="Q118" i="157"/>
  <c r="Q117" i="157"/>
  <c r="Q119" i="157"/>
  <c r="Q116" i="157"/>
  <c r="Q121" i="157"/>
  <c r="Q65" i="157"/>
  <c r="O65" i="157"/>
  <c r="N65" i="157"/>
  <c r="R65" i="157"/>
  <c r="P65" i="157"/>
  <c r="H65" i="157"/>
  <c r="H64" i="157"/>
  <c r="H63" i="157"/>
  <c r="H62" i="157"/>
  <c r="H61" i="157"/>
  <c r="H53" i="157"/>
  <c r="H60" i="157"/>
  <c r="H59" i="157"/>
  <c r="H58" i="157"/>
  <c r="H57" i="157"/>
  <c r="H56" i="157"/>
  <c r="H55" i="157"/>
  <c r="H54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S27" i="157" l="1"/>
  <c r="S7" i="157"/>
  <c r="F9" i="157"/>
  <c r="F8" i="157"/>
  <c r="P7" i="157" s="1"/>
  <c r="R17" i="157"/>
  <c r="S17" i="157" s="1"/>
  <c r="R41" i="157"/>
  <c r="S41" i="157" s="1"/>
  <c r="S29" i="157"/>
  <c r="F19" i="157"/>
  <c r="F18" i="157"/>
  <c r="F17" i="157"/>
  <c r="F16" i="157"/>
  <c r="F15" i="157"/>
  <c r="F14" i="157"/>
  <c r="F12" i="157"/>
  <c r="F10" i="157"/>
  <c r="F43" i="157"/>
  <c r="F42" i="157"/>
  <c r="F41" i="157"/>
  <c r="F40" i="157"/>
  <c r="F39" i="157"/>
  <c r="F38" i="157"/>
  <c r="F37" i="157"/>
  <c r="F35" i="157"/>
  <c r="F34" i="157"/>
  <c r="F33" i="157"/>
  <c r="F32" i="157"/>
  <c r="F36" i="157"/>
  <c r="F21" i="157"/>
  <c r="F20" i="157"/>
  <c r="F31" i="157"/>
  <c r="F30" i="157"/>
  <c r="P29" i="157" s="1"/>
  <c r="F13" i="157"/>
  <c r="F11" i="157"/>
  <c r="F27" i="157"/>
  <c r="F26" i="157"/>
  <c r="F25" i="157"/>
  <c r="F24" i="157"/>
  <c r="F23" i="157"/>
  <c r="F22" i="157"/>
  <c r="F29" i="157"/>
  <c r="F28" i="157"/>
  <c r="O98" i="157"/>
  <c r="O99" i="157" s="1"/>
  <c r="H10" i="157" s="1"/>
  <c r="P17" i="157" s="1"/>
  <c r="Q17" i="157" s="1"/>
  <c r="P67" i="157"/>
  <c r="P66" i="157"/>
  <c r="Q67" i="157"/>
  <c r="Q66" i="157"/>
  <c r="O67" i="157"/>
  <c r="O66" i="157"/>
  <c r="N67" i="157"/>
  <c r="N66" i="157"/>
  <c r="R67" i="157"/>
  <c r="R66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K60" i="160"/>
  <c r="K59" i="160"/>
  <c r="G52" i="160"/>
  <c r="L131" i="157" s="1"/>
  <c r="Z131" i="157" s="1"/>
  <c r="K48" i="160"/>
  <c r="G45" i="160"/>
  <c r="H45" i="160" s="1"/>
  <c r="K41" i="160"/>
  <c r="G34" i="160"/>
  <c r="K30" i="160"/>
  <c r="G27" i="160"/>
  <c r="H27" i="160" s="1"/>
  <c r="K23" i="160"/>
  <c r="G16" i="160"/>
  <c r="K15" i="160"/>
  <c r="K14" i="160"/>
  <c r="K12" i="160"/>
  <c r="G5" i="160"/>
  <c r="D132" i="161"/>
  <c r="C132" i="161"/>
  <c r="B132" i="161"/>
  <c r="J120" i="161"/>
  <c r="AA19" i="162" s="1"/>
  <c r="J115" i="161"/>
  <c r="T115" i="161" s="1"/>
  <c r="J110" i="161"/>
  <c r="L109" i="161"/>
  <c r="G107" i="161"/>
  <c r="J105" i="161"/>
  <c r="L104" i="161"/>
  <c r="G102" i="161"/>
  <c r="J100" i="161"/>
  <c r="L99" i="161"/>
  <c r="G97" i="161"/>
  <c r="J95" i="161"/>
  <c r="L94" i="161"/>
  <c r="G92" i="161"/>
  <c r="Q90" i="161"/>
  <c r="J90" i="161" s="1"/>
  <c r="L89" i="161"/>
  <c r="G84" i="161"/>
  <c r="L113" i="157" s="1"/>
  <c r="Z113" i="157" s="1"/>
  <c r="Q82" i="161"/>
  <c r="L81" i="161"/>
  <c r="G76" i="161"/>
  <c r="Q74" i="161"/>
  <c r="J74" i="161" s="1"/>
  <c r="L73" i="161"/>
  <c r="G68" i="161"/>
  <c r="L111" i="157" s="1"/>
  <c r="Z111" i="157" s="1"/>
  <c r="Q66" i="161"/>
  <c r="J66" i="161" s="1"/>
  <c r="L65" i="161"/>
  <c r="G60" i="161"/>
  <c r="L110" i="157" s="1"/>
  <c r="Z110" i="157" s="1"/>
  <c r="Q58" i="161"/>
  <c r="J58" i="161" s="1"/>
  <c r="L57" i="161"/>
  <c r="G52" i="161"/>
  <c r="L109" i="157" s="1"/>
  <c r="Z109" i="157" s="1"/>
  <c r="J50" i="161"/>
  <c r="L49" i="161"/>
  <c r="G44" i="161"/>
  <c r="L108" i="157" s="1"/>
  <c r="Z108" i="157" s="1"/>
  <c r="Q42" i="161"/>
  <c r="J42" i="161" s="1"/>
  <c r="L41" i="161"/>
  <c r="G36" i="161"/>
  <c r="L107" i="157" s="1"/>
  <c r="Z107" i="157" s="1"/>
  <c r="Q34" i="161"/>
  <c r="J34" i="161" s="1"/>
  <c r="L33" i="161"/>
  <c r="G28" i="161"/>
  <c r="D70" i="160"/>
  <c r="C70" i="160"/>
  <c r="B70" i="160"/>
  <c r="F48" i="162" l="1"/>
  <c r="Q5" i="162" s="1"/>
  <c r="L32" i="162"/>
  <c r="L31" i="162" s="1"/>
  <c r="R48" i="160"/>
  <c r="T110" i="161"/>
  <c r="P41" i="157"/>
  <c r="Q41" i="157" s="1"/>
  <c r="P27" i="157"/>
  <c r="Q27" i="157" s="1"/>
  <c r="Q29" i="157"/>
  <c r="Q7" i="157"/>
  <c r="AD150" i="157"/>
  <c r="AE150" i="157"/>
  <c r="AE148" i="157"/>
  <c r="AD148" i="157"/>
  <c r="AD147" i="157"/>
  <c r="AE147" i="157"/>
  <c r="AE146" i="157"/>
  <c r="AD146" i="157"/>
  <c r="AE145" i="157"/>
  <c r="AD145" i="157"/>
  <c r="AE144" i="157"/>
  <c r="AD144" i="157"/>
  <c r="U65" i="157"/>
  <c r="AC157" i="157"/>
  <c r="O157" i="157"/>
  <c r="D46" i="160"/>
  <c r="D53" i="160"/>
  <c r="D28" i="160"/>
  <c r="D35" i="160"/>
  <c r="AA20" i="162"/>
  <c r="D17" i="160"/>
  <c r="D6" i="160"/>
  <c r="AA21" i="162"/>
  <c r="H34" i="160"/>
  <c r="R41" i="160" s="1"/>
  <c r="L130" i="157"/>
  <c r="Z130" i="157" s="1"/>
  <c r="H16" i="160"/>
  <c r="R23" i="160" s="1"/>
  <c r="L129" i="157"/>
  <c r="Z129" i="157" s="1"/>
  <c r="H5" i="160"/>
  <c r="R12" i="160" s="1"/>
  <c r="L128" i="157"/>
  <c r="Z128" i="157" s="1"/>
  <c r="Q150" i="157"/>
  <c r="P150" i="157"/>
  <c r="T82" i="161"/>
  <c r="L112" i="157"/>
  <c r="Z112" i="157" s="1"/>
  <c r="Q148" i="157"/>
  <c r="P148" i="157"/>
  <c r="Q147" i="157"/>
  <c r="P147" i="157"/>
  <c r="Q146" i="157"/>
  <c r="P146" i="157"/>
  <c r="Q145" i="157"/>
  <c r="P145" i="157"/>
  <c r="Q144" i="157"/>
  <c r="P144" i="157"/>
  <c r="L106" i="157"/>
  <c r="Z106" i="157" s="1"/>
  <c r="R30" i="160"/>
  <c r="H52" i="160"/>
  <c r="R59" i="160" s="1"/>
  <c r="AA25" i="162"/>
  <c r="AA24" i="162"/>
  <c r="AA22" i="162"/>
  <c r="AA23" i="162"/>
  <c r="T66" i="161"/>
  <c r="T100" i="161"/>
  <c r="T74" i="161"/>
  <c r="T34" i="161"/>
  <c r="T58" i="161"/>
  <c r="AA17" i="162"/>
  <c r="T120" i="161"/>
  <c r="T50" i="161"/>
  <c r="T90" i="161"/>
  <c r="AA16" i="162"/>
  <c r="T105" i="161"/>
  <c r="AA15" i="162"/>
  <c r="T95" i="161"/>
  <c r="T42" i="161"/>
  <c r="AA18" i="162"/>
  <c r="AA11" i="162"/>
  <c r="AA12" i="162"/>
  <c r="AA14" i="162"/>
  <c r="AA10" i="162"/>
  <c r="AA13" i="162"/>
  <c r="AA6" i="162"/>
  <c r="AA7" i="162"/>
  <c r="AA8" i="162"/>
  <c r="AA9" i="162"/>
  <c r="V65" i="157" l="1"/>
  <c r="V53" i="157"/>
  <c r="V54" i="157"/>
  <c r="V55" i="157"/>
  <c r="V56" i="157"/>
  <c r="V57" i="157"/>
  <c r="V58" i="157"/>
  <c r="V59" i="157"/>
  <c r="V60" i="157"/>
  <c r="V61" i="157"/>
  <c r="V62" i="157"/>
  <c r="V64" i="157"/>
  <c r="V52" i="157"/>
  <c r="V63" i="157"/>
  <c r="AB132" i="157"/>
  <c r="AF132" i="157"/>
  <c r="AD132" i="157"/>
  <c r="AE132" i="157"/>
  <c r="AC132" i="157"/>
  <c r="AE149" i="157"/>
  <c r="AD149" i="157"/>
  <c r="AE143" i="157"/>
  <c r="AF114" i="157"/>
  <c r="AF124" i="157" s="1"/>
  <c r="AD114" i="157"/>
  <c r="AE114" i="157"/>
  <c r="AB114" i="157"/>
  <c r="AB124" i="157" s="1"/>
  <c r="AC114" i="157"/>
  <c r="AC124" i="157" s="1"/>
  <c r="AD143" i="157"/>
  <c r="AC156" i="157"/>
  <c r="AC155" i="157"/>
  <c r="AC154" i="157"/>
  <c r="AC158" i="157" s="1"/>
  <c r="AC159" i="157" s="1"/>
  <c r="AF138" i="157"/>
  <c r="AE138" i="157"/>
  <c r="AD138" i="157"/>
  <c r="AB138" i="157"/>
  <c r="O156" i="157"/>
  <c r="O155" i="157"/>
  <c r="O154" i="157"/>
  <c r="R132" i="157"/>
  <c r="R138" i="157" s="1"/>
  <c r="P132" i="157"/>
  <c r="P138" i="157" s="1"/>
  <c r="N132" i="157"/>
  <c r="N138" i="157" s="1"/>
  <c r="Q132" i="157"/>
  <c r="Q138" i="157" s="1"/>
  <c r="O132" i="157"/>
  <c r="Q149" i="157"/>
  <c r="P149" i="157"/>
  <c r="Q143" i="157"/>
  <c r="Q152" i="157" s="1"/>
  <c r="O114" i="157"/>
  <c r="O124" i="157" s="1"/>
  <c r="P114" i="157"/>
  <c r="N114" i="157"/>
  <c r="N124" i="157" s="1"/>
  <c r="Q114" i="157"/>
  <c r="R114" i="157"/>
  <c r="R124" i="157" s="1"/>
  <c r="P143" i="157"/>
  <c r="AC25" i="162"/>
  <c r="T123" i="161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AD152" i="157" l="1"/>
  <c r="AE152" i="157"/>
  <c r="AE151" i="157"/>
  <c r="AD151" i="157"/>
  <c r="AE137" i="157"/>
  <c r="AE136" i="157"/>
  <c r="AE135" i="157"/>
  <c r="AE134" i="157"/>
  <c r="AD137" i="157"/>
  <c r="AD157" i="157" s="1"/>
  <c r="AD135" i="157"/>
  <c r="AD136" i="157"/>
  <c r="AD156" i="157" s="1"/>
  <c r="AD134" i="157"/>
  <c r="AB136" i="157"/>
  <c r="AB135" i="157"/>
  <c r="AB134" i="157"/>
  <c r="AB154" i="157" s="1"/>
  <c r="AB137" i="157"/>
  <c r="AF135" i="157"/>
  <c r="AF155" i="157" s="1"/>
  <c r="AF137" i="157"/>
  <c r="AF157" i="157" s="1"/>
  <c r="AF134" i="157"/>
  <c r="AF154" i="157" s="1"/>
  <c r="AF136" i="157"/>
  <c r="AF156" i="157" s="1"/>
  <c r="AF120" i="157"/>
  <c r="AF147" i="157" s="1"/>
  <c r="AF118" i="157"/>
  <c r="AF145" i="157" s="1"/>
  <c r="AF119" i="157"/>
  <c r="AF146" i="157" s="1"/>
  <c r="AF116" i="157"/>
  <c r="AF143" i="157" s="1"/>
  <c r="AF117" i="157"/>
  <c r="AF144" i="157" s="1"/>
  <c r="AF123" i="157"/>
  <c r="AF150" i="157" s="1"/>
  <c r="AF122" i="157"/>
  <c r="AF149" i="157" s="1"/>
  <c r="AF121" i="157"/>
  <c r="AF148" i="157" s="1"/>
  <c r="AC123" i="157"/>
  <c r="AC150" i="157" s="1"/>
  <c r="AC122" i="157"/>
  <c r="AC149" i="157" s="1"/>
  <c r="AC121" i="157"/>
  <c r="AC148" i="157" s="1"/>
  <c r="AC118" i="157"/>
  <c r="AC145" i="157" s="1"/>
  <c r="AC116" i="157"/>
  <c r="AC143" i="157" s="1"/>
  <c r="AC119" i="157"/>
  <c r="AC146" i="157" s="1"/>
  <c r="AC117" i="157"/>
  <c r="AC144" i="157" s="1"/>
  <c r="AC120" i="157"/>
  <c r="AC147" i="157" s="1"/>
  <c r="AB123" i="157"/>
  <c r="AB150" i="157" s="1"/>
  <c r="AB118" i="157"/>
  <c r="AB145" i="157" s="1"/>
  <c r="AB116" i="157"/>
  <c r="AB143" i="157" s="1"/>
  <c r="AB120" i="157"/>
  <c r="AB147" i="157" s="1"/>
  <c r="AB121" i="157"/>
  <c r="AB148" i="157" s="1"/>
  <c r="AB119" i="157"/>
  <c r="AB146" i="157" s="1"/>
  <c r="AB122" i="157"/>
  <c r="AB149" i="157" s="1"/>
  <c r="AB117" i="157"/>
  <c r="AB144" i="157" s="1"/>
  <c r="O158" i="157"/>
  <c r="O159" i="157" s="1"/>
  <c r="P152" i="157"/>
  <c r="AD155" i="157"/>
  <c r="AD154" i="157"/>
  <c r="AB157" i="157"/>
  <c r="AB156" i="157"/>
  <c r="AB155" i="157"/>
  <c r="AB158" i="157" s="1"/>
  <c r="AB159" i="157" s="1"/>
  <c r="AE157" i="157"/>
  <c r="AE156" i="157"/>
  <c r="AE155" i="157"/>
  <c r="AE154" i="157"/>
  <c r="AE158" i="157" s="1"/>
  <c r="AE159" i="157" s="1"/>
  <c r="R137" i="157"/>
  <c r="I57" i="160" s="1"/>
  <c r="R134" i="157"/>
  <c r="R136" i="157"/>
  <c r="R135" i="157"/>
  <c r="P136" i="157"/>
  <c r="P134" i="157"/>
  <c r="P135" i="157"/>
  <c r="P137" i="157"/>
  <c r="N136" i="157"/>
  <c r="N135" i="157"/>
  <c r="N137" i="157"/>
  <c r="N134" i="157"/>
  <c r="Q135" i="157"/>
  <c r="Q136" i="157"/>
  <c r="Q137" i="157"/>
  <c r="Q134" i="157"/>
  <c r="Q151" i="157"/>
  <c r="O120" i="157"/>
  <c r="O123" i="157"/>
  <c r="O116" i="157"/>
  <c r="O121" i="157"/>
  <c r="O118" i="157"/>
  <c r="O122" i="157"/>
  <c r="O119" i="157"/>
  <c r="O117" i="157"/>
  <c r="H39" i="161" s="1"/>
  <c r="N116" i="157"/>
  <c r="N143" i="157" s="1"/>
  <c r="N119" i="157"/>
  <c r="N123" i="157"/>
  <c r="N118" i="157"/>
  <c r="N120" i="157"/>
  <c r="N117" i="157"/>
  <c r="H38" i="161" s="1"/>
  <c r="N121" i="157"/>
  <c r="N122" i="157"/>
  <c r="R123" i="157"/>
  <c r="R120" i="157"/>
  <c r="R121" i="157"/>
  <c r="R118" i="157"/>
  <c r="R122" i="157"/>
  <c r="R119" i="157"/>
  <c r="R117" i="157"/>
  <c r="R116" i="157"/>
  <c r="P151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AD158" i="157" l="1"/>
  <c r="AD159" i="157" s="1"/>
  <c r="AF158" i="157"/>
  <c r="AF159" i="157" s="1"/>
  <c r="AF152" i="157"/>
  <c r="AF151" i="157"/>
  <c r="AC152" i="157"/>
  <c r="AC151" i="157"/>
  <c r="AB152" i="157"/>
  <c r="AB151" i="157"/>
  <c r="R157" i="157"/>
  <c r="I10" i="160"/>
  <c r="R154" i="157"/>
  <c r="I39" i="160"/>
  <c r="R156" i="157"/>
  <c r="I21" i="160"/>
  <c r="R155" i="157"/>
  <c r="I37" i="160"/>
  <c r="P156" i="157"/>
  <c r="I8" i="160"/>
  <c r="P154" i="157"/>
  <c r="I19" i="160"/>
  <c r="P155" i="157"/>
  <c r="I55" i="160"/>
  <c r="P157" i="157"/>
  <c r="I36" i="160"/>
  <c r="N156" i="157"/>
  <c r="I18" i="160"/>
  <c r="N155" i="157"/>
  <c r="I54" i="160"/>
  <c r="N157" i="157"/>
  <c r="I7" i="160"/>
  <c r="N154" i="157"/>
  <c r="I20" i="160"/>
  <c r="Q155" i="157"/>
  <c r="I38" i="160"/>
  <c r="Q156" i="157"/>
  <c r="I56" i="160"/>
  <c r="Q157" i="157"/>
  <c r="I9" i="160"/>
  <c r="Q154" i="157"/>
  <c r="O147" i="157"/>
  <c r="H63" i="161"/>
  <c r="O150" i="157"/>
  <c r="H87" i="161"/>
  <c r="O143" i="157"/>
  <c r="H31" i="161"/>
  <c r="O148" i="157"/>
  <c r="H71" i="161"/>
  <c r="O145" i="157"/>
  <c r="H47" i="161"/>
  <c r="O149" i="157"/>
  <c r="H79" i="161"/>
  <c r="O146" i="157"/>
  <c r="H55" i="161"/>
  <c r="O144" i="157"/>
  <c r="H30" i="161"/>
  <c r="N146" i="157"/>
  <c r="H54" i="161"/>
  <c r="N150" i="157"/>
  <c r="H86" i="161"/>
  <c r="N145" i="157"/>
  <c r="H46" i="161"/>
  <c r="N147" i="157"/>
  <c r="H62" i="161"/>
  <c r="N144" i="157"/>
  <c r="N148" i="157"/>
  <c r="H70" i="161"/>
  <c r="N149" i="157"/>
  <c r="H78" i="161"/>
  <c r="R150" i="157"/>
  <c r="H88" i="161"/>
  <c r="R147" i="157"/>
  <c r="H64" i="161"/>
  <c r="R148" i="157"/>
  <c r="H72" i="161"/>
  <c r="R145" i="157"/>
  <c r="H48" i="161"/>
  <c r="R149" i="157"/>
  <c r="H80" i="161"/>
  <c r="R146" i="157"/>
  <c r="H56" i="161"/>
  <c r="R144" i="157"/>
  <c r="H40" i="161"/>
  <c r="R143" i="157"/>
  <c r="H32" i="161"/>
  <c r="R33" i="145"/>
  <c r="S33" i="145" s="1"/>
  <c r="T33" i="145" s="1"/>
  <c r="U33" i="145" s="1"/>
  <c r="V33" i="145" s="1"/>
  <c r="K19" i="145"/>
  <c r="L19" i="145" s="1"/>
  <c r="M19" i="145" s="1"/>
  <c r="N19" i="145" s="1"/>
  <c r="O19" i="145" s="1"/>
  <c r="K30" i="145"/>
  <c r="L30" i="145" s="1"/>
  <c r="M30" i="145" s="1"/>
  <c r="N30" i="145" s="1"/>
  <c r="O30" i="145" s="1"/>
  <c r="K29" i="145"/>
  <c r="L29" i="145" s="1"/>
  <c r="M29" i="145" s="1"/>
  <c r="N29" i="145" s="1"/>
  <c r="O29" i="145" s="1"/>
  <c r="R30" i="145"/>
  <c r="S30" i="145" s="1"/>
  <c r="T30" i="145" s="1"/>
  <c r="U30" i="145" s="1"/>
  <c r="V30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R152" i="157" l="1"/>
  <c r="Q158" i="157"/>
  <c r="Q159" i="157" s="1"/>
  <c r="O152" i="157"/>
  <c r="N152" i="157"/>
  <c r="N158" i="157"/>
  <c r="N159" i="157" s="1"/>
  <c r="O151" i="157"/>
  <c r="P158" i="157"/>
  <c r="P159" i="157" s="1"/>
  <c r="R158" i="157"/>
  <c r="R159" i="157" s="1"/>
  <c r="N151" i="157"/>
  <c r="R151" i="157"/>
  <c r="C7" i="146"/>
  <c r="B7" i="146"/>
  <c r="E20" i="150"/>
  <c r="D19" i="150" l="1"/>
  <c r="D8" i="150"/>
  <c r="C19" i="150"/>
  <c r="C8" i="150"/>
  <c r="B19" i="150"/>
  <c r="B8" i="150"/>
  <c r="E8" i="149"/>
  <c r="C7" i="149"/>
  <c r="B7" i="149"/>
  <c r="B19" i="139" l="1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N7" i="146" l="1"/>
  <c r="G18" i="139" l="1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4" i="145" l="1"/>
  <c r="C34" i="145"/>
  <c r="E34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E20" i="139" l="1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D7" i="157" s="1"/>
  <c r="E14" i="145"/>
  <c r="D8" i="157" s="1"/>
  <c r="E16" i="145"/>
  <c r="E18" i="145"/>
  <c r="E20" i="145"/>
  <c r="D7" i="149"/>
  <c r="E24" i="145"/>
  <c r="E27" i="145"/>
  <c r="E31" i="145"/>
  <c r="D9" i="157" s="1"/>
  <c r="E33" i="145"/>
  <c r="E8" i="145"/>
  <c r="B32" i="145"/>
  <c r="C32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7" i="144" l="1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R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Q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H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Q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M127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O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charset val="1"/>
          </rPr>
          <t>Patrycja Rzeszut:</t>
        </r>
        <r>
          <rPr>
            <sz val="9"/>
            <color indexed="81"/>
            <rFont val="Tahoma"/>
            <charset val="1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tc={7FA3C0FE-22B8-4E3D-BF99-9C44B2E8559A}</author>
  </authors>
  <commentList>
    <comment ref="H5" authorId="0" shapeId="0" xr:uid="{7FA3C0FE-22B8-4E3D-BF99-9C44B2E8559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Stock tak dobrany aby formuła sprawdzająca dawała energię finalną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<sst xmlns="http://schemas.openxmlformats.org/spreadsheetml/2006/main" count="3115" uniqueCount="919">
  <si>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</si>
  <si>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</si>
  <si>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</si>
  <si>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</si>
  <si>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</si>
  <si>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</si>
  <si>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</si>
  <si>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</si>
  <si>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</si>
  <si>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</si>
  <si>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</si>
  <si>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</si>
  <si>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</si>
  <si>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</si>
  <si>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</si>
  <si>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</si>
  <si>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</si>
  <si>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</si>
  <si>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</si>
  <si>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</si>
  <si>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</si>
  <si>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</si>
  <si>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</si>
  <si>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</si>
  <si>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</si>
  <si>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</si>
  <si>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</si>
  <si>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</si>
  <si>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</si>
  <si>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</si>
  <si>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</si>
  <si>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</si>
  <si>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</si>
  <si>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</si>
  <si>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</si>
  <si>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</si>
  <si>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</si>
  <si>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</si>
  <si>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</si>
  <si>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</si>
  <si>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</si>
  <si>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</si>
  <si>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</si>
  <si>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</si>
  <si>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</si>
  <si>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</si>
  <si>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</si>
  <si>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</si>
  <si>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</si>
  <si>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</si>
  <si>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</si>
  <si>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</si>
  <si>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</si>
  <si>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</si>
  <si>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</si>
  <si>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</si>
  <si>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</si>
  <si>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</si>
  <si>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</si>
  <si>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</si>
  <si>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</si>
  <si>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</si>
  <si>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</si>
  <si>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</si>
  <si>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</si>
  <si>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</si>
  <si>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</si>
  <si>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</si>
  <si>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</si>
  <si>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</si>
  <si>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</si>
  <si>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</si>
  <si>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</si>
  <si>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</si>
  <si>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</si>
  <si>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</si>
  <si>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</si>
  <si>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</si>
  <si>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</si>
  <si>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</si>
  <si>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</si>
  <si>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</si>
  <si>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</si>
  <si>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</si>
  <si>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</si>
  <si>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</si>
  <si>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</si>
  <si>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</si>
  <si>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</si>
  <si>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</si>
  <si>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</si>
  <si>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</si>
  <si>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</si>
  <si>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</si>
  <si>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</si>
  <si>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</si>
  <si>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</si>
  <si>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</si>
  <si>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</si>
  <si>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</si>
  <si>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</si>
  <si>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</si>
  <si>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</si>
  <si>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</si>
  <si>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</si>
  <si>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</si>
  <si>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</si>
  <si>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</si>
  <si>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</si>
  <si>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</si>
  <si>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</si>
  <si>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</si>
  <si>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</si>
  <si>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</si>
  <si>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</si>
  <si>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</si>
  <si>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</si>
  <si>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</si>
  <si>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</si>
  <si>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</si>
  <si>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</si>
  <si>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</si>
  <si>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</si>
  <si>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</si>
  <si>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</si>
  <si>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</si>
  <si>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</si>
  <si>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</si>
  <si>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</si>
  <si>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</si>
  <si>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</si>
  <si>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</si>
  <si>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</si>
  <si>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</si>
  <si>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</si>
  <si>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</si>
  <si>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</si>
  <si>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</si>
  <si>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</si>
  <si>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</si>
  <si>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</si>
  <si>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</si>
  <si>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</si>
  <si>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</si>
  <si>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</si>
  <si>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</si>
  <si>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</si>
  <si>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</si>
  <si>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</si>
  <si>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</si>
  <si>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</si>
  <si>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</si>
  <si>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</si>
  <si>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</si>
  <si>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</si>
  <si>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</si>
  <si>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</si>
  <si>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</si>
  <si>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</si>
  <si>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</si>
  <si>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</si>
  <si>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</si>
  <si>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</si>
  <si>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</si>
  <si>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</si>
  <si>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</si>
  <si>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</si>
  <si>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</si>
  <si>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</si>
  <si>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</si>
  <si>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</si>
  <si>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</si>
  <si>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</si>
  <si>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</si>
  <si>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</si>
  <si>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</si>
  <si>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</si>
  <si>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</si>
  <si>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</si>
  <si>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</si>
  <si>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</si>
  <si>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</si>
  <si>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</si>
  <si>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</si>
  <si>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</si>
  <si>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</si>
  <si>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</si>
  <si>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</si>
  <si>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</si>
  <si>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</si>
  <si>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</si>
  <si>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</si>
  <si>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</si>
  <si>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</si>
  <si>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</si>
  <si>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</si>
  <si>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</si>
  <si>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</si>
  <si>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</si>
  <si>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</si>
  <si>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</si>
  <si>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</si>
  <si>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</si>
  <si>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</si>
  <si>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</si>
  <si>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</si>
  <si>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</si>
  <si>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</si>
  <si>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</si>
  <si>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</si>
  <si>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</si>
  <si>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</si>
  <si>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</si>
  <si>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</si>
  <si>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</si>
  <si>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</si>
  <si>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</si>
  <si>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</si>
  <si>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</si>
  <si>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</si>
  <si>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</si>
  <si>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</si>
  <si>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</si>
  <si>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</si>
  <si>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</si>
  <si>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</si>
  <si>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</si>
  <si>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</si>
  <si>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</si>
  <si>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</si>
  <si>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</si>
  <si>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</si>
  <si>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</si>
  <si>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</si>
  <si>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</si>
  <si>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</si>
  <si>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</si>
  <si>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</si>
  <si>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</si>
  <si>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</si>
  <si>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</si>
  <si>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</si>
  <si>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</si>
  <si>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</si>
  <si>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</si>
  <si>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</si>
  <si>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</si>
  <si>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</si>
  <si>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</si>
  <si>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</si>
  <si>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</si>
  <si>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</si>
  <si>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</si>
  <si>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</si>
  <si>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</si>
  <si>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</si>
  <si>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</si>
  <si>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</si>
  <si>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</si>
  <si>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</si>
  <si>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</si>
  <si>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</si>
  <si>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</si>
  <si>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</si>
  <si>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</si>
  <si>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</si>
  <si>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</si>
  <si>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</si>
  <si>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</si>
  <si>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</si>
  <si>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</si>
  <si>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</si>
  <si>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</si>
  <si>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</si>
  <si>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</si>
  <si>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</si>
  <si>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</si>
  <si>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</si>
  <si>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</si>
  <si>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</si>
  <si>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</si>
  <si>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</si>
  <si>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</si>
  <si>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</si>
  <si>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</si>
  <si>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</si>
  <si>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</si>
  <si>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</si>
  <si>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</si>
  <si>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</si>
  <si>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</si>
  <si>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</si>
  <si>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</si>
  <si>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</si>
  <si>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</si>
  <si>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</si>
  <si>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</si>
  <si>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</si>
  <si>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</si>
  <si>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</si>
  <si>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</si>
  <si>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</si>
  <si>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</si>
  <si>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</si>
  <si>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</si>
  <si>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</si>
  <si>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</si>
  <si>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</si>
  <si>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</si>
  <si>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</si>
  <si>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</si>
  <si>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</si>
  <si>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</si>
  <si>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</si>
  <si>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</si>
  <si>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</si>
  <si>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</si>
  <si>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</si>
  <si>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</si>
  <si>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</si>
  <si>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</si>
  <si>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</si>
  <si>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</si>
  <si>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</si>
  <si>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</si>
  <si>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</si>
  <si>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</si>
  <si>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</si>
  <si>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</si>
  <si>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</si>
  <si>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</si>
  <si>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</si>
  <si>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</si>
  <si>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ELC_MV-MV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</si>
  <si>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</si>
  <si>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</si>
  <si>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</si>
  <si>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</si>
  <si>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</si>
  <si>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</si>
  <si>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</si>
  <si>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</si>
  <si>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</si>
  <si>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</si>
  <si>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</si>
  <si>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</si>
  <si>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</si>
  <si>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</si>
  <si>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</si>
  <si>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</si>
  <si>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</si>
  <si>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</si>
  <si>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</si>
  <si>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</si>
  <si>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</si>
  <si>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</si>
  <si>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</si>
  <si>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</si>
  <si>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</si>
  <si>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</si>
  <si>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</si>
  <si>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</si>
  <si>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</si>
  <si>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</si>
  <si>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</si>
  <si>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</si>
  <si>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</si>
  <si>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</si>
  <si>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</si>
  <si>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</si>
  <si>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</si>
  <si>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</si>
  <si>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</si>
  <si>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</si>
  <si>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</si>
  <si>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</si>
  <si>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</si>
  <si>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</si>
  <si>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</si>
  <si>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</si>
  <si>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</si>
  <si>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</si>
  <si>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</si>
  <si>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</si>
  <si>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</si>
  <si>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</si>
  <si>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</si>
  <si>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</si>
  <si>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</si>
  <si>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</si>
  <si>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Output</t>
  </si>
  <si>
    <t>ACTFLO</t>
  </si>
  <si>
    <t>Uzysk odpadów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</si>
  <si>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</si>
  <si>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</si>
  <si>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</si>
  <si>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</si>
  <si>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</si>
  <si>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</si>
  <si>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</si>
  <si>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</si>
  <si>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</si>
  <si>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</si>
  <si>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</si>
  <si>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</si>
  <si>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</si>
  <si>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</si>
  <si>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</si>
  <si>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</si>
  <si>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</si>
  <si>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</si>
  <si>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</si>
  <si>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</si>
  <si>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</si>
  <si>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</si>
  <si>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</si>
  <si>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</si>
  <si>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</si>
  <si>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</si>
  <si>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</si>
  <si>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</si>
  <si>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</si>
  <si>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</si>
  <si>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</si>
  <si>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</si>
  <si>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</si>
  <si>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</si>
  <si>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</si>
  <si>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</si>
  <si>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</si>
  <si>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</si>
  <si>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</si>
  <si>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</si>
  <si>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</si>
  <si>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</si>
  <si>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</si>
  <si>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</si>
  <si>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</si>
  <si>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</si>
  <si>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</si>
  <si>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</si>
  <si>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</si>
  <si>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</si>
  <si>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</si>
  <si>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</si>
  <si>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</si>
  <si>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</si>
  <si>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</si>
  <si>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</si>
  <si>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</si>
  <si>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</si>
  <si>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</si>
  <si>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</si>
  <si>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</si>
  <si>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</si>
  <si>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</si>
  <si>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</si>
  <si>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</si>
  <si>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</si>
  <si>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</si>
  <si>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</si>
  <si>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</si>
  <si>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</si>
  <si>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</si>
  <si>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</si>
  <si>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</si>
  <si>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</si>
  <si>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</si>
  <si>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</si>
  <si>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</si>
  <si>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</si>
  <si>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</si>
  <si>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</si>
  <si>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</si>
  <si>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</si>
  <si>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</si>
  <si>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</si>
  <si>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</si>
  <si>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</si>
  <si>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</si>
  <si>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</si>
  <si>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</si>
  <si>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</si>
  <si>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</si>
  <si>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</si>
  <si>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</si>
  <si>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</si>
  <si>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</si>
  <si>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</si>
  <si>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</si>
  <si>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</si>
  <si>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</si>
  <si>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</si>
  <si>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</si>
  <si>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</si>
  <si>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</si>
  <si>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</si>
  <si>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</si>
  <si>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</si>
  <si>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</si>
  <si>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</si>
  <si>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</si>
  <si>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</si>
  <si>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</si>
  <si>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</si>
  <si>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</si>
  <si>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</si>
  <si>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</si>
  <si>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</si>
  <si>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</si>
  <si>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</si>
  <si>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</si>
  <si>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</si>
  <si>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</si>
  <si>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</si>
  <si>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</si>
  <si>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</si>
  <si>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</si>
  <si>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</si>
  <si>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</si>
  <si>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</si>
  <si>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</si>
  <si>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</si>
  <si>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</si>
  <si>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</si>
  <si>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</si>
  <si>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</si>
  <si>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</si>
  <si>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</si>
  <si>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</si>
  <si>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</si>
  <si>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</si>
  <si>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</si>
  <si>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</si>
  <si>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</si>
  <si>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</si>
  <si>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</si>
  <si>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</si>
  <si>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</si>
  <si>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</si>
  <si>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</si>
  <si>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</si>
  <si>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</si>
  <si>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</si>
  <si>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</si>
  <si>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</si>
  <si>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</si>
  <si>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</si>
  <si>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</si>
  <si>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</si>
  <si>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</si>
  <si>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</si>
  <si>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</si>
  <si>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</si>
  <si>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</si>
  <si>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</si>
  <si>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</si>
  <si>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</si>
  <si>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</si>
  <si>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</si>
  <si>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</si>
  <si>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</si>
  <si>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</si>
  <si>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</si>
  <si>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</si>
  <si>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</si>
  <si>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</si>
  <si>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</si>
  <si>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</si>
  <si>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</si>
  <si>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</si>
  <si>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</si>
  <si>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</si>
  <si>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</si>
  <si>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</si>
  <si>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</si>
  <si>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</si>
  <si>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</si>
  <si>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</si>
  <si>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</si>
  <si>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</si>
  <si>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</si>
  <si>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</si>
  <si>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</si>
  <si>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</si>
  <si>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</si>
  <si>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</si>
  <si>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</si>
  <si>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</si>
  <si>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</si>
  <si>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</si>
  <si>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</si>
  <si>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</si>
  <si>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</si>
  <si>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</si>
  <si>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</si>
  <si>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</si>
  <si>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</si>
  <si>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</si>
  <si>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</si>
  <si>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</si>
  <si>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</si>
  <si>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</si>
  <si>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</si>
  <si>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</si>
  <si>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</si>
  <si>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</si>
  <si>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</si>
  <si>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</si>
  <si>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</si>
  <si>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</si>
  <si>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</si>
  <si>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</si>
  <si>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</si>
  <si>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</si>
  <si>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</si>
  <si>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</si>
  <si>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</si>
  <si>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</si>
  <si>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</si>
  <si>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</si>
  <si>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</si>
  <si>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</si>
  <si>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</si>
  <si>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</si>
  <si>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</si>
  <si>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</si>
  <si>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</si>
  <si>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</si>
  <si>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</si>
  <si>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</si>
  <si>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</si>
  <si>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</si>
  <si>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</si>
  <si>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</si>
  <si>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</si>
  <si>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</si>
  <si>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</si>
  <si>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</si>
  <si>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</si>
  <si>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</si>
  <si>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</si>
  <si>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</si>
  <si>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</si>
  <si>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</si>
  <si>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</si>
  <si>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</si>
  <si>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</si>
  <si>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</si>
  <si>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</si>
  <si>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</si>
  <si>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</si>
  <si>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</si>
  <si>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</si>
  <si>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</si>
  <si>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</si>
  <si>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</si>
  <si>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</si>
  <si>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</si>
  <si>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</si>
  <si>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</si>
  <si>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</si>
  <si>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</si>
  <si>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</si>
  <si>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</si>
  <si>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</si>
  <si>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</si>
  <si>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</si>
  <si>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</si>
  <si>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</si>
  <si>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</si>
  <si>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</si>
  <si>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</si>
  <si>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</si>
  <si>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</si>
  <si>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</si>
  <si>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</si>
  <si>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</si>
  <si>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</si>
  <si>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</si>
  <si>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</si>
  <si>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</si>
  <si>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</si>
  <si>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</si>
  <si>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</si>
  <si>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</si>
  <si>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</si>
  <si>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</si>
  <si>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</si>
  <si>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</si>
  <si>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</si>
  <si>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</si>
  <si>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</si>
  <si>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</si>
  <si>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</si>
  <si>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</si>
  <si>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</si>
  <si>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</si>
  <si>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</si>
  <si>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</si>
  <si>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</si>
  <si>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</si>
  <si>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</si>
  <si>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</si>
  <si>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</si>
  <si>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</si>
  <si>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</si>
  <si>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</si>
  <si>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</si>
  <si>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</si>
  <si>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</si>
  <si>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</si>
  <si>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</si>
  <si>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</si>
  <si>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</si>
  <si>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</si>
  <si>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</si>
  <si>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</si>
  <si>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</si>
  <si>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</si>
  <si>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</si>
  <si>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</si>
  <si>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</si>
  <si>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</si>
  <si>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</si>
  <si>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</si>
  <si>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</si>
  <si>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</si>
  <si>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</si>
  <si>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</si>
  <si>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</si>
  <si>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</si>
  <si>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</si>
  <si>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</si>
  <si>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</si>
  <si>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</si>
  <si>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</si>
  <si>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</si>
  <si>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</si>
  <si>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</si>
  <si>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</si>
  <si>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</si>
  <si>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</si>
  <si>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</si>
  <si>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</si>
  <si>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</si>
  <si>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</si>
  <si>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</si>
  <si>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</si>
  <si>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</si>
  <si>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</si>
  <si>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</si>
  <si>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</si>
  <si>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</si>
  <si>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</si>
  <si>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</si>
  <si>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</si>
  <si>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</si>
  <si>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</si>
  <si>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</si>
  <si>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</si>
  <si>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</si>
  <si>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</si>
  <si>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</si>
  <si>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</si>
  <si>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</si>
  <si>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</si>
  <si>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</si>
  <si>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</si>
  <si>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</si>
  <si>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</si>
  <si>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</si>
  <si>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</si>
  <si>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</si>
  <si>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</si>
  <si>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</si>
  <si>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</si>
  <si>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</si>
  <si>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</si>
  <si>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</si>
  <si>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</si>
  <si>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</si>
  <si>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</si>
  <si>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</si>
  <si>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</si>
  <si>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</si>
  <si>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</si>
  <si>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</si>
  <si>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</si>
  <si>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</si>
  <si>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</si>
  <si>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</si>
  <si>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</si>
  <si>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</si>
  <si>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</si>
  <si>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</si>
  <si>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</si>
  <si>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</si>
  <si>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</si>
  <si>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</si>
  <si>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</si>
  <si>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</si>
  <si>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</si>
  <si>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</si>
  <si>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</si>
  <si>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</si>
  <si>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</si>
  <si>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</si>
  <si>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</si>
  <si>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</si>
  <si>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</si>
  <si>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</si>
  <si>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</si>
  <si>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</si>
  <si>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</si>
  <si>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</si>
  <si>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</si>
  <si>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</si>
  <si>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</si>
  <si>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Stock~2024~2050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</si>
  <si>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</si>
  <si>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</si>
  <si>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</si>
  <si>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</si>
  <si>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</si>
  <si>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</si>
  <si>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</si>
  <si>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</si>
  <si>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</si>
  <si>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</si>
  <si>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</si>
  <si>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</si>
  <si>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</si>
  <si>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</si>
  <si>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</si>
  <si>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</si>
  <si>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</si>
  <si>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</si>
  <si>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</si>
  <si>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</si>
  <si>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</si>
  <si>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</si>
  <si>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Biogaz</t>
  </si>
  <si>
    <t xml:space="preserve">   Paliwa odpadowe stałe roślinne i zwierzęce</t>
  </si>
  <si>
    <t xml:space="preserve">   Paliwa ciekłe z biomasy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</si>
  <si>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</si>
  <si>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</si>
  <si>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</si>
  <si>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</si>
  <si>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</si>
  <si>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</si>
  <si>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</si>
  <si>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</si>
  <si>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</si>
  <si>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</si>
  <si>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</si>
  <si>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</si>
  <si>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</si>
  <si>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</si>
  <si>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</si>
  <si>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</si>
  <si>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</si>
  <si>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</si>
  <si>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</si>
  <si>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</si>
  <si>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</si>
  <si>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</si>
  <si>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Biogaz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</si>
  <si>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</si>
  <si>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</si>
  <si>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</si>
  <si>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</si>
  <si>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</si>
  <si>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</si>
  <si>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</si>
  <si>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Paliwa odpadowe i ciekłe bio.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</si>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</sst>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7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8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782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20" borderId="0" xfId="10" applyFill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15" fillId="13" borderId="35" xfId="10" applyFill="1" applyBorder="1"/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7" fillId="7" borderId="59" xfId="3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4" fontId="15" fillId="21" borderId="2" xfId="7" applyNumberFormat="1" applyFill="1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7" fillId="0" borderId="0" xfId="7" applyFont="1"/>
    <xf numFmtId="3" fontId="17" fillId="0" borderId="0" xfId="20" applyNumberFormat="1" applyFont="1"/>
    <xf numFmtId="172" fontId="17" fillId="0" borderId="0" xfId="20" applyNumberFormat="1" applyFont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6" fillId="0" borderId="76" xfId="0" applyFont="1" applyBorder="1" applyAlignment="1">
      <alignment horizontal="left"/>
    </xf>
    <xf numFmtId="0" fontId="156" fillId="13" borderId="76" xfId="0" applyFont="1" applyFill="1" applyBorder="1" applyAlignment="1">
      <alignment horizontal="center"/>
    </xf>
    <xf numFmtId="1" fontId="156" fillId="13" borderId="76" xfId="0" applyNumberFormat="1" applyFont="1" applyFill="1" applyBorder="1"/>
    <xf numFmtId="0" fontId="162" fillId="0" borderId="76" xfId="0" applyFont="1" applyBorder="1" applyAlignment="1">
      <alignment horizontal="left"/>
    </xf>
    <xf numFmtId="0" fontId="162" fillId="13" borderId="76" xfId="0" applyFont="1" applyFill="1" applyBorder="1" applyAlignment="1">
      <alignment horizontal="center"/>
    </xf>
    <xf numFmtId="1" fontId="162" fillId="13" borderId="76" xfId="0" applyNumberFormat="1" applyFont="1" applyFill="1" applyBorder="1"/>
    <xf numFmtId="0" fontId="15" fillId="0" borderId="76" xfId="0" applyFont="1" applyBorder="1"/>
    <xf numFmtId="1" fontId="162" fillId="13" borderId="76" xfId="0" applyNumberFormat="1" applyFont="1" applyFill="1" applyBorder="1" applyAlignment="1">
      <alignment horizontal="right"/>
    </xf>
    <xf numFmtId="0" fontId="162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61" fillId="0" borderId="0" xfId="0" applyFont="1"/>
    <xf numFmtId="0" fontId="17" fillId="13" borderId="76" xfId="0" applyFont="1" applyFill="1" applyBorder="1" applyAlignment="1">
      <alignment horizontal="left" vertical="center"/>
    </xf>
    <xf numFmtId="0" fontId="160" fillId="13" borderId="76" xfId="0" applyFont="1" applyFill="1" applyBorder="1" applyAlignment="1">
      <alignment horizontal="center" vertical="center"/>
    </xf>
    <xf numFmtId="1" fontId="159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3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3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2" fillId="13" borderId="76" xfId="0" applyFont="1" applyFill="1" applyBorder="1" applyAlignment="1">
      <alignment horizontal="left" vertical="top"/>
    </xf>
    <xf numFmtId="0" fontId="164" fillId="13" borderId="76" xfId="0" applyFont="1" applyFill="1" applyBorder="1" applyAlignment="1">
      <alignment horizontal="left" vertical="top"/>
    </xf>
    <xf numFmtId="0" fontId="162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2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3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2" fillId="13" borderId="114" xfId="0" applyFont="1" applyFill="1" applyBorder="1" applyAlignment="1">
      <alignment horizontal="left" vertical="top"/>
    </xf>
    <xf numFmtId="0" fontId="164" fillId="13" borderId="114" xfId="0" applyFont="1" applyFill="1" applyBorder="1" applyAlignment="1">
      <alignment horizontal="left" vertical="top"/>
    </xf>
    <xf numFmtId="0" fontId="162" fillId="13" borderId="128" xfId="0" applyFont="1" applyFill="1" applyBorder="1" applyAlignment="1">
      <alignment horizontal="left" vertical="top"/>
    </xf>
    <xf numFmtId="0" fontId="162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2" fillId="13" borderId="127" xfId="0" applyFont="1" applyFill="1" applyBorder="1"/>
    <xf numFmtId="0" fontId="162" fillId="13" borderId="125" xfId="0" applyFont="1" applyFill="1" applyBorder="1"/>
    <xf numFmtId="0" fontId="162" fillId="13" borderId="0" xfId="0" applyFont="1" applyFill="1"/>
    <xf numFmtId="0" fontId="164" fillId="13" borderId="125" xfId="0" applyFont="1" applyFill="1" applyBorder="1"/>
    <xf numFmtId="0" fontId="162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5" borderId="137" xfId="0" applyFon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7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7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7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7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2" fillId="0" borderId="109" xfId="0" applyFont="1" applyBorder="1" applyAlignment="1">
      <alignment vertical="center"/>
    </xf>
    <xf numFmtId="0" fontId="162" fillId="0" borderId="78" xfId="0" applyFont="1" applyBorder="1" applyAlignment="1">
      <alignment vertical="center"/>
    </xf>
    <xf numFmtId="0" fontId="162" fillId="17" borderId="16" xfId="0" applyFont="1" applyFill="1" applyBorder="1" applyAlignment="1">
      <alignment horizontal="center" vertical="center"/>
    </xf>
    <xf numFmtId="0" fontId="162" fillId="17" borderId="11" xfId="0" applyFont="1" applyFill="1" applyBorder="1" applyAlignment="1">
      <alignment horizontal="center" vertical="center"/>
    </xf>
    <xf numFmtId="0" fontId="166" fillId="0" borderId="115" xfId="0" applyFont="1" applyBorder="1" applyAlignment="1">
      <alignment horizontal="left" vertical="center"/>
    </xf>
    <xf numFmtId="0" fontId="166" fillId="0" borderId="114" xfId="0" applyFont="1" applyBorder="1" applyAlignment="1">
      <alignment horizontal="left" vertical="center"/>
    </xf>
    <xf numFmtId="0" fontId="166" fillId="0" borderId="116" xfId="0" applyFont="1" applyBorder="1" applyAlignment="1">
      <alignment horizontal="left" vertical="center"/>
    </xf>
    <xf numFmtId="0" fontId="166" fillId="0" borderId="140" xfId="0" applyFont="1" applyBorder="1" applyAlignment="1">
      <alignment horizontal="center" vertical="center"/>
    </xf>
    <xf numFmtId="0" fontId="166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2" fontId="15" fillId="17" borderId="15" xfId="0" applyNumberFormat="1" applyFont="1" applyFill="1" applyBorder="1"/>
    <xf numFmtId="2" fontId="15" fillId="17" borderId="0" xfId="0" applyNumberFormat="1" applyFont="1" applyFill="1"/>
    <xf numFmtId="171" fontId="15" fillId="17" borderId="15" xfId="0" applyNumberFormat="1" applyFont="1" applyFill="1" applyBorder="1"/>
    <xf numFmtId="171" fontId="15" fillId="17" borderId="0" xfId="0" applyNumberFormat="1" applyFont="1" applyFill="1"/>
    <xf numFmtId="171" fontId="15" fillId="13" borderId="0" xfId="0" applyNumberFormat="1" applyFont="1" applyFill="1"/>
    <xf numFmtId="171" fontId="0" fillId="13" borderId="0" xfId="0" applyNumberFormat="1" applyFill="1"/>
    <xf numFmtId="2" fontId="15" fillId="13" borderId="0" xfId="0" applyNumberFormat="1" applyFont="1" applyFill="1"/>
    <xf numFmtId="171" fontId="0" fillId="17" borderId="0" xfId="0" applyNumberFormat="1" applyFill="1"/>
    <xf numFmtId="0" fontId="0" fillId="13" borderId="135" xfId="0" applyFill="1" applyBorder="1"/>
    <xf numFmtId="171" fontId="0" fillId="13" borderId="135" xfId="0" applyNumberFormat="1" applyFill="1" applyBorder="1"/>
    <xf numFmtId="2" fontId="0" fillId="13" borderId="135" xfId="0" applyNumberFormat="1" applyFill="1" applyBorder="1"/>
    <xf numFmtId="0" fontId="15" fillId="17" borderId="135" xfId="0" applyFont="1" applyFill="1" applyBorder="1"/>
    <xf numFmtId="171" fontId="15" fillId="17" borderId="135" xfId="0" applyNumberFormat="1" applyFont="1" applyFill="1" applyBorder="1"/>
    <xf numFmtId="2" fontId="15" fillId="17" borderId="135" xfId="0" applyNumberFormat="1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7" borderId="135" xfId="0" applyFill="1" applyBorder="1"/>
    <xf numFmtId="171" fontId="0" fillId="17" borderId="135" xfId="0" applyNumberFormat="1" applyFill="1" applyBorder="1"/>
    <xf numFmtId="2" fontId="0" fillId="17" borderId="0" xfId="0" applyNumberFormat="1" applyFill="1"/>
    <xf numFmtId="2" fontId="0" fillId="17" borderId="135" xfId="0" applyNumberFormat="1" applyFill="1" applyBorder="1"/>
    <xf numFmtId="0" fontId="0" fillId="13" borderId="147" xfId="0" applyFill="1" applyBorder="1"/>
    <xf numFmtId="0" fontId="0" fillId="17" borderId="127" xfId="0" applyFill="1" applyBorder="1"/>
    <xf numFmtId="171" fontId="0" fillId="17" borderId="127" xfId="0" applyNumberFormat="1" applyFill="1" applyBorder="1"/>
    <xf numFmtId="2" fontId="0" fillId="17" borderId="127" xfId="0" applyNumberFormat="1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3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2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4" fillId="13" borderId="165" xfId="0" applyFont="1" applyFill="1" applyBorder="1" applyAlignment="1">
      <alignment horizontal="left" vertical="top"/>
    </xf>
    <xf numFmtId="0" fontId="162" fillId="13" borderId="167" xfId="0" applyFont="1" applyFill="1" applyBorder="1" applyAlignment="1">
      <alignment horizontal="left" vertical="top"/>
    </xf>
    <xf numFmtId="0" fontId="162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2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2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5" fillId="73" borderId="125" xfId="0" applyFont="1" applyFill="1" applyBorder="1" applyAlignment="1">
      <alignment horizontal="center"/>
    </xf>
    <xf numFmtId="0" fontId="15" fillId="73" borderId="0" xfId="0" applyFont="1" applyFill="1" applyAlignment="1">
      <alignment horizontal="center"/>
    </xf>
    <xf numFmtId="0" fontId="15" fillId="73" borderId="89" xfId="0" applyFont="1" applyFill="1" applyBorder="1" applyAlignment="1">
      <alignment horizontal="center"/>
    </xf>
    <xf numFmtId="0" fontId="164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57" fillId="13" borderId="106" xfId="7" applyFont="1" applyFill="1" applyBorder="1" applyAlignment="1">
      <alignment horizontal="left"/>
    </xf>
    <xf numFmtId="0" fontId="157" fillId="13" borderId="59" xfId="7" applyFont="1" applyFill="1" applyBorder="1" applyAlignment="1">
      <alignment horizontal="left"/>
    </xf>
    <xf numFmtId="0" fontId="157" fillId="13" borderId="108" xfId="7" applyFont="1" applyFill="1" applyBorder="1" applyAlignment="1">
      <alignment horizontal="left"/>
    </xf>
    <xf numFmtId="0" fontId="157" fillId="0" borderId="106" xfId="7" applyFont="1" applyBorder="1" applyAlignment="1">
      <alignment horizontal="left"/>
    </xf>
    <xf numFmtId="0" fontId="157" fillId="0" borderId="59" xfId="7" applyFont="1" applyBorder="1" applyAlignment="1">
      <alignment horizontal="left"/>
    </xf>
    <xf numFmtId="0" fontId="157" fillId="0" borderId="108" xfId="7" applyFont="1" applyBorder="1" applyAlignment="1">
      <alignment horizontal="left"/>
    </xf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6" fillId="13" borderId="106" xfId="7" applyFont="1" applyFill="1" applyBorder="1" applyAlignment="1">
      <alignment horizontal="center" wrapText="1"/>
    </xf>
    <xf numFmtId="0" fontId="156" fillId="13" borderId="59" xfId="7" applyFont="1" applyFill="1" applyBorder="1" applyAlignment="1">
      <alignment horizontal="center" wrapText="1"/>
    </xf>
    <xf numFmtId="0" fontId="156" fillId="13" borderId="107" xfId="7" applyFont="1" applyFill="1" applyBorder="1" applyAlignment="1">
      <alignment horizontal="center" wrapText="1"/>
    </xf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15" fillId="13" borderId="183" xfId="0" applyFont="1" applyFill="1" applyBorder="1" applyAlignment="1">
      <alignment horizontal="center"/>
    </xf>
    <xf numFmtId="0" fontId="15" fillId="13" borderId="184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57" fillId="0" borderId="123" xfId="0" applyFont="1" applyBorder="1" applyAlignment="1">
      <alignment horizontal="center"/>
    </xf>
    <xf numFmtId="0" fontId="157" fillId="0" borderId="124" xfId="0" applyFont="1" applyBorder="1" applyAlignment="1">
      <alignment horizontal="center"/>
    </xf>
    <xf numFmtId="0" fontId="157" fillId="0" borderId="87" xfId="0" applyFont="1" applyBorder="1" applyAlignment="1">
      <alignment horizontal="center"/>
    </xf>
    <xf numFmtId="0" fontId="165" fillId="74" borderId="123" xfId="0" applyFont="1" applyFill="1" applyBorder="1" applyAlignment="1">
      <alignment horizontal="center"/>
    </xf>
    <xf numFmtId="0" fontId="165" fillId="74" borderId="124" xfId="0" applyFont="1" applyFill="1" applyBorder="1" applyAlignment="1">
      <alignment horizontal="center"/>
    </xf>
    <xf numFmtId="0" fontId="165" fillId="74" borderId="87" xfId="0" applyFont="1" applyFill="1" applyBorder="1" applyAlignment="1">
      <alignment horizontal="center"/>
    </xf>
    <xf numFmtId="0" fontId="163" fillId="17" borderId="119" xfId="0" applyFont="1" applyFill="1" applyBorder="1" applyAlignment="1">
      <alignment horizontal="center" vertical="center"/>
    </xf>
    <xf numFmtId="0" fontId="163" fillId="17" borderId="115" xfId="0" applyFont="1" applyFill="1" applyBorder="1" applyAlignment="1">
      <alignment horizontal="center" vertical="center"/>
    </xf>
    <xf numFmtId="0" fontId="163" fillId="17" borderId="63" xfId="0" applyFont="1" applyFill="1" applyBorder="1" applyAlignment="1">
      <alignment horizontal="center" vertical="center"/>
    </xf>
    <xf numFmtId="0" fontId="163" fillId="17" borderId="78" xfId="0" applyFont="1" applyFill="1" applyBorder="1" applyAlignment="1">
      <alignment horizontal="center" vertical="center"/>
    </xf>
    <xf numFmtId="0" fontId="163" fillId="17" borderId="145" xfId="0" applyFont="1" applyFill="1" applyBorder="1" applyAlignment="1">
      <alignment horizontal="center" vertical="center"/>
    </xf>
    <xf numFmtId="0" fontId="163" fillId="17" borderId="146" xfId="0" applyFont="1" applyFill="1" applyBorder="1" applyAlignment="1">
      <alignment horizontal="center" vertical="center"/>
    </xf>
    <xf numFmtId="0" fontId="162" fillId="17" borderId="12" xfId="0" applyFont="1" applyFill="1" applyBorder="1" applyAlignment="1">
      <alignment horizontal="center"/>
    </xf>
    <xf numFmtId="0" fontId="162" fillId="17" borderId="3" xfId="0" applyFont="1" applyFill="1" applyBorder="1" applyAlignment="1">
      <alignment horizontal="center"/>
    </xf>
    <xf numFmtId="0" fontId="162" fillId="17" borderId="13" xfId="0" applyFont="1" applyFill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3" fillId="13" borderId="60" xfId="0" applyFont="1" applyFill="1" applyBorder="1" applyAlignment="1">
      <alignment horizontal="center" vertical="center"/>
    </xf>
    <xf numFmtId="0" fontId="163" fillId="13" borderId="3" xfId="0" applyFont="1" applyFill="1" applyBorder="1" applyAlignment="1">
      <alignment horizontal="center" vertical="center"/>
    </xf>
    <xf numFmtId="0" fontId="163" fillId="13" borderId="164" xfId="0" applyFont="1" applyFill="1" applyBorder="1" applyAlignment="1">
      <alignment horizontal="center" vertical="center"/>
    </xf>
    <xf numFmtId="0" fontId="163" fillId="13" borderId="61" xfId="0" applyFont="1" applyFill="1" applyBorder="1" applyAlignment="1">
      <alignment horizontal="center" vertical="center"/>
    </xf>
    <xf numFmtId="0" fontId="163" fillId="13" borderId="13" xfId="0" applyFont="1" applyFill="1" applyBorder="1" applyAlignment="1">
      <alignment horizontal="center" vertical="center"/>
    </xf>
    <xf numFmtId="0" fontId="67" fillId="0" borderId="16" xfId="0" applyFont="1" applyBorder="1" applyAlignment="1">
      <alignment horizontal="center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72677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24</xdr:col>
      <xdr:colOff>377638</xdr:colOff>
      <xdr:row>91</xdr:row>
      <xdr:rowOff>51436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24</xdr:col>
      <xdr:colOff>349063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24</xdr:col>
      <xdr:colOff>349063</xdr:colOff>
      <xdr:row>98</xdr:row>
      <xdr:rowOff>57150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24</xdr:col>
      <xdr:colOff>358588</xdr:colOff>
      <xdr:row>117</xdr:row>
      <xdr:rowOff>38101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24</xdr:col>
      <xdr:colOff>358588</xdr:colOff>
      <xdr:row>112</xdr:row>
      <xdr:rowOff>114300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24</xdr:col>
      <xdr:colOff>101413</xdr:colOff>
      <xdr:row>72</xdr:row>
      <xdr:rowOff>142876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75</xdr:row>
      <xdr:rowOff>33487</xdr:rowOff>
    </xdr:from>
    <xdr:to>
      <xdr:col>3</xdr:col>
      <xdr:colOff>93798</xdr:colOff>
      <xdr:row>102</xdr:row>
      <xdr:rowOff>68315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Q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Q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O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H5" dT="2026-09-16T11:13:21.68" personId="{2BB7EB7A-F824-4AF2-9147-2140347CFE5E}" id="{7FA3C0FE-22B8-4E3D-BF99-9C44B2E8559A}">
    <text>Stock tak dobrany aby formuła sprawdzająca dawała energię finalną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40625" defaultRowHeight="18.75"/>
  <cols>
    <col min="1" max="3" width="4" style="35" customWidth="1"/>
    <col min="4" max="9" width="14.42578125" style="35" customWidth="1"/>
    <col min="10" max="12" width="4" style="35" customWidth="1"/>
    <col min="13" max="16384" width="9.14062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727" t="s">
        <v>0</v>
      </c>
      <c r="E14" s="727"/>
      <c r="F14" s="728" t="s">
        <v>1</v>
      </c>
      <c r="G14" s="728"/>
      <c r="H14" s="728"/>
      <c r="J14" s="25"/>
      <c r="K14" s="27"/>
      <c r="L14" s="36"/>
    </row>
    <row r="15" spans="1:15">
      <c r="A15" s="36"/>
      <c r="B15" s="31"/>
      <c r="C15" s="26"/>
      <c r="D15" s="23"/>
      <c r="E15" s="23"/>
      <c r="F15" s="728"/>
      <c r="G15" s="728"/>
      <c r="H15" s="728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727" t="s">
        <v>2</v>
      </c>
      <c r="E18" s="727"/>
      <c r="F18" s="728" t="s">
        <v>3</v>
      </c>
      <c r="G18" s="728"/>
      <c r="H18" s="728"/>
      <c r="I18" s="728"/>
      <c r="J18" s="25"/>
      <c r="K18" s="27"/>
      <c r="L18" s="36"/>
    </row>
    <row r="19" spans="1:12">
      <c r="A19" s="36"/>
      <c r="B19" s="31"/>
      <c r="C19" s="26"/>
      <c r="D19" s="23"/>
      <c r="E19" s="23"/>
      <c r="F19" s="728"/>
      <c r="G19" s="728"/>
      <c r="H19" s="728"/>
      <c r="I19" s="728"/>
      <c r="J19" s="25"/>
      <c r="K19" s="27"/>
      <c r="L19" s="36"/>
    </row>
    <row r="20" spans="1:12">
      <c r="A20" s="36"/>
      <c r="B20" s="31"/>
      <c r="C20" s="26"/>
      <c r="D20" s="23"/>
      <c r="E20" s="23"/>
      <c r="F20" s="728"/>
      <c r="G20" s="728"/>
      <c r="H20" s="728"/>
      <c r="I20" s="728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727" t="s">
        <v>4</v>
      </c>
      <c r="E22" s="727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727" t="s">
        <v>6</v>
      </c>
      <c r="E28" s="727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788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727" t="s">
        <v>10</v>
      </c>
      <c r="E33" s="727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5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40625" defaultRowHeight="12.75"/>
  <cols>
    <col min="1" max="3" width="4" style="231" customWidth="1"/>
    <col min="4" max="4" width="22.28515625" style="231" customWidth="1"/>
    <col min="5" max="5" width="43.140625" style="231" customWidth="1"/>
    <col min="6" max="6" width="44.42578125" style="231" customWidth="1"/>
    <col min="7" max="9" width="4" style="231" customWidth="1"/>
    <col min="10" max="14" width="9.140625" style="231"/>
    <col min="15" max="15" width="19.140625" style="231" customWidth="1"/>
    <col min="16" max="16" width="20.7109375" style="231" customWidth="1"/>
    <col min="17" max="17" width="40" style="231" customWidth="1"/>
    <col min="18" max="18" width="22" style="231" customWidth="1"/>
    <col min="19" max="16384" width="9.140625" style="231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.75">
      <c r="A3" s="36"/>
      <c r="B3" s="31"/>
      <c r="C3" s="30"/>
      <c r="D3" s="29"/>
      <c r="E3" s="29"/>
      <c r="F3" s="29"/>
      <c r="G3" s="28"/>
      <c r="H3" s="27"/>
      <c r="I3" s="36"/>
    </row>
    <row r="4" spans="1:18" ht="18.75">
      <c r="A4" s="36"/>
      <c r="B4" s="31"/>
      <c r="C4" s="26"/>
      <c r="D4" s="729" t="s">
        <v>12</v>
      </c>
      <c r="E4" s="729"/>
      <c r="F4" s="729"/>
      <c r="G4" s="25"/>
      <c r="H4" s="27"/>
      <c r="I4" s="36"/>
    </row>
    <row r="5" spans="1:18" ht="18.75">
      <c r="A5" s="36"/>
      <c r="B5" s="31"/>
      <c r="C5" s="26"/>
      <c r="D5" s="13"/>
      <c r="E5" s="13"/>
      <c r="F5" s="13"/>
      <c r="G5" s="25"/>
      <c r="H5" s="27"/>
      <c r="I5" s="36"/>
    </row>
    <row r="6" spans="1:18" ht="18.75">
      <c r="A6" s="36"/>
      <c r="B6" s="31"/>
      <c r="C6" s="26"/>
      <c r="D6" s="12" t="s">
        <v>789</v>
      </c>
      <c r="E6" s="11"/>
      <c r="F6" s="11"/>
      <c r="G6" s="25"/>
      <c r="H6" s="27"/>
      <c r="I6" s="36"/>
    </row>
    <row r="7" spans="1:18" ht="18.75">
      <c r="A7" s="36"/>
      <c r="B7" s="31"/>
      <c r="C7" s="26"/>
      <c r="D7" s="10"/>
      <c r="E7" s="9"/>
      <c r="F7" s="9"/>
      <c r="G7" s="25"/>
      <c r="H7" s="27"/>
      <c r="I7" s="36"/>
    </row>
    <row r="8" spans="1:18" ht="18.75">
      <c r="A8" s="36"/>
      <c r="B8" s="31"/>
      <c r="C8" s="26"/>
      <c r="D8" s="262" t="s">
        <v>779</v>
      </c>
      <c r="E8" s="262" t="s">
        <v>781</v>
      </c>
      <c r="F8" s="262" t="s">
        <v>782</v>
      </c>
      <c r="G8" s="25"/>
      <c r="H8" s="27"/>
      <c r="I8" s="36"/>
    </row>
    <row r="9" spans="1:18" ht="18.75">
      <c r="A9" s="36"/>
      <c r="B9" s="31"/>
      <c r="C9" s="26"/>
      <c r="D9" s="8" t="s">
        <v>785</v>
      </c>
      <c r="E9" s="8" t="s">
        <v>13</v>
      </c>
      <c r="F9" s="8" t="s">
        <v>786</v>
      </c>
      <c r="G9" s="25"/>
      <c r="H9" s="27"/>
      <c r="I9" s="36"/>
    </row>
    <row r="10" spans="1:18" ht="18.75">
      <c r="A10" s="36"/>
      <c r="B10" s="31"/>
      <c r="C10" s="26"/>
      <c r="D10" s="8" t="s">
        <v>802</v>
      </c>
      <c r="E10" s="8" t="s">
        <v>13</v>
      </c>
      <c r="F10" s="8" t="s">
        <v>787</v>
      </c>
      <c r="G10" s="25"/>
      <c r="H10" s="27"/>
      <c r="I10" s="36"/>
    </row>
    <row r="11" spans="1:18" ht="18.75">
      <c r="A11" s="36"/>
      <c r="B11" s="31"/>
      <c r="C11" s="26"/>
      <c r="D11" s="8" t="s">
        <v>780</v>
      </c>
      <c r="E11" s="8" t="s">
        <v>13</v>
      </c>
      <c r="F11" s="8" t="s">
        <v>783</v>
      </c>
      <c r="G11" s="25"/>
      <c r="H11" s="27"/>
      <c r="I11" s="36"/>
      <c r="O11" s="432"/>
      <c r="P11" s="432"/>
      <c r="Q11" s="432"/>
      <c r="R11" s="432"/>
    </row>
    <row r="12" spans="1:18" ht="18.75">
      <c r="A12" s="36"/>
      <c r="B12" s="31"/>
      <c r="C12" s="26"/>
      <c r="D12" s="8" t="s">
        <v>784</v>
      </c>
      <c r="E12" s="8" t="s">
        <v>794</v>
      </c>
      <c r="F12" s="8"/>
      <c r="G12" s="25"/>
      <c r="H12" s="27"/>
      <c r="I12" s="36"/>
    </row>
    <row r="13" spans="1:18" ht="18.75">
      <c r="A13" s="36"/>
      <c r="B13" s="31"/>
      <c r="C13" s="26"/>
      <c r="D13" s="8" t="s">
        <v>144</v>
      </c>
      <c r="E13" s="8" t="s">
        <v>794</v>
      </c>
      <c r="F13" s="8"/>
      <c r="G13" s="25"/>
      <c r="H13" s="27"/>
      <c r="I13" s="36"/>
    </row>
    <row r="14" spans="1:18" ht="18.75">
      <c r="A14" s="36"/>
      <c r="B14" s="31"/>
      <c r="C14" s="26"/>
      <c r="D14" s="8" t="s">
        <v>55</v>
      </c>
      <c r="E14" s="8" t="s">
        <v>794</v>
      </c>
      <c r="F14" s="8"/>
      <c r="G14" s="25"/>
      <c r="H14" s="27"/>
      <c r="I14" s="36"/>
    </row>
    <row r="15" spans="1:18" ht="18.75">
      <c r="A15" s="36"/>
      <c r="B15" s="31"/>
      <c r="C15" s="26"/>
      <c r="D15" s="8" t="s">
        <v>790</v>
      </c>
      <c r="E15" s="8" t="s">
        <v>13</v>
      </c>
      <c r="F15" s="8"/>
      <c r="G15" s="25"/>
      <c r="H15" s="27"/>
      <c r="I15" s="36"/>
    </row>
    <row r="16" spans="1:18" ht="18.75">
      <c r="A16" s="36"/>
      <c r="B16" s="31"/>
      <c r="C16" s="26"/>
      <c r="D16" s="8" t="s">
        <v>791</v>
      </c>
      <c r="E16" s="8" t="s">
        <v>794</v>
      </c>
      <c r="F16" s="8"/>
      <c r="G16" s="25"/>
      <c r="H16" s="27"/>
      <c r="I16" s="36"/>
    </row>
    <row r="17" spans="1:9" ht="18.75">
      <c r="A17" s="36"/>
      <c r="B17" s="31"/>
      <c r="C17" s="26"/>
      <c r="D17" s="8" t="s">
        <v>793</v>
      </c>
      <c r="E17" s="8" t="s">
        <v>13</v>
      </c>
      <c r="F17" s="8"/>
      <c r="G17" s="25"/>
      <c r="H17" s="27"/>
      <c r="I17" s="36"/>
    </row>
    <row r="18" spans="1:9" ht="18.75">
      <c r="A18" s="36"/>
      <c r="B18" s="31"/>
      <c r="C18" s="26"/>
      <c r="D18" s="8" t="s">
        <v>792</v>
      </c>
      <c r="E18" s="8" t="s">
        <v>13</v>
      </c>
      <c r="F18" s="8" t="s">
        <v>783</v>
      </c>
      <c r="G18" s="25"/>
      <c r="H18" s="27"/>
      <c r="I18" s="36"/>
    </row>
    <row r="19" spans="1:9" ht="18.75">
      <c r="A19" s="36"/>
      <c r="B19" s="31"/>
      <c r="C19" s="26"/>
      <c r="D19" s="8"/>
      <c r="E19" s="8"/>
      <c r="F19" s="8"/>
      <c r="G19" s="25"/>
      <c r="H19" s="27"/>
      <c r="I19" s="36"/>
    </row>
    <row r="20" spans="1:9" ht="18.75">
      <c r="A20" s="36"/>
      <c r="B20" s="31"/>
      <c r="C20" s="26"/>
      <c r="D20" s="7"/>
      <c r="E20" s="6"/>
      <c r="F20" s="6"/>
      <c r="G20" s="25"/>
      <c r="H20" s="27"/>
      <c r="I20" s="36"/>
    </row>
    <row r="21" spans="1:9" ht="18.75">
      <c r="A21" s="36"/>
      <c r="B21" s="31"/>
      <c r="C21" s="26"/>
      <c r="D21" s="5"/>
      <c r="E21" s="6"/>
      <c r="F21" s="6"/>
      <c r="G21" s="25"/>
      <c r="H21" s="27"/>
      <c r="I21" s="36"/>
    </row>
    <row r="22" spans="1:9" ht="18.75">
      <c r="A22" s="36"/>
      <c r="B22" s="31"/>
      <c r="C22" s="26"/>
      <c r="D22" s="4"/>
      <c r="E22" s="6"/>
      <c r="F22" s="6"/>
      <c r="G22" s="25"/>
      <c r="H22" s="27"/>
      <c r="I22" s="36"/>
    </row>
    <row r="23" spans="1:9" ht="18.75">
      <c r="A23" s="36"/>
      <c r="B23" s="31"/>
      <c r="C23" s="26"/>
      <c r="D23" s="4"/>
      <c r="E23" s="6"/>
      <c r="F23" s="6"/>
      <c r="G23" s="25"/>
      <c r="H23" s="27"/>
      <c r="I23" s="36"/>
    </row>
    <row r="24" spans="1:9" ht="18.75">
      <c r="A24" s="36"/>
      <c r="B24" s="31"/>
      <c r="C24" s="26"/>
      <c r="D24" s="4"/>
      <c r="E24" s="6"/>
      <c r="F24" s="6"/>
      <c r="G24" s="25"/>
      <c r="H24" s="27"/>
      <c r="I24" s="36"/>
    </row>
    <row r="25" spans="1:9" ht="18.75">
      <c r="A25" s="36"/>
      <c r="B25" s="31"/>
      <c r="C25" s="26"/>
      <c r="D25" s="4"/>
      <c r="E25" s="6"/>
      <c r="F25" s="6"/>
      <c r="G25" s="25"/>
      <c r="H25" s="27"/>
      <c r="I25" s="36"/>
    </row>
    <row r="26" spans="1:9" ht="18.75">
      <c r="A26" s="36"/>
      <c r="B26" s="31"/>
      <c r="C26" s="26"/>
      <c r="D26" s="7"/>
      <c r="E26" s="6"/>
      <c r="F26" s="6"/>
      <c r="G26" s="25"/>
      <c r="H26" s="27"/>
      <c r="I26" s="36"/>
    </row>
    <row r="27" spans="1:9" ht="18.75">
      <c r="A27" s="36"/>
      <c r="B27" s="31"/>
      <c r="C27" s="26"/>
      <c r="D27" s="5"/>
      <c r="E27" s="6"/>
      <c r="F27" s="6"/>
      <c r="G27" s="25"/>
      <c r="H27" s="27"/>
      <c r="I27" s="36"/>
    </row>
    <row r="28" spans="1:9" ht="18.75">
      <c r="A28" s="36"/>
      <c r="B28" s="31"/>
      <c r="C28" s="26"/>
      <c r="D28" s="7"/>
      <c r="E28" s="6"/>
      <c r="F28" s="6"/>
      <c r="G28" s="25"/>
      <c r="H28" s="27"/>
      <c r="I28" s="36"/>
    </row>
    <row r="29" spans="1:9" ht="18.75">
      <c r="A29" s="36"/>
      <c r="B29" s="31"/>
      <c r="C29" s="26"/>
      <c r="D29" s="7"/>
      <c r="E29" s="6"/>
      <c r="F29" s="6"/>
      <c r="G29" s="25"/>
      <c r="H29" s="27"/>
      <c r="I29" s="36"/>
    </row>
    <row r="30" spans="1:9" ht="18.75">
      <c r="A30" s="36"/>
      <c r="B30" s="31"/>
      <c r="C30" s="26"/>
      <c r="D30" s="7"/>
      <c r="E30" s="6"/>
      <c r="F30" s="6"/>
      <c r="G30" s="25"/>
      <c r="H30" s="27"/>
      <c r="I30" s="36"/>
    </row>
    <row r="31" spans="1:9" ht="18.75">
      <c r="A31" s="36"/>
      <c r="B31" s="31"/>
      <c r="C31" s="26"/>
      <c r="D31" s="5"/>
      <c r="E31" s="6"/>
      <c r="F31" s="6"/>
      <c r="G31" s="25"/>
      <c r="H31" s="27"/>
      <c r="I31" s="36"/>
    </row>
    <row r="32" spans="1:9" ht="18.75">
      <c r="A32" s="36"/>
      <c r="B32" s="31"/>
      <c r="C32" s="26"/>
      <c r="D32" s="7"/>
      <c r="E32" s="6"/>
      <c r="F32" s="6"/>
      <c r="G32" s="25"/>
      <c r="H32" s="27"/>
      <c r="I32" s="36"/>
    </row>
    <row r="33" spans="1:9" ht="18.75">
      <c r="A33" s="36"/>
      <c r="B33" s="31"/>
      <c r="C33" s="26"/>
      <c r="D33" s="7"/>
      <c r="E33" s="6"/>
      <c r="F33" s="6"/>
      <c r="G33" s="25"/>
      <c r="H33" s="27"/>
      <c r="I33" s="36"/>
    </row>
    <row r="34" spans="1:9" ht="18.75">
      <c r="A34" s="36"/>
      <c r="B34" s="31"/>
      <c r="C34" s="26"/>
      <c r="D34" s="7"/>
      <c r="E34" s="6"/>
      <c r="F34" s="6"/>
      <c r="G34" s="25"/>
      <c r="H34" s="27"/>
      <c r="I34" s="36"/>
    </row>
    <row r="35" spans="1:9" ht="18.75">
      <c r="A35" s="36"/>
      <c r="B35" s="31"/>
      <c r="C35" s="26"/>
      <c r="D35" s="7"/>
      <c r="E35" s="6"/>
      <c r="F35" s="6"/>
      <c r="G35" s="25"/>
      <c r="H35" s="27"/>
      <c r="I35" s="36"/>
    </row>
    <row r="36" spans="1:9" ht="18.75">
      <c r="A36" s="36"/>
      <c r="B36" s="31"/>
      <c r="C36" s="26"/>
      <c r="D36" s="7"/>
      <c r="E36" s="6"/>
      <c r="F36" s="6"/>
      <c r="G36" s="25"/>
      <c r="H36" s="27"/>
      <c r="I36" s="36"/>
    </row>
    <row r="37" spans="1:9" ht="18.75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F51" sqref="F51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43.28515625" bestFit="1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3" t="s">
        <v>14</v>
      </c>
      <c r="C2" s="263"/>
      <c r="D2" s="264"/>
      <c r="E2" s="263"/>
      <c r="F2" s="263"/>
      <c r="G2" s="264"/>
      <c r="H2" s="263"/>
      <c r="I2" s="263"/>
      <c r="J2" s="263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35" t="s">
        <v>33</v>
      </c>
      <c r="C14" s="435" t="s">
        <v>34</v>
      </c>
      <c r="D14" s="435" t="s">
        <v>47</v>
      </c>
      <c r="E14" s="435" t="s">
        <v>52</v>
      </c>
      <c r="F14" s="435" t="s">
        <v>37</v>
      </c>
      <c r="G14" s="435"/>
      <c r="H14" s="435" t="s">
        <v>38</v>
      </c>
      <c r="I14" s="435"/>
      <c r="J14" s="435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4" t="s">
        <v>94</v>
      </c>
      <c r="C32" s="235"/>
      <c r="D32" s="235"/>
      <c r="E32" s="235"/>
      <c r="F32" s="235"/>
      <c r="G32" s="235"/>
      <c r="H32" s="235"/>
      <c r="I32" s="235"/>
      <c r="J32" s="235"/>
    </row>
    <row r="33" spans="2:10" ht="15.95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5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5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5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5" customHeight="1">
      <c r="B37" s="81" t="s">
        <v>805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5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5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5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5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5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5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5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5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5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5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5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5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5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5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5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5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5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5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5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5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5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5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5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5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5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5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5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5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5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5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5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5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5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5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5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5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5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5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5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5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803</v>
      </c>
      <c r="E92" s="81" t="s">
        <v>798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811</v>
      </c>
      <c r="E93" s="79" t="s">
        <v>892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812</v>
      </c>
      <c r="E94" s="81" t="s">
        <v>893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862</v>
      </c>
      <c r="E95" s="79" t="s">
        <v>894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863</v>
      </c>
      <c r="E96" s="81" t="s">
        <v>895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864</v>
      </c>
      <c r="E97" s="79" t="s">
        <v>896</v>
      </c>
      <c r="F97" s="79" t="s">
        <v>37</v>
      </c>
      <c r="G97" s="79"/>
      <c r="H97" s="79"/>
      <c r="I97" s="79"/>
      <c r="J97" s="79"/>
    </row>
    <row r="99" spans="2:10">
      <c r="B99" s="730" t="s">
        <v>801</v>
      </c>
      <c r="C99" s="730"/>
      <c r="D99" s="730"/>
      <c r="E99" s="434"/>
      <c r="F99" s="434"/>
      <c r="G99" s="434"/>
      <c r="H99" s="434"/>
      <c r="I99" s="434"/>
      <c r="J99" s="434"/>
    </row>
    <row r="100" spans="2:10">
      <c r="B100" s="436" t="s">
        <v>33</v>
      </c>
      <c r="C100" s="436"/>
      <c r="D100" s="436" t="s">
        <v>86</v>
      </c>
      <c r="E100" s="436" t="s">
        <v>87</v>
      </c>
      <c r="F100" s="436" t="s">
        <v>37</v>
      </c>
      <c r="G100" s="436"/>
      <c r="H100" s="436" t="s">
        <v>88</v>
      </c>
      <c r="I100" s="436"/>
      <c r="J100" s="436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55" zoomScale="130" zoomScaleNormal="130" workbookViewId="0">
      <selection activeCell="C80" sqref="C80"/>
    </sheetView>
  </sheetViews>
  <sheetFormatPr defaultRowHeight="12.75"/>
  <cols>
    <col min="1" max="1" width="3.42578125" customWidth="1"/>
    <col min="2" max="2" width="20.85546875" customWidth="1"/>
    <col min="3" max="3" width="22.42578125" bestFit="1" customWidth="1"/>
    <col min="4" max="4" width="33.42578125" customWidth="1"/>
    <col min="5" max="5" width="45.5703125" customWidth="1"/>
    <col min="6" max="6" width="11" customWidth="1"/>
    <col min="7" max="7" width="16" customWidth="1"/>
    <col min="8" max="8" width="11" customWidth="1"/>
    <col min="9" max="9" width="14.140625" customWidth="1"/>
    <col min="10" max="10" width="11" customWidth="1"/>
    <col min="11" max="11" width="3.42578125" customWidth="1"/>
  </cols>
  <sheetData>
    <row r="2" spans="2:14" ht="18">
      <c r="B2" s="263" t="s">
        <v>176</v>
      </c>
      <c r="C2" s="263"/>
      <c r="D2" s="264"/>
      <c r="E2" s="263"/>
      <c r="F2" s="263"/>
      <c r="G2" s="264"/>
      <c r="H2" s="263"/>
      <c r="I2" s="263"/>
      <c r="J2" s="264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39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6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797</v>
      </c>
      <c r="E20" s="81" t="s">
        <v>800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804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9" t="s">
        <v>34</v>
      </c>
      <c r="D23" s="259" t="s">
        <v>231</v>
      </c>
      <c r="E23" s="259" t="s">
        <v>232</v>
      </c>
      <c r="F23" s="259" t="s">
        <v>37</v>
      </c>
      <c r="G23" s="259" t="s">
        <v>233</v>
      </c>
      <c r="H23" s="259" t="s">
        <v>88</v>
      </c>
      <c r="I23" s="259"/>
      <c r="J23" s="259"/>
    </row>
    <row r="24" spans="1:14">
      <c r="B24" s="200" t="s">
        <v>301</v>
      </c>
      <c r="C24" s="437" t="s">
        <v>34</v>
      </c>
      <c r="D24" s="437" t="s">
        <v>234</v>
      </c>
      <c r="E24" s="437" t="s">
        <v>235</v>
      </c>
      <c r="F24" s="437" t="s">
        <v>37</v>
      </c>
      <c r="G24" s="437" t="s">
        <v>233</v>
      </c>
      <c r="H24" s="437" t="s">
        <v>88</v>
      </c>
      <c r="I24" s="437"/>
      <c r="J24" s="437"/>
    </row>
    <row r="25" spans="1:14">
      <c r="B25" s="248" t="s">
        <v>236</v>
      </c>
      <c r="C25" s="249"/>
      <c r="D25" s="249"/>
      <c r="E25" s="249"/>
      <c r="F25" s="249"/>
      <c r="G25" s="249"/>
      <c r="H25" s="249"/>
      <c r="I25" s="249"/>
      <c r="J25" s="249"/>
    </row>
    <row r="26" spans="1:14" ht="18.75" customHeight="1">
      <c r="B26" s="257" t="s">
        <v>195</v>
      </c>
      <c r="C26" s="257" t="s">
        <v>34</v>
      </c>
      <c r="D26" s="257" t="s">
        <v>237</v>
      </c>
      <c r="E26" s="257" t="s">
        <v>238</v>
      </c>
      <c r="F26" s="257" t="s">
        <v>37</v>
      </c>
      <c r="G26" s="257" t="s">
        <v>239</v>
      </c>
      <c r="H26" s="257" t="s">
        <v>38</v>
      </c>
      <c r="I26" s="257"/>
      <c r="J26" s="257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9" t="s">
        <v>300</v>
      </c>
      <c r="C71" s="429" t="s">
        <v>34</v>
      </c>
      <c r="D71" s="429" t="s">
        <v>244</v>
      </c>
      <c r="E71" s="429" t="s">
        <v>245</v>
      </c>
      <c r="F71" s="429" t="s">
        <v>73</v>
      </c>
      <c r="G71" s="429" t="s">
        <v>73</v>
      </c>
      <c r="H71" s="429" t="s">
        <v>38</v>
      </c>
      <c r="I71" s="429"/>
      <c r="J71" s="82"/>
    </row>
    <row r="72" spans="2:10">
      <c r="B72" s="81" t="s">
        <v>195</v>
      </c>
      <c r="C72" s="81" t="s">
        <v>34</v>
      </c>
      <c r="D72" s="81" t="s">
        <v>813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903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908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909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910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1"/>
  <sheetViews>
    <sheetView topLeftCell="A5" zoomScale="115" zoomScaleNormal="115" zoomScaleSheetLayoutView="50" workbookViewId="0">
      <selection activeCell="C47" sqref="C47"/>
    </sheetView>
  </sheetViews>
  <sheetFormatPr defaultRowHeight="12.75"/>
  <cols>
    <col min="1" max="1" width="3.5703125" style="65" customWidth="1"/>
    <col min="2" max="2" width="46.42578125" style="65" customWidth="1"/>
    <col min="3" max="3" width="39.42578125" style="65" customWidth="1"/>
    <col min="4" max="4" width="20.85546875" style="65" customWidth="1"/>
    <col min="5" max="5" width="19.42578125" style="65" customWidth="1"/>
    <col min="6" max="6" width="11.85546875" style="65" customWidth="1"/>
    <col min="7" max="7" width="8.42578125" style="65" customWidth="1"/>
    <col min="8" max="8" width="7.7109375" style="65" customWidth="1"/>
    <col min="9" max="15" width="6.42578125" style="65" customWidth="1"/>
    <col min="16" max="22" width="6.140625" style="65" customWidth="1"/>
    <col min="23" max="23" width="8.5703125" style="65"/>
    <col min="24" max="249" width="9.140625" style="65"/>
    <col min="250" max="250" width="29.140625" style="65" customWidth="1"/>
    <col min="251" max="251" width="46.42578125" style="65" customWidth="1"/>
    <col min="252" max="252" width="39.42578125" style="65" customWidth="1"/>
    <col min="253" max="253" width="20.85546875" style="65" customWidth="1"/>
    <col min="254" max="254" width="19.42578125" style="65" customWidth="1"/>
    <col min="255" max="255" width="11.85546875" style="65" customWidth="1"/>
    <col min="256" max="256" width="10.42578125" style="65" customWidth="1"/>
    <col min="257" max="257" width="14.42578125" style="65" bestFit="1" customWidth="1"/>
    <col min="258" max="258" width="13.140625" style="65" bestFit="1" customWidth="1"/>
    <col min="259" max="259" width="8.5703125" style="65" bestFit="1" customWidth="1"/>
    <col min="260" max="261" width="8.5703125" style="65" customWidth="1"/>
    <col min="262" max="262" width="9.42578125" style="65" customWidth="1"/>
    <col min="263" max="263" width="7.42578125" style="65" bestFit="1" customWidth="1"/>
    <col min="264" max="265" width="10.5703125" style="65" bestFit="1" customWidth="1"/>
    <col min="266" max="505" width="9.140625" style="65"/>
    <col min="506" max="506" width="29.140625" style="65" customWidth="1"/>
    <col min="507" max="507" width="46.42578125" style="65" customWidth="1"/>
    <col min="508" max="508" width="39.42578125" style="65" customWidth="1"/>
    <col min="509" max="509" width="20.85546875" style="65" customWidth="1"/>
    <col min="510" max="510" width="19.42578125" style="65" customWidth="1"/>
    <col min="511" max="511" width="11.85546875" style="65" customWidth="1"/>
    <col min="512" max="512" width="10.42578125" style="65" customWidth="1"/>
    <col min="513" max="513" width="14.42578125" style="65" bestFit="1" customWidth="1"/>
    <col min="514" max="514" width="13.140625" style="65" bestFit="1" customWidth="1"/>
    <col min="515" max="515" width="8.5703125" style="65" bestFit="1" customWidth="1"/>
    <col min="516" max="517" width="8.5703125" style="65" customWidth="1"/>
    <col min="518" max="518" width="9.42578125" style="65" customWidth="1"/>
    <col min="519" max="519" width="7.42578125" style="65" bestFit="1" customWidth="1"/>
    <col min="520" max="521" width="10.5703125" style="65" bestFit="1" customWidth="1"/>
    <col min="522" max="761" width="9.140625" style="65"/>
    <col min="762" max="762" width="29.140625" style="65" customWidth="1"/>
    <col min="763" max="763" width="46.42578125" style="65" customWidth="1"/>
    <col min="764" max="764" width="39.42578125" style="65" customWidth="1"/>
    <col min="765" max="765" width="20.85546875" style="65" customWidth="1"/>
    <col min="766" max="766" width="19.42578125" style="65" customWidth="1"/>
    <col min="767" max="767" width="11.85546875" style="65" customWidth="1"/>
    <col min="768" max="768" width="10.42578125" style="65" customWidth="1"/>
    <col min="769" max="769" width="14.42578125" style="65" bestFit="1" customWidth="1"/>
    <col min="770" max="770" width="13.140625" style="65" bestFit="1" customWidth="1"/>
    <col min="771" max="771" width="8.5703125" style="65" bestFit="1" customWidth="1"/>
    <col min="772" max="773" width="8.5703125" style="65" customWidth="1"/>
    <col min="774" max="774" width="9.42578125" style="65" customWidth="1"/>
    <col min="775" max="775" width="7.42578125" style="65" bestFit="1" customWidth="1"/>
    <col min="776" max="777" width="10.5703125" style="65" bestFit="1" customWidth="1"/>
    <col min="778" max="1017" width="9.140625" style="65"/>
    <col min="1018" max="1018" width="29.140625" style="65" customWidth="1"/>
    <col min="1019" max="1019" width="46.42578125" style="65" customWidth="1"/>
    <col min="1020" max="1020" width="39.42578125" style="65" customWidth="1"/>
    <col min="1021" max="1021" width="20.85546875" style="65" customWidth="1"/>
    <col min="1022" max="1022" width="19.42578125" style="65" customWidth="1"/>
    <col min="1023" max="1023" width="11.85546875" style="65" customWidth="1"/>
    <col min="1024" max="1024" width="10.42578125" style="65" customWidth="1"/>
    <col min="1025" max="1025" width="14.42578125" style="65" bestFit="1" customWidth="1"/>
    <col min="1026" max="1026" width="13.140625" style="65" bestFit="1" customWidth="1"/>
    <col min="1027" max="1027" width="8.5703125" style="65" bestFit="1" customWidth="1"/>
    <col min="1028" max="1029" width="8.5703125" style="65" customWidth="1"/>
    <col min="1030" max="1030" width="9.42578125" style="65" customWidth="1"/>
    <col min="1031" max="1031" width="7.42578125" style="65" bestFit="1" customWidth="1"/>
    <col min="1032" max="1033" width="10.5703125" style="65" bestFit="1" customWidth="1"/>
    <col min="1034" max="1273" width="9.140625" style="65"/>
    <col min="1274" max="1274" width="29.140625" style="65" customWidth="1"/>
    <col min="1275" max="1275" width="46.42578125" style="65" customWidth="1"/>
    <col min="1276" max="1276" width="39.42578125" style="65" customWidth="1"/>
    <col min="1277" max="1277" width="20.85546875" style="65" customWidth="1"/>
    <col min="1278" max="1278" width="19.42578125" style="65" customWidth="1"/>
    <col min="1279" max="1279" width="11.85546875" style="65" customWidth="1"/>
    <col min="1280" max="1280" width="10.42578125" style="65" customWidth="1"/>
    <col min="1281" max="1281" width="14.42578125" style="65" bestFit="1" customWidth="1"/>
    <col min="1282" max="1282" width="13.140625" style="65" bestFit="1" customWidth="1"/>
    <col min="1283" max="1283" width="8.5703125" style="65" bestFit="1" customWidth="1"/>
    <col min="1284" max="1285" width="8.5703125" style="65" customWidth="1"/>
    <col min="1286" max="1286" width="9.42578125" style="65" customWidth="1"/>
    <col min="1287" max="1287" width="7.42578125" style="65" bestFit="1" customWidth="1"/>
    <col min="1288" max="1289" width="10.5703125" style="65" bestFit="1" customWidth="1"/>
    <col min="1290" max="1529" width="9.140625" style="65"/>
    <col min="1530" max="1530" width="29.140625" style="65" customWidth="1"/>
    <col min="1531" max="1531" width="46.42578125" style="65" customWidth="1"/>
    <col min="1532" max="1532" width="39.42578125" style="65" customWidth="1"/>
    <col min="1533" max="1533" width="20.85546875" style="65" customWidth="1"/>
    <col min="1534" max="1534" width="19.42578125" style="65" customWidth="1"/>
    <col min="1535" max="1535" width="11.85546875" style="65" customWidth="1"/>
    <col min="1536" max="1536" width="10.42578125" style="65" customWidth="1"/>
    <col min="1537" max="1537" width="14.42578125" style="65" bestFit="1" customWidth="1"/>
    <col min="1538" max="1538" width="13.140625" style="65" bestFit="1" customWidth="1"/>
    <col min="1539" max="1539" width="8.5703125" style="65" bestFit="1" customWidth="1"/>
    <col min="1540" max="1541" width="8.5703125" style="65" customWidth="1"/>
    <col min="1542" max="1542" width="9.42578125" style="65" customWidth="1"/>
    <col min="1543" max="1543" width="7.42578125" style="65" bestFit="1" customWidth="1"/>
    <col min="1544" max="1545" width="10.5703125" style="65" bestFit="1" customWidth="1"/>
    <col min="1546" max="1785" width="9.140625" style="65"/>
    <col min="1786" max="1786" width="29.140625" style="65" customWidth="1"/>
    <col min="1787" max="1787" width="46.42578125" style="65" customWidth="1"/>
    <col min="1788" max="1788" width="39.42578125" style="65" customWidth="1"/>
    <col min="1789" max="1789" width="20.85546875" style="65" customWidth="1"/>
    <col min="1790" max="1790" width="19.42578125" style="65" customWidth="1"/>
    <col min="1791" max="1791" width="11.85546875" style="65" customWidth="1"/>
    <col min="1792" max="1792" width="10.42578125" style="65" customWidth="1"/>
    <col min="1793" max="1793" width="14.42578125" style="65" bestFit="1" customWidth="1"/>
    <col min="1794" max="1794" width="13.140625" style="65" bestFit="1" customWidth="1"/>
    <col min="1795" max="1795" width="8.5703125" style="65" bestFit="1" customWidth="1"/>
    <col min="1796" max="1797" width="8.5703125" style="65" customWidth="1"/>
    <col min="1798" max="1798" width="9.42578125" style="65" customWidth="1"/>
    <col min="1799" max="1799" width="7.42578125" style="65" bestFit="1" customWidth="1"/>
    <col min="1800" max="1801" width="10.5703125" style="65" bestFit="1" customWidth="1"/>
    <col min="1802" max="2041" width="9.140625" style="65"/>
    <col min="2042" max="2042" width="29.140625" style="65" customWidth="1"/>
    <col min="2043" max="2043" width="46.42578125" style="65" customWidth="1"/>
    <col min="2044" max="2044" width="39.42578125" style="65" customWidth="1"/>
    <col min="2045" max="2045" width="20.85546875" style="65" customWidth="1"/>
    <col min="2046" max="2046" width="19.42578125" style="65" customWidth="1"/>
    <col min="2047" max="2047" width="11.85546875" style="65" customWidth="1"/>
    <col min="2048" max="2048" width="10.42578125" style="65" customWidth="1"/>
    <col min="2049" max="2049" width="14.42578125" style="65" bestFit="1" customWidth="1"/>
    <col min="2050" max="2050" width="13.140625" style="65" bestFit="1" customWidth="1"/>
    <col min="2051" max="2051" width="8.5703125" style="65" bestFit="1" customWidth="1"/>
    <col min="2052" max="2053" width="8.5703125" style="65" customWidth="1"/>
    <col min="2054" max="2054" width="9.42578125" style="65" customWidth="1"/>
    <col min="2055" max="2055" width="7.42578125" style="65" bestFit="1" customWidth="1"/>
    <col min="2056" max="2057" width="10.5703125" style="65" bestFit="1" customWidth="1"/>
    <col min="2058" max="2297" width="9.140625" style="65"/>
    <col min="2298" max="2298" width="29.140625" style="65" customWidth="1"/>
    <col min="2299" max="2299" width="46.42578125" style="65" customWidth="1"/>
    <col min="2300" max="2300" width="39.42578125" style="65" customWidth="1"/>
    <col min="2301" max="2301" width="20.85546875" style="65" customWidth="1"/>
    <col min="2302" max="2302" width="19.42578125" style="65" customWidth="1"/>
    <col min="2303" max="2303" width="11.85546875" style="65" customWidth="1"/>
    <col min="2304" max="2304" width="10.42578125" style="65" customWidth="1"/>
    <col min="2305" max="2305" width="14.42578125" style="65" bestFit="1" customWidth="1"/>
    <col min="2306" max="2306" width="13.140625" style="65" bestFit="1" customWidth="1"/>
    <col min="2307" max="2307" width="8.5703125" style="65" bestFit="1" customWidth="1"/>
    <col min="2308" max="2309" width="8.5703125" style="65" customWidth="1"/>
    <col min="2310" max="2310" width="9.42578125" style="65" customWidth="1"/>
    <col min="2311" max="2311" width="7.42578125" style="65" bestFit="1" customWidth="1"/>
    <col min="2312" max="2313" width="10.5703125" style="65" bestFit="1" customWidth="1"/>
    <col min="2314" max="2553" width="9.140625" style="65"/>
    <col min="2554" max="2554" width="29.140625" style="65" customWidth="1"/>
    <col min="2555" max="2555" width="46.42578125" style="65" customWidth="1"/>
    <col min="2556" max="2556" width="39.42578125" style="65" customWidth="1"/>
    <col min="2557" max="2557" width="20.85546875" style="65" customWidth="1"/>
    <col min="2558" max="2558" width="19.42578125" style="65" customWidth="1"/>
    <col min="2559" max="2559" width="11.85546875" style="65" customWidth="1"/>
    <col min="2560" max="2560" width="10.42578125" style="65" customWidth="1"/>
    <col min="2561" max="2561" width="14.42578125" style="65" bestFit="1" customWidth="1"/>
    <col min="2562" max="2562" width="13.140625" style="65" bestFit="1" customWidth="1"/>
    <col min="2563" max="2563" width="8.5703125" style="65" bestFit="1" customWidth="1"/>
    <col min="2564" max="2565" width="8.5703125" style="65" customWidth="1"/>
    <col min="2566" max="2566" width="9.42578125" style="65" customWidth="1"/>
    <col min="2567" max="2567" width="7.42578125" style="65" bestFit="1" customWidth="1"/>
    <col min="2568" max="2569" width="10.5703125" style="65" bestFit="1" customWidth="1"/>
    <col min="2570" max="2809" width="9.140625" style="65"/>
    <col min="2810" max="2810" width="29.140625" style="65" customWidth="1"/>
    <col min="2811" max="2811" width="46.42578125" style="65" customWidth="1"/>
    <col min="2812" max="2812" width="39.42578125" style="65" customWidth="1"/>
    <col min="2813" max="2813" width="20.85546875" style="65" customWidth="1"/>
    <col min="2814" max="2814" width="19.42578125" style="65" customWidth="1"/>
    <col min="2815" max="2815" width="11.85546875" style="65" customWidth="1"/>
    <col min="2816" max="2816" width="10.42578125" style="65" customWidth="1"/>
    <col min="2817" max="2817" width="14.42578125" style="65" bestFit="1" customWidth="1"/>
    <col min="2818" max="2818" width="13.140625" style="65" bestFit="1" customWidth="1"/>
    <col min="2819" max="2819" width="8.5703125" style="65" bestFit="1" customWidth="1"/>
    <col min="2820" max="2821" width="8.5703125" style="65" customWidth="1"/>
    <col min="2822" max="2822" width="9.42578125" style="65" customWidth="1"/>
    <col min="2823" max="2823" width="7.42578125" style="65" bestFit="1" customWidth="1"/>
    <col min="2824" max="2825" width="10.5703125" style="65" bestFit="1" customWidth="1"/>
    <col min="2826" max="3065" width="9.140625" style="65"/>
    <col min="3066" max="3066" width="29.140625" style="65" customWidth="1"/>
    <col min="3067" max="3067" width="46.42578125" style="65" customWidth="1"/>
    <col min="3068" max="3068" width="39.42578125" style="65" customWidth="1"/>
    <col min="3069" max="3069" width="20.85546875" style="65" customWidth="1"/>
    <col min="3070" max="3070" width="19.42578125" style="65" customWidth="1"/>
    <col min="3071" max="3071" width="11.85546875" style="65" customWidth="1"/>
    <col min="3072" max="3072" width="10.42578125" style="65" customWidth="1"/>
    <col min="3073" max="3073" width="14.42578125" style="65" bestFit="1" customWidth="1"/>
    <col min="3074" max="3074" width="13.140625" style="65" bestFit="1" customWidth="1"/>
    <col min="3075" max="3075" width="8.5703125" style="65" bestFit="1" customWidth="1"/>
    <col min="3076" max="3077" width="8.5703125" style="65" customWidth="1"/>
    <col min="3078" max="3078" width="9.42578125" style="65" customWidth="1"/>
    <col min="3079" max="3079" width="7.42578125" style="65" bestFit="1" customWidth="1"/>
    <col min="3080" max="3081" width="10.5703125" style="65" bestFit="1" customWidth="1"/>
    <col min="3082" max="3321" width="9.140625" style="65"/>
    <col min="3322" max="3322" width="29.140625" style="65" customWidth="1"/>
    <col min="3323" max="3323" width="46.42578125" style="65" customWidth="1"/>
    <col min="3324" max="3324" width="39.42578125" style="65" customWidth="1"/>
    <col min="3325" max="3325" width="20.85546875" style="65" customWidth="1"/>
    <col min="3326" max="3326" width="19.42578125" style="65" customWidth="1"/>
    <col min="3327" max="3327" width="11.85546875" style="65" customWidth="1"/>
    <col min="3328" max="3328" width="10.42578125" style="65" customWidth="1"/>
    <col min="3329" max="3329" width="14.42578125" style="65" bestFit="1" customWidth="1"/>
    <col min="3330" max="3330" width="13.140625" style="65" bestFit="1" customWidth="1"/>
    <col min="3331" max="3331" width="8.5703125" style="65" bestFit="1" customWidth="1"/>
    <col min="3332" max="3333" width="8.5703125" style="65" customWidth="1"/>
    <col min="3334" max="3334" width="9.42578125" style="65" customWidth="1"/>
    <col min="3335" max="3335" width="7.42578125" style="65" bestFit="1" customWidth="1"/>
    <col min="3336" max="3337" width="10.5703125" style="65" bestFit="1" customWidth="1"/>
    <col min="3338" max="3577" width="9.140625" style="65"/>
    <col min="3578" max="3578" width="29.140625" style="65" customWidth="1"/>
    <col min="3579" max="3579" width="46.42578125" style="65" customWidth="1"/>
    <col min="3580" max="3580" width="39.42578125" style="65" customWidth="1"/>
    <col min="3581" max="3581" width="20.85546875" style="65" customWidth="1"/>
    <col min="3582" max="3582" width="19.42578125" style="65" customWidth="1"/>
    <col min="3583" max="3583" width="11.85546875" style="65" customWidth="1"/>
    <col min="3584" max="3584" width="10.42578125" style="65" customWidth="1"/>
    <col min="3585" max="3585" width="14.42578125" style="65" bestFit="1" customWidth="1"/>
    <col min="3586" max="3586" width="13.140625" style="65" bestFit="1" customWidth="1"/>
    <col min="3587" max="3587" width="8.5703125" style="65" bestFit="1" customWidth="1"/>
    <col min="3588" max="3589" width="8.5703125" style="65" customWidth="1"/>
    <col min="3590" max="3590" width="9.42578125" style="65" customWidth="1"/>
    <col min="3591" max="3591" width="7.42578125" style="65" bestFit="1" customWidth="1"/>
    <col min="3592" max="3593" width="10.5703125" style="65" bestFit="1" customWidth="1"/>
    <col min="3594" max="3833" width="9.140625" style="65"/>
    <col min="3834" max="3834" width="29.140625" style="65" customWidth="1"/>
    <col min="3835" max="3835" width="46.42578125" style="65" customWidth="1"/>
    <col min="3836" max="3836" width="39.42578125" style="65" customWidth="1"/>
    <col min="3837" max="3837" width="20.85546875" style="65" customWidth="1"/>
    <col min="3838" max="3838" width="19.42578125" style="65" customWidth="1"/>
    <col min="3839" max="3839" width="11.85546875" style="65" customWidth="1"/>
    <col min="3840" max="3840" width="10.42578125" style="65" customWidth="1"/>
    <col min="3841" max="3841" width="14.42578125" style="65" bestFit="1" customWidth="1"/>
    <col min="3842" max="3842" width="13.140625" style="65" bestFit="1" customWidth="1"/>
    <col min="3843" max="3843" width="8.5703125" style="65" bestFit="1" customWidth="1"/>
    <col min="3844" max="3845" width="8.5703125" style="65" customWidth="1"/>
    <col min="3846" max="3846" width="9.42578125" style="65" customWidth="1"/>
    <col min="3847" max="3847" width="7.42578125" style="65" bestFit="1" customWidth="1"/>
    <col min="3848" max="3849" width="10.5703125" style="65" bestFit="1" customWidth="1"/>
    <col min="3850" max="4089" width="9.140625" style="65"/>
    <col min="4090" max="4090" width="29.140625" style="65" customWidth="1"/>
    <col min="4091" max="4091" width="46.42578125" style="65" customWidth="1"/>
    <col min="4092" max="4092" width="39.42578125" style="65" customWidth="1"/>
    <col min="4093" max="4093" width="20.85546875" style="65" customWidth="1"/>
    <col min="4094" max="4094" width="19.42578125" style="65" customWidth="1"/>
    <col min="4095" max="4095" width="11.85546875" style="65" customWidth="1"/>
    <col min="4096" max="4096" width="10.42578125" style="65" customWidth="1"/>
    <col min="4097" max="4097" width="14.42578125" style="65" bestFit="1" customWidth="1"/>
    <col min="4098" max="4098" width="13.140625" style="65" bestFit="1" customWidth="1"/>
    <col min="4099" max="4099" width="8.5703125" style="65" bestFit="1" customWidth="1"/>
    <col min="4100" max="4101" width="8.5703125" style="65" customWidth="1"/>
    <col min="4102" max="4102" width="9.42578125" style="65" customWidth="1"/>
    <col min="4103" max="4103" width="7.42578125" style="65" bestFit="1" customWidth="1"/>
    <col min="4104" max="4105" width="10.5703125" style="65" bestFit="1" customWidth="1"/>
    <col min="4106" max="4345" width="9.140625" style="65"/>
    <col min="4346" max="4346" width="29.140625" style="65" customWidth="1"/>
    <col min="4347" max="4347" width="46.42578125" style="65" customWidth="1"/>
    <col min="4348" max="4348" width="39.42578125" style="65" customWidth="1"/>
    <col min="4349" max="4349" width="20.85546875" style="65" customWidth="1"/>
    <col min="4350" max="4350" width="19.42578125" style="65" customWidth="1"/>
    <col min="4351" max="4351" width="11.85546875" style="65" customWidth="1"/>
    <col min="4352" max="4352" width="10.42578125" style="65" customWidth="1"/>
    <col min="4353" max="4353" width="14.42578125" style="65" bestFit="1" customWidth="1"/>
    <col min="4354" max="4354" width="13.140625" style="65" bestFit="1" customWidth="1"/>
    <col min="4355" max="4355" width="8.5703125" style="65" bestFit="1" customWidth="1"/>
    <col min="4356" max="4357" width="8.5703125" style="65" customWidth="1"/>
    <col min="4358" max="4358" width="9.42578125" style="65" customWidth="1"/>
    <col min="4359" max="4359" width="7.42578125" style="65" bestFit="1" customWidth="1"/>
    <col min="4360" max="4361" width="10.5703125" style="65" bestFit="1" customWidth="1"/>
    <col min="4362" max="4601" width="9.140625" style="65"/>
    <col min="4602" max="4602" width="29.140625" style="65" customWidth="1"/>
    <col min="4603" max="4603" width="46.42578125" style="65" customWidth="1"/>
    <col min="4604" max="4604" width="39.42578125" style="65" customWidth="1"/>
    <col min="4605" max="4605" width="20.85546875" style="65" customWidth="1"/>
    <col min="4606" max="4606" width="19.42578125" style="65" customWidth="1"/>
    <col min="4607" max="4607" width="11.85546875" style="65" customWidth="1"/>
    <col min="4608" max="4608" width="10.42578125" style="65" customWidth="1"/>
    <col min="4609" max="4609" width="14.42578125" style="65" bestFit="1" customWidth="1"/>
    <col min="4610" max="4610" width="13.140625" style="65" bestFit="1" customWidth="1"/>
    <col min="4611" max="4611" width="8.5703125" style="65" bestFit="1" customWidth="1"/>
    <col min="4612" max="4613" width="8.5703125" style="65" customWidth="1"/>
    <col min="4614" max="4614" width="9.42578125" style="65" customWidth="1"/>
    <col min="4615" max="4615" width="7.42578125" style="65" bestFit="1" customWidth="1"/>
    <col min="4616" max="4617" width="10.5703125" style="65" bestFit="1" customWidth="1"/>
    <col min="4618" max="4857" width="9.140625" style="65"/>
    <col min="4858" max="4858" width="29.140625" style="65" customWidth="1"/>
    <col min="4859" max="4859" width="46.42578125" style="65" customWidth="1"/>
    <col min="4860" max="4860" width="39.42578125" style="65" customWidth="1"/>
    <col min="4861" max="4861" width="20.85546875" style="65" customWidth="1"/>
    <col min="4862" max="4862" width="19.42578125" style="65" customWidth="1"/>
    <col min="4863" max="4863" width="11.85546875" style="65" customWidth="1"/>
    <col min="4864" max="4864" width="10.42578125" style="65" customWidth="1"/>
    <col min="4865" max="4865" width="14.42578125" style="65" bestFit="1" customWidth="1"/>
    <col min="4866" max="4866" width="13.140625" style="65" bestFit="1" customWidth="1"/>
    <col min="4867" max="4867" width="8.5703125" style="65" bestFit="1" customWidth="1"/>
    <col min="4868" max="4869" width="8.5703125" style="65" customWidth="1"/>
    <col min="4870" max="4870" width="9.42578125" style="65" customWidth="1"/>
    <col min="4871" max="4871" width="7.42578125" style="65" bestFit="1" customWidth="1"/>
    <col min="4872" max="4873" width="10.5703125" style="65" bestFit="1" customWidth="1"/>
    <col min="4874" max="5113" width="9.140625" style="65"/>
    <col min="5114" max="5114" width="29.140625" style="65" customWidth="1"/>
    <col min="5115" max="5115" width="46.42578125" style="65" customWidth="1"/>
    <col min="5116" max="5116" width="39.42578125" style="65" customWidth="1"/>
    <col min="5117" max="5117" width="20.85546875" style="65" customWidth="1"/>
    <col min="5118" max="5118" width="19.42578125" style="65" customWidth="1"/>
    <col min="5119" max="5119" width="11.85546875" style="65" customWidth="1"/>
    <col min="5120" max="5120" width="10.42578125" style="65" customWidth="1"/>
    <col min="5121" max="5121" width="14.42578125" style="65" bestFit="1" customWidth="1"/>
    <col min="5122" max="5122" width="13.140625" style="65" bestFit="1" customWidth="1"/>
    <col min="5123" max="5123" width="8.5703125" style="65" bestFit="1" customWidth="1"/>
    <col min="5124" max="5125" width="8.5703125" style="65" customWidth="1"/>
    <col min="5126" max="5126" width="9.42578125" style="65" customWidth="1"/>
    <col min="5127" max="5127" width="7.42578125" style="65" bestFit="1" customWidth="1"/>
    <col min="5128" max="5129" width="10.5703125" style="65" bestFit="1" customWidth="1"/>
    <col min="5130" max="5369" width="9.140625" style="65"/>
    <col min="5370" max="5370" width="29.140625" style="65" customWidth="1"/>
    <col min="5371" max="5371" width="46.42578125" style="65" customWidth="1"/>
    <col min="5372" max="5372" width="39.42578125" style="65" customWidth="1"/>
    <col min="5373" max="5373" width="20.85546875" style="65" customWidth="1"/>
    <col min="5374" max="5374" width="19.42578125" style="65" customWidth="1"/>
    <col min="5375" max="5375" width="11.85546875" style="65" customWidth="1"/>
    <col min="5376" max="5376" width="10.42578125" style="65" customWidth="1"/>
    <col min="5377" max="5377" width="14.42578125" style="65" bestFit="1" customWidth="1"/>
    <col min="5378" max="5378" width="13.140625" style="65" bestFit="1" customWidth="1"/>
    <col min="5379" max="5379" width="8.5703125" style="65" bestFit="1" customWidth="1"/>
    <col min="5380" max="5381" width="8.5703125" style="65" customWidth="1"/>
    <col min="5382" max="5382" width="9.42578125" style="65" customWidth="1"/>
    <col min="5383" max="5383" width="7.42578125" style="65" bestFit="1" customWidth="1"/>
    <col min="5384" max="5385" width="10.5703125" style="65" bestFit="1" customWidth="1"/>
    <col min="5386" max="5625" width="9.140625" style="65"/>
    <col min="5626" max="5626" width="29.140625" style="65" customWidth="1"/>
    <col min="5627" max="5627" width="46.42578125" style="65" customWidth="1"/>
    <col min="5628" max="5628" width="39.42578125" style="65" customWidth="1"/>
    <col min="5629" max="5629" width="20.85546875" style="65" customWidth="1"/>
    <col min="5630" max="5630" width="19.42578125" style="65" customWidth="1"/>
    <col min="5631" max="5631" width="11.85546875" style="65" customWidth="1"/>
    <col min="5632" max="5632" width="10.42578125" style="65" customWidth="1"/>
    <col min="5633" max="5633" width="14.42578125" style="65" bestFit="1" customWidth="1"/>
    <col min="5634" max="5634" width="13.140625" style="65" bestFit="1" customWidth="1"/>
    <col min="5635" max="5635" width="8.5703125" style="65" bestFit="1" customWidth="1"/>
    <col min="5636" max="5637" width="8.5703125" style="65" customWidth="1"/>
    <col min="5638" max="5638" width="9.42578125" style="65" customWidth="1"/>
    <col min="5639" max="5639" width="7.42578125" style="65" bestFit="1" customWidth="1"/>
    <col min="5640" max="5641" width="10.5703125" style="65" bestFit="1" customWidth="1"/>
    <col min="5642" max="5881" width="9.140625" style="65"/>
    <col min="5882" max="5882" width="29.140625" style="65" customWidth="1"/>
    <col min="5883" max="5883" width="46.42578125" style="65" customWidth="1"/>
    <col min="5884" max="5884" width="39.42578125" style="65" customWidth="1"/>
    <col min="5885" max="5885" width="20.85546875" style="65" customWidth="1"/>
    <col min="5886" max="5886" width="19.42578125" style="65" customWidth="1"/>
    <col min="5887" max="5887" width="11.85546875" style="65" customWidth="1"/>
    <col min="5888" max="5888" width="10.42578125" style="65" customWidth="1"/>
    <col min="5889" max="5889" width="14.42578125" style="65" bestFit="1" customWidth="1"/>
    <col min="5890" max="5890" width="13.140625" style="65" bestFit="1" customWidth="1"/>
    <col min="5891" max="5891" width="8.5703125" style="65" bestFit="1" customWidth="1"/>
    <col min="5892" max="5893" width="8.5703125" style="65" customWidth="1"/>
    <col min="5894" max="5894" width="9.42578125" style="65" customWidth="1"/>
    <col min="5895" max="5895" width="7.42578125" style="65" bestFit="1" customWidth="1"/>
    <col min="5896" max="5897" width="10.5703125" style="65" bestFit="1" customWidth="1"/>
    <col min="5898" max="6137" width="9.140625" style="65"/>
    <col min="6138" max="6138" width="29.140625" style="65" customWidth="1"/>
    <col min="6139" max="6139" width="46.42578125" style="65" customWidth="1"/>
    <col min="6140" max="6140" width="39.42578125" style="65" customWidth="1"/>
    <col min="6141" max="6141" width="20.85546875" style="65" customWidth="1"/>
    <col min="6142" max="6142" width="19.42578125" style="65" customWidth="1"/>
    <col min="6143" max="6143" width="11.85546875" style="65" customWidth="1"/>
    <col min="6144" max="6144" width="10.42578125" style="65" customWidth="1"/>
    <col min="6145" max="6145" width="14.42578125" style="65" bestFit="1" customWidth="1"/>
    <col min="6146" max="6146" width="13.140625" style="65" bestFit="1" customWidth="1"/>
    <col min="6147" max="6147" width="8.5703125" style="65" bestFit="1" customWidth="1"/>
    <col min="6148" max="6149" width="8.5703125" style="65" customWidth="1"/>
    <col min="6150" max="6150" width="9.42578125" style="65" customWidth="1"/>
    <col min="6151" max="6151" width="7.42578125" style="65" bestFit="1" customWidth="1"/>
    <col min="6152" max="6153" width="10.5703125" style="65" bestFit="1" customWidth="1"/>
    <col min="6154" max="6393" width="9.140625" style="65"/>
    <col min="6394" max="6394" width="29.140625" style="65" customWidth="1"/>
    <col min="6395" max="6395" width="46.42578125" style="65" customWidth="1"/>
    <col min="6396" max="6396" width="39.42578125" style="65" customWidth="1"/>
    <col min="6397" max="6397" width="20.85546875" style="65" customWidth="1"/>
    <col min="6398" max="6398" width="19.42578125" style="65" customWidth="1"/>
    <col min="6399" max="6399" width="11.85546875" style="65" customWidth="1"/>
    <col min="6400" max="6400" width="10.42578125" style="65" customWidth="1"/>
    <col min="6401" max="6401" width="14.42578125" style="65" bestFit="1" customWidth="1"/>
    <col min="6402" max="6402" width="13.140625" style="65" bestFit="1" customWidth="1"/>
    <col min="6403" max="6403" width="8.5703125" style="65" bestFit="1" customWidth="1"/>
    <col min="6404" max="6405" width="8.5703125" style="65" customWidth="1"/>
    <col min="6406" max="6406" width="9.42578125" style="65" customWidth="1"/>
    <col min="6407" max="6407" width="7.42578125" style="65" bestFit="1" customWidth="1"/>
    <col min="6408" max="6409" width="10.5703125" style="65" bestFit="1" customWidth="1"/>
    <col min="6410" max="6649" width="9.140625" style="65"/>
    <col min="6650" max="6650" width="29.140625" style="65" customWidth="1"/>
    <col min="6651" max="6651" width="46.42578125" style="65" customWidth="1"/>
    <col min="6652" max="6652" width="39.42578125" style="65" customWidth="1"/>
    <col min="6653" max="6653" width="20.85546875" style="65" customWidth="1"/>
    <col min="6654" max="6654" width="19.42578125" style="65" customWidth="1"/>
    <col min="6655" max="6655" width="11.85546875" style="65" customWidth="1"/>
    <col min="6656" max="6656" width="10.42578125" style="65" customWidth="1"/>
    <col min="6657" max="6657" width="14.42578125" style="65" bestFit="1" customWidth="1"/>
    <col min="6658" max="6658" width="13.140625" style="65" bestFit="1" customWidth="1"/>
    <col min="6659" max="6659" width="8.5703125" style="65" bestFit="1" customWidth="1"/>
    <col min="6660" max="6661" width="8.5703125" style="65" customWidth="1"/>
    <col min="6662" max="6662" width="9.42578125" style="65" customWidth="1"/>
    <col min="6663" max="6663" width="7.42578125" style="65" bestFit="1" customWidth="1"/>
    <col min="6664" max="6665" width="10.5703125" style="65" bestFit="1" customWidth="1"/>
    <col min="6666" max="6905" width="9.140625" style="65"/>
    <col min="6906" max="6906" width="29.140625" style="65" customWidth="1"/>
    <col min="6907" max="6907" width="46.42578125" style="65" customWidth="1"/>
    <col min="6908" max="6908" width="39.42578125" style="65" customWidth="1"/>
    <col min="6909" max="6909" width="20.85546875" style="65" customWidth="1"/>
    <col min="6910" max="6910" width="19.42578125" style="65" customWidth="1"/>
    <col min="6911" max="6911" width="11.85546875" style="65" customWidth="1"/>
    <col min="6912" max="6912" width="10.42578125" style="65" customWidth="1"/>
    <col min="6913" max="6913" width="14.42578125" style="65" bestFit="1" customWidth="1"/>
    <col min="6914" max="6914" width="13.140625" style="65" bestFit="1" customWidth="1"/>
    <col min="6915" max="6915" width="8.5703125" style="65" bestFit="1" customWidth="1"/>
    <col min="6916" max="6917" width="8.5703125" style="65" customWidth="1"/>
    <col min="6918" max="6918" width="9.42578125" style="65" customWidth="1"/>
    <col min="6919" max="6919" width="7.42578125" style="65" bestFit="1" customWidth="1"/>
    <col min="6920" max="6921" width="10.5703125" style="65" bestFit="1" customWidth="1"/>
    <col min="6922" max="7161" width="9.140625" style="65"/>
    <col min="7162" max="7162" width="29.140625" style="65" customWidth="1"/>
    <col min="7163" max="7163" width="46.42578125" style="65" customWidth="1"/>
    <col min="7164" max="7164" width="39.42578125" style="65" customWidth="1"/>
    <col min="7165" max="7165" width="20.85546875" style="65" customWidth="1"/>
    <col min="7166" max="7166" width="19.42578125" style="65" customWidth="1"/>
    <col min="7167" max="7167" width="11.85546875" style="65" customWidth="1"/>
    <col min="7168" max="7168" width="10.42578125" style="65" customWidth="1"/>
    <col min="7169" max="7169" width="14.42578125" style="65" bestFit="1" customWidth="1"/>
    <col min="7170" max="7170" width="13.140625" style="65" bestFit="1" customWidth="1"/>
    <col min="7171" max="7171" width="8.5703125" style="65" bestFit="1" customWidth="1"/>
    <col min="7172" max="7173" width="8.5703125" style="65" customWidth="1"/>
    <col min="7174" max="7174" width="9.42578125" style="65" customWidth="1"/>
    <col min="7175" max="7175" width="7.42578125" style="65" bestFit="1" customWidth="1"/>
    <col min="7176" max="7177" width="10.5703125" style="65" bestFit="1" customWidth="1"/>
    <col min="7178" max="7417" width="9.140625" style="65"/>
    <col min="7418" max="7418" width="29.140625" style="65" customWidth="1"/>
    <col min="7419" max="7419" width="46.42578125" style="65" customWidth="1"/>
    <col min="7420" max="7420" width="39.42578125" style="65" customWidth="1"/>
    <col min="7421" max="7421" width="20.85546875" style="65" customWidth="1"/>
    <col min="7422" max="7422" width="19.42578125" style="65" customWidth="1"/>
    <col min="7423" max="7423" width="11.85546875" style="65" customWidth="1"/>
    <col min="7424" max="7424" width="10.42578125" style="65" customWidth="1"/>
    <col min="7425" max="7425" width="14.42578125" style="65" bestFit="1" customWidth="1"/>
    <col min="7426" max="7426" width="13.140625" style="65" bestFit="1" customWidth="1"/>
    <col min="7427" max="7427" width="8.5703125" style="65" bestFit="1" customWidth="1"/>
    <col min="7428" max="7429" width="8.5703125" style="65" customWidth="1"/>
    <col min="7430" max="7430" width="9.42578125" style="65" customWidth="1"/>
    <col min="7431" max="7431" width="7.42578125" style="65" bestFit="1" customWidth="1"/>
    <col min="7432" max="7433" width="10.5703125" style="65" bestFit="1" customWidth="1"/>
    <col min="7434" max="7673" width="9.140625" style="65"/>
    <col min="7674" max="7674" width="29.140625" style="65" customWidth="1"/>
    <col min="7675" max="7675" width="46.42578125" style="65" customWidth="1"/>
    <col min="7676" max="7676" width="39.42578125" style="65" customWidth="1"/>
    <col min="7677" max="7677" width="20.85546875" style="65" customWidth="1"/>
    <col min="7678" max="7678" width="19.42578125" style="65" customWidth="1"/>
    <col min="7679" max="7679" width="11.85546875" style="65" customWidth="1"/>
    <col min="7680" max="7680" width="10.42578125" style="65" customWidth="1"/>
    <col min="7681" max="7681" width="14.42578125" style="65" bestFit="1" customWidth="1"/>
    <col min="7682" max="7682" width="13.140625" style="65" bestFit="1" customWidth="1"/>
    <col min="7683" max="7683" width="8.5703125" style="65" bestFit="1" customWidth="1"/>
    <col min="7684" max="7685" width="8.5703125" style="65" customWidth="1"/>
    <col min="7686" max="7686" width="9.42578125" style="65" customWidth="1"/>
    <col min="7687" max="7687" width="7.42578125" style="65" bestFit="1" customWidth="1"/>
    <col min="7688" max="7689" width="10.5703125" style="65" bestFit="1" customWidth="1"/>
    <col min="7690" max="7929" width="9.140625" style="65"/>
    <col min="7930" max="7930" width="29.140625" style="65" customWidth="1"/>
    <col min="7931" max="7931" width="46.42578125" style="65" customWidth="1"/>
    <col min="7932" max="7932" width="39.42578125" style="65" customWidth="1"/>
    <col min="7933" max="7933" width="20.85546875" style="65" customWidth="1"/>
    <col min="7934" max="7934" width="19.42578125" style="65" customWidth="1"/>
    <col min="7935" max="7935" width="11.85546875" style="65" customWidth="1"/>
    <col min="7936" max="7936" width="10.42578125" style="65" customWidth="1"/>
    <col min="7937" max="7937" width="14.42578125" style="65" bestFit="1" customWidth="1"/>
    <col min="7938" max="7938" width="13.140625" style="65" bestFit="1" customWidth="1"/>
    <col min="7939" max="7939" width="8.5703125" style="65" bestFit="1" customWidth="1"/>
    <col min="7940" max="7941" width="8.5703125" style="65" customWidth="1"/>
    <col min="7942" max="7942" width="9.42578125" style="65" customWidth="1"/>
    <col min="7943" max="7943" width="7.42578125" style="65" bestFit="1" customWidth="1"/>
    <col min="7944" max="7945" width="10.5703125" style="65" bestFit="1" customWidth="1"/>
    <col min="7946" max="8185" width="9.140625" style="65"/>
    <col min="8186" max="8186" width="29.140625" style="65" customWidth="1"/>
    <col min="8187" max="8187" width="46.42578125" style="65" customWidth="1"/>
    <col min="8188" max="8188" width="39.42578125" style="65" customWidth="1"/>
    <col min="8189" max="8189" width="20.85546875" style="65" customWidth="1"/>
    <col min="8190" max="8190" width="19.42578125" style="65" customWidth="1"/>
    <col min="8191" max="8191" width="11.85546875" style="65" customWidth="1"/>
    <col min="8192" max="8192" width="10.42578125" style="65" customWidth="1"/>
    <col min="8193" max="8193" width="14.42578125" style="65" bestFit="1" customWidth="1"/>
    <col min="8194" max="8194" width="13.140625" style="65" bestFit="1" customWidth="1"/>
    <col min="8195" max="8195" width="8.5703125" style="65" bestFit="1" customWidth="1"/>
    <col min="8196" max="8197" width="8.5703125" style="65" customWidth="1"/>
    <col min="8198" max="8198" width="9.42578125" style="65" customWidth="1"/>
    <col min="8199" max="8199" width="7.42578125" style="65" bestFit="1" customWidth="1"/>
    <col min="8200" max="8201" width="10.5703125" style="65" bestFit="1" customWidth="1"/>
    <col min="8202" max="8441" width="9.140625" style="65"/>
    <col min="8442" max="8442" width="29.140625" style="65" customWidth="1"/>
    <col min="8443" max="8443" width="46.42578125" style="65" customWidth="1"/>
    <col min="8444" max="8444" width="39.42578125" style="65" customWidth="1"/>
    <col min="8445" max="8445" width="20.85546875" style="65" customWidth="1"/>
    <col min="8446" max="8446" width="19.42578125" style="65" customWidth="1"/>
    <col min="8447" max="8447" width="11.85546875" style="65" customWidth="1"/>
    <col min="8448" max="8448" width="10.42578125" style="65" customWidth="1"/>
    <col min="8449" max="8449" width="14.42578125" style="65" bestFit="1" customWidth="1"/>
    <col min="8450" max="8450" width="13.140625" style="65" bestFit="1" customWidth="1"/>
    <col min="8451" max="8451" width="8.5703125" style="65" bestFit="1" customWidth="1"/>
    <col min="8452" max="8453" width="8.5703125" style="65" customWidth="1"/>
    <col min="8454" max="8454" width="9.42578125" style="65" customWidth="1"/>
    <col min="8455" max="8455" width="7.42578125" style="65" bestFit="1" customWidth="1"/>
    <col min="8456" max="8457" width="10.5703125" style="65" bestFit="1" customWidth="1"/>
    <col min="8458" max="8697" width="9.140625" style="65"/>
    <col min="8698" max="8698" width="29.140625" style="65" customWidth="1"/>
    <col min="8699" max="8699" width="46.42578125" style="65" customWidth="1"/>
    <col min="8700" max="8700" width="39.42578125" style="65" customWidth="1"/>
    <col min="8701" max="8701" width="20.85546875" style="65" customWidth="1"/>
    <col min="8702" max="8702" width="19.42578125" style="65" customWidth="1"/>
    <col min="8703" max="8703" width="11.85546875" style="65" customWidth="1"/>
    <col min="8704" max="8704" width="10.42578125" style="65" customWidth="1"/>
    <col min="8705" max="8705" width="14.42578125" style="65" bestFit="1" customWidth="1"/>
    <col min="8706" max="8706" width="13.140625" style="65" bestFit="1" customWidth="1"/>
    <col min="8707" max="8707" width="8.5703125" style="65" bestFit="1" customWidth="1"/>
    <col min="8708" max="8709" width="8.5703125" style="65" customWidth="1"/>
    <col min="8710" max="8710" width="9.42578125" style="65" customWidth="1"/>
    <col min="8711" max="8711" width="7.42578125" style="65" bestFit="1" customWidth="1"/>
    <col min="8712" max="8713" width="10.5703125" style="65" bestFit="1" customWidth="1"/>
    <col min="8714" max="8953" width="9.140625" style="65"/>
    <col min="8954" max="8954" width="29.140625" style="65" customWidth="1"/>
    <col min="8955" max="8955" width="46.42578125" style="65" customWidth="1"/>
    <col min="8956" max="8956" width="39.42578125" style="65" customWidth="1"/>
    <col min="8957" max="8957" width="20.85546875" style="65" customWidth="1"/>
    <col min="8958" max="8958" width="19.42578125" style="65" customWidth="1"/>
    <col min="8959" max="8959" width="11.85546875" style="65" customWidth="1"/>
    <col min="8960" max="8960" width="10.42578125" style="65" customWidth="1"/>
    <col min="8961" max="8961" width="14.42578125" style="65" bestFit="1" customWidth="1"/>
    <col min="8962" max="8962" width="13.140625" style="65" bestFit="1" customWidth="1"/>
    <col min="8963" max="8963" width="8.5703125" style="65" bestFit="1" customWidth="1"/>
    <col min="8964" max="8965" width="8.5703125" style="65" customWidth="1"/>
    <col min="8966" max="8966" width="9.42578125" style="65" customWidth="1"/>
    <col min="8967" max="8967" width="7.42578125" style="65" bestFit="1" customWidth="1"/>
    <col min="8968" max="8969" width="10.5703125" style="65" bestFit="1" customWidth="1"/>
    <col min="8970" max="9209" width="9.140625" style="65"/>
    <col min="9210" max="9210" width="29.140625" style="65" customWidth="1"/>
    <col min="9211" max="9211" width="46.42578125" style="65" customWidth="1"/>
    <col min="9212" max="9212" width="39.42578125" style="65" customWidth="1"/>
    <col min="9213" max="9213" width="20.85546875" style="65" customWidth="1"/>
    <col min="9214" max="9214" width="19.42578125" style="65" customWidth="1"/>
    <col min="9215" max="9215" width="11.85546875" style="65" customWidth="1"/>
    <col min="9216" max="9216" width="10.42578125" style="65" customWidth="1"/>
    <col min="9217" max="9217" width="14.42578125" style="65" bestFit="1" customWidth="1"/>
    <col min="9218" max="9218" width="13.140625" style="65" bestFit="1" customWidth="1"/>
    <col min="9219" max="9219" width="8.5703125" style="65" bestFit="1" customWidth="1"/>
    <col min="9220" max="9221" width="8.5703125" style="65" customWidth="1"/>
    <col min="9222" max="9222" width="9.42578125" style="65" customWidth="1"/>
    <col min="9223" max="9223" width="7.42578125" style="65" bestFit="1" customWidth="1"/>
    <col min="9224" max="9225" width="10.5703125" style="65" bestFit="1" customWidth="1"/>
    <col min="9226" max="9465" width="9.140625" style="65"/>
    <col min="9466" max="9466" width="29.140625" style="65" customWidth="1"/>
    <col min="9467" max="9467" width="46.42578125" style="65" customWidth="1"/>
    <col min="9468" max="9468" width="39.42578125" style="65" customWidth="1"/>
    <col min="9469" max="9469" width="20.85546875" style="65" customWidth="1"/>
    <col min="9470" max="9470" width="19.42578125" style="65" customWidth="1"/>
    <col min="9471" max="9471" width="11.85546875" style="65" customWidth="1"/>
    <col min="9472" max="9472" width="10.42578125" style="65" customWidth="1"/>
    <col min="9473" max="9473" width="14.42578125" style="65" bestFit="1" customWidth="1"/>
    <col min="9474" max="9474" width="13.140625" style="65" bestFit="1" customWidth="1"/>
    <col min="9475" max="9475" width="8.5703125" style="65" bestFit="1" customWidth="1"/>
    <col min="9476" max="9477" width="8.5703125" style="65" customWidth="1"/>
    <col min="9478" max="9478" width="9.42578125" style="65" customWidth="1"/>
    <col min="9479" max="9479" width="7.42578125" style="65" bestFit="1" customWidth="1"/>
    <col min="9480" max="9481" width="10.5703125" style="65" bestFit="1" customWidth="1"/>
    <col min="9482" max="9721" width="9.140625" style="65"/>
    <col min="9722" max="9722" width="29.140625" style="65" customWidth="1"/>
    <col min="9723" max="9723" width="46.42578125" style="65" customWidth="1"/>
    <col min="9724" max="9724" width="39.42578125" style="65" customWidth="1"/>
    <col min="9725" max="9725" width="20.85546875" style="65" customWidth="1"/>
    <col min="9726" max="9726" width="19.42578125" style="65" customWidth="1"/>
    <col min="9727" max="9727" width="11.85546875" style="65" customWidth="1"/>
    <col min="9728" max="9728" width="10.42578125" style="65" customWidth="1"/>
    <col min="9729" max="9729" width="14.42578125" style="65" bestFit="1" customWidth="1"/>
    <col min="9730" max="9730" width="13.140625" style="65" bestFit="1" customWidth="1"/>
    <col min="9731" max="9731" width="8.5703125" style="65" bestFit="1" customWidth="1"/>
    <col min="9732" max="9733" width="8.5703125" style="65" customWidth="1"/>
    <col min="9734" max="9734" width="9.42578125" style="65" customWidth="1"/>
    <col min="9735" max="9735" width="7.42578125" style="65" bestFit="1" customWidth="1"/>
    <col min="9736" max="9737" width="10.5703125" style="65" bestFit="1" customWidth="1"/>
    <col min="9738" max="9977" width="9.140625" style="65"/>
    <col min="9978" max="9978" width="29.140625" style="65" customWidth="1"/>
    <col min="9979" max="9979" width="46.42578125" style="65" customWidth="1"/>
    <col min="9980" max="9980" width="39.42578125" style="65" customWidth="1"/>
    <col min="9981" max="9981" width="20.85546875" style="65" customWidth="1"/>
    <col min="9982" max="9982" width="19.42578125" style="65" customWidth="1"/>
    <col min="9983" max="9983" width="11.85546875" style="65" customWidth="1"/>
    <col min="9984" max="9984" width="10.42578125" style="65" customWidth="1"/>
    <col min="9985" max="9985" width="14.42578125" style="65" bestFit="1" customWidth="1"/>
    <col min="9986" max="9986" width="13.140625" style="65" bestFit="1" customWidth="1"/>
    <col min="9987" max="9987" width="8.5703125" style="65" bestFit="1" customWidth="1"/>
    <col min="9988" max="9989" width="8.5703125" style="65" customWidth="1"/>
    <col min="9990" max="9990" width="9.42578125" style="65" customWidth="1"/>
    <col min="9991" max="9991" width="7.42578125" style="65" bestFit="1" customWidth="1"/>
    <col min="9992" max="9993" width="10.5703125" style="65" bestFit="1" customWidth="1"/>
    <col min="9994" max="10233" width="9.140625" style="65"/>
    <col min="10234" max="10234" width="29.140625" style="65" customWidth="1"/>
    <col min="10235" max="10235" width="46.42578125" style="65" customWidth="1"/>
    <col min="10236" max="10236" width="39.42578125" style="65" customWidth="1"/>
    <col min="10237" max="10237" width="20.85546875" style="65" customWidth="1"/>
    <col min="10238" max="10238" width="19.42578125" style="65" customWidth="1"/>
    <col min="10239" max="10239" width="11.85546875" style="65" customWidth="1"/>
    <col min="10240" max="10240" width="10.42578125" style="65" customWidth="1"/>
    <col min="10241" max="10241" width="14.42578125" style="65" bestFit="1" customWidth="1"/>
    <col min="10242" max="10242" width="13.140625" style="65" bestFit="1" customWidth="1"/>
    <col min="10243" max="10243" width="8.5703125" style="65" bestFit="1" customWidth="1"/>
    <col min="10244" max="10245" width="8.5703125" style="65" customWidth="1"/>
    <col min="10246" max="10246" width="9.42578125" style="65" customWidth="1"/>
    <col min="10247" max="10247" width="7.42578125" style="65" bestFit="1" customWidth="1"/>
    <col min="10248" max="10249" width="10.5703125" style="65" bestFit="1" customWidth="1"/>
    <col min="10250" max="10489" width="9.140625" style="65"/>
    <col min="10490" max="10490" width="29.140625" style="65" customWidth="1"/>
    <col min="10491" max="10491" width="46.42578125" style="65" customWidth="1"/>
    <col min="10492" max="10492" width="39.42578125" style="65" customWidth="1"/>
    <col min="10493" max="10493" width="20.85546875" style="65" customWidth="1"/>
    <col min="10494" max="10494" width="19.42578125" style="65" customWidth="1"/>
    <col min="10495" max="10495" width="11.85546875" style="65" customWidth="1"/>
    <col min="10496" max="10496" width="10.42578125" style="65" customWidth="1"/>
    <col min="10497" max="10497" width="14.42578125" style="65" bestFit="1" customWidth="1"/>
    <col min="10498" max="10498" width="13.140625" style="65" bestFit="1" customWidth="1"/>
    <col min="10499" max="10499" width="8.5703125" style="65" bestFit="1" customWidth="1"/>
    <col min="10500" max="10501" width="8.5703125" style="65" customWidth="1"/>
    <col min="10502" max="10502" width="9.42578125" style="65" customWidth="1"/>
    <col min="10503" max="10503" width="7.42578125" style="65" bestFit="1" customWidth="1"/>
    <col min="10504" max="10505" width="10.5703125" style="65" bestFit="1" customWidth="1"/>
    <col min="10506" max="10745" width="9.140625" style="65"/>
    <col min="10746" max="10746" width="29.140625" style="65" customWidth="1"/>
    <col min="10747" max="10747" width="46.42578125" style="65" customWidth="1"/>
    <col min="10748" max="10748" width="39.42578125" style="65" customWidth="1"/>
    <col min="10749" max="10749" width="20.85546875" style="65" customWidth="1"/>
    <col min="10750" max="10750" width="19.42578125" style="65" customWidth="1"/>
    <col min="10751" max="10751" width="11.85546875" style="65" customWidth="1"/>
    <col min="10752" max="10752" width="10.42578125" style="65" customWidth="1"/>
    <col min="10753" max="10753" width="14.42578125" style="65" bestFit="1" customWidth="1"/>
    <col min="10754" max="10754" width="13.140625" style="65" bestFit="1" customWidth="1"/>
    <col min="10755" max="10755" width="8.5703125" style="65" bestFit="1" customWidth="1"/>
    <col min="10756" max="10757" width="8.5703125" style="65" customWidth="1"/>
    <col min="10758" max="10758" width="9.42578125" style="65" customWidth="1"/>
    <col min="10759" max="10759" width="7.42578125" style="65" bestFit="1" customWidth="1"/>
    <col min="10760" max="10761" width="10.5703125" style="65" bestFit="1" customWidth="1"/>
    <col min="10762" max="11001" width="9.140625" style="65"/>
    <col min="11002" max="11002" width="29.140625" style="65" customWidth="1"/>
    <col min="11003" max="11003" width="46.42578125" style="65" customWidth="1"/>
    <col min="11004" max="11004" width="39.42578125" style="65" customWidth="1"/>
    <col min="11005" max="11005" width="20.85546875" style="65" customWidth="1"/>
    <col min="11006" max="11006" width="19.42578125" style="65" customWidth="1"/>
    <col min="11007" max="11007" width="11.85546875" style="65" customWidth="1"/>
    <col min="11008" max="11008" width="10.42578125" style="65" customWidth="1"/>
    <col min="11009" max="11009" width="14.42578125" style="65" bestFit="1" customWidth="1"/>
    <col min="11010" max="11010" width="13.140625" style="65" bestFit="1" customWidth="1"/>
    <col min="11011" max="11011" width="8.5703125" style="65" bestFit="1" customWidth="1"/>
    <col min="11012" max="11013" width="8.5703125" style="65" customWidth="1"/>
    <col min="11014" max="11014" width="9.42578125" style="65" customWidth="1"/>
    <col min="11015" max="11015" width="7.42578125" style="65" bestFit="1" customWidth="1"/>
    <col min="11016" max="11017" width="10.5703125" style="65" bestFit="1" customWidth="1"/>
    <col min="11018" max="11257" width="9.140625" style="65"/>
    <col min="11258" max="11258" width="29.140625" style="65" customWidth="1"/>
    <col min="11259" max="11259" width="46.42578125" style="65" customWidth="1"/>
    <col min="11260" max="11260" width="39.42578125" style="65" customWidth="1"/>
    <col min="11261" max="11261" width="20.85546875" style="65" customWidth="1"/>
    <col min="11262" max="11262" width="19.42578125" style="65" customWidth="1"/>
    <col min="11263" max="11263" width="11.85546875" style="65" customWidth="1"/>
    <col min="11264" max="11264" width="10.42578125" style="65" customWidth="1"/>
    <col min="11265" max="11265" width="14.42578125" style="65" bestFit="1" customWidth="1"/>
    <col min="11266" max="11266" width="13.140625" style="65" bestFit="1" customWidth="1"/>
    <col min="11267" max="11267" width="8.5703125" style="65" bestFit="1" customWidth="1"/>
    <col min="11268" max="11269" width="8.5703125" style="65" customWidth="1"/>
    <col min="11270" max="11270" width="9.42578125" style="65" customWidth="1"/>
    <col min="11271" max="11271" width="7.42578125" style="65" bestFit="1" customWidth="1"/>
    <col min="11272" max="11273" width="10.5703125" style="65" bestFit="1" customWidth="1"/>
    <col min="11274" max="11513" width="9.140625" style="65"/>
    <col min="11514" max="11514" width="29.140625" style="65" customWidth="1"/>
    <col min="11515" max="11515" width="46.42578125" style="65" customWidth="1"/>
    <col min="11516" max="11516" width="39.42578125" style="65" customWidth="1"/>
    <col min="11517" max="11517" width="20.85546875" style="65" customWidth="1"/>
    <col min="11518" max="11518" width="19.42578125" style="65" customWidth="1"/>
    <col min="11519" max="11519" width="11.85546875" style="65" customWidth="1"/>
    <col min="11520" max="11520" width="10.42578125" style="65" customWidth="1"/>
    <col min="11521" max="11521" width="14.42578125" style="65" bestFit="1" customWidth="1"/>
    <col min="11522" max="11522" width="13.140625" style="65" bestFit="1" customWidth="1"/>
    <col min="11523" max="11523" width="8.5703125" style="65" bestFit="1" customWidth="1"/>
    <col min="11524" max="11525" width="8.5703125" style="65" customWidth="1"/>
    <col min="11526" max="11526" width="9.42578125" style="65" customWidth="1"/>
    <col min="11527" max="11527" width="7.42578125" style="65" bestFit="1" customWidth="1"/>
    <col min="11528" max="11529" width="10.5703125" style="65" bestFit="1" customWidth="1"/>
    <col min="11530" max="11769" width="9.140625" style="65"/>
    <col min="11770" max="11770" width="29.140625" style="65" customWidth="1"/>
    <col min="11771" max="11771" width="46.42578125" style="65" customWidth="1"/>
    <col min="11772" max="11772" width="39.42578125" style="65" customWidth="1"/>
    <col min="11773" max="11773" width="20.85546875" style="65" customWidth="1"/>
    <col min="11774" max="11774" width="19.42578125" style="65" customWidth="1"/>
    <col min="11775" max="11775" width="11.85546875" style="65" customWidth="1"/>
    <col min="11776" max="11776" width="10.42578125" style="65" customWidth="1"/>
    <col min="11777" max="11777" width="14.42578125" style="65" bestFit="1" customWidth="1"/>
    <col min="11778" max="11778" width="13.140625" style="65" bestFit="1" customWidth="1"/>
    <col min="11779" max="11779" width="8.5703125" style="65" bestFit="1" customWidth="1"/>
    <col min="11780" max="11781" width="8.5703125" style="65" customWidth="1"/>
    <col min="11782" max="11782" width="9.42578125" style="65" customWidth="1"/>
    <col min="11783" max="11783" width="7.42578125" style="65" bestFit="1" customWidth="1"/>
    <col min="11784" max="11785" width="10.5703125" style="65" bestFit="1" customWidth="1"/>
    <col min="11786" max="12025" width="9.140625" style="65"/>
    <col min="12026" max="12026" width="29.140625" style="65" customWidth="1"/>
    <col min="12027" max="12027" width="46.42578125" style="65" customWidth="1"/>
    <col min="12028" max="12028" width="39.42578125" style="65" customWidth="1"/>
    <col min="12029" max="12029" width="20.85546875" style="65" customWidth="1"/>
    <col min="12030" max="12030" width="19.42578125" style="65" customWidth="1"/>
    <col min="12031" max="12031" width="11.85546875" style="65" customWidth="1"/>
    <col min="12032" max="12032" width="10.42578125" style="65" customWidth="1"/>
    <col min="12033" max="12033" width="14.42578125" style="65" bestFit="1" customWidth="1"/>
    <col min="12034" max="12034" width="13.140625" style="65" bestFit="1" customWidth="1"/>
    <col min="12035" max="12035" width="8.5703125" style="65" bestFit="1" customWidth="1"/>
    <col min="12036" max="12037" width="8.5703125" style="65" customWidth="1"/>
    <col min="12038" max="12038" width="9.42578125" style="65" customWidth="1"/>
    <col min="12039" max="12039" width="7.42578125" style="65" bestFit="1" customWidth="1"/>
    <col min="12040" max="12041" width="10.5703125" style="65" bestFit="1" customWidth="1"/>
    <col min="12042" max="12281" width="9.140625" style="65"/>
    <col min="12282" max="12282" width="29.140625" style="65" customWidth="1"/>
    <col min="12283" max="12283" width="46.42578125" style="65" customWidth="1"/>
    <col min="12284" max="12284" width="39.42578125" style="65" customWidth="1"/>
    <col min="12285" max="12285" width="20.85546875" style="65" customWidth="1"/>
    <col min="12286" max="12286" width="19.42578125" style="65" customWidth="1"/>
    <col min="12287" max="12287" width="11.85546875" style="65" customWidth="1"/>
    <col min="12288" max="12288" width="10.42578125" style="65" customWidth="1"/>
    <col min="12289" max="12289" width="14.42578125" style="65" bestFit="1" customWidth="1"/>
    <col min="12290" max="12290" width="13.140625" style="65" bestFit="1" customWidth="1"/>
    <col min="12291" max="12291" width="8.5703125" style="65" bestFit="1" customWidth="1"/>
    <col min="12292" max="12293" width="8.5703125" style="65" customWidth="1"/>
    <col min="12294" max="12294" width="9.42578125" style="65" customWidth="1"/>
    <col min="12295" max="12295" width="7.42578125" style="65" bestFit="1" customWidth="1"/>
    <col min="12296" max="12297" width="10.5703125" style="65" bestFit="1" customWidth="1"/>
    <col min="12298" max="12537" width="9.140625" style="65"/>
    <col min="12538" max="12538" width="29.140625" style="65" customWidth="1"/>
    <col min="12539" max="12539" width="46.42578125" style="65" customWidth="1"/>
    <col min="12540" max="12540" width="39.42578125" style="65" customWidth="1"/>
    <col min="12541" max="12541" width="20.85546875" style="65" customWidth="1"/>
    <col min="12542" max="12542" width="19.42578125" style="65" customWidth="1"/>
    <col min="12543" max="12543" width="11.85546875" style="65" customWidth="1"/>
    <col min="12544" max="12544" width="10.42578125" style="65" customWidth="1"/>
    <col min="12545" max="12545" width="14.42578125" style="65" bestFit="1" customWidth="1"/>
    <col min="12546" max="12546" width="13.140625" style="65" bestFit="1" customWidth="1"/>
    <col min="12547" max="12547" width="8.5703125" style="65" bestFit="1" customWidth="1"/>
    <col min="12548" max="12549" width="8.5703125" style="65" customWidth="1"/>
    <col min="12550" max="12550" width="9.42578125" style="65" customWidth="1"/>
    <col min="12551" max="12551" width="7.42578125" style="65" bestFit="1" customWidth="1"/>
    <col min="12552" max="12553" width="10.5703125" style="65" bestFit="1" customWidth="1"/>
    <col min="12554" max="12793" width="9.140625" style="65"/>
    <col min="12794" max="12794" width="29.140625" style="65" customWidth="1"/>
    <col min="12795" max="12795" width="46.42578125" style="65" customWidth="1"/>
    <col min="12796" max="12796" width="39.42578125" style="65" customWidth="1"/>
    <col min="12797" max="12797" width="20.85546875" style="65" customWidth="1"/>
    <col min="12798" max="12798" width="19.42578125" style="65" customWidth="1"/>
    <col min="12799" max="12799" width="11.85546875" style="65" customWidth="1"/>
    <col min="12800" max="12800" width="10.42578125" style="65" customWidth="1"/>
    <col min="12801" max="12801" width="14.42578125" style="65" bestFit="1" customWidth="1"/>
    <col min="12802" max="12802" width="13.140625" style="65" bestFit="1" customWidth="1"/>
    <col min="12803" max="12803" width="8.5703125" style="65" bestFit="1" customWidth="1"/>
    <col min="12804" max="12805" width="8.5703125" style="65" customWidth="1"/>
    <col min="12806" max="12806" width="9.42578125" style="65" customWidth="1"/>
    <col min="12807" max="12807" width="7.42578125" style="65" bestFit="1" customWidth="1"/>
    <col min="12808" max="12809" width="10.5703125" style="65" bestFit="1" customWidth="1"/>
    <col min="12810" max="13049" width="9.140625" style="65"/>
    <col min="13050" max="13050" width="29.140625" style="65" customWidth="1"/>
    <col min="13051" max="13051" width="46.42578125" style="65" customWidth="1"/>
    <col min="13052" max="13052" width="39.42578125" style="65" customWidth="1"/>
    <col min="13053" max="13053" width="20.85546875" style="65" customWidth="1"/>
    <col min="13054" max="13054" width="19.42578125" style="65" customWidth="1"/>
    <col min="13055" max="13055" width="11.85546875" style="65" customWidth="1"/>
    <col min="13056" max="13056" width="10.42578125" style="65" customWidth="1"/>
    <col min="13057" max="13057" width="14.42578125" style="65" bestFit="1" customWidth="1"/>
    <col min="13058" max="13058" width="13.140625" style="65" bestFit="1" customWidth="1"/>
    <col min="13059" max="13059" width="8.5703125" style="65" bestFit="1" customWidth="1"/>
    <col min="13060" max="13061" width="8.5703125" style="65" customWidth="1"/>
    <col min="13062" max="13062" width="9.42578125" style="65" customWidth="1"/>
    <col min="13063" max="13063" width="7.42578125" style="65" bestFit="1" customWidth="1"/>
    <col min="13064" max="13065" width="10.5703125" style="65" bestFit="1" customWidth="1"/>
    <col min="13066" max="13305" width="9.140625" style="65"/>
    <col min="13306" max="13306" width="29.140625" style="65" customWidth="1"/>
    <col min="13307" max="13307" width="46.42578125" style="65" customWidth="1"/>
    <col min="13308" max="13308" width="39.42578125" style="65" customWidth="1"/>
    <col min="13309" max="13309" width="20.85546875" style="65" customWidth="1"/>
    <col min="13310" max="13310" width="19.42578125" style="65" customWidth="1"/>
    <col min="13311" max="13311" width="11.85546875" style="65" customWidth="1"/>
    <col min="13312" max="13312" width="10.42578125" style="65" customWidth="1"/>
    <col min="13313" max="13313" width="14.42578125" style="65" bestFit="1" customWidth="1"/>
    <col min="13314" max="13314" width="13.140625" style="65" bestFit="1" customWidth="1"/>
    <col min="13315" max="13315" width="8.5703125" style="65" bestFit="1" customWidth="1"/>
    <col min="13316" max="13317" width="8.5703125" style="65" customWidth="1"/>
    <col min="13318" max="13318" width="9.42578125" style="65" customWidth="1"/>
    <col min="13319" max="13319" width="7.42578125" style="65" bestFit="1" customWidth="1"/>
    <col min="13320" max="13321" width="10.5703125" style="65" bestFit="1" customWidth="1"/>
    <col min="13322" max="13561" width="9.140625" style="65"/>
    <col min="13562" max="13562" width="29.140625" style="65" customWidth="1"/>
    <col min="13563" max="13563" width="46.42578125" style="65" customWidth="1"/>
    <col min="13564" max="13564" width="39.42578125" style="65" customWidth="1"/>
    <col min="13565" max="13565" width="20.85546875" style="65" customWidth="1"/>
    <col min="13566" max="13566" width="19.42578125" style="65" customWidth="1"/>
    <col min="13567" max="13567" width="11.85546875" style="65" customWidth="1"/>
    <col min="13568" max="13568" width="10.42578125" style="65" customWidth="1"/>
    <col min="13569" max="13569" width="14.42578125" style="65" bestFit="1" customWidth="1"/>
    <col min="13570" max="13570" width="13.140625" style="65" bestFit="1" customWidth="1"/>
    <col min="13571" max="13571" width="8.5703125" style="65" bestFit="1" customWidth="1"/>
    <col min="13572" max="13573" width="8.5703125" style="65" customWidth="1"/>
    <col min="13574" max="13574" width="9.42578125" style="65" customWidth="1"/>
    <col min="13575" max="13575" width="7.42578125" style="65" bestFit="1" customWidth="1"/>
    <col min="13576" max="13577" width="10.5703125" style="65" bestFit="1" customWidth="1"/>
    <col min="13578" max="13817" width="9.140625" style="65"/>
    <col min="13818" max="13818" width="29.140625" style="65" customWidth="1"/>
    <col min="13819" max="13819" width="46.42578125" style="65" customWidth="1"/>
    <col min="13820" max="13820" width="39.42578125" style="65" customWidth="1"/>
    <col min="13821" max="13821" width="20.85546875" style="65" customWidth="1"/>
    <col min="13822" max="13822" width="19.42578125" style="65" customWidth="1"/>
    <col min="13823" max="13823" width="11.85546875" style="65" customWidth="1"/>
    <col min="13824" max="13824" width="10.42578125" style="65" customWidth="1"/>
    <col min="13825" max="13825" width="14.42578125" style="65" bestFit="1" customWidth="1"/>
    <col min="13826" max="13826" width="13.140625" style="65" bestFit="1" customWidth="1"/>
    <col min="13827" max="13827" width="8.5703125" style="65" bestFit="1" customWidth="1"/>
    <col min="13828" max="13829" width="8.5703125" style="65" customWidth="1"/>
    <col min="13830" max="13830" width="9.42578125" style="65" customWidth="1"/>
    <col min="13831" max="13831" width="7.42578125" style="65" bestFit="1" customWidth="1"/>
    <col min="13832" max="13833" width="10.5703125" style="65" bestFit="1" customWidth="1"/>
    <col min="13834" max="14073" width="9.140625" style="65"/>
    <col min="14074" max="14074" width="29.140625" style="65" customWidth="1"/>
    <col min="14075" max="14075" width="46.42578125" style="65" customWidth="1"/>
    <col min="14076" max="14076" width="39.42578125" style="65" customWidth="1"/>
    <col min="14077" max="14077" width="20.85546875" style="65" customWidth="1"/>
    <col min="14078" max="14078" width="19.42578125" style="65" customWidth="1"/>
    <col min="14079" max="14079" width="11.85546875" style="65" customWidth="1"/>
    <col min="14080" max="14080" width="10.42578125" style="65" customWidth="1"/>
    <col min="14081" max="14081" width="14.42578125" style="65" bestFit="1" customWidth="1"/>
    <col min="14082" max="14082" width="13.140625" style="65" bestFit="1" customWidth="1"/>
    <col min="14083" max="14083" width="8.5703125" style="65" bestFit="1" customWidth="1"/>
    <col min="14084" max="14085" width="8.5703125" style="65" customWidth="1"/>
    <col min="14086" max="14086" width="9.42578125" style="65" customWidth="1"/>
    <col min="14087" max="14087" width="7.42578125" style="65" bestFit="1" customWidth="1"/>
    <col min="14088" max="14089" width="10.5703125" style="65" bestFit="1" customWidth="1"/>
    <col min="14090" max="14329" width="9.140625" style="65"/>
    <col min="14330" max="14330" width="29.140625" style="65" customWidth="1"/>
    <col min="14331" max="14331" width="46.42578125" style="65" customWidth="1"/>
    <col min="14332" max="14332" width="39.42578125" style="65" customWidth="1"/>
    <col min="14333" max="14333" width="20.85546875" style="65" customWidth="1"/>
    <col min="14334" max="14334" width="19.42578125" style="65" customWidth="1"/>
    <col min="14335" max="14335" width="11.85546875" style="65" customWidth="1"/>
    <col min="14336" max="14336" width="10.42578125" style="65" customWidth="1"/>
    <col min="14337" max="14337" width="14.42578125" style="65" bestFit="1" customWidth="1"/>
    <col min="14338" max="14338" width="13.140625" style="65" bestFit="1" customWidth="1"/>
    <col min="14339" max="14339" width="8.5703125" style="65" bestFit="1" customWidth="1"/>
    <col min="14340" max="14341" width="8.5703125" style="65" customWidth="1"/>
    <col min="14342" max="14342" width="9.42578125" style="65" customWidth="1"/>
    <col min="14343" max="14343" width="7.42578125" style="65" bestFit="1" customWidth="1"/>
    <col min="14344" max="14345" width="10.5703125" style="65" bestFit="1" customWidth="1"/>
    <col min="14346" max="14585" width="9.140625" style="65"/>
    <col min="14586" max="14586" width="29.140625" style="65" customWidth="1"/>
    <col min="14587" max="14587" width="46.42578125" style="65" customWidth="1"/>
    <col min="14588" max="14588" width="39.42578125" style="65" customWidth="1"/>
    <col min="14589" max="14589" width="20.85546875" style="65" customWidth="1"/>
    <col min="14590" max="14590" width="19.42578125" style="65" customWidth="1"/>
    <col min="14591" max="14591" width="11.85546875" style="65" customWidth="1"/>
    <col min="14592" max="14592" width="10.42578125" style="65" customWidth="1"/>
    <col min="14593" max="14593" width="14.42578125" style="65" bestFit="1" customWidth="1"/>
    <col min="14594" max="14594" width="13.140625" style="65" bestFit="1" customWidth="1"/>
    <col min="14595" max="14595" width="8.5703125" style="65" bestFit="1" customWidth="1"/>
    <col min="14596" max="14597" width="8.5703125" style="65" customWidth="1"/>
    <col min="14598" max="14598" width="9.42578125" style="65" customWidth="1"/>
    <col min="14599" max="14599" width="7.42578125" style="65" bestFit="1" customWidth="1"/>
    <col min="14600" max="14601" width="10.5703125" style="65" bestFit="1" customWidth="1"/>
    <col min="14602" max="14841" width="9.140625" style="65"/>
    <col min="14842" max="14842" width="29.140625" style="65" customWidth="1"/>
    <col min="14843" max="14843" width="46.42578125" style="65" customWidth="1"/>
    <col min="14844" max="14844" width="39.42578125" style="65" customWidth="1"/>
    <col min="14845" max="14845" width="20.85546875" style="65" customWidth="1"/>
    <col min="14846" max="14846" width="19.42578125" style="65" customWidth="1"/>
    <col min="14847" max="14847" width="11.85546875" style="65" customWidth="1"/>
    <col min="14848" max="14848" width="10.42578125" style="65" customWidth="1"/>
    <col min="14849" max="14849" width="14.42578125" style="65" bestFit="1" customWidth="1"/>
    <col min="14850" max="14850" width="13.140625" style="65" bestFit="1" customWidth="1"/>
    <col min="14851" max="14851" width="8.5703125" style="65" bestFit="1" customWidth="1"/>
    <col min="14852" max="14853" width="8.5703125" style="65" customWidth="1"/>
    <col min="14854" max="14854" width="9.42578125" style="65" customWidth="1"/>
    <col min="14855" max="14855" width="7.42578125" style="65" bestFit="1" customWidth="1"/>
    <col min="14856" max="14857" width="10.5703125" style="65" bestFit="1" customWidth="1"/>
    <col min="14858" max="15097" width="9.140625" style="65"/>
    <col min="15098" max="15098" width="29.140625" style="65" customWidth="1"/>
    <col min="15099" max="15099" width="46.42578125" style="65" customWidth="1"/>
    <col min="15100" max="15100" width="39.42578125" style="65" customWidth="1"/>
    <col min="15101" max="15101" width="20.85546875" style="65" customWidth="1"/>
    <col min="15102" max="15102" width="19.42578125" style="65" customWidth="1"/>
    <col min="15103" max="15103" width="11.85546875" style="65" customWidth="1"/>
    <col min="15104" max="15104" width="10.42578125" style="65" customWidth="1"/>
    <col min="15105" max="15105" width="14.42578125" style="65" bestFit="1" customWidth="1"/>
    <col min="15106" max="15106" width="13.140625" style="65" bestFit="1" customWidth="1"/>
    <col min="15107" max="15107" width="8.5703125" style="65" bestFit="1" customWidth="1"/>
    <col min="15108" max="15109" width="8.5703125" style="65" customWidth="1"/>
    <col min="15110" max="15110" width="9.42578125" style="65" customWidth="1"/>
    <col min="15111" max="15111" width="7.42578125" style="65" bestFit="1" customWidth="1"/>
    <col min="15112" max="15113" width="10.5703125" style="65" bestFit="1" customWidth="1"/>
    <col min="15114" max="15353" width="9.140625" style="65"/>
    <col min="15354" max="15354" width="29.140625" style="65" customWidth="1"/>
    <col min="15355" max="15355" width="46.42578125" style="65" customWidth="1"/>
    <col min="15356" max="15356" width="39.42578125" style="65" customWidth="1"/>
    <col min="15357" max="15357" width="20.85546875" style="65" customWidth="1"/>
    <col min="15358" max="15358" width="19.42578125" style="65" customWidth="1"/>
    <col min="15359" max="15359" width="11.85546875" style="65" customWidth="1"/>
    <col min="15360" max="15360" width="10.42578125" style="65" customWidth="1"/>
    <col min="15361" max="15361" width="14.42578125" style="65" bestFit="1" customWidth="1"/>
    <col min="15362" max="15362" width="13.140625" style="65" bestFit="1" customWidth="1"/>
    <col min="15363" max="15363" width="8.5703125" style="65" bestFit="1" customWidth="1"/>
    <col min="15364" max="15365" width="8.5703125" style="65" customWidth="1"/>
    <col min="15366" max="15366" width="9.42578125" style="65" customWidth="1"/>
    <col min="15367" max="15367" width="7.42578125" style="65" bestFit="1" customWidth="1"/>
    <col min="15368" max="15369" width="10.5703125" style="65" bestFit="1" customWidth="1"/>
    <col min="15370" max="15609" width="9.140625" style="65"/>
    <col min="15610" max="15610" width="29.140625" style="65" customWidth="1"/>
    <col min="15611" max="15611" width="46.42578125" style="65" customWidth="1"/>
    <col min="15612" max="15612" width="39.42578125" style="65" customWidth="1"/>
    <col min="15613" max="15613" width="20.85546875" style="65" customWidth="1"/>
    <col min="15614" max="15614" width="19.42578125" style="65" customWidth="1"/>
    <col min="15615" max="15615" width="11.85546875" style="65" customWidth="1"/>
    <col min="15616" max="15616" width="10.42578125" style="65" customWidth="1"/>
    <col min="15617" max="15617" width="14.42578125" style="65" bestFit="1" customWidth="1"/>
    <col min="15618" max="15618" width="13.140625" style="65" bestFit="1" customWidth="1"/>
    <col min="15619" max="15619" width="8.5703125" style="65" bestFit="1" customWidth="1"/>
    <col min="15620" max="15621" width="8.5703125" style="65" customWidth="1"/>
    <col min="15622" max="15622" width="9.42578125" style="65" customWidth="1"/>
    <col min="15623" max="15623" width="7.42578125" style="65" bestFit="1" customWidth="1"/>
    <col min="15624" max="15625" width="10.5703125" style="65" bestFit="1" customWidth="1"/>
    <col min="15626" max="15865" width="9.140625" style="65"/>
    <col min="15866" max="15866" width="29.140625" style="65" customWidth="1"/>
    <col min="15867" max="15867" width="46.42578125" style="65" customWidth="1"/>
    <col min="15868" max="15868" width="39.42578125" style="65" customWidth="1"/>
    <col min="15869" max="15869" width="20.85546875" style="65" customWidth="1"/>
    <col min="15870" max="15870" width="19.42578125" style="65" customWidth="1"/>
    <col min="15871" max="15871" width="11.85546875" style="65" customWidth="1"/>
    <col min="15872" max="15872" width="10.42578125" style="65" customWidth="1"/>
    <col min="15873" max="15873" width="14.42578125" style="65" bestFit="1" customWidth="1"/>
    <col min="15874" max="15874" width="13.140625" style="65" bestFit="1" customWidth="1"/>
    <col min="15875" max="15875" width="8.5703125" style="65" bestFit="1" customWidth="1"/>
    <col min="15876" max="15877" width="8.5703125" style="65" customWidth="1"/>
    <col min="15878" max="15878" width="9.42578125" style="65" customWidth="1"/>
    <col min="15879" max="15879" width="7.42578125" style="65" bestFit="1" customWidth="1"/>
    <col min="15880" max="15881" width="10.5703125" style="65" bestFit="1" customWidth="1"/>
    <col min="15882" max="16121" width="9.140625" style="65"/>
    <col min="16122" max="16122" width="29.140625" style="65" customWidth="1"/>
    <col min="16123" max="16123" width="46.42578125" style="65" customWidth="1"/>
    <col min="16124" max="16124" width="39.42578125" style="65" customWidth="1"/>
    <col min="16125" max="16125" width="20.85546875" style="65" customWidth="1"/>
    <col min="16126" max="16126" width="19.42578125" style="65" customWidth="1"/>
    <col min="16127" max="16127" width="11.85546875" style="65" customWidth="1"/>
    <col min="16128" max="16128" width="10.42578125" style="65" customWidth="1"/>
    <col min="16129" max="16129" width="14.42578125" style="65" bestFit="1" customWidth="1"/>
    <col min="16130" max="16130" width="13.140625" style="65" bestFit="1" customWidth="1"/>
    <col min="16131" max="16131" width="8.5703125" style="65" bestFit="1" customWidth="1"/>
    <col min="16132" max="16133" width="8.5703125" style="65" customWidth="1"/>
    <col min="16134" max="16134" width="9.42578125" style="65" customWidth="1"/>
    <col min="16135" max="16135" width="7.42578125" style="65" bestFit="1" customWidth="1"/>
    <col min="16136" max="16137" width="10.5703125" style="65" bestFit="1" customWidth="1"/>
    <col min="16138" max="16378" width="9.140625" style="65"/>
    <col min="16379" max="16384" width="9.140625" style="65" customWidth="1"/>
  </cols>
  <sheetData>
    <row r="2" spans="2:23" ht="18">
      <c r="B2" s="261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3.75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810</v>
      </c>
      <c r="I5" s="209" t="s">
        <v>808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9" t="s">
        <v>809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10" t="s">
        <v>321</v>
      </c>
    </row>
    <row r="6" spans="2:23" ht="26.25" thickBot="1">
      <c r="B6" s="68" t="s">
        <v>322</v>
      </c>
      <c r="C6" s="68"/>
      <c r="D6" s="68"/>
      <c r="E6" s="68"/>
      <c r="F6" s="68"/>
      <c r="G6" s="68"/>
      <c r="H6" s="68"/>
      <c r="I6" s="211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1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1" t="s">
        <v>323</v>
      </c>
    </row>
    <row r="7" spans="2:23" ht="17.45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9"/>
      <c r="J7" s="220"/>
      <c r="K7" s="220"/>
      <c r="L7" s="220"/>
      <c r="M7" s="220"/>
      <c r="N7" s="220"/>
      <c r="O7" s="220"/>
      <c r="P7" s="219"/>
      <c r="Q7" s="220"/>
      <c r="R7" s="220"/>
      <c r="S7" s="220"/>
      <c r="T7" s="220"/>
      <c r="U7" s="220"/>
      <c r="V7" s="220"/>
      <c r="W7" s="212"/>
    </row>
    <row r="8" spans="2:23" ht="17.45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21"/>
      <c r="J8" s="222"/>
      <c r="K8" s="222"/>
      <c r="L8" s="222"/>
      <c r="M8" s="222"/>
      <c r="N8" s="222"/>
      <c r="O8" s="222"/>
      <c r="P8" s="221">
        <v>7.81</v>
      </c>
      <c r="Q8" s="222">
        <v>12</v>
      </c>
      <c r="R8" s="222">
        <v>12</v>
      </c>
      <c r="S8" s="222">
        <v>12</v>
      </c>
      <c r="T8" s="222">
        <v>12</v>
      </c>
      <c r="U8" s="222">
        <v>12</v>
      </c>
      <c r="V8" s="222">
        <v>12</v>
      </c>
      <c r="W8" s="213"/>
    </row>
    <row r="9" spans="2:23" ht="17.45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3"/>
      <c r="J9" s="224"/>
      <c r="K9" s="224"/>
      <c r="L9" s="224"/>
      <c r="M9" s="224"/>
      <c r="N9" s="224"/>
      <c r="O9" s="224"/>
      <c r="P9" s="223"/>
      <c r="Q9" s="224"/>
      <c r="R9" s="224"/>
      <c r="S9" s="224"/>
      <c r="T9" s="224"/>
      <c r="U9" s="224"/>
      <c r="V9" s="224"/>
      <c r="W9" s="214"/>
    </row>
    <row r="10" spans="2:23" ht="17.45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3"/>
      <c r="J10" s="224"/>
      <c r="K10" s="224"/>
      <c r="L10" s="224"/>
      <c r="M10" s="224"/>
      <c r="N10" s="224"/>
      <c r="O10" s="224"/>
      <c r="P10" s="223"/>
      <c r="Q10" s="224"/>
      <c r="R10" s="224"/>
      <c r="S10" s="224"/>
      <c r="T10" s="224"/>
      <c r="U10" s="224"/>
      <c r="V10" s="224"/>
      <c r="W10" s="214"/>
    </row>
    <row r="11" spans="2:23" ht="17.45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21"/>
      <c r="J11" s="222"/>
      <c r="K11" s="222"/>
      <c r="L11" s="222"/>
      <c r="M11" s="222"/>
      <c r="N11" s="222"/>
      <c r="O11" s="222"/>
      <c r="P11" s="221"/>
      <c r="Q11" s="222"/>
      <c r="R11" s="222"/>
      <c r="S11" s="222"/>
      <c r="T11" s="222"/>
      <c r="U11" s="222"/>
      <c r="V11" s="222"/>
      <c r="W11" s="213"/>
    </row>
    <row r="12" spans="2:23" ht="17.45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21"/>
      <c r="J12" s="222"/>
      <c r="K12" s="222"/>
      <c r="L12" s="222"/>
      <c r="M12" s="222"/>
      <c r="N12" s="222"/>
      <c r="O12" s="222"/>
      <c r="P12" s="221"/>
      <c r="Q12" s="222"/>
      <c r="R12" s="222"/>
      <c r="S12" s="222"/>
      <c r="T12" s="222"/>
      <c r="U12" s="222"/>
      <c r="V12" s="222"/>
      <c r="W12" s="213"/>
    </row>
    <row r="13" spans="2:23" ht="17.45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3"/>
      <c r="J13" s="224"/>
      <c r="K13" s="224"/>
      <c r="L13" s="224"/>
      <c r="M13" s="224"/>
      <c r="N13" s="224"/>
      <c r="O13" s="224"/>
      <c r="P13" s="223"/>
      <c r="Q13" s="224"/>
      <c r="R13" s="224"/>
      <c r="S13" s="224"/>
      <c r="T13" s="224"/>
      <c r="U13" s="224"/>
      <c r="V13" s="224"/>
      <c r="W13" s="214"/>
    </row>
    <row r="14" spans="2:23" ht="17.45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3"/>
      <c r="J14" s="224"/>
      <c r="K14" s="224"/>
      <c r="L14" s="224"/>
      <c r="M14" s="224"/>
      <c r="N14" s="224"/>
      <c r="O14" s="224"/>
      <c r="P14" s="223"/>
      <c r="Q14" s="224"/>
      <c r="R14" s="224"/>
      <c r="S14" s="224"/>
      <c r="T14" s="224"/>
      <c r="U14" s="224"/>
      <c r="V14" s="224"/>
      <c r="W14" s="214"/>
    </row>
    <row r="15" spans="2:23" ht="17.45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21"/>
      <c r="J15" s="222"/>
      <c r="K15" s="222"/>
      <c r="L15" s="222"/>
      <c r="M15" s="222"/>
      <c r="N15" s="222"/>
      <c r="O15" s="222"/>
      <c r="P15" s="221"/>
      <c r="Q15" s="222"/>
      <c r="R15" s="222"/>
      <c r="S15" s="222"/>
      <c r="T15" s="222"/>
      <c r="U15" s="222"/>
      <c r="V15" s="222"/>
      <c r="W15" s="213"/>
    </row>
    <row r="16" spans="2:23" ht="17.45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21"/>
      <c r="J16" s="222"/>
      <c r="K16" s="222"/>
      <c r="L16" s="222"/>
      <c r="M16" s="222"/>
      <c r="N16" s="222"/>
      <c r="O16" s="222"/>
      <c r="P16" s="221"/>
      <c r="Q16" s="222"/>
      <c r="R16" s="222"/>
      <c r="S16" s="222"/>
      <c r="T16" s="222"/>
      <c r="U16" s="222"/>
      <c r="V16" s="222"/>
      <c r="W16" s="213"/>
    </row>
    <row r="17" spans="2:27" ht="17.45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3"/>
      <c r="J17" s="224"/>
      <c r="K17" s="224"/>
      <c r="L17" s="224"/>
      <c r="M17" s="224"/>
      <c r="N17" s="224"/>
      <c r="O17" s="224"/>
      <c r="P17" s="223"/>
      <c r="Q17" s="224"/>
      <c r="R17" s="224"/>
      <c r="S17" s="224"/>
      <c r="T17" s="224"/>
      <c r="U17" s="224"/>
      <c r="V17" s="224"/>
      <c r="W17" s="214"/>
    </row>
    <row r="18" spans="2:27" ht="17.45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3"/>
      <c r="J18" s="224"/>
      <c r="K18" s="224"/>
      <c r="L18" s="224"/>
      <c r="M18" s="224"/>
      <c r="N18" s="224"/>
      <c r="O18" s="224"/>
      <c r="P18" s="223"/>
      <c r="Q18" s="224"/>
      <c r="R18" s="224"/>
      <c r="S18" s="224"/>
      <c r="T18" s="224"/>
      <c r="U18" s="224"/>
      <c r="V18" s="224"/>
      <c r="W18" s="214"/>
    </row>
    <row r="19" spans="2:27" ht="17.45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21">
        <v>2.25</v>
      </c>
      <c r="J19" s="222">
        <v>5.04</v>
      </c>
      <c r="K19" s="222">
        <f t="shared" ref="K19:O19" si="0">J19</f>
        <v>5.04</v>
      </c>
      <c r="L19" s="222">
        <f t="shared" si="0"/>
        <v>5.04</v>
      </c>
      <c r="M19" s="222">
        <f t="shared" si="0"/>
        <v>5.04</v>
      </c>
      <c r="N19" s="222">
        <f t="shared" si="0"/>
        <v>5.04</v>
      </c>
      <c r="O19" s="222">
        <f t="shared" si="0"/>
        <v>5.04</v>
      </c>
      <c r="P19" s="221"/>
      <c r="Q19" s="222"/>
      <c r="R19" s="222"/>
      <c r="S19" s="222"/>
      <c r="T19" s="222"/>
      <c r="U19" s="222"/>
      <c r="V19" s="222"/>
      <c r="W19" s="213"/>
    </row>
    <row r="20" spans="2:27" ht="17.45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21"/>
      <c r="J20" s="222"/>
      <c r="K20" s="222"/>
      <c r="L20" s="222"/>
      <c r="M20" s="222"/>
      <c r="N20" s="222"/>
      <c r="O20" s="222"/>
      <c r="P20" s="221">
        <v>6.19</v>
      </c>
      <c r="Q20" s="222">
        <v>7.44</v>
      </c>
      <c r="R20" s="222">
        <f t="shared" ref="R20:V20" si="1">Q20</f>
        <v>7.44</v>
      </c>
      <c r="S20" s="222">
        <f t="shared" si="1"/>
        <v>7.44</v>
      </c>
      <c r="T20" s="222">
        <f t="shared" si="1"/>
        <v>7.44</v>
      </c>
      <c r="U20" s="222">
        <f t="shared" si="1"/>
        <v>7.44</v>
      </c>
      <c r="V20" s="222">
        <f t="shared" si="1"/>
        <v>7.44</v>
      </c>
      <c r="W20" s="213"/>
    </row>
    <row r="21" spans="2:27" ht="17.45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3"/>
      <c r="J21" s="224"/>
      <c r="K21" s="224"/>
      <c r="L21" s="224"/>
      <c r="M21" s="224"/>
      <c r="N21" s="224"/>
      <c r="O21" s="224"/>
      <c r="P21" s="223"/>
      <c r="Q21" s="224"/>
      <c r="R21" s="224"/>
      <c r="S21" s="224"/>
      <c r="T21" s="224"/>
      <c r="U21" s="224"/>
      <c r="V21" s="224"/>
      <c r="W21" s="214"/>
      <c r="Y21" s="88" t="str">
        <f>AGR_Proc!D14</f>
        <v>SECTF_AGR_BIOG</v>
      </c>
      <c r="AA21" s="1" t="s">
        <v>331</v>
      </c>
    </row>
    <row r="22" spans="2:27" ht="17.45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3"/>
      <c r="J22" s="224"/>
      <c r="K22" s="224"/>
      <c r="L22" s="224"/>
      <c r="M22" s="224"/>
      <c r="N22" s="224"/>
      <c r="O22" s="224"/>
      <c r="P22" s="223"/>
      <c r="Q22" s="224"/>
      <c r="R22" s="224"/>
      <c r="S22" s="224"/>
      <c r="T22" s="224"/>
      <c r="U22" s="224"/>
      <c r="V22" s="224"/>
      <c r="W22" s="214"/>
    </row>
    <row r="23" spans="2:27" ht="17.45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21"/>
      <c r="J23" s="222"/>
      <c r="K23" s="222"/>
      <c r="L23" s="222"/>
      <c r="M23" s="222"/>
      <c r="N23" s="222"/>
      <c r="O23" s="222"/>
      <c r="P23" s="221"/>
      <c r="Q23" s="222"/>
      <c r="R23" s="222"/>
      <c r="S23" s="222"/>
      <c r="T23" s="222"/>
      <c r="U23" s="222"/>
      <c r="V23" s="222"/>
      <c r="W23" s="213"/>
    </row>
    <row r="24" spans="2:27" ht="17.45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21"/>
      <c r="J24" s="222"/>
      <c r="K24" s="222"/>
      <c r="L24" s="222"/>
      <c r="M24" s="222"/>
      <c r="N24" s="222"/>
      <c r="O24" s="222"/>
      <c r="P24" s="221"/>
      <c r="Q24" s="222"/>
      <c r="R24" s="222"/>
      <c r="S24" s="222"/>
      <c r="T24" s="222"/>
      <c r="U24" s="222"/>
      <c r="V24" s="222"/>
      <c r="W24" s="213"/>
    </row>
    <row r="25" spans="2:27" ht="17.45" customHeight="1">
      <c r="B25" s="88" t="str">
        <f>AGR_Proc!D16</f>
        <v>SECTF_AGR_RDF</v>
      </c>
      <c r="C25" s="88" t="str">
        <f>AGR_Proc!E16</f>
        <v>Sector fuel - RDF</v>
      </c>
      <c r="D25" s="91" t="s">
        <v>806</v>
      </c>
      <c r="E25" s="91"/>
      <c r="F25" s="90">
        <v>1</v>
      </c>
      <c r="G25" s="90"/>
      <c r="H25" s="90"/>
      <c r="I25" s="223"/>
      <c r="J25" s="224"/>
      <c r="K25" s="224"/>
      <c r="L25" s="224"/>
      <c r="M25" s="224"/>
      <c r="N25" s="224"/>
      <c r="O25" s="224"/>
      <c r="P25" s="223"/>
      <c r="Q25" s="224"/>
      <c r="R25" s="224"/>
      <c r="S25" s="224"/>
      <c r="T25" s="224"/>
      <c r="U25" s="224"/>
      <c r="V25" s="224"/>
      <c r="W25" s="214"/>
    </row>
    <row r="26" spans="2:27" ht="17.45" customHeight="1">
      <c r="B26" s="88"/>
      <c r="C26" s="88"/>
      <c r="D26" s="91" t="s">
        <v>807</v>
      </c>
      <c r="E26" s="91"/>
      <c r="F26" s="90"/>
      <c r="G26" s="90"/>
      <c r="H26" s="90"/>
      <c r="I26" s="223"/>
      <c r="J26" s="224"/>
      <c r="K26" s="224"/>
      <c r="L26" s="224"/>
      <c r="M26" s="224"/>
      <c r="N26" s="224"/>
      <c r="O26" s="224"/>
      <c r="P26" s="223"/>
      <c r="Q26" s="224"/>
      <c r="R26" s="224"/>
      <c r="S26" s="224"/>
      <c r="T26" s="224"/>
      <c r="U26" s="224"/>
      <c r="V26" s="224"/>
      <c r="W26" s="214"/>
    </row>
    <row r="27" spans="2:27" ht="17.45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3"/>
      <c r="J27" s="224"/>
      <c r="K27" s="224"/>
      <c r="L27" s="224"/>
      <c r="M27" s="224"/>
      <c r="N27" s="224"/>
      <c r="O27" s="224"/>
      <c r="P27" s="223"/>
      <c r="Q27" s="224"/>
      <c r="R27" s="224"/>
      <c r="S27" s="224"/>
      <c r="T27" s="224"/>
      <c r="U27" s="224"/>
      <c r="V27" s="224"/>
      <c r="W27" s="214"/>
    </row>
    <row r="28" spans="2:27" ht="17.45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5"/>
      <c r="J28" s="226"/>
      <c r="K28" s="226"/>
      <c r="L28" s="226"/>
      <c r="M28" s="226"/>
      <c r="N28" s="226"/>
      <c r="O28" s="226"/>
      <c r="P28" s="225"/>
      <c r="Q28" s="226"/>
      <c r="R28" s="226"/>
      <c r="S28" s="226"/>
      <c r="T28" s="226"/>
      <c r="U28" s="226"/>
      <c r="V28" s="226"/>
      <c r="W28" s="215"/>
    </row>
    <row r="29" spans="2:27" ht="16.5" customHeight="1">
      <c r="B29" s="175"/>
      <c r="C29" s="175"/>
      <c r="D29" s="175" t="s">
        <v>333</v>
      </c>
      <c r="E29" s="175"/>
      <c r="F29" s="175"/>
      <c r="G29" s="201">
        <v>0.1</v>
      </c>
      <c r="H29" s="201"/>
      <c r="I29" s="221">
        <v>8.9159000000000006</v>
      </c>
      <c r="J29" s="222">
        <v>18.850000000000001</v>
      </c>
      <c r="K29" s="222">
        <f t="shared" ref="K29:O30" si="2">J29</f>
        <v>18.850000000000001</v>
      </c>
      <c r="L29" s="222">
        <f t="shared" si="2"/>
        <v>18.850000000000001</v>
      </c>
      <c r="M29" s="222">
        <f t="shared" si="2"/>
        <v>18.850000000000001</v>
      </c>
      <c r="N29" s="222">
        <f t="shared" si="2"/>
        <v>18.850000000000001</v>
      </c>
      <c r="O29" s="222">
        <f t="shared" si="2"/>
        <v>18.850000000000001</v>
      </c>
      <c r="P29" s="221">
        <v>50.523400000000002</v>
      </c>
      <c r="Q29" s="222">
        <v>106.83</v>
      </c>
      <c r="R29" s="222">
        <f t="shared" ref="R29:V30" si="3">Q29</f>
        <v>106.83</v>
      </c>
      <c r="S29" s="222">
        <f t="shared" si="3"/>
        <v>106.83</v>
      </c>
      <c r="T29" s="222">
        <f t="shared" si="3"/>
        <v>106.83</v>
      </c>
      <c r="U29" s="222">
        <f t="shared" si="3"/>
        <v>106.83</v>
      </c>
      <c r="V29" s="222">
        <f t="shared" si="3"/>
        <v>106.83</v>
      </c>
      <c r="W29" s="216"/>
    </row>
    <row r="30" spans="2:27" ht="16.5" customHeight="1">
      <c r="B30" s="177"/>
      <c r="C30" s="177"/>
      <c r="D30" s="178" t="s">
        <v>334</v>
      </c>
      <c r="E30" s="177"/>
      <c r="F30" s="177"/>
      <c r="G30" s="438">
        <v>0.91</v>
      </c>
      <c r="H30" s="428"/>
      <c r="I30" s="221">
        <v>9.5112000000000005</v>
      </c>
      <c r="J30" s="222">
        <v>25</v>
      </c>
      <c r="K30" s="222">
        <f t="shared" si="2"/>
        <v>25</v>
      </c>
      <c r="L30" s="222">
        <f t="shared" si="2"/>
        <v>25</v>
      </c>
      <c r="M30" s="222">
        <f t="shared" si="2"/>
        <v>25</v>
      </c>
      <c r="N30" s="222">
        <f t="shared" si="2"/>
        <v>25</v>
      </c>
      <c r="O30" s="222">
        <f t="shared" si="2"/>
        <v>25</v>
      </c>
      <c r="P30" s="221">
        <v>53.896599999999999</v>
      </c>
      <c r="Q30" s="222">
        <v>141.68</v>
      </c>
      <c r="R30" s="222">
        <f t="shared" si="3"/>
        <v>141.68</v>
      </c>
      <c r="S30" s="222">
        <f t="shared" si="3"/>
        <v>141.68</v>
      </c>
      <c r="T30" s="222">
        <f t="shared" si="3"/>
        <v>141.68</v>
      </c>
      <c r="U30" s="222">
        <f t="shared" si="3"/>
        <v>141.68</v>
      </c>
      <c r="V30" s="222">
        <f t="shared" si="3"/>
        <v>141.68</v>
      </c>
      <c r="W30" s="217"/>
    </row>
    <row r="31" spans="2:27" ht="16.5" customHeight="1">
      <c r="B31" s="177"/>
      <c r="C31" s="177"/>
      <c r="D31" s="177"/>
      <c r="E31" s="179" t="str">
        <f>AGR_Comm!D19</f>
        <v>AGR_ELC</v>
      </c>
      <c r="F31" s="177"/>
      <c r="G31" s="177"/>
      <c r="H31" s="177"/>
      <c r="I31" s="227"/>
      <c r="J31" s="228"/>
      <c r="K31" s="228"/>
      <c r="L31" s="228"/>
      <c r="M31" s="228"/>
      <c r="N31" s="228"/>
      <c r="O31" s="228"/>
      <c r="P31" s="227"/>
      <c r="Q31" s="228"/>
      <c r="R31" s="228"/>
      <c r="S31" s="228"/>
      <c r="T31" s="228"/>
      <c r="U31" s="228"/>
      <c r="V31" s="228"/>
      <c r="W31" s="217"/>
    </row>
    <row r="32" spans="2:27">
      <c r="B32" s="88" t="str">
        <f>AGR_Proc!D18</f>
        <v>SECTF_AGR_DH</v>
      </c>
      <c r="C32" s="88" t="str">
        <f>AGR_Proc!E18</f>
        <v>Sector fuel - District Heat</v>
      </c>
      <c r="D32" s="91" t="s">
        <v>335</v>
      </c>
      <c r="E32" s="91"/>
      <c r="F32" s="90">
        <v>1</v>
      </c>
      <c r="G32" s="90"/>
      <c r="H32" s="90"/>
      <c r="I32" s="223"/>
      <c r="J32" s="224"/>
      <c r="K32" s="224"/>
      <c r="L32" s="224"/>
      <c r="M32" s="224"/>
      <c r="N32" s="224"/>
      <c r="O32" s="224"/>
      <c r="P32" s="223"/>
      <c r="Q32" s="224"/>
      <c r="R32" s="224"/>
      <c r="S32" s="224"/>
      <c r="T32" s="224"/>
      <c r="U32" s="224"/>
      <c r="V32" s="224"/>
      <c r="W32" s="214"/>
    </row>
    <row r="33" spans="2:23">
      <c r="B33" s="88"/>
      <c r="C33" s="88"/>
      <c r="D33" s="91"/>
      <c r="E33" s="89" t="str">
        <f>AGR_Comm!D20</f>
        <v>AGR_DH</v>
      </c>
      <c r="F33" s="90"/>
      <c r="G33" s="90"/>
      <c r="H33" s="90"/>
      <c r="I33" s="223"/>
      <c r="J33" s="224"/>
      <c r="K33" s="224"/>
      <c r="L33" s="224"/>
      <c r="M33" s="224"/>
      <c r="N33" s="224"/>
      <c r="O33" s="224"/>
      <c r="P33" s="223">
        <v>19</v>
      </c>
      <c r="Q33" s="224">
        <v>25</v>
      </c>
      <c r="R33" s="224">
        <f t="shared" ref="R33:V33" si="4">Q33</f>
        <v>25</v>
      </c>
      <c r="S33" s="224">
        <f t="shared" si="4"/>
        <v>25</v>
      </c>
      <c r="T33" s="224">
        <f t="shared" si="4"/>
        <v>25</v>
      </c>
      <c r="U33" s="224">
        <f t="shared" si="4"/>
        <v>25</v>
      </c>
      <c r="V33" s="224">
        <f t="shared" si="4"/>
        <v>25</v>
      </c>
      <c r="W33" s="214"/>
    </row>
    <row r="34" spans="2:23" ht="13.5" thickBot="1">
      <c r="B34" s="157" t="str">
        <f>AGR_Proc!D19</f>
        <v>SECTF_AGR_OTH</v>
      </c>
      <c r="C34" s="157" t="str">
        <f>AGR_Proc!E19</f>
        <v>Sector fuel - Other Fuels</v>
      </c>
      <c r="D34" s="158" t="s">
        <v>336</v>
      </c>
      <c r="E34" s="159" t="str">
        <f>AGR_Comm!D21</f>
        <v>AGR_OTH_FUE</v>
      </c>
      <c r="F34" s="160">
        <v>1</v>
      </c>
      <c r="G34" s="160"/>
      <c r="H34" s="160"/>
      <c r="I34" s="229"/>
      <c r="J34" s="230"/>
      <c r="K34" s="230"/>
      <c r="L34" s="230"/>
      <c r="M34" s="230"/>
      <c r="N34" s="230"/>
      <c r="O34" s="230"/>
      <c r="P34" s="229"/>
      <c r="Q34" s="230"/>
      <c r="R34" s="230"/>
      <c r="S34" s="230"/>
      <c r="T34" s="230"/>
      <c r="U34" s="230"/>
      <c r="V34" s="230"/>
      <c r="W34" s="218"/>
    </row>
    <row r="35" spans="2:23">
      <c r="B35"/>
      <c r="C35"/>
      <c r="D35"/>
      <c r="E35"/>
      <c r="F35"/>
      <c r="G35"/>
      <c r="H35"/>
    </row>
    <row r="36" spans="2:23">
      <c r="B36" s="38"/>
      <c r="C36"/>
      <c r="D36"/>
      <c r="E36"/>
      <c r="F36"/>
      <c r="G36"/>
      <c r="H36"/>
    </row>
    <row r="37" spans="2:23">
      <c r="B37"/>
      <c r="C37"/>
      <c r="D37"/>
      <c r="E37"/>
      <c r="F37"/>
      <c r="G37"/>
      <c r="H37"/>
    </row>
    <row r="38" spans="2:23">
      <c r="B38"/>
      <c r="C38"/>
      <c r="D38"/>
      <c r="E38"/>
      <c r="F38"/>
      <c r="G38" s="65" t="s">
        <v>337</v>
      </c>
    </row>
    <row r="39" spans="2:23">
      <c r="B39"/>
      <c r="C39"/>
      <c r="D39"/>
      <c r="E39"/>
      <c r="F39"/>
    </row>
    <row r="40" spans="2:23">
      <c r="B40"/>
      <c r="C40"/>
      <c r="D40"/>
      <c r="E40"/>
      <c r="F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B52"/>
      <c r="C52"/>
      <c r="D52"/>
      <c r="E52"/>
      <c r="F52"/>
      <c r="G52"/>
      <c r="H52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  <row r="71" spans="3:6">
      <c r="C71" s="66"/>
      <c r="E71" s="64"/>
      <c r="F71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A157"/>
  <sheetViews>
    <sheetView tabSelected="1" zoomScaleNormal="100" zoomScaleSheetLayoutView="50" workbookViewId="0">
      <pane xSplit="2" topLeftCell="C1" activePane="topRight" state="frozen"/>
      <selection activeCell="A47" sqref="A47"/>
      <selection pane="topRight" activeCell="P3" sqref="P3"/>
    </sheetView>
  </sheetViews>
  <sheetFormatPr defaultColWidth="9.140625" defaultRowHeight="12.75"/>
  <cols>
    <col min="1" max="1" width="10.42578125" style="267" customWidth="1"/>
    <col min="2" max="2" width="30" style="267" customWidth="1"/>
    <col min="3" max="3" width="29.42578125" style="267" customWidth="1"/>
    <col min="4" max="4" width="26.85546875" style="267" customWidth="1"/>
    <col min="5" max="5" width="29.140625" style="267" customWidth="1"/>
    <col min="6" max="6" width="34" style="267" customWidth="1"/>
    <col min="7" max="7" width="11.42578125" style="267" customWidth="1"/>
    <col min="8" max="10" width="12.42578125" style="267" bestFit="1" customWidth="1"/>
    <col min="11" max="12" width="12.85546875" style="267" bestFit="1" customWidth="1"/>
    <col min="13" max="13" width="12.85546875" style="267" customWidth="1"/>
    <col min="14" max="14" width="12.85546875" style="267" bestFit="1" customWidth="1"/>
    <col min="15" max="16" width="12.85546875" style="267" customWidth="1"/>
    <col min="17" max="17" width="17.42578125" style="267" customWidth="1"/>
    <col min="18" max="25" width="12.85546875" style="267" customWidth="1"/>
    <col min="26" max="26" width="9.140625" style="267" customWidth="1"/>
    <col min="27" max="27" width="27.5703125" style="267" customWidth="1"/>
    <col min="28" max="16384" width="9.140625" style="267"/>
  </cols>
  <sheetData>
    <row r="3" spans="2:13">
      <c r="F3" s="236"/>
      <c r="G3" s="236"/>
    </row>
    <row r="4" spans="2:13" ht="25.5">
      <c r="B4" s="71" t="s">
        <v>179</v>
      </c>
      <c r="C4" s="72" t="s">
        <v>359</v>
      </c>
      <c r="D4" s="72" t="s">
        <v>305</v>
      </c>
      <c r="E4" s="71" t="s">
        <v>306</v>
      </c>
      <c r="F4" s="71" t="s">
        <v>339</v>
      </c>
      <c r="G4" s="73" t="s">
        <v>382</v>
      </c>
      <c r="H4" s="317" t="s">
        <v>383</v>
      </c>
      <c r="I4" s="317" t="s">
        <v>384</v>
      </c>
      <c r="J4" s="317" t="s">
        <v>344</v>
      </c>
      <c r="K4" s="317" t="s">
        <v>385</v>
      </c>
      <c r="L4" s="317" t="s">
        <v>342</v>
      </c>
      <c r="M4" s="318"/>
    </row>
    <row r="5" spans="2:13" ht="13.5" thickBot="1">
      <c r="B5" s="74" t="s">
        <v>349</v>
      </c>
      <c r="C5" s="74" t="s">
        <v>350</v>
      </c>
      <c r="D5" s="74"/>
      <c r="E5" s="74" t="s">
        <v>352</v>
      </c>
      <c r="F5" s="74"/>
      <c r="G5" s="74" t="s">
        <v>386</v>
      </c>
      <c r="H5" s="319" t="s">
        <v>387</v>
      </c>
      <c r="I5" s="319"/>
      <c r="J5" s="319"/>
      <c r="K5" s="319"/>
      <c r="L5" s="319"/>
      <c r="M5" s="320"/>
    </row>
    <row r="6" spans="2:13" ht="15.95" customHeight="1">
      <c r="B6" s="321" t="s">
        <v>272</v>
      </c>
      <c r="C6" s="321" t="s">
        <v>272</v>
      </c>
      <c r="D6" s="322" t="s">
        <v>144</v>
      </c>
      <c r="E6" s="322" t="s">
        <v>148</v>
      </c>
      <c r="F6" s="322" t="s">
        <v>98</v>
      </c>
      <c r="G6" s="322">
        <v>100</v>
      </c>
      <c r="H6" s="322">
        <v>3.3536446309540635E-3</v>
      </c>
      <c r="I6" s="322">
        <v>3.3536446309540635E-3</v>
      </c>
      <c r="J6" s="322">
        <v>1</v>
      </c>
      <c r="K6" s="322">
        <v>1</v>
      </c>
      <c r="L6" s="321">
        <v>1</v>
      </c>
      <c r="M6" s="321"/>
    </row>
    <row r="7" spans="2:13" ht="15.95" customHeight="1">
      <c r="B7" s="323" t="s">
        <v>273</v>
      </c>
      <c r="C7" s="323" t="s">
        <v>273</v>
      </c>
      <c r="D7" s="323" t="s">
        <v>144</v>
      </c>
      <c r="E7" s="323" t="s">
        <v>148</v>
      </c>
      <c r="F7" s="323" t="s">
        <v>98</v>
      </c>
      <c r="G7" s="323">
        <v>100</v>
      </c>
      <c r="H7" s="323">
        <v>1.3636721995992276E-3</v>
      </c>
      <c r="I7" s="323">
        <v>1.3636721995992276E-3</v>
      </c>
      <c r="J7" s="323">
        <v>1</v>
      </c>
      <c r="K7" s="323">
        <v>1</v>
      </c>
      <c r="L7" s="323">
        <v>1</v>
      </c>
      <c r="M7" s="323"/>
    </row>
    <row r="8" spans="2:13" ht="15.95" customHeight="1">
      <c r="B8" s="321" t="s">
        <v>274</v>
      </c>
      <c r="C8" s="321" t="s">
        <v>274</v>
      </c>
      <c r="D8" s="321" t="s">
        <v>144</v>
      </c>
      <c r="E8" s="321" t="s">
        <v>148</v>
      </c>
      <c r="F8" s="321" t="s">
        <v>98</v>
      </c>
      <c r="G8" s="321">
        <v>100</v>
      </c>
      <c r="H8" s="321">
        <v>1.6167876959150761E-5</v>
      </c>
      <c r="I8" s="321">
        <v>1.6167876959150761E-5</v>
      </c>
      <c r="J8" s="321">
        <v>1</v>
      </c>
      <c r="K8" s="321">
        <v>1</v>
      </c>
      <c r="L8" s="321">
        <v>1</v>
      </c>
      <c r="M8" s="321"/>
    </row>
    <row r="9" spans="2:13" ht="15.95" customHeight="1">
      <c r="B9" s="323" t="s">
        <v>275</v>
      </c>
      <c r="C9" s="323" t="s">
        <v>275</v>
      </c>
      <c r="D9" s="323" t="s">
        <v>144</v>
      </c>
      <c r="E9" s="323" t="s">
        <v>148</v>
      </c>
      <c r="F9" s="323" t="s">
        <v>98</v>
      </c>
      <c r="G9" s="323">
        <v>100</v>
      </c>
      <c r="H9" s="323">
        <v>3.5521265615012299E-4</v>
      </c>
      <c r="I9" s="323">
        <v>3.5521265615012299E-4</v>
      </c>
      <c r="J9" s="323">
        <v>1</v>
      </c>
      <c r="K9" s="323">
        <v>1</v>
      </c>
      <c r="L9" s="323">
        <v>1</v>
      </c>
      <c r="M9" s="323"/>
    </row>
    <row r="10" spans="2:13" ht="15.95" customHeight="1">
      <c r="B10" s="321" t="s">
        <v>276</v>
      </c>
      <c r="C10" s="321" t="s">
        <v>276</v>
      </c>
      <c r="D10" s="321" t="s">
        <v>144</v>
      </c>
      <c r="E10" s="321" t="s">
        <v>148</v>
      </c>
      <c r="F10" s="321" t="s">
        <v>98</v>
      </c>
      <c r="G10" s="321">
        <v>100</v>
      </c>
      <c r="H10" s="321">
        <v>1.3317292501199591E-3</v>
      </c>
      <c r="I10" s="321">
        <v>1.3317292501199591E-3</v>
      </c>
      <c r="J10" s="321">
        <v>1</v>
      </c>
      <c r="K10" s="321">
        <v>1</v>
      </c>
      <c r="L10" s="321">
        <v>1</v>
      </c>
      <c r="M10" s="321"/>
    </row>
    <row r="11" spans="2:13" ht="15.95" customHeight="1">
      <c r="B11" s="323" t="s">
        <v>277</v>
      </c>
      <c r="C11" s="323" t="s">
        <v>277</v>
      </c>
      <c r="D11" s="323" t="s">
        <v>144</v>
      </c>
      <c r="E11" s="323" t="s">
        <v>148</v>
      </c>
      <c r="F11" s="323" t="s">
        <v>98</v>
      </c>
      <c r="G11" s="323">
        <v>100</v>
      </c>
      <c r="H11" s="323">
        <v>3.3444092997706812E-5</v>
      </c>
      <c r="I11" s="323">
        <v>3.3444092997706812E-5</v>
      </c>
      <c r="J11" s="323">
        <v>1</v>
      </c>
      <c r="K11" s="323">
        <v>1</v>
      </c>
      <c r="L11" s="323">
        <v>1</v>
      </c>
      <c r="M11" s="323"/>
    </row>
    <row r="12" spans="2:13" ht="15.95" customHeight="1">
      <c r="B12" s="321" t="s">
        <v>278</v>
      </c>
      <c r="C12" s="321" t="s">
        <v>278</v>
      </c>
      <c r="D12" s="321" t="s">
        <v>144</v>
      </c>
      <c r="E12" s="321" t="s">
        <v>148</v>
      </c>
      <c r="F12" s="321" t="s">
        <v>98</v>
      </c>
      <c r="G12" s="321">
        <v>100</v>
      </c>
      <c r="H12" s="321">
        <v>2.3921301121307636E-3</v>
      </c>
      <c r="I12" s="321">
        <v>2.3921301121307636E-3</v>
      </c>
      <c r="J12" s="321">
        <v>1</v>
      </c>
      <c r="K12" s="321">
        <v>1</v>
      </c>
      <c r="L12" s="321">
        <v>1</v>
      </c>
      <c r="M12" s="321"/>
    </row>
    <row r="13" spans="2:13" ht="15.95" customHeight="1">
      <c r="B13" s="323" t="s">
        <v>279</v>
      </c>
      <c r="C13" s="323" t="s">
        <v>279</v>
      </c>
      <c r="D13" s="323" t="s">
        <v>144</v>
      </c>
      <c r="E13" s="323" t="s">
        <v>148</v>
      </c>
      <c r="F13" s="323" t="s">
        <v>98</v>
      </c>
      <c r="G13" s="323">
        <v>100</v>
      </c>
      <c r="H13" s="323">
        <v>6.474598752018464E-4</v>
      </c>
      <c r="I13" s="323">
        <v>6.474598752018464E-4</v>
      </c>
      <c r="J13" s="323">
        <v>1</v>
      </c>
      <c r="K13" s="323">
        <v>1</v>
      </c>
      <c r="L13" s="323">
        <v>1</v>
      </c>
      <c r="M13" s="323"/>
    </row>
    <row r="14" spans="2:13" ht="15.95" customHeight="1" thickBot="1">
      <c r="B14" s="324" t="s">
        <v>280</v>
      </c>
      <c r="C14" s="324" t="s">
        <v>280</v>
      </c>
      <c r="D14" s="324" t="s">
        <v>144</v>
      </c>
      <c r="E14" s="324" t="s">
        <v>148</v>
      </c>
      <c r="F14" s="324" t="s">
        <v>98</v>
      </c>
      <c r="G14" s="324">
        <v>100</v>
      </c>
      <c r="H14" s="324">
        <v>1.4128413827858835E-3</v>
      </c>
      <c r="I14" s="324">
        <v>1.4128413827858835E-3</v>
      </c>
      <c r="J14" s="324">
        <v>1</v>
      </c>
      <c r="K14" s="324">
        <v>1</v>
      </c>
      <c r="L14" s="324">
        <v>1</v>
      </c>
      <c r="M14" s="321"/>
    </row>
    <row r="16" spans="2:13">
      <c r="F16" s="236"/>
      <c r="G16" s="236"/>
    </row>
    <row r="17" spans="2:20" ht="25.5">
      <c r="B17" s="71" t="s">
        <v>179</v>
      </c>
      <c r="C17" s="72" t="s">
        <v>359</v>
      </c>
      <c r="D17" s="72" t="s">
        <v>305</v>
      </c>
      <c r="E17" s="71" t="s">
        <v>306</v>
      </c>
      <c r="F17" s="71" t="s">
        <v>339</v>
      </c>
      <c r="G17" s="73" t="s">
        <v>382</v>
      </c>
      <c r="H17" s="317" t="s">
        <v>388</v>
      </c>
      <c r="I17" s="317" t="s">
        <v>389</v>
      </c>
      <c r="J17" s="317" t="s">
        <v>344</v>
      </c>
      <c r="K17" s="317" t="s">
        <v>385</v>
      </c>
      <c r="L17" s="317" t="s">
        <v>342</v>
      </c>
      <c r="M17" s="318"/>
    </row>
    <row r="18" spans="2:20" ht="13.5" thickBot="1">
      <c r="B18" s="74" t="s">
        <v>349</v>
      </c>
      <c r="C18" s="74" t="s">
        <v>350</v>
      </c>
      <c r="D18" s="74"/>
      <c r="E18" s="74" t="s">
        <v>352</v>
      </c>
      <c r="F18" s="74"/>
      <c r="G18" s="74" t="s">
        <v>386</v>
      </c>
      <c r="H18" s="319" t="s">
        <v>387</v>
      </c>
      <c r="I18" s="319"/>
      <c r="J18" s="319"/>
      <c r="K18" s="319"/>
      <c r="L18" s="319"/>
      <c r="M18" s="320"/>
    </row>
    <row r="19" spans="2:20">
      <c r="B19" s="322" t="s">
        <v>281</v>
      </c>
      <c r="C19" s="322" t="s">
        <v>281</v>
      </c>
      <c r="D19" s="322" t="s">
        <v>144</v>
      </c>
      <c r="E19" s="322" t="s">
        <v>148</v>
      </c>
      <c r="F19" s="322" t="s">
        <v>71</v>
      </c>
      <c r="G19" s="322">
        <v>100</v>
      </c>
      <c r="H19" s="322">
        <v>0.13152132080584736</v>
      </c>
      <c r="I19" s="322">
        <v>0.13152132080584736</v>
      </c>
      <c r="J19" s="322">
        <v>1</v>
      </c>
      <c r="K19" s="322">
        <v>1</v>
      </c>
      <c r="L19" s="321">
        <v>1</v>
      </c>
      <c r="M19" s="321"/>
    </row>
    <row r="20" spans="2:20">
      <c r="B20" s="323" t="s">
        <v>282</v>
      </c>
      <c r="C20" s="323" t="s">
        <v>282</v>
      </c>
      <c r="D20" s="323" t="s">
        <v>144</v>
      </c>
      <c r="E20" s="323" t="s">
        <v>148</v>
      </c>
      <c r="F20" s="323" t="s">
        <v>71</v>
      </c>
      <c r="G20" s="323">
        <v>100</v>
      </c>
      <c r="H20" s="323">
        <v>4.8130324585142367E-2</v>
      </c>
      <c r="I20" s="323">
        <v>4.8130324585142367E-2</v>
      </c>
      <c r="J20" s="323">
        <v>1</v>
      </c>
      <c r="K20" s="323">
        <v>1</v>
      </c>
      <c r="L20" s="323">
        <v>1</v>
      </c>
      <c r="M20" s="323"/>
    </row>
    <row r="21" spans="2:20">
      <c r="B21" s="321" t="s">
        <v>283</v>
      </c>
      <c r="C21" s="321" t="s">
        <v>283</v>
      </c>
      <c r="D21" s="321" t="s">
        <v>144</v>
      </c>
      <c r="E21" s="321" t="s">
        <v>148</v>
      </c>
      <c r="F21" s="321" t="s">
        <v>71</v>
      </c>
      <c r="G21" s="321">
        <v>100</v>
      </c>
      <c r="H21" s="321">
        <v>8.9067158554401421E-2</v>
      </c>
      <c r="I21" s="321">
        <v>8.9067158554401421E-2</v>
      </c>
      <c r="J21" s="321">
        <v>1</v>
      </c>
      <c r="K21" s="321">
        <v>1</v>
      </c>
      <c r="L21" s="321">
        <v>1</v>
      </c>
      <c r="M21" s="321"/>
    </row>
    <row r="22" spans="2:20" ht="13.5" thickBot="1">
      <c r="B22" s="325" t="s">
        <v>284</v>
      </c>
      <c r="C22" s="325" t="s">
        <v>284</v>
      </c>
      <c r="D22" s="325" t="s">
        <v>144</v>
      </c>
      <c r="E22" s="325" t="s">
        <v>148</v>
      </c>
      <c r="F22" s="325" t="s">
        <v>71</v>
      </c>
      <c r="G22" s="325">
        <v>100</v>
      </c>
      <c r="H22" s="325">
        <v>5.3429612525204687E-2</v>
      </c>
      <c r="I22" s="325">
        <v>5.3429612525204687E-2</v>
      </c>
      <c r="J22" s="325">
        <v>1</v>
      </c>
      <c r="K22" s="325">
        <v>1</v>
      </c>
      <c r="L22" s="325">
        <v>1</v>
      </c>
      <c r="M22" s="323"/>
    </row>
    <row r="25" spans="2:20">
      <c r="F25" s="236" t="s">
        <v>338</v>
      </c>
      <c r="G25" s="236"/>
    </row>
    <row r="26" spans="2:20" ht="38.25">
      <c r="B26" s="326" t="s">
        <v>179</v>
      </c>
      <c r="C26" s="327" t="s">
        <v>359</v>
      </c>
      <c r="D26" s="327" t="s">
        <v>305</v>
      </c>
      <c r="E26" s="328" t="s">
        <v>306</v>
      </c>
      <c r="F26" s="328" t="s">
        <v>339</v>
      </c>
      <c r="G26" s="329" t="s">
        <v>819</v>
      </c>
      <c r="H26" s="330" t="s">
        <v>898</v>
      </c>
      <c r="I26" s="330" t="s">
        <v>504</v>
      </c>
      <c r="J26" s="330" t="s">
        <v>390</v>
      </c>
      <c r="K26" s="330" t="s">
        <v>344</v>
      </c>
      <c r="L26" s="330" t="s">
        <v>391</v>
      </c>
      <c r="M26" s="331" t="s">
        <v>345</v>
      </c>
      <c r="N26" s="330" t="s">
        <v>383</v>
      </c>
      <c r="O26" s="330" t="s">
        <v>384</v>
      </c>
      <c r="Q26" s="332" t="s">
        <v>392</v>
      </c>
      <c r="R26" s="73" t="s">
        <v>347</v>
      </c>
      <c r="S26" s="73"/>
      <c r="T26" s="73" t="s">
        <v>348</v>
      </c>
    </row>
    <row r="27" spans="2:20">
      <c r="B27" s="333" t="s">
        <v>349</v>
      </c>
      <c r="C27" s="334" t="s">
        <v>350</v>
      </c>
      <c r="D27" s="334"/>
      <c r="E27" s="334" t="s">
        <v>352</v>
      </c>
      <c r="F27" s="334"/>
      <c r="G27" s="334" t="s">
        <v>386</v>
      </c>
      <c r="H27" s="335" t="s">
        <v>393</v>
      </c>
      <c r="I27" s="335"/>
      <c r="J27" s="335" t="s">
        <v>394</v>
      </c>
      <c r="K27" s="335"/>
      <c r="L27" s="335" t="s">
        <v>394</v>
      </c>
      <c r="M27" s="336"/>
      <c r="N27" s="335" t="s">
        <v>387</v>
      </c>
      <c r="O27" s="335"/>
      <c r="Q27" s="337" t="s">
        <v>395</v>
      </c>
      <c r="R27" s="335"/>
      <c r="S27" s="335"/>
      <c r="T27" s="335" t="s">
        <v>73</v>
      </c>
    </row>
    <row r="28" spans="2:20" ht="15.95" customHeight="1">
      <c r="B28" s="338" t="s">
        <v>285</v>
      </c>
      <c r="C28" s="268" t="s">
        <v>285</v>
      </c>
      <c r="D28" s="339"/>
      <c r="E28" s="339"/>
      <c r="F28" s="339"/>
      <c r="G28" s="340">
        <f>I133</f>
        <v>2385.6930000000002</v>
      </c>
      <c r="H28" s="339"/>
      <c r="I28" s="339"/>
      <c r="J28" s="339"/>
      <c r="K28" s="268">
        <v>1</v>
      </c>
      <c r="L28" s="339"/>
      <c r="M28" s="341">
        <v>1</v>
      </c>
      <c r="N28" s="339"/>
      <c r="O28" s="339"/>
      <c r="Q28" s="339"/>
    </row>
    <row r="29" spans="2:20" ht="15.95" customHeight="1">
      <c r="B29" s="342"/>
      <c r="D29" s="270" t="str">
        <f>AGR_Comm!D63</f>
        <v>AGR_LAND</v>
      </c>
      <c r="H29" s="270">
        <v>1</v>
      </c>
      <c r="I29" s="270">
        <v>1</v>
      </c>
      <c r="M29" s="344"/>
    </row>
    <row r="30" spans="2:20" ht="15.95" customHeight="1">
      <c r="B30" s="342"/>
      <c r="D30" s="270" t="str">
        <f>AGR_Comm!D93</f>
        <v>AGR_MACH_WORK</v>
      </c>
      <c r="H30" s="589">
        <f>AGR_SVC!N116</f>
        <v>3.0442495582748193E-3</v>
      </c>
      <c r="I30" s="589">
        <f>AGR_SVC!AB116</f>
        <v>1.5816288548722464E-3</v>
      </c>
      <c r="M30" s="344"/>
    </row>
    <row r="31" spans="2:20" ht="15.95" customHeight="1">
      <c r="B31" s="342"/>
      <c r="D31" s="270" t="str">
        <f>AGR_Comm!D94</f>
        <v>AGR_DRY_SVC</v>
      </c>
      <c r="H31" s="589">
        <f>AGR_SVC!O116</f>
        <v>5.1400710685325706E-4</v>
      </c>
      <c r="I31" s="589">
        <f>AGR_SVC!AC116</f>
        <v>4.9471590921433062E-4</v>
      </c>
      <c r="M31" s="344"/>
    </row>
    <row r="32" spans="2:20" ht="15.95" customHeight="1">
      <c r="B32" s="342"/>
      <c r="D32" s="270" t="str">
        <f>AGR_Comm!D97</f>
        <v>AGR_OTH_SVC</v>
      </c>
      <c r="H32" s="589">
        <f>AGR_SVC!R116</f>
        <v>1.3836154106056755E-3</v>
      </c>
      <c r="I32" s="589">
        <f>AGR_SVC!AF116</f>
        <v>1.7432229189338142E-3</v>
      </c>
      <c r="M32" s="344"/>
    </row>
    <row r="33" spans="2:20" ht="15.95" customHeight="1">
      <c r="B33" s="342"/>
      <c r="D33" s="321"/>
      <c r="E33" s="345" t="s">
        <v>162</v>
      </c>
      <c r="H33" s="590"/>
      <c r="I33" s="590"/>
      <c r="L33" s="345">
        <f>J133/10</f>
        <v>5.2</v>
      </c>
      <c r="M33" s="344"/>
    </row>
    <row r="34" spans="2:20" ht="15.95" customHeight="1">
      <c r="B34" s="342"/>
      <c r="E34" s="274" t="s">
        <v>124</v>
      </c>
      <c r="H34" s="590"/>
      <c r="I34" s="590"/>
      <c r="J34" s="274">
        <f>Q34*R34</f>
        <v>0.76417314667687741</v>
      </c>
      <c r="M34" s="344"/>
      <c r="Q34" s="346">
        <f>((K133/10)/I133)*Q130*0.33/1000</f>
        <v>1.5283462933537548</v>
      </c>
      <c r="R34" s="274">
        <v>0.5</v>
      </c>
      <c r="T34" s="274">
        <f>J34*G28</f>
        <v>1823.0825268149999</v>
      </c>
    </row>
    <row r="35" spans="2:20" ht="15.95" customHeight="1">
      <c r="B35" s="347"/>
      <c r="C35" s="348"/>
      <c r="D35" s="348"/>
      <c r="E35" s="348"/>
      <c r="F35" s="349" t="s">
        <v>98</v>
      </c>
      <c r="G35" s="348"/>
      <c r="H35" s="591"/>
      <c r="I35" s="591"/>
      <c r="J35" s="348"/>
      <c r="K35" s="348"/>
      <c r="L35" s="348"/>
      <c r="M35" s="350"/>
      <c r="N35" s="349">
        <v>1.4E-3</v>
      </c>
      <c r="O35" s="349">
        <v>1.4E-3</v>
      </c>
    </row>
    <row r="36" spans="2:20" ht="15.95" customHeight="1">
      <c r="B36" s="351" t="s">
        <v>286</v>
      </c>
      <c r="C36" s="268" t="s">
        <v>286</v>
      </c>
      <c r="D36" s="339"/>
      <c r="E36" s="339"/>
      <c r="F36" s="339"/>
      <c r="G36" s="268">
        <f>I137</f>
        <v>695.31399999999996</v>
      </c>
      <c r="H36" s="592"/>
      <c r="I36" s="592"/>
      <c r="J36" s="339"/>
      <c r="K36" s="268">
        <v>1</v>
      </c>
      <c r="L36" s="339"/>
      <c r="M36" s="341">
        <v>1</v>
      </c>
      <c r="N36" s="339"/>
      <c r="O36" s="339"/>
    </row>
    <row r="37" spans="2:20" ht="15.95" customHeight="1">
      <c r="B37" s="342"/>
      <c r="D37" s="270" t="str">
        <f>AGR_Comm!D63</f>
        <v>AGR_LAND</v>
      </c>
      <c r="H37" s="593">
        <v>1</v>
      </c>
      <c r="I37" s="593">
        <v>1</v>
      </c>
      <c r="M37" s="344"/>
    </row>
    <row r="38" spans="2:20" ht="15.95" customHeight="1">
      <c r="B38" s="342"/>
      <c r="D38" s="270" t="str">
        <f>AGR_Comm!D93</f>
        <v>AGR_MACH_WORK</v>
      </c>
      <c r="H38" s="589">
        <f>AGR_SVC!N117</f>
        <v>3.0442495582748193E-3</v>
      </c>
      <c r="I38" s="589">
        <f>AGR_SVC!AB117</f>
        <v>1.5816288548722464E-3</v>
      </c>
      <c r="M38" s="344"/>
    </row>
    <row r="39" spans="2:20" ht="15.95" customHeight="1">
      <c r="B39" s="342"/>
      <c r="D39" s="270" t="str">
        <f>AGR_Comm!D94</f>
        <v>AGR_DRY_SVC</v>
      </c>
      <c r="H39" s="589">
        <f>AGR_SVC!O117</f>
        <v>4.3690604082526849E-4</v>
      </c>
      <c r="I39" s="589">
        <f>AGR_SVC!AC117</f>
        <v>4.2050852283218103E-4</v>
      </c>
      <c r="M39" s="344"/>
    </row>
    <row r="40" spans="2:20" ht="15.95" customHeight="1">
      <c r="B40" s="342"/>
      <c r="D40" s="270" t="str">
        <f>AGR_Comm!D97</f>
        <v>AGR_OTH_SVC</v>
      </c>
      <c r="H40" s="589">
        <f>AGR_SVC!R117</f>
        <v>1.3144346400753917E-3</v>
      </c>
      <c r="I40" s="589">
        <f>AGR_SVC!AF117</f>
        <v>1.6560617729871234E-3</v>
      </c>
      <c r="M40" s="344"/>
    </row>
    <row r="41" spans="2:20" ht="15.95" customHeight="1">
      <c r="B41" s="342"/>
      <c r="E41" s="345" t="s">
        <v>163</v>
      </c>
      <c r="H41" s="590"/>
      <c r="I41" s="590"/>
      <c r="L41" s="345">
        <f>J137/10</f>
        <v>4.34</v>
      </c>
      <c r="M41" s="344"/>
    </row>
    <row r="42" spans="2:20" ht="15.95" customHeight="1">
      <c r="B42" s="342"/>
      <c r="E42" s="274" t="s">
        <v>126</v>
      </c>
      <c r="H42" s="590"/>
      <c r="I42" s="590"/>
      <c r="J42" s="274">
        <f>Q42*R42</f>
        <v>0.57259494041540948</v>
      </c>
      <c r="M42" s="344"/>
      <c r="Q42" s="346">
        <f>((K137/10)/I137)*R130*0.33/1000</f>
        <v>1.145189880830819</v>
      </c>
      <c r="R42" s="274">
        <v>0.5</v>
      </c>
      <c r="T42" s="274">
        <f>J42*G36</f>
        <v>398.13327839999999</v>
      </c>
    </row>
    <row r="43" spans="2:20" ht="15.95" customHeight="1">
      <c r="B43" s="347"/>
      <c r="C43" s="348"/>
      <c r="D43" s="348"/>
      <c r="E43" s="348"/>
      <c r="F43" s="349" t="s">
        <v>98</v>
      </c>
      <c r="G43" s="348"/>
      <c r="H43" s="591"/>
      <c r="I43" s="591"/>
      <c r="J43" s="348"/>
      <c r="K43" s="348"/>
      <c r="L43" s="348"/>
      <c r="M43" s="350"/>
      <c r="N43" s="349">
        <v>1.4E-3</v>
      </c>
      <c r="O43" s="349">
        <v>1.4E-3</v>
      </c>
    </row>
    <row r="44" spans="2:20" ht="15.95" customHeight="1">
      <c r="B44" s="351" t="s">
        <v>287</v>
      </c>
      <c r="C44" s="268" t="s">
        <v>287</v>
      </c>
      <c r="D44" s="339"/>
      <c r="E44" s="339"/>
      <c r="F44" s="339"/>
      <c r="G44" s="268">
        <f>I145</f>
        <v>1276.7270000000001</v>
      </c>
      <c r="H44" s="592"/>
      <c r="I44" s="592"/>
      <c r="J44" s="339"/>
      <c r="K44" s="268">
        <v>1</v>
      </c>
      <c r="L44" s="339"/>
      <c r="M44" s="341">
        <v>1</v>
      </c>
      <c r="N44" s="339"/>
      <c r="O44" s="339"/>
    </row>
    <row r="45" spans="2:20" ht="15.95" customHeight="1">
      <c r="B45" s="342"/>
      <c r="D45" s="270" t="str">
        <f>AGR_Comm!D63</f>
        <v>AGR_LAND</v>
      </c>
      <c r="H45" s="593">
        <v>1</v>
      </c>
      <c r="I45" s="593">
        <v>1</v>
      </c>
      <c r="M45" s="344"/>
    </row>
    <row r="46" spans="2:20" ht="15.95" customHeight="1">
      <c r="B46" s="342"/>
      <c r="D46" s="270" t="str">
        <f>AGR_Comm!D93</f>
        <v>AGR_MACH_WORK</v>
      </c>
      <c r="H46" s="589">
        <f>AGR_SVC!N118</f>
        <v>3.8053119478435242E-3</v>
      </c>
      <c r="I46" s="589">
        <f>AGR_SVC!AB118</f>
        <v>1.9770360685903081E-3</v>
      </c>
      <c r="M46" s="344"/>
    </row>
    <row r="47" spans="2:20" ht="15.95" customHeight="1">
      <c r="B47" s="342"/>
      <c r="D47" s="270" t="str">
        <f>AGR_Comm!D94</f>
        <v>AGR_DRY_SVC</v>
      </c>
      <c r="H47" s="589">
        <f>AGR_SVC!O118</f>
        <v>2.5700355342662853E-3</v>
      </c>
      <c r="I47" s="589">
        <f>AGR_SVC!AC118</f>
        <v>2.4735795460716532E-3</v>
      </c>
      <c r="M47" s="344"/>
    </row>
    <row r="48" spans="2:20" ht="15.95" customHeight="1">
      <c r="B48" s="342"/>
      <c r="D48" s="270" t="str">
        <f>AGR_Comm!D97</f>
        <v>AGR_OTH_SVC</v>
      </c>
      <c r="H48" s="589">
        <f>AGR_SVC!R118</f>
        <v>1.7987000337873781E-3</v>
      </c>
      <c r="I48" s="589">
        <f>AGR_SVC!AF118</f>
        <v>2.2661897946139585E-3</v>
      </c>
      <c r="M48" s="344"/>
    </row>
    <row r="49" spans="2:20" ht="15.95" customHeight="1">
      <c r="B49" s="342"/>
      <c r="E49" s="345" t="s">
        <v>164</v>
      </c>
      <c r="L49" s="352">
        <f>J145/10</f>
        <v>7.3599999999999994</v>
      </c>
      <c r="M49" s="344"/>
    </row>
    <row r="50" spans="2:20" ht="15.95" customHeight="1">
      <c r="B50" s="342"/>
      <c r="E50" s="274" t="s">
        <v>127</v>
      </c>
      <c r="J50" s="274">
        <f>Q50*R50</f>
        <v>1.5789493775881611</v>
      </c>
      <c r="L50" s="353" t="s">
        <v>396</v>
      </c>
      <c r="M50" s="344"/>
      <c r="Q50" s="346">
        <f>((K145/10)/I145)*S130*0.33/1000</f>
        <v>3.1578987551763222</v>
      </c>
      <c r="R50" s="274">
        <v>0.5</v>
      </c>
      <c r="T50" s="274">
        <f>J50*G44</f>
        <v>2015.8873020000003</v>
      </c>
    </row>
    <row r="51" spans="2:20" ht="15.95" customHeight="1">
      <c r="B51" s="347"/>
      <c r="C51" s="348"/>
      <c r="D51" s="348"/>
      <c r="E51" s="348"/>
      <c r="F51" s="349" t="s">
        <v>98</v>
      </c>
      <c r="G51" s="348"/>
      <c r="H51" s="348"/>
      <c r="I51" s="348"/>
      <c r="J51" s="348"/>
      <c r="K51" s="348"/>
      <c r="L51" s="348"/>
      <c r="M51" s="350"/>
      <c r="N51" s="349">
        <v>2.3700000000000001E-3</v>
      </c>
      <c r="O51" s="349">
        <v>2.3700000000000001E-3</v>
      </c>
    </row>
    <row r="52" spans="2:20" ht="15.95" customHeight="1">
      <c r="B52" s="354" t="s">
        <v>288</v>
      </c>
      <c r="C52" s="355" t="s">
        <v>288</v>
      </c>
      <c r="G52" s="355">
        <f>I143</f>
        <v>252.4</v>
      </c>
      <c r="K52" s="355">
        <v>1</v>
      </c>
      <c r="M52" s="356">
        <v>1</v>
      </c>
    </row>
    <row r="53" spans="2:20" ht="15.95" customHeight="1">
      <c r="B53" s="342"/>
      <c r="D53" s="270" t="str">
        <f>AGR_Comm!D63</f>
        <v>AGR_LAND</v>
      </c>
      <c r="H53" s="270">
        <v>1</v>
      </c>
      <c r="I53" s="270">
        <v>1</v>
      </c>
      <c r="M53" s="344"/>
    </row>
    <row r="54" spans="2:20" ht="15.95" customHeight="1">
      <c r="B54" s="342"/>
      <c r="D54" s="270" t="str">
        <f>AGR_Comm!D93</f>
        <v>AGR_MACH_WORK</v>
      </c>
      <c r="H54" s="589">
        <f>AGR_SVC!N119</f>
        <v>2.5876121245335965E-3</v>
      </c>
      <c r="I54" s="589">
        <f>AGR_SVC!AB119</f>
        <v>1.3443845266414094E-3</v>
      </c>
      <c r="M54" s="344"/>
    </row>
    <row r="55" spans="2:20" ht="15.95" customHeight="1">
      <c r="B55" s="342"/>
      <c r="D55" s="270" t="str">
        <f>AGR_Comm!D94</f>
        <v>AGR_DRY_SVC</v>
      </c>
      <c r="H55" s="589">
        <f>AGR_SVC!O119</f>
        <v>2.3130319808396568E-4</v>
      </c>
      <c r="I55" s="589">
        <f>AGR_SVC!AC119</f>
        <v>2.226221591464488E-4</v>
      </c>
      <c r="M55" s="344"/>
    </row>
    <row r="56" spans="2:20" ht="15.95" customHeight="1">
      <c r="B56" s="342"/>
      <c r="D56" s="270" t="str">
        <f>AGR_Comm!D97</f>
        <v>AGR_OTH_SVC</v>
      </c>
      <c r="H56" s="589">
        <f>AGR_SVC!R119</f>
        <v>1.1068923284845405E-3</v>
      </c>
      <c r="I56" s="589">
        <f>AGR_SVC!AF119</f>
        <v>1.3945783351470514E-3</v>
      </c>
      <c r="M56" s="344"/>
    </row>
    <row r="57" spans="2:20" ht="15.95" customHeight="1">
      <c r="B57" s="342"/>
      <c r="E57" s="345" t="s">
        <v>165</v>
      </c>
      <c r="L57" s="352">
        <f>J143/10</f>
        <v>3.3</v>
      </c>
      <c r="M57" s="344"/>
    </row>
    <row r="58" spans="2:20" ht="15.95" customHeight="1">
      <c r="B58" s="342"/>
      <c r="E58" s="274" t="s">
        <v>128</v>
      </c>
      <c r="J58" s="274">
        <f>Q58*R58</f>
        <v>0.49035870820126787</v>
      </c>
      <c r="M58" s="344"/>
      <c r="Q58" s="346">
        <f>((K143/10)/I143)*T130*0.33/1000</f>
        <v>0.98071741640253574</v>
      </c>
      <c r="R58" s="274">
        <v>0.5</v>
      </c>
      <c r="T58" s="274">
        <f>J58*G52</f>
        <v>123.76653795000001</v>
      </c>
    </row>
    <row r="59" spans="2:20" ht="15.95" customHeight="1">
      <c r="B59" s="347"/>
      <c r="C59" s="348"/>
      <c r="D59" s="348"/>
      <c r="E59" s="348"/>
      <c r="F59" s="349" t="s">
        <v>98</v>
      </c>
      <c r="G59" s="348"/>
      <c r="H59" s="348"/>
      <c r="I59" s="348"/>
      <c r="J59" s="348"/>
      <c r="K59" s="348"/>
      <c r="L59" s="348"/>
      <c r="M59" s="350"/>
      <c r="N59" s="357">
        <v>2.4316666669999998E-3</v>
      </c>
      <c r="O59" s="357">
        <v>2.4316666669999998E-3</v>
      </c>
    </row>
    <row r="60" spans="2:20" ht="15.95" customHeight="1">
      <c r="B60" s="351" t="s">
        <v>289</v>
      </c>
      <c r="C60" s="268" t="s">
        <v>289</v>
      </c>
      <c r="D60" s="339"/>
      <c r="E60" s="339"/>
      <c r="F60" s="339"/>
      <c r="G60" s="340">
        <f>I141</f>
        <v>1147.0340000000001</v>
      </c>
      <c r="H60" s="339"/>
      <c r="I60" s="339"/>
      <c r="J60" s="339"/>
      <c r="K60" s="268">
        <v>1</v>
      </c>
      <c r="L60" s="339"/>
      <c r="M60" s="341">
        <v>1</v>
      </c>
      <c r="N60" s="339"/>
      <c r="O60" s="339"/>
    </row>
    <row r="61" spans="2:20" ht="15.95" customHeight="1">
      <c r="B61" s="342"/>
      <c r="D61" s="270" t="str">
        <f>AGR_Comm!D63</f>
        <v>AGR_LAND</v>
      </c>
      <c r="H61" s="270">
        <v>1</v>
      </c>
      <c r="I61" s="270">
        <v>1</v>
      </c>
      <c r="M61" s="344"/>
    </row>
    <row r="62" spans="2:20" ht="15.95" customHeight="1">
      <c r="B62" s="342"/>
      <c r="D62" s="270" t="str">
        <f>AGR_Comm!D93</f>
        <v>AGR_MACH_WORK</v>
      </c>
      <c r="H62" s="589">
        <f>AGR_SVC!N120</f>
        <v>2.7398246024473373E-3</v>
      </c>
      <c r="I62" s="589">
        <f>AGR_SVC!AB120</f>
        <v>1.4234659693850217E-3</v>
      </c>
      <c r="M62" s="344"/>
    </row>
    <row r="63" spans="2:20" ht="15.95" customHeight="1">
      <c r="B63" s="342"/>
      <c r="D63" s="270" t="str">
        <f>AGR_Comm!D94</f>
        <v>AGR_DRY_SVC</v>
      </c>
      <c r="H63" s="589">
        <f>AGR_SVC!O120</f>
        <v>3.5980497479727992E-4</v>
      </c>
      <c r="I63" s="589">
        <f>AGR_SVC!AC120</f>
        <v>3.4630113645003143E-4</v>
      </c>
      <c r="M63" s="344"/>
    </row>
    <row r="64" spans="2:20" ht="15.95" customHeight="1">
      <c r="B64" s="342"/>
      <c r="D64" s="270" t="str">
        <f>AGR_Comm!D97</f>
        <v>AGR_OTH_SVC</v>
      </c>
      <c r="H64" s="589">
        <f>AGR_SVC!R120</f>
        <v>1.245253869545108E-3</v>
      </c>
      <c r="I64" s="589">
        <f>AGR_SVC!AF120</f>
        <v>1.5689006270404328E-3</v>
      </c>
      <c r="M64" s="344"/>
    </row>
    <row r="65" spans="2:20" ht="15.95" customHeight="1">
      <c r="B65" s="342"/>
      <c r="E65" s="345" t="s">
        <v>166</v>
      </c>
      <c r="L65" s="345">
        <f>J141/10</f>
        <v>4.4000000000000004</v>
      </c>
      <c r="M65" s="344"/>
    </row>
    <row r="66" spans="2:20" ht="15.95" customHeight="1">
      <c r="B66" s="342"/>
      <c r="E66" s="274" t="s">
        <v>129</v>
      </c>
      <c r="J66" s="274">
        <f>Q66*R66</f>
        <v>0.79943006493268731</v>
      </c>
      <c r="M66" s="344"/>
      <c r="Q66" s="346">
        <f>((K141/10)/I141)*U130*0.33/1000</f>
        <v>1.5988601298653746</v>
      </c>
      <c r="R66" s="274">
        <v>0.5</v>
      </c>
      <c r="T66" s="274">
        <f>J66*G60</f>
        <v>916.97346510000011</v>
      </c>
    </row>
    <row r="67" spans="2:20">
      <c r="B67" s="347"/>
      <c r="C67" s="348"/>
      <c r="D67" s="348"/>
      <c r="E67" s="348"/>
      <c r="F67" s="349" t="s">
        <v>98</v>
      </c>
      <c r="G67" s="348"/>
      <c r="H67" s="348"/>
      <c r="I67" s="348"/>
      <c r="J67" s="348"/>
      <c r="K67" s="348"/>
      <c r="L67" s="348"/>
      <c r="M67" s="350"/>
      <c r="N67" s="349">
        <v>4.4999999999999997E-3</v>
      </c>
      <c r="O67" s="349">
        <v>4.4999999999999997E-3</v>
      </c>
    </row>
    <row r="68" spans="2:20" ht="15.95" customHeight="1">
      <c r="B68" s="351" t="s">
        <v>290</v>
      </c>
      <c r="C68" s="268" t="s">
        <v>290</v>
      </c>
      <c r="D68" s="339"/>
      <c r="E68" s="339"/>
      <c r="F68" s="339"/>
      <c r="G68" s="268">
        <f>I139</f>
        <v>519.00300000000004</v>
      </c>
      <c r="H68" s="339"/>
      <c r="I68" s="339"/>
      <c r="J68" s="339"/>
      <c r="K68" s="268">
        <v>1</v>
      </c>
      <c r="L68" s="339"/>
      <c r="M68" s="341">
        <v>1</v>
      </c>
      <c r="N68" s="339"/>
      <c r="O68" s="339"/>
    </row>
    <row r="69" spans="2:20" ht="15.95" customHeight="1">
      <c r="B69" s="342"/>
      <c r="D69" s="270" t="str">
        <f>AGR_Comm!D63</f>
        <v>AGR_LAND</v>
      </c>
      <c r="H69" s="270">
        <v>1</v>
      </c>
      <c r="I69" s="270">
        <v>1</v>
      </c>
      <c r="M69" s="344"/>
    </row>
    <row r="70" spans="2:20" ht="15.95" customHeight="1">
      <c r="B70" s="342"/>
      <c r="D70" s="270" t="str">
        <f>AGR_Comm!D93</f>
        <v>AGR_MACH_WORK</v>
      </c>
      <c r="H70" s="589">
        <f>AGR_SVC!N121</f>
        <v>2.4353996466198557E-3</v>
      </c>
      <c r="I70" s="589">
        <f>AGR_SVC!AB121</f>
        <v>1.2653030838977973E-3</v>
      </c>
      <c r="M70" s="344"/>
    </row>
    <row r="71" spans="2:20" ht="15.95" customHeight="1">
      <c r="B71" s="342"/>
      <c r="D71" s="270" t="str">
        <f>AGR_Comm!D94</f>
        <v>AGR_DRY_SVC</v>
      </c>
      <c r="H71" s="589">
        <f>AGR_SVC!O121</f>
        <v>1.7990248739863996E-4</v>
      </c>
      <c r="I71" s="589">
        <f>AGR_SVC!AC121</f>
        <v>1.7315056822501571E-4</v>
      </c>
      <c r="M71" s="344"/>
    </row>
    <row r="72" spans="2:20" ht="15.95" customHeight="1">
      <c r="B72" s="342"/>
      <c r="D72" s="270" t="str">
        <f>AGR_Comm!D97</f>
        <v>AGR_OTH_SVC</v>
      </c>
      <c r="H72" s="589">
        <f>AGR_SVC!R121</f>
        <v>1.1068923284845405E-3</v>
      </c>
      <c r="I72" s="589">
        <f>AGR_SVC!AF121</f>
        <v>1.3945783351470514E-3</v>
      </c>
      <c r="M72" s="344"/>
    </row>
    <row r="73" spans="2:20" ht="15.95" customHeight="1">
      <c r="B73" s="342"/>
      <c r="E73" s="345" t="s">
        <v>167</v>
      </c>
      <c r="L73" s="345">
        <f>J139/10</f>
        <v>3.17</v>
      </c>
      <c r="M73" s="344"/>
    </row>
    <row r="74" spans="2:20" ht="15.95" customHeight="1">
      <c r="B74" s="342"/>
      <c r="E74" s="274" t="s">
        <v>130</v>
      </c>
      <c r="J74" s="274">
        <f>Q74*R74</f>
        <v>0.57616806983774649</v>
      </c>
      <c r="M74" s="344"/>
      <c r="Q74" s="346">
        <f>((K139/10)/I139)*V130*0.33/1000</f>
        <v>1.152336139675493</v>
      </c>
      <c r="R74" s="274">
        <v>0.5</v>
      </c>
      <c r="T74" s="274">
        <f>J74*G68</f>
        <v>299.03295674999998</v>
      </c>
    </row>
    <row r="75" spans="2:20" ht="15.95" customHeight="1">
      <c r="B75" s="347"/>
      <c r="C75" s="348"/>
      <c r="D75" s="348"/>
      <c r="E75" s="348"/>
      <c r="F75" s="349" t="s">
        <v>98</v>
      </c>
      <c r="G75" s="348"/>
      <c r="H75" s="348"/>
      <c r="I75" s="348"/>
      <c r="J75" s="348"/>
      <c r="K75" s="348"/>
      <c r="L75" s="348"/>
      <c r="M75" s="350"/>
      <c r="N75" s="349">
        <v>1.9599999999999999E-3</v>
      </c>
      <c r="O75" s="349">
        <v>1.9599999999999999E-3</v>
      </c>
    </row>
    <row r="76" spans="2:20" ht="15.95" customHeight="1">
      <c r="B76" s="338" t="s">
        <v>291</v>
      </c>
      <c r="C76" s="268" t="s">
        <v>291</v>
      </c>
      <c r="D76" s="339"/>
      <c r="E76" s="339"/>
      <c r="F76" s="339"/>
      <c r="G76" s="268">
        <f>I135</f>
        <v>682.18100000000004</v>
      </c>
      <c r="H76" s="339"/>
      <c r="I76" s="339"/>
      <c r="J76" s="339"/>
      <c r="K76" s="268">
        <v>1</v>
      </c>
      <c r="L76" s="339"/>
      <c r="M76" s="341">
        <v>1</v>
      </c>
      <c r="N76" s="339"/>
      <c r="O76" s="339"/>
    </row>
    <row r="77" spans="2:20" ht="15.95" customHeight="1">
      <c r="B77" s="342"/>
      <c r="D77" s="270" t="str">
        <f>AGR_Comm!D63</f>
        <v>AGR_LAND</v>
      </c>
      <c r="H77" s="270">
        <v>1</v>
      </c>
      <c r="I77" s="270">
        <v>1</v>
      </c>
      <c r="M77" s="344"/>
    </row>
    <row r="78" spans="2:20" ht="15.95" customHeight="1">
      <c r="B78" s="342"/>
      <c r="D78" s="270" t="str">
        <f>AGR_Comm!D93</f>
        <v>AGR_MACH_WORK</v>
      </c>
      <c r="H78" s="589">
        <f>AGR_SVC!N122</f>
        <v>2.1309746907923733E-3</v>
      </c>
      <c r="I78" s="589">
        <f>AGR_SVC!AB122</f>
        <v>1.1071401984105724E-3</v>
      </c>
      <c r="M78" s="344"/>
    </row>
    <row r="79" spans="2:20" ht="15.95" customHeight="1">
      <c r="B79" s="342"/>
      <c r="D79" s="270" t="str">
        <f>AGR_Comm!D94</f>
        <v>AGR_DRY_SVC</v>
      </c>
      <c r="H79" s="589">
        <f>AGR_SVC!O122</f>
        <v>1.7990248739863996E-4</v>
      </c>
      <c r="I79" s="589">
        <f>AGR_SVC!AC122</f>
        <v>1.7315056822501571E-4</v>
      </c>
      <c r="M79" s="344"/>
    </row>
    <row r="80" spans="2:20" ht="15.95" customHeight="1">
      <c r="B80" s="342"/>
      <c r="D80" s="270" t="str">
        <f>AGR_Comm!D97</f>
        <v>AGR_OTH_SVC</v>
      </c>
      <c r="H80" s="589">
        <f>AGR_SVC!R122</f>
        <v>1.0377115579542566E-3</v>
      </c>
      <c r="I80" s="589">
        <f>AGR_SVC!AF122</f>
        <v>1.3074171892003606E-3</v>
      </c>
      <c r="M80" s="344"/>
    </row>
    <row r="81" spans="2:26" ht="15.95" customHeight="1">
      <c r="B81" s="342"/>
      <c r="E81" s="345" t="s">
        <v>168</v>
      </c>
      <c r="L81" s="345">
        <f>J135/10</f>
        <v>3.5700000000000003</v>
      </c>
      <c r="M81" s="344"/>
    </row>
    <row r="82" spans="2:26" ht="15.95" customHeight="1">
      <c r="B82" s="342"/>
      <c r="E82" s="274" t="s">
        <v>131</v>
      </c>
      <c r="J82" s="274">
        <v>3.2383000000000002</v>
      </c>
      <c r="M82" s="344"/>
      <c r="Q82" s="346">
        <f>((K135/10)/I135)*W130*0.33/1000</f>
        <v>1.6514844318443345</v>
      </c>
      <c r="R82" s="274">
        <v>0.5</v>
      </c>
      <c r="T82" s="274">
        <f>J82*G76</f>
        <v>2209.1067323000002</v>
      </c>
    </row>
    <row r="83" spans="2:26">
      <c r="B83" s="347"/>
      <c r="C83" s="348"/>
      <c r="D83" s="348"/>
      <c r="E83" s="348"/>
      <c r="F83" s="349" t="s">
        <v>98</v>
      </c>
      <c r="G83" s="348"/>
      <c r="H83" s="348"/>
      <c r="I83" s="348"/>
      <c r="J83" s="348"/>
      <c r="K83" s="348"/>
      <c r="L83" s="348"/>
      <c r="M83" s="350"/>
      <c r="N83" s="349">
        <v>2.96E-3</v>
      </c>
      <c r="O83" s="349">
        <v>2.96E-3</v>
      </c>
      <c r="U83" s="279"/>
      <c r="V83" s="279"/>
      <c r="W83" s="279"/>
      <c r="X83" s="279"/>
      <c r="Y83" s="279"/>
      <c r="Z83" s="279"/>
    </row>
    <row r="84" spans="2:26" ht="15.95" customHeight="1">
      <c r="B84" s="351" t="s">
        <v>292</v>
      </c>
      <c r="C84" s="268" t="s">
        <v>292</v>
      </c>
      <c r="D84" s="339"/>
      <c r="E84" s="339"/>
      <c r="F84" s="339"/>
      <c r="G84" s="268">
        <f>I147+I149</f>
        <v>116.38</v>
      </c>
      <c r="H84" s="339"/>
      <c r="I84" s="339"/>
      <c r="J84" s="339"/>
      <c r="K84" s="268">
        <v>1</v>
      </c>
      <c r="L84" s="339"/>
      <c r="M84" s="341">
        <v>1</v>
      </c>
      <c r="N84" s="339"/>
      <c r="O84" s="339"/>
    </row>
    <row r="85" spans="2:26" ht="15.95" customHeight="1">
      <c r="B85" s="342"/>
      <c r="D85" s="270" t="str">
        <f>AGR_Comm!D63</f>
        <v>AGR_LAND</v>
      </c>
      <c r="H85" s="270">
        <v>1</v>
      </c>
      <c r="I85" s="270">
        <v>1</v>
      </c>
      <c r="M85" s="344"/>
    </row>
    <row r="86" spans="2:26" ht="15.95" customHeight="1">
      <c r="B86" s="342"/>
      <c r="D86" s="270" t="str">
        <f>AGR_Comm!D93</f>
        <v>AGR_MACH_WORK</v>
      </c>
      <c r="H86" s="589">
        <f>AGR_SVC!N123</f>
        <v>2.2831871687061145E-3</v>
      </c>
      <c r="I86" s="589">
        <f>AGR_SVC!AB123</f>
        <v>1.1862216411541848E-3</v>
      </c>
      <c r="M86" s="344"/>
    </row>
    <row r="87" spans="2:26" ht="15.95" customHeight="1">
      <c r="B87" s="342"/>
      <c r="D87" s="270" t="str">
        <f>AGR_Comm!D94</f>
        <v>AGR_DRY_SVC</v>
      </c>
      <c r="H87" s="589">
        <f>AGR_SVC!O123</f>
        <v>1.2850177671331427E-4</v>
      </c>
      <c r="I87" s="589">
        <f>AGR_SVC!AC123</f>
        <v>1.2367897730358266E-4</v>
      </c>
      <c r="M87" s="344"/>
    </row>
    <row r="88" spans="2:26" ht="15.95" customHeight="1">
      <c r="B88" s="342"/>
      <c r="D88" s="270" t="str">
        <f>AGR_Comm!D97</f>
        <v>AGR_OTH_SVC</v>
      </c>
      <c r="H88" s="589">
        <f>AGR_SVC!R123</f>
        <v>1.0377115579542566E-3</v>
      </c>
      <c r="I88" s="589">
        <f>AGR_SVC!AF123</f>
        <v>1.3074171892003606E-3</v>
      </c>
      <c r="M88" s="344"/>
    </row>
    <row r="89" spans="2:26" ht="15.95" customHeight="1">
      <c r="B89" s="342"/>
      <c r="E89" s="345" t="s">
        <v>169</v>
      </c>
      <c r="L89" s="352">
        <f>(J147+J149)/2/10</f>
        <v>1.7049999999999996</v>
      </c>
      <c r="M89" s="344"/>
      <c r="U89" s="279"/>
      <c r="V89" s="279"/>
      <c r="W89" s="279"/>
      <c r="X89" s="279"/>
      <c r="Y89" s="279"/>
      <c r="Z89" s="279"/>
    </row>
    <row r="90" spans="2:26" ht="15.95" customHeight="1">
      <c r="B90" s="342"/>
      <c r="E90" s="274" t="s">
        <v>132</v>
      </c>
      <c r="J90" s="274">
        <f>Q90*R90</f>
        <v>0.44676096408317578</v>
      </c>
      <c r="M90" s="344"/>
      <c r="Q90" s="346">
        <f>(((K147+K149)/10)/(I149+I147))*X130*0.33/1000</f>
        <v>0.89352192816635156</v>
      </c>
      <c r="R90" s="274">
        <v>0.5</v>
      </c>
      <c r="T90" s="274">
        <f>J90*G84</f>
        <v>51.994040999999996</v>
      </c>
    </row>
    <row r="91" spans="2:26" ht="15.95" customHeight="1">
      <c r="B91" s="347"/>
      <c r="C91" s="348"/>
      <c r="D91" s="348"/>
      <c r="E91" s="348"/>
      <c r="F91" s="349" t="s">
        <v>98</v>
      </c>
      <c r="G91" s="348"/>
      <c r="H91" s="348"/>
      <c r="I91" s="348"/>
      <c r="J91" s="348"/>
      <c r="K91" s="348"/>
      <c r="L91" s="348"/>
      <c r="M91" s="350"/>
      <c r="N91" s="349">
        <v>4.6799999999999999E-5</v>
      </c>
      <c r="O91" s="349">
        <v>4.6799999999999999E-5</v>
      </c>
    </row>
    <row r="92" spans="2:26" ht="15.95" customHeight="1">
      <c r="B92" s="338" t="s">
        <v>293</v>
      </c>
      <c r="C92" s="268" t="s">
        <v>293</v>
      </c>
      <c r="D92" s="339"/>
      <c r="E92" s="339"/>
      <c r="F92" s="339"/>
      <c r="G92" s="268">
        <f>I157</f>
        <v>43.308999999999997</v>
      </c>
      <c r="H92" s="339"/>
      <c r="I92" s="339"/>
      <c r="J92" s="339"/>
      <c r="K92" s="268">
        <v>1</v>
      </c>
      <c r="L92" s="339"/>
      <c r="M92" s="341">
        <v>1</v>
      </c>
      <c r="N92" s="339"/>
      <c r="O92" s="339"/>
    </row>
    <row r="93" spans="2:26" ht="15.95" customHeight="1">
      <c r="B93" s="342"/>
      <c r="D93" s="343" t="s">
        <v>144</v>
      </c>
      <c r="H93" s="343">
        <v>1</v>
      </c>
      <c r="I93" s="343">
        <v>1</v>
      </c>
      <c r="M93" s="344"/>
    </row>
    <row r="94" spans="2:26" ht="15.95" customHeight="1">
      <c r="B94" s="342"/>
      <c r="E94" s="345" t="s">
        <v>170</v>
      </c>
      <c r="L94" s="345">
        <f>J157/10</f>
        <v>17.990000000000002</v>
      </c>
      <c r="M94" s="344"/>
    </row>
    <row r="95" spans="2:26" ht="15.95" customHeight="1">
      <c r="B95" s="342" t="s">
        <v>90</v>
      </c>
      <c r="E95" s="274" t="s">
        <v>133</v>
      </c>
      <c r="J95" s="274">
        <f>Q95*R95</f>
        <v>0</v>
      </c>
      <c r="M95" s="344"/>
      <c r="Q95" s="274">
        <v>0</v>
      </c>
      <c r="R95" s="274">
        <v>0</v>
      </c>
      <c r="T95" s="274">
        <f>J95*G92</f>
        <v>0</v>
      </c>
    </row>
    <row r="96" spans="2:26" ht="15.95" customHeight="1">
      <c r="B96" s="347"/>
      <c r="C96" s="348"/>
      <c r="D96" s="348"/>
      <c r="E96" s="348"/>
      <c r="F96" s="349" t="s">
        <v>98</v>
      </c>
      <c r="G96" s="348"/>
      <c r="H96" s="348"/>
      <c r="I96" s="348"/>
      <c r="J96" s="348"/>
      <c r="K96" s="348"/>
      <c r="L96" s="348"/>
      <c r="M96" s="350"/>
      <c r="N96" s="349">
        <v>1.5900000000000001E-3</v>
      </c>
      <c r="O96" s="349">
        <v>1.5900000000000001E-3</v>
      </c>
    </row>
    <row r="97" spans="2:26" ht="15.95" customHeight="1">
      <c r="B97" s="338" t="s">
        <v>294</v>
      </c>
      <c r="C97" s="268" t="s">
        <v>294</v>
      </c>
      <c r="D97" s="339"/>
      <c r="E97" s="339"/>
      <c r="F97" s="339"/>
      <c r="G97" s="268">
        <f>I155</f>
        <v>206.142</v>
      </c>
      <c r="H97" s="339"/>
      <c r="I97" s="339"/>
      <c r="J97" s="339"/>
      <c r="K97" s="268">
        <v>1</v>
      </c>
      <c r="L97" s="339"/>
      <c r="M97" s="341">
        <v>1</v>
      </c>
      <c r="N97" s="339"/>
      <c r="O97" s="339"/>
    </row>
    <row r="98" spans="2:26" ht="15.95" customHeight="1">
      <c r="B98" s="342"/>
      <c r="D98" s="343" t="s">
        <v>144</v>
      </c>
      <c r="H98" s="343">
        <v>1</v>
      </c>
      <c r="I98" s="343">
        <v>1</v>
      </c>
      <c r="M98" s="344"/>
    </row>
    <row r="99" spans="2:26" ht="15.95" customHeight="1">
      <c r="B99" s="342"/>
      <c r="E99" s="345" t="s">
        <v>171</v>
      </c>
      <c r="L99" s="345">
        <f>J155/10</f>
        <v>2.4899999999999998</v>
      </c>
      <c r="M99" s="344"/>
    </row>
    <row r="100" spans="2:26" ht="15.95" customHeight="1">
      <c r="B100" s="342" t="s">
        <v>90</v>
      </c>
      <c r="E100" s="274" t="s">
        <v>134</v>
      </c>
      <c r="J100" s="274">
        <f>Q100*R100</f>
        <v>0</v>
      </c>
      <c r="M100" s="344"/>
      <c r="Q100" s="274">
        <v>0</v>
      </c>
      <c r="R100" s="274">
        <v>0</v>
      </c>
      <c r="T100" s="274">
        <f>J100*G97</f>
        <v>0</v>
      </c>
    </row>
    <row r="101" spans="2:26" ht="15.95" customHeight="1">
      <c r="B101" s="347"/>
      <c r="C101" s="348"/>
      <c r="D101" s="348"/>
      <c r="E101" s="348"/>
      <c r="F101" s="349" t="s">
        <v>98</v>
      </c>
      <c r="G101" s="348"/>
      <c r="H101" s="348"/>
      <c r="I101" s="348"/>
      <c r="J101" s="348"/>
      <c r="K101" s="348"/>
      <c r="L101" s="348"/>
      <c r="M101" s="350"/>
      <c r="N101" s="349">
        <v>1.5900000000000001E-3</v>
      </c>
      <c r="O101" s="349">
        <v>1.5900000000000001E-3</v>
      </c>
    </row>
    <row r="102" spans="2:26" ht="15.95" customHeight="1">
      <c r="B102" s="338" t="s">
        <v>295</v>
      </c>
      <c r="C102" s="268" t="s">
        <v>295</v>
      </c>
      <c r="D102" s="339"/>
      <c r="E102" s="339"/>
      <c r="F102" s="339"/>
      <c r="G102" s="268">
        <f>I151</f>
        <v>196.15100000000001</v>
      </c>
      <c r="H102" s="339"/>
      <c r="I102" s="339"/>
      <c r="J102" s="339"/>
      <c r="K102" s="268">
        <v>1</v>
      </c>
      <c r="L102" s="339"/>
      <c r="M102" s="341">
        <v>1</v>
      </c>
      <c r="N102" s="339"/>
      <c r="O102" s="339"/>
    </row>
    <row r="103" spans="2:26" ht="15.95" customHeight="1">
      <c r="B103" s="342"/>
      <c r="D103" s="343" t="s">
        <v>144</v>
      </c>
      <c r="H103" s="343">
        <v>1</v>
      </c>
      <c r="I103" s="343">
        <v>1</v>
      </c>
      <c r="M103" s="344"/>
    </row>
    <row r="104" spans="2:26" ht="15.95" customHeight="1">
      <c r="B104" s="342"/>
      <c r="E104" s="345" t="s">
        <v>172</v>
      </c>
      <c r="L104" s="345">
        <f>J151/10</f>
        <v>30.2</v>
      </c>
      <c r="M104" s="344"/>
    </row>
    <row r="105" spans="2:26" ht="15.95" customHeight="1">
      <c r="B105" s="342" t="s">
        <v>90</v>
      </c>
      <c r="E105" s="274" t="s">
        <v>135</v>
      </c>
      <c r="J105" s="274">
        <f>Q105*R105</f>
        <v>0</v>
      </c>
      <c r="M105" s="344"/>
      <c r="Q105" s="274">
        <v>0</v>
      </c>
      <c r="R105" s="274">
        <v>0</v>
      </c>
      <c r="T105" s="274">
        <f>J105*G102</f>
        <v>0</v>
      </c>
    </row>
    <row r="106" spans="2:26" ht="15.95" customHeight="1">
      <c r="B106" s="347"/>
      <c r="C106" s="348"/>
      <c r="D106" s="348"/>
      <c r="E106" s="348"/>
      <c r="F106" s="349" t="s">
        <v>98</v>
      </c>
      <c r="G106" s="348"/>
      <c r="H106" s="348"/>
      <c r="I106" s="348"/>
      <c r="J106" s="358"/>
      <c r="K106" s="348"/>
      <c r="L106" s="348"/>
      <c r="M106" s="350"/>
      <c r="N106" s="349">
        <v>8.0999999999999996E-4</v>
      </c>
      <c r="O106" s="349">
        <v>8.0999999999999996E-4</v>
      </c>
    </row>
    <row r="107" spans="2:26" ht="15.95" customHeight="1">
      <c r="B107" s="338" t="s">
        <v>297</v>
      </c>
      <c r="C107" s="268" t="s">
        <v>297</v>
      </c>
      <c r="D107" s="339"/>
      <c r="E107" s="339"/>
      <c r="F107" s="339"/>
      <c r="G107" s="340">
        <f>I153</f>
        <v>1104.548</v>
      </c>
      <c r="H107" s="339"/>
      <c r="I107" s="339"/>
      <c r="J107" s="339"/>
      <c r="K107" s="268">
        <v>1</v>
      </c>
      <c r="L107" s="339"/>
      <c r="M107" s="341">
        <v>1</v>
      </c>
      <c r="N107" s="339"/>
      <c r="O107" s="339"/>
    </row>
    <row r="108" spans="2:26" ht="15.95" customHeight="1">
      <c r="B108" s="342"/>
      <c r="D108" s="343" t="s">
        <v>144</v>
      </c>
      <c r="H108" s="343">
        <v>1</v>
      </c>
      <c r="I108" s="343">
        <v>1</v>
      </c>
      <c r="M108" s="344"/>
    </row>
    <row r="109" spans="2:26" ht="15.95" customHeight="1">
      <c r="B109" s="342"/>
      <c r="E109" s="345" t="s">
        <v>173</v>
      </c>
      <c r="L109" s="345">
        <f>J153/10</f>
        <v>3.1399999999999997</v>
      </c>
      <c r="M109" s="344"/>
    </row>
    <row r="110" spans="2:26" ht="15.95" customHeight="1">
      <c r="B110" s="342" t="s">
        <v>90</v>
      </c>
      <c r="E110" s="274" t="s">
        <v>137</v>
      </c>
      <c r="J110" s="274">
        <f>Q110*R110</f>
        <v>0</v>
      </c>
      <c r="M110" s="344"/>
      <c r="Q110" s="274">
        <v>0</v>
      </c>
      <c r="R110" s="274">
        <v>0</v>
      </c>
      <c r="T110" s="274">
        <f>J110*G107</f>
        <v>0</v>
      </c>
      <c r="U110" s="359"/>
      <c r="V110" s="359"/>
      <c r="W110" s="359"/>
      <c r="X110" s="359"/>
      <c r="Y110" s="359"/>
      <c r="Z110" s="359"/>
    </row>
    <row r="111" spans="2:26" ht="15.95" customHeight="1">
      <c r="B111" s="347"/>
      <c r="C111" s="348"/>
      <c r="D111" s="348"/>
      <c r="E111" s="348"/>
      <c r="F111" s="349" t="s">
        <v>98</v>
      </c>
      <c r="G111" s="348"/>
      <c r="H111" s="348"/>
      <c r="I111" s="348"/>
      <c r="J111" s="348"/>
      <c r="K111" s="348"/>
      <c r="L111" s="348"/>
      <c r="M111" s="350"/>
      <c r="N111" s="349">
        <v>1.4E-3</v>
      </c>
      <c r="O111" s="349">
        <v>1.4E-3</v>
      </c>
    </row>
    <row r="112" spans="2:26" ht="15.95" customHeight="1">
      <c r="B112" s="338" t="s">
        <v>298</v>
      </c>
      <c r="C112" s="268" t="s">
        <v>298</v>
      </c>
      <c r="D112" s="339"/>
      <c r="E112" s="339"/>
      <c r="F112" s="339"/>
      <c r="G112" s="268">
        <v>0</v>
      </c>
      <c r="H112" s="339"/>
      <c r="I112" s="339"/>
      <c r="J112" s="339"/>
      <c r="K112" s="268">
        <v>1</v>
      </c>
      <c r="L112" s="339"/>
      <c r="M112" s="341">
        <v>1</v>
      </c>
      <c r="N112" s="339"/>
      <c r="O112" s="339"/>
    </row>
    <row r="113" spans="2:27" ht="15.95" customHeight="1">
      <c r="B113" s="342"/>
      <c r="D113" s="343" t="s">
        <v>144</v>
      </c>
      <c r="H113" s="343">
        <v>1</v>
      </c>
      <c r="I113" s="343">
        <v>1</v>
      </c>
      <c r="M113" s="344"/>
      <c r="U113" s="360"/>
      <c r="V113" s="360"/>
      <c r="W113" s="360"/>
      <c r="X113" s="360"/>
      <c r="Y113" s="360"/>
      <c r="Z113" s="360"/>
      <c r="AA113" s="361"/>
    </row>
    <row r="114" spans="2:27" ht="15.95" customHeight="1">
      <c r="B114" s="342"/>
      <c r="E114" s="345" t="s">
        <v>174</v>
      </c>
      <c r="L114" s="345">
        <v>0</v>
      </c>
      <c r="M114" s="344"/>
    </row>
    <row r="115" spans="2:27" ht="15.95" customHeight="1">
      <c r="B115" s="342" t="s">
        <v>90</v>
      </c>
      <c r="E115" s="274" t="s">
        <v>138</v>
      </c>
      <c r="J115" s="274">
        <f>Q115*R115</f>
        <v>0</v>
      </c>
      <c r="M115" s="344"/>
      <c r="Q115" s="274">
        <v>0</v>
      </c>
      <c r="R115" s="274">
        <v>0</v>
      </c>
      <c r="T115" s="274">
        <f>J115*G112</f>
        <v>0</v>
      </c>
    </row>
    <row r="116" spans="2:27" ht="15.95" customHeight="1">
      <c r="B116" s="347"/>
      <c r="C116" s="348"/>
      <c r="D116" s="348"/>
      <c r="E116" s="348"/>
      <c r="F116" s="349" t="s">
        <v>98</v>
      </c>
      <c r="G116" s="348"/>
      <c r="H116" s="348"/>
      <c r="I116" s="348"/>
      <c r="J116" s="348"/>
      <c r="K116" s="348"/>
      <c r="L116" s="348"/>
      <c r="M116" s="350"/>
      <c r="N116" s="349">
        <v>1.3450000000000001E-3</v>
      </c>
      <c r="O116" s="349">
        <v>1.3450000000000001E-3</v>
      </c>
    </row>
    <row r="117" spans="2:27" ht="15.95" customHeight="1">
      <c r="B117" s="338" t="s">
        <v>299</v>
      </c>
      <c r="C117" s="268" t="s">
        <v>299</v>
      </c>
      <c r="D117" s="339"/>
      <c r="E117" s="339"/>
      <c r="F117" s="339"/>
      <c r="G117" s="268">
        <v>0</v>
      </c>
      <c r="H117" s="339"/>
      <c r="I117" s="339"/>
      <c r="J117" s="339"/>
      <c r="K117" s="268">
        <v>1</v>
      </c>
      <c r="L117" s="339"/>
      <c r="M117" s="341">
        <v>1</v>
      </c>
      <c r="N117" s="339"/>
      <c r="O117" s="339"/>
    </row>
    <row r="118" spans="2:27" ht="15.95" customHeight="1">
      <c r="B118" s="342"/>
      <c r="D118" s="343" t="s">
        <v>144</v>
      </c>
      <c r="H118" s="343">
        <v>1</v>
      </c>
      <c r="I118" s="343">
        <v>1</v>
      </c>
      <c r="M118" s="344"/>
      <c r="U118" s="279"/>
      <c r="V118" s="279"/>
      <c r="W118" s="279"/>
      <c r="X118" s="279"/>
      <c r="Y118" s="279"/>
      <c r="Z118" s="279"/>
    </row>
    <row r="119" spans="2:27" ht="15.95" customHeight="1">
      <c r="B119" s="342"/>
      <c r="E119" s="345" t="s">
        <v>175</v>
      </c>
      <c r="L119" s="345">
        <v>0</v>
      </c>
      <c r="M119" s="344"/>
    </row>
    <row r="120" spans="2:27" ht="15.95" customHeight="1">
      <c r="B120" s="342" t="s">
        <v>90</v>
      </c>
      <c r="E120" s="274" t="s">
        <v>139</v>
      </c>
      <c r="J120" s="274">
        <f>Q120*R120</f>
        <v>0</v>
      </c>
      <c r="M120" s="344"/>
      <c r="Q120" s="274">
        <v>0</v>
      </c>
      <c r="R120" s="274">
        <v>0</v>
      </c>
      <c r="T120" s="274">
        <f>J120*G117</f>
        <v>0</v>
      </c>
    </row>
    <row r="121" spans="2:27" ht="15.95" customHeight="1">
      <c r="B121" s="347"/>
      <c r="C121" s="348"/>
      <c r="D121" s="348"/>
      <c r="E121" s="348"/>
      <c r="F121" s="349" t="s">
        <v>98</v>
      </c>
      <c r="G121" s="348"/>
      <c r="H121" s="348"/>
      <c r="I121" s="348"/>
      <c r="J121" s="348"/>
      <c r="K121" s="348"/>
      <c r="L121" s="348"/>
      <c r="M121" s="350"/>
      <c r="N121" s="349">
        <v>2.0999999999999999E-3</v>
      </c>
      <c r="O121" s="349">
        <v>2.0999999999999999E-3</v>
      </c>
    </row>
    <row r="122" spans="2:27" ht="15.95" customHeight="1"/>
    <row r="123" spans="2:27" ht="15.95" customHeight="1">
      <c r="T123" s="267">
        <f>SUM(T34:T120)</f>
        <v>7837.976840315001</v>
      </c>
    </row>
    <row r="124" spans="2:27" ht="15.95" customHeight="1"/>
    <row r="125" spans="2:27" ht="15.95" customHeight="1"/>
    <row r="126" spans="2:27" ht="15.95" customHeight="1" thickBot="1">
      <c r="H126" s="267" t="s">
        <v>397</v>
      </c>
    </row>
    <row r="127" spans="2:27" ht="24">
      <c r="H127" s="362"/>
      <c r="I127" s="363"/>
      <c r="J127" s="363"/>
      <c r="K127" s="363"/>
      <c r="L127" s="363"/>
      <c r="M127" s="364"/>
      <c r="P127" s="365" t="s">
        <v>398</v>
      </c>
      <c r="Q127" s="366" t="s">
        <v>399</v>
      </c>
      <c r="R127" s="367" t="s">
        <v>400</v>
      </c>
      <c r="S127" s="367" t="s">
        <v>401</v>
      </c>
      <c r="T127" s="368" t="s">
        <v>402</v>
      </c>
      <c r="U127" s="369" t="s">
        <v>403</v>
      </c>
      <c r="V127" s="369" t="s">
        <v>404</v>
      </c>
      <c r="W127" s="369" t="s">
        <v>405</v>
      </c>
      <c r="X127" s="369" t="s">
        <v>406</v>
      </c>
      <c r="Y127" s="369" t="s">
        <v>407</v>
      </c>
    </row>
    <row r="128" spans="2:27" ht="16.5" customHeight="1" thickBot="1">
      <c r="H128" s="739" t="s">
        <v>820</v>
      </c>
      <c r="I128" s="740"/>
      <c r="J128" s="740"/>
      <c r="K128" s="741"/>
      <c r="L128" s="439"/>
      <c r="M128" s="371" t="s">
        <v>361</v>
      </c>
      <c r="P128" s="372" t="s">
        <v>373</v>
      </c>
      <c r="Q128" s="373" t="s">
        <v>373</v>
      </c>
      <c r="R128" s="374" t="s">
        <v>373</v>
      </c>
      <c r="S128" s="374" t="s">
        <v>373</v>
      </c>
      <c r="T128" s="375" t="s">
        <v>373</v>
      </c>
      <c r="U128" s="376" t="s">
        <v>373</v>
      </c>
      <c r="V128" s="376" t="s">
        <v>373</v>
      </c>
      <c r="W128" s="376" t="s">
        <v>373</v>
      </c>
      <c r="X128" s="376" t="s">
        <v>373</v>
      </c>
      <c r="Y128" s="376" t="s">
        <v>373</v>
      </c>
    </row>
    <row r="129" spans="2:25">
      <c r="D129" s="245" t="s">
        <v>338</v>
      </c>
      <c r="E129" s="42"/>
      <c r="H129" s="377"/>
      <c r="I129" s="370"/>
      <c r="J129" s="370"/>
      <c r="K129" s="370"/>
      <c r="L129" s="370"/>
      <c r="M129" s="378"/>
      <c r="P129" s="379" t="s">
        <v>408</v>
      </c>
      <c r="Q129" s="380">
        <v>12668906.699999999</v>
      </c>
      <c r="R129" s="381">
        <v>3000622.1</v>
      </c>
      <c r="S129" s="381">
        <v>6821561.2000000002</v>
      </c>
      <c r="T129" s="382">
        <v>2079958.5</v>
      </c>
      <c r="U129" s="383">
        <v>6195235.9000000004</v>
      </c>
      <c r="V129" s="383">
        <v>1657986.3</v>
      </c>
      <c r="W129" s="383">
        <v>2959751.9</v>
      </c>
      <c r="X129" s="383">
        <v>117575.3</v>
      </c>
      <c r="Y129" s="383">
        <v>4294.8</v>
      </c>
    </row>
    <row r="130" spans="2:25">
      <c r="B130" s="71" t="s">
        <v>179</v>
      </c>
      <c r="C130" s="72" t="s">
        <v>359</v>
      </c>
      <c r="D130" s="71" t="s">
        <v>306</v>
      </c>
      <c r="E130" s="163" t="s">
        <v>360</v>
      </c>
      <c r="H130" s="737" t="s">
        <v>409</v>
      </c>
      <c r="I130" s="738" t="s">
        <v>410</v>
      </c>
      <c r="J130" s="738" t="s">
        <v>411</v>
      </c>
      <c r="K130" s="738" t="s">
        <v>412</v>
      </c>
      <c r="L130" s="370"/>
      <c r="M130" s="378"/>
      <c r="P130" s="379" t="s">
        <v>413</v>
      </c>
      <c r="Q130" s="384">
        <v>0.89</v>
      </c>
      <c r="R130" s="385">
        <v>0.8</v>
      </c>
      <c r="S130" s="385">
        <v>1.3</v>
      </c>
      <c r="T130" s="386">
        <v>0.9</v>
      </c>
      <c r="U130" s="387">
        <v>1.1000000000000001</v>
      </c>
      <c r="V130" s="387">
        <v>1.1000000000000001</v>
      </c>
      <c r="W130" s="387">
        <v>1.4</v>
      </c>
      <c r="X130" s="387">
        <v>1.7</v>
      </c>
      <c r="Y130" s="387">
        <v>1.4</v>
      </c>
    </row>
    <row r="131" spans="2:25" ht="13.5" customHeight="1" thickBot="1">
      <c r="B131" s="74" t="s">
        <v>349</v>
      </c>
      <c r="C131" s="74" t="s">
        <v>350</v>
      </c>
      <c r="D131" s="74" t="s">
        <v>352</v>
      </c>
      <c r="E131" s="74" t="s">
        <v>362</v>
      </c>
      <c r="H131" s="737"/>
      <c r="I131" s="738"/>
      <c r="J131" s="738"/>
      <c r="K131" s="738"/>
      <c r="L131" s="370"/>
      <c r="M131" s="378"/>
      <c r="P131" s="379" t="s">
        <v>414</v>
      </c>
      <c r="Q131" s="384">
        <v>0.85</v>
      </c>
      <c r="R131" s="385">
        <v>0.86</v>
      </c>
      <c r="S131" s="385">
        <v>0.52</v>
      </c>
      <c r="T131" s="386">
        <v>0.86</v>
      </c>
      <c r="U131" s="387">
        <v>0.86</v>
      </c>
      <c r="V131" s="387">
        <v>0.86</v>
      </c>
      <c r="W131" s="387">
        <v>0.86</v>
      </c>
      <c r="X131" s="387">
        <v>0.86</v>
      </c>
      <c r="Y131" s="387">
        <v>0.89</v>
      </c>
    </row>
    <row r="132" spans="2:25">
      <c r="B132" s="322" t="str">
        <f>AGR_Proc!D32</f>
        <v>AGR_IMP_DUMMY_LAND</v>
      </c>
      <c r="C132" s="322" t="str">
        <f>AGR_Proc!E32</f>
        <v>Dummy Land Import</v>
      </c>
      <c r="D132" s="322" t="str">
        <f>AGR_Comm!D63</f>
        <v>AGR_LAND</v>
      </c>
      <c r="E132" s="322">
        <v>1E-3</v>
      </c>
      <c r="H132" s="731" t="s">
        <v>415</v>
      </c>
      <c r="I132" s="732"/>
      <c r="J132" s="732"/>
      <c r="K132" s="732"/>
      <c r="L132" s="732"/>
      <c r="M132" s="733"/>
      <c r="P132" s="379" t="s">
        <v>416</v>
      </c>
      <c r="Q132" s="384">
        <v>0.01</v>
      </c>
      <c r="R132" s="385">
        <v>0.01</v>
      </c>
      <c r="S132" s="385">
        <v>0</v>
      </c>
      <c r="T132" s="386">
        <v>0</v>
      </c>
      <c r="U132" s="387">
        <v>0.01</v>
      </c>
      <c r="V132" s="387">
        <v>0</v>
      </c>
      <c r="W132" s="387">
        <v>0.01</v>
      </c>
      <c r="X132" s="387">
        <v>0</v>
      </c>
      <c r="Y132" s="387">
        <v>0</v>
      </c>
    </row>
    <row r="133" spans="2:25" ht="13.5" thickBot="1">
      <c r="B133" s="325"/>
      <c r="C133" s="325"/>
      <c r="D133" s="325"/>
      <c r="E133" s="325"/>
      <c r="H133" s="377" t="s">
        <v>417</v>
      </c>
      <c r="I133" s="388">
        <v>2385.6930000000002</v>
      </c>
      <c r="J133" s="370">
        <v>52</v>
      </c>
      <c r="K133" s="389">
        <v>124145899</v>
      </c>
      <c r="L133" s="370"/>
      <c r="M133" s="378"/>
      <c r="P133" s="390" t="s">
        <v>418</v>
      </c>
      <c r="Q133" s="391">
        <v>0.9</v>
      </c>
      <c r="R133" s="392">
        <v>0.9</v>
      </c>
      <c r="S133" s="392">
        <v>0.9</v>
      </c>
      <c r="T133" s="393">
        <v>0.9</v>
      </c>
      <c r="U133" s="394">
        <v>0.9</v>
      </c>
      <c r="V133" s="394">
        <v>0.9</v>
      </c>
      <c r="W133" s="394">
        <v>0.9</v>
      </c>
      <c r="X133" s="394">
        <v>0.9</v>
      </c>
      <c r="Y133" s="394">
        <v>0.9</v>
      </c>
    </row>
    <row r="134" spans="2:25">
      <c r="H134" s="731" t="s">
        <v>419</v>
      </c>
      <c r="I134" s="732"/>
      <c r="J134" s="732"/>
      <c r="K134" s="732"/>
      <c r="L134" s="732"/>
      <c r="M134" s="733"/>
    </row>
    <row r="135" spans="2:25">
      <c r="H135" s="377" t="s">
        <v>420</v>
      </c>
      <c r="I135" s="370">
        <v>682.18100000000004</v>
      </c>
      <c r="J135" s="370">
        <v>35.700000000000003</v>
      </c>
      <c r="K135" s="389">
        <v>24385526</v>
      </c>
      <c r="L135" s="370"/>
      <c r="M135" s="378"/>
    </row>
    <row r="136" spans="2:25">
      <c r="C136" s="348"/>
      <c r="D136" s="348"/>
      <c r="E136" s="348"/>
      <c r="H136" s="731" t="s">
        <v>421</v>
      </c>
      <c r="I136" s="732"/>
      <c r="J136" s="732"/>
      <c r="K136" s="732"/>
      <c r="L136" s="732"/>
      <c r="M136" s="733"/>
    </row>
    <row r="137" spans="2:25">
      <c r="H137" s="377" t="s">
        <v>420</v>
      </c>
      <c r="I137" s="370">
        <v>695.31399999999996</v>
      </c>
      <c r="J137" s="370">
        <v>43.4</v>
      </c>
      <c r="K137" s="389">
        <v>30161612</v>
      </c>
      <c r="L137" s="370"/>
      <c r="M137" s="378"/>
    </row>
    <row r="138" spans="2:25">
      <c r="H138" s="731" t="s">
        <v>422</v>
      </c>
      <c r="I138" s="732"/>
      <c r="J138" s="732"/>
      <c r="K138" s="732"/>
      <c r="L138" s="732"/>
      <c r="M138" s="733"/>
    </row>
    <row r="139" spans="2:25">
      <c r="H139" s="377" t="s">
        <v>417</v>
      </c>
      <c r="I139" s="370">
        <v>519.00300000000004</v>
      </c>
      <c r="J139" s="370">
        <v>31.7</v>
      </c>
      <c r="K139" s="389">
        <v>16475645</v>
      </c>
      <c r="L139" s="370"/>
      <c r="M139" s="378"/>
    </row>
    <row r="140" spans="2:25">
      <c r="H140" s="731" t="s">
        <v>423</v>
      </c>
      <c r="I140" s="732"/>
      <c r="J140" s="732"/>
      <c r="K140" s="732"/>
      <c r="L140" s="732"/>
      <c r="M140" s="733"/>
    </row>
    <row r="141" spans="2:25">
      <c r="H141" s="377" t="s">
        <v>420</v>
      </c>
      <c r="I141" s="388">
        <v>1147.0340000000001</v>
      </c>
      <c r="J141" s="370">
        <v>44</v>
      </c>
      <c r="K141" s="389">
        <v>50521954</v>
      </c>
      <c r="L141" s="370"/>
      <c r="M141" s="378"/>
    </row>
    <row r="142" spans="2:25">
      <c r="H142" s="731" t="s">
        <v>424</v>
      </c>
      <c r="I142" s="732"/>
      <c r="J142" s="732"/>
      <c r="K142" s="732"/>
      <c r="L142" s="732"/>
      <c r="M142" s="733"/>
    </row>
    <row r="143" spans="2:25">
      <c r="H143" s="377" t="s">
        <v>420</v>
      </c>
      <c r="I143" s="370">
        <v>252.4</v>
      </c>
      <c r="J143" s="370">
        <v>33</v>
      </c>
      <c r="K143" s="389">
        <v>8334447</v>
      </c>
      <c r="L143" s="370"/>
      <c r="M143" s="378"/>
    </row>
    <row r="144" spans="2:25">
      <c r="H144" s="731" t="s">
        <v>425</v>
      </c>
      <c r="I144" s="732"/>
      <c r="J144" s="732"/>
      <c r="K144" s="732"/>
      <c r="L144" s="732"/>
      <c r="M144" s="733"/>
    </row>
    <row r="145" spans="8:13" ht="15">
      <c r="H145" s="377" t="s">
        <v>420</v>
      </c>
      <c r="I145" s="370">
        <v>1276.7270000000001</v>
      </c>
      <c r="J145" s="370">
        <v>73.599999999999994</v>
      </c>
      <c r="K145" s="389">
        <v>93980760</v>
      </c>
      <c r="L145" s="395"/>
      <c r="M145" s="396"/>
    </row>
    <row r="146" spans="8:13">
      <c r="H146" s="731" t="s">
        <v>426</v>
      </c>
      <c r="I146" s="732"/>
      <c r="J146" s="732"/>
      <c r="K146" s="732"/>
      <c r="L146" s="732"/>
      <c r="M146" s="733"/>
    </row>
    <row r="147" spans="8:13">
      <c r="H147" s="377" t="s">
        <v>420</v>
      </c>
      <c r="I147" s="370">
        <v>93.600999999999999</v>
      </c>
      <c r="J147" s="370">
        <v>15.2</v>
      </c>
      <c r="K147" s="389">
        <v>1422008</v>
      </c>
      <c r="L147" s="370"/>
      <c r="M147" s="378"/>
    </row>
    <row r="148" spans="8:13">
      <c r="H148" s="731" t="s">
        <v>427</v>
      </c>
      <c r="I148" s="732"/>
      <c r="J148" s="732"/>
      <c r="K148" s="732"/>
      <c r="L148" s="732"/>
      <c r="M148" s="733"/>
    </row>
    <row r="149" spans="8:13">
      <c r="H149" s="377" t="s">
        <v>420</v>
      </c>
      <c r="I149" s="370">
        <v>22.779</v>
      </c>
      <c r="J149" s="370">
        <v>18.899999999999999</v>
      </c>
      <c r="K149" s="389">
        <v>431612</v>
      </c>
      <c r="L149" s="370"/>
      <c r="M149" s="378"/>
    </row>
    <row r="150" spans="8:13">
      <c r="H150" s="731" t="s">
        <v>821</v>
      </c>
      <c r="I150" s="732"/>
      <c r="J150" s="732"/>
      <c r="K150" s="732"/>
      <c r="L150" s="732"/>
      <c r="M150" s="733"/>
    </row>
    <row r="151" spans="8:13">
      <c r="H151" s="397" t="s">
        <v>417</v>
      </c>
      <c r="I151" s="398">
        <v>196.15100000000001</v>
      </c>
      <c r="J151" s="399">
        <v>302</v>
      </c>
      <c r="K151" s="400">
        <v>59201683</v>
      </c>
      <c r="L151" s="399"/>
      <c r="M151" s="401"/>
    </row>
    <row r="152" spans="8:13">
      <c r="H152" s="731" t="s">
        <v>428</v>
      </c>
      <c r="I152" s="732"/>
      <c r="J152" s="732"/>
      <c r="K152" s="732"/>
      <c r="L152" s="732"/>
      <c r="M152" s="733"/>
    </row>
    <row r="153" spans="8:13">
      <c r="H153" s="377" t="s">
        <v>420</v>
      </c>
      <c r="I153" s="388">
        <v>1104.548</v>
      </c>
      <c r="J153" s="370">
        <v>31.4</v>
      </c>
      <c r="K153" s="389">
        <v>34713263</v>
      </c>
      <c r="L153" s="370"/>
      <c r="M153" s="378"/>
    </row>
    <row r="154" spans="8:13">
      <c r="H154" s="734" t="s">
        <v>429</v>
      </c>
      <c r="I154" s="735"/>
      <c r="J154" s="735"/>
      <c r="K154" s="735"/>
      <c r="L154" s="735"/>
      <c r="M154" s="736"/>
    </row>
    <row r="155" spans="8:13">
      <c r="H155" s="404" t="s">
        <v>420</v>
      </c>
      <c r="I155" s="402">
        <v>206.142</v>
      </c>
      <c r="J155" s="402">
        <v>24.9</v>
      </c>
      <c r="K155" s="405">
        <v>5138244</v>
      </c>
      <c r="L155" s="402"/>
      <c r="M155" s="403"/>
    </row>
    <row r="156" spans="8:13">
      <c r="H156" s="734" t="s">
        <v>430</v>
      </c>
      <c r="I156" s="735"/>
      <c r="J156" s="735"/>
      <c r="K156" s="735"/>
      <c r="L156" s="735"/>
      <c r="M156" s="736"/>
    </row>
    <row r="157" spans="8:13" ht="13.5" thickBot="1">
      <c r="H157" s="406" t="s">
        <v>431</v>
      </c>
      <c r="I157" s="407">
        <v>43.308999999999997</v>
      </c>
      <c r="J157" s="407">
        <v>179.9</v>
      </c>
      <c r="K157" s="408">
        <v>7791301</v>
      </c>
      <c r="L157" s="409"/>
      <c r="M157" s="410"/>
    </row>
  </sheetData>
  <mergeCells count="18">
    <mergeCell ref="H130:H131"/>
    <mergeCell ref="I130:I131"/>
    <mergeCell ref="J130:J131"/>
    <mergeCell ref="K130:K131"/>
    <mergeCell ref="H128:K128"/>
    <mergeCell ref="H156:M156"/>
    <mergeCell ref="H154:M154"/>
    <mergeCell ref="H152:M152"/>
    <mergeCell ref="H150:M150"/>
    <mergeCell ref="H148:M148"/>
    <mergeCell ref="H136:M136"/>
    <mergeCell ref="H134:M134"/>
    <mergeCell ref="H132:M132"/>
    <mergeCell ref="H146:M146"/>
    <mergeCell ref="H144:M144"/>
    <mergeCell ref="H142:M142"/>
    <mergeCell ref="H140:M140"/>
    <mergeCell ref="H138:M138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zoomScale="85" zoomScaleNormal="85" workbookViewId="0">
      <pane xSplit="2" topLeftCell="C1" activePane="topRight" state="frozen"/>
      <selection pane="topRight" activeCell="O29" sqref="O29"/>
    </sheetView>
  </sheetViews>
  <sheetFormatPr defaultColWidth="9.140625" defaultRowHeight="12.75"/>
  <cols>
    <col min="1" max="1" width="5.5703125" style="267" customWidth="1"/>
    <col min="2" max="2" width="28.42578125" style="267" bestFit="1" customWidth="1"/>
    <col min="3" max="3" width="24.85546875" style="267" bestFit="1" customWidth="1"/>
    <col min="4" max="4" width="31.42578125" style="267" customWidth="1"/>
    <col min="5" max="5" width="48.5703125" style="267" bestFit="1" customWidth="1"/>
    <col min="6" max="6" width="40.140625" style="267" customWidth="1"/>
    <col min="7" max="7" width="11.140625" style="267" bestFit="1" customWidth="1"/>
    <col min="8" max="8" width="11.140625" style="267" customWidth="1"/>
    <col min="9" max="9" width="14.5703125" style="267" customWidth="1"/>
    <col min="10" max="10" width="12.5703125" style="267" customWidth="1"/>
    <col min="11" max="11" width="8.42578125" style="267" bestFit="1" customWidth="1"/>
    <col min="12" max="13" width="9.140625" style="267"/>
    <col min="14" max="14" width="11.140625" style="267" customWidth="1"/>
    <col min="15" max="15" width="14.42578125" style="267" customWidth="1"/>
    <col min="16" max="16" width="9.140625" style="267"/>
    <col min="17" max="17" width="15.5703125" style="267" customWidth="1"/>
    <col min="18" max="18" width="12.28515625" style="267" bestFit="1" customWidth="1"/>
    <col min="19" max="16384" width="9.140625" style="267"/>
  </cols>
  <sheetData>
    <row r="2" spans="2:18">
      <c r="E2" s="245" t="s">
        <v>338</v>
      </c>
      <c r="F2" s="236"/>
      <c r="G2" s="236"/>
      <c r="H2" s="236"/>
      <c r="I2" s="42"/>
      <c r="J2" s="42"/>
      <c r="K2" s="42"/>
    </row>
    <row r="3" spans="2:18" ht="38.25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339</v>
      </c>
      <c r="G3" s="71" t="s">
        <v>861</v>
      </c>
      <c r="H3" s="71" t="s">
        <v>341</v>
      </c>
      <c r="I3" s="73" t="s">
        <v>898</v>
      </c>
      <c r="J3" s="73" t="s">
        <v>504</v>
      </c>
      <c r="K3" s="73" t="s">
        <v>343</v>
      </c>
      <c r="L3" s="73" t="s">
        <v>344</v>
      </c>
      <c r="M3" s="73" t="s">
        <v>345</v>
      </c>
      <c r="O3" s="73" t="s">
        <v>346</v>
      </c>
      <c r="P3" s="73" t="s">
        <v>347</v>
      </c>
      <c r="Q3" s="73"/>
      <c r="R3" s="73" t="s">
        <v>348</v>
      </c>
    </row>
    <row r="4" spans="2:18" ht="45.75" thickBot="1">
      <c r="B4" s="74" t="s">
        <v>349</v>
      </c>
      <c r="C4" s="74" t="s">
        <v>350</v>
      </c>
      <c r="D4" s="74" t="s">
        <v>351</v>
      </c>
      <c r="E4" s="74" t="s">
        <v>352</v>
      </c>
      <c r="F4" s="74"/>
      <c r="G4" s="74" t="s">
        <v>353</v>
      </c>
      <c r="H4" s="74" t="s">
        <v>353</v>
      </c>
      <c r="I4" s="585" t="s">
        <v>897</v>
      </c>
      <c r="J4" s="585"/>
      <c r="K4" s="74" t="s">
        <v>355</v>
      </c>
      <c r="L4" s="74" t="s">
        <v>356</v>
      </c>
      <c r="M4" s="74"/>
      <c r="O4" s="74"/>
      <c r="P4" s="74"/>
      <c r="Q4" s="74"/>
      <c r="R4" s="74" t="s">
        <v>73</v>
      </c>
    </row>
    <row r="5" spans="2:18">
      <c r="B5" s="268" t="s">
        <v>253</v>
      </c>
      <c r="C5" s="322" t="s">
        <v>254</v>
      </c>
      <c r="E5" s="322"/>
      <c r="F5" s="322"/>
      <c r="G5" s="411">
        <f>K75/1000</f>
        <v>2101.1590000000001</v>
      </c>
      <c r="H5" s="411">
        <f>G5</f>
        <v>2101.1590000000001</v>
      </c>
      <c r="I5"/>
      <c r="J5"/>
      <c r="K5" s="87"/>
      <c r="L5" s="411">
        <v>1</v>
      </c>
      <c r="M5" s="411">
        <v>1</v>
      </c>
    </row>
    <row r="6" spans="2:18">
      <c r="B6" s="269"/>
      <c r="C6" s="562"/>
      <c r="D6" s="563" t="str">
        <f>$D$70</f>
        <v>AGR_LIVESTOCK_FOOD</v>
      </c>
      <c r="E6" s="559"/>
      <c r="F6" s="559"/>
      <c r="G6" s="560"/>
      <c r="H6" s="575"/>
      <c r="I6" s="576">
        <v>1</v>
      </c>
      <c r="J6" s="576">
        <v>1</v>
      </c>
      <c r="K6" s="560"/>
      <c r="L6" s="560"/>
      <c r="M6" s="560"/>
    </row>
    <row r="7" spans="2:18">
      <c r="B7" s="269"/>
      <c r="C7" s="562"/>
      <c r="D7" s="563" t="str">
        <f>AGR_Comm!$D$93</f>
        <v>AGR_MACH_WORK</v>
      </c>
      <c r="E7" s="269"/>
      <c r="F7" s="269"/>
      <c r="G7" s="412"/>
      <c r="H7" s="575"/>
      <c r="I7" s="586">
        <f>AGR_SVC!N134</f>
        <v>2.4603961685548377E-4</v>
      </c>
      <c r="J7" s="586">
        <f>AGR_SVC!AB134</f>
        <v>1.2782899365217391E-4</v>
      </c>
      <c r="K7" s="412"/>
      <c r="L7" s="412"/>
      <c r="M7" s="412"/>
    </row>
    <row r="8" spans="2:18">
      <c r="B8" s="269"/>
      <c r="C8" s="562"/>
      <c r="D8" s="563" t="str">
        <f>AGR_Comm!$D$95</f>
        <v>AGR_LIV_HT</v>
      </c>
      <c r="E8" s="269"/>
      <c r="F8" s="269"/>
      <c r="G8" s="412"/>
      <c r="H8" s="412"/>
      <c r="I8" s="586">
        <f>AGR_SVC!P134</f>
        <v>1.0790472261381486E-4</v>
      </c>
      <c r="J8" s="586">
        <f>AGR_SVC!AD134</f>
        <v>1.0587536494605309E-4</v>
      </c>
      <c r="K8" s="412"/>
      <c r="L8" s="412"/>
      <c r="M8" s="412"/>
    </row>
    <row r="9" spans="2:18">
      <c r="B9" s="269"/>
      <c r="C9" s="562"/>
      <c r="D9" s="563" t="str">
        <f>AGR_Comm!$D$96</f>
        <v>AGR_LIV_ELC_SVC</v>
      </c>
      <c r="E9" s="269"/>
      <c r="F9" s="269"/>
      <c r="G9" s="412"/>
      <c r="H9" s="412"/>
      <c r="I9" s="586">
        <f>AGR_SVC!Q134</f>
        <v>3.6661359528255492E-4</v>
      </c>
      <c r="J9" s="586">
        <f>AGR_SVC!AE134</f>
        <v>1.4217359794395463E-3</v>
      </c>
      <c r="K9" s="412"/>
      <c r="L9" s="412"/>
      <c r="M9" s="412"/>
    </row>
    <row r="10" spans="2:18">
      <c r="B10" s="269"/>
      <c r="C10" s="562"/>
      <c r="D10" s="564" t="str">
        <f>AGR_Comm!$D$97</f>
        <v>AGR_OTH_SVC</v>
      </c>
      <c r="E10" s="269"/>
      <c r="F10" s="269"/>
      <c r="G10" s="412"/>
      <c r="H10" s="412"/>
      <c r="I10" s="587">
        <f>AGR_SVC!R134</f>
        <v>3.7755318964465847E-4</v>
      </c>
      <c r="J10" s="587">
        <f>AGR_SVC!AF134</f>
        <v>4.7568086352624907E-4</v>
      </c>
      <c r="K10" s="577"/>
      <c r="L10" s="412"/>
      <c r="M10" s="412"/>
    </row>
    <row r="11" spans="2:18">
      <c r="B11" s="271"/>
      <c r="C11" s="559"/>
      <c r="D11" s="269"/>
      <c r="E11" s="272" t="s">
        <v>152</v>
      </c>
      <c r="F11" s="271"/>
      <c r="G11" s="240"/>
      <c r="H11" s="240"/>
      <c r="I11"/>
      <c r="J11"/>
      <c r="K11" s="412"/>
      <c r="L11" s="240"/>
      <c r="M11" s="240"/>
      <c r="R11" s="561"/>
    </row>
    <row r="12" spans="2:18">
      <c r="B12" s="271"/>
      <c r="C12" s="271"/>
      <c r="D12" s="271"/>
      <c r="E12" s="273" t="s">
        <v>106</v>
      </c>
      <c r="F12" s="271"/>
      <c r="G12" s="240"/>
      <c r="H12" s="240"/>
      <c r="I12" s="240"/>
      <c r="J12" s="240"/>
      <c r="K12" s="413">
        <f>O12*P12</f>
        <v>7.0925000000000002</v>
      </c>
      <c r="L12" s="240"/>
      <c r="M12" s="240"/>
      <c r="O12" s="282">
        <v>14.185</v>
      </c>
      <c r="P12" s="273">
        <v>0.5</v>
      </c>
      <c r="R12" s="571">
        <f>K12*H5</f>
        <v>14902.4702075</v>
      </c>
    </row>
    <row r="13" spans="2:18">
      <c r="B13" s="271"/>
      <c r="C13" s="271"/>
      <c r="D13" s="271"/>
      <c r="E13" s="271"/>
      <c r="F13" s="565" t="s">
        <v>100</v>
      </c>
      <c r="G13" s="240"/>
      <c r="H13" s="240"/>
      <c r="I13" s="240"/>
      <c r="J13" s="240"/>
      <c r="K13" s="570">
        <v>0.1056</v>
      </c>
      <c r="L13" s="240"/>
      <c r="M13" s="240"/>
      <c r="O13" s="440"/>
    </row>
    <row r="14" spans="2:18">
      <c r="B14" s="271"/>
      <c r="C14" s="271"/>
      <c r="D14" s="271"/>
      <c r="E14" s="271"/>
      <c r="F14" s="566" t="s">
        <v>102</v>
      </c>
      <c r="G14" s="240"/>
      <c r="H14" s="240"/>
      <c r="I14" s="240"/>
      <c r="J14" s="240"/>
      <c r="K14" s="569">
        <f>0.01438</f>
        <v>1.438E-2</v>
      </c>
      <c r="L14" s="240"/>
      <c r="M14" s="240"/>
      <c r="O14" s="440"/>
    </row>
    <row r="15" spans="2:18">
      <c r="B15" s="271"/>
      <c r="C15" s="271"/>
      <c r="D15" s="271"/>
      <c r="E15" s="271"/>
      <c r="F15" s="566" t="s">
        <v>98</v>
      </c>
      <c r="G15" s="240"/>
      <c r="H15" s="240"/>
      <c r="I15" s="240"/>
      <c r="J15" s="240"/>
      <c r="K15" s="569">
        <f>120/1000000</f>
        <v>1.2E-4</v>
      </c>
      <c r="L15" s="240"/>
      <c r="M15" s="240"/>
      <c r="O15" s="440"/>
    </row>
    <row r="16" spans="2:18">
      <c r="B16" s="275" t="s">
        <v>255</v>
      </c>
      <c r="C16" s="556" t="s">
        <v>256</v>
      </c>
      <c r="D16" s="556"/>
      <c r="E16" s="556"/>
      <c r="F16" s="567"/>
      <c r="G16" s="557">
        <f>(J75-K75)/1000</f>
        <v>4089.768</v>
      </c>
      <c r="H16" s="557">
        <f>G16</f>
        <v>4089.768</v>
      </c>
      <c r="I16" s="558"/>
      <c r="J16" s="558"/>
      <c r="K16" s="568"/>
      <c r="L16" s="557">
        <v>1</v>
      </c>
      <c r="M16" s="557">
        <v>1</v>
      </c>
      <c r="O16" s="440"/>
    </row>
    <row r="17" spans="2:18">
      <c r="B17" s="276"/>
      <c r="C17" s="552"/>
      <c r="D17" s="553" t="str">
        <f>$D$70</f>
        <v>AGR_LIVESTOCK_FOOD</v>
      </c>
      <c r="E17" s="552"/>
      <c r="F17" s="552"/>
      <c r="G17" s="554"/>
      <c r="H17" s="554"/>
      <c r="I17" s="555">
        <v>1</v>
      </c>
      <c r="J17" s="555">
        <v>1</v>
      </c>
      <c r="K17" s="554"/>
      <c r="L17" s="554"/>
      <c r="M17" s="554"/>
      <c r="O17" s="440"/>
    </row>
    <row r="18" spans="2:18">
      <c r="B18" s="276"/>
      <c r="C18" s="276"/>
      <c r="D18" s="277" t="str">
        <f>AGR_Comm!$D$93</f>
        <v>AGR_MACH_WORK</v>
      </c>
      <c r="E18" s="276"/>
      <c r="F18" s="276"/>
      <c r="G18" s="241"/>
      <c r="H18" s="241"/>
      <c r="I18" s="588">
        <f>AGR_SVC!N135</f>
        <v>1.8452971264161283E-4</v>
      </c>
      <c r="J18" s="588">
        <f>AGR_SVC!AB135</f>
        <v>9.5871745239130434E-5</v>
      </c>
      <c r="K18" s="241"/>
      <c r="L18" s="241"/>
      <c r="M18" s="241"/>
      <c r="O18" s="440"/>
    </row>
    <row r="19" spans="2:18">
      <c r="B19" s="276"/>
      <c r="C19" s="276"/>
      <c r="D19" s="277" t="str">
        <f>AGR_Comm!$D$95</f>
        <v>AGR_LIV_HT</v>
      </c>
      <c r="E19" s="276"/>
      <c r="F19" s="276"/>
      <c r="G19" s="241"/>
      <c r="H19" s="241"/>
      <c r="I19" s="588">
        <f>AGR_SVC!P135</f>
        <v>5.3952361306907428E-5</v>
      </c>
      <c r="J19" s="588">
        <f>AGR_SVC!AD135</f>
        <v>5.2937682473026543E-5</v>
      </c>
      <c r="K19" s="241"/>
      <c r="L19" s="241"/>
      <c r="M19" s="241"/>
      <c r="O19" s="440"/>
    </row>
    <row r="20" spans="2:18">
      <c r="B20" s="276"/>
      <c r="C20" s="276"/>
      <c r="D20" s="277" t="str">
        <f>AGR_Comm!$D$96</f>
        <v>AGR_LIV_ELC_SVC</v>
      </c>
      <c r="E20" s="276"/>
      <c r="F20" s="276"/>
      <c r="G20" s="241"/>
      <c r="H20" s="241"/>
      <c r="I20" s="588">
        <f>AGR_SVC!Q135</f>
        <v>7.3322719056510989E-5</v>
      </c>
      <c r="J20" s="588">
        <f>AGR_SVC!AE135</f>
        <v>2.8434719588790925E-4</v>
      </c>
      <c r="K20" s="241"/>
      <c r="L20" s="241"/>
      <c r="M20" s="241"/>
      <c r="O20" s="440"/>
    </row>
    <row r="21" spans="2:18">
      <c r="B21" s="276"/>
      <c r="C21" s="276"/>
      <c r="D21" s="277" t="str">
        <f>AGR_Comm!$D$97</f>
        <v>AGR_OTH_SVC</v>
      </c>
      <c r="E21" s="276"/>
      <c r="F21" s="276"/>
      <c r="G21" s="241"/>
      <c r="H21" s="241"/>
      <c r="I21" s="588">
        <f>AGR_SVC!R135</f>
        <v>2.0765425430456218E-4</v>
      </c>
      <c r="J21" s="588">
        <f>AGR_SVC!AF135</f>
        <v>2.6162447493943702E-4</v>
      </c>
      <c r="K21" s="241"/>
      <c r="L21" s="241"/>
      <c r="M21" s="241"/>
      <c r="O21" s="440"/>
    </row>
    <row r="22" spans="2:18">
      <c r="B22" s="276"/>
      <c r="C22" s="276"/>
      <c r="D22" s="276"/>
      <c r="E22" s="272" t="s">
        <v>153</v>
      </c>
      <c r="F22" s="276"/>
      <c r="G22" s="241"/>
      <c r="H22" s="241"/>
      <c r="I22" s="241"/>
      <c r="J22" s="241"/>
      <c r="K22" s="241"/>
      <c r="L22" s="241"/>
      <c r="M22" s="241"/>
      <c r="O22" s="440"/>
      <c r="P22" s="561"/>
      <c r="R22" s="561"/>
    </row>
    <row r="23" spans="2:18">
      <c r="B23" s="276"/>
      <c r="C23" s="276"/>
      <c r="D23" s="276"/>
      <c r="E23" s="273" t="s">
        <v>108</v>
      </c>
      <c r="F23" s="276"/>
      <c r="G23" s="241"/>
      <c r="H23" s="241"/>
      <c r="I23" s="241"/>
      <c r="J23" s="241"/>
      <c r="K23" s="413">
        <f>O23*P23</f>
        <v>2.9369999999999998</v>
      </c>
      <c r="L23" s="241"/>
      <c r="M23" s="241"/>
      <c r="O23" s="282">
        <v>5.8739999999999997</v>
      </c>
      <c r="P23" s="571">
        <v>0.5</v>
      </c>
      <c r="R23" s="572">
        <f>K23*H16</f>
        <v>12011.648615999999</v>
      </c>
    </row>
    <row r="24" spans="2:18">
      <c r="B24" s="276"/>
      <c r="C24" s="276"/>
      <c r="D24" s="276"/>
      <c r="E24" s="276"/>
      <c r="F24" s="278" t="s">
        <v>100</v>
      </c>
      <c r="G24" s="241"/>
      <c r="H24" s="241"/>
      <c r="I24" s="241"/>
      <c r="J24" s="241"/>
      <c r="K24" s="416">
        <v>5.3100000000000001E-2</v>
      </c>
      <c r="L24" s="241"/>
      <c r="M24" s="241"/>
      <c r="O24" s="440"/>
    </row>
    <row r="25" spans="2:18">
      <c r="B25" s="276"/>
      <c r="C25" s="276"/>
      <c r="D25" s="276"/>
      <c r="E25" s="276"/>
      <c r="F25" s="278" t="s">
        <v>102</v>
      </c>
      <c r="G25" s="241"/>
      <c r="H25" s="241"/>
      <c r="I25" s="241"/>
      <c r="J25" s="241"/>
      <c r="K25" s="416">
        <v>8.5800000000000008E-3</v>
      </c>
      <c r="L25" s="241"/>
      <c r="M25" s="241"/>
      <c r="O25" s="440"/>
    </row>
    <row r="26" spans="2:18">
      <c r="B26" s="276"/>
      <c r="C26" s="276"/>
      <c r="D26" s="276"/>
      <c r="E26" s="276"/>
      <c r="F26" s="278" t="s">
        <v>98</v>
      </c>
      <c r="G26" s="241"/>
      <c r="H26" s="241"/>
      <c r="I26" s="241"/>
      <c r="J26" s="241"/>
      <c r="K26" s="416">
        <v>1.44E-4</v>
      </c>
      <c r="L26" s="241"/>
      <c r="M26" s="241"/>
      <c r="O26" s="440"/>
    </row>
    <row r="27" spans="2:18">
      <c r="B27" s="275" t="s">
        <v>257</v>
      </c>
      <c r="C27" s="271" t="s">
        <v>258</v>
      </c>
      <c r="E27" s="271"/>
      <c r="F27" s="271"/>
      <c r="G27" s="414">
        <f>N75/1000</f>
        <v>269.53800000000001</v>
      </c>
      <c r="H27" s="414">
        <f>G27</f>
        <v>269.53800000000001</v>
      </c>
      <c r="I27"/>
      <c r="J27"/>
      <c r="K27" s="240"/>
      <c r="L27" s="414">
        <v>1</v>
      </c>
      <c r="M27" s="414">
        <v>1</v>
      </c>
      <c r="O27" s="440"/>
    </row>
    <row r="28" spans="2:18">
      <c r="B28" s="271"/>
      <c r="C28" s="271"/>
      <c r="D28" s="277" t="str">
        <f>$D$70</f>
        <v>AGR_LIVESTOCK_FOOD</v>
      </c>
      <c r="E28" s="271"/>
      <c r="F28" s="271"/>
      <c r="G28" s="240"/>
      <c r="H28" s="240"/>
      <c r="I28" s="415">
        <v>1</v>
      </c>
      <c r="J28" s="415">
        <v>1</v>
      </c>
      <c r="K28" s="240"/>
      <c r="L28" s="240"/>
      <c r="M28" s="240"/>
      <c r="O28" s="440"/>
    </row>
    <row r="29" spans="2:18">
      <c r="B29" s="271"/>
      <c r="C29" s="271"/>
      <c r="D29" s="271"/>
      <c r="E29" s="272" t="s">
        <v>154</v>
      </c>
      <c r="F29" s="271"/>
      <c r="G29" s="240"/>
      <c r="H29" s="240"/>
      <c r="I29" s="240"/>
      <c r="J29" s="240"/>
      <c r="K29" s="240"/>
      <c r="L29" s="240"/>
      <c r="M29" s="240"/>
      <c r="O29" s="573"/>
      <c r="P29" s="561"/>
      <c r="Q29" s="561"/>
      <c r="R29" s="561"/>
    </row>
    <row r="30" spans="2:18">
      <c r="B30" s="271" t="s">
        <v>90</v>
      </c>
      <c r="C30" s="271"/>
      <c r="D30" s="271"/>
      <c r="E30" s="273" t="s">
        <v>110</v>
      </c>
      <c r="F30" s="271"/>
      <c r="G30" s="240"/>
      <c r="H30" s="240"/>
      <c r="I30" s="240"/>
      <c r="J30" s="240"/>
      <c r="K30" s="413">
        <f>O30*P30</f>
        <v>0.34200000000000003</v>
      </c>
      <c r="L30" s="240"/>
      <c r="M30" s="240"/>
      <c r="O30" s="574">
        <v>0.68400000000000005</v>
      </c>
      <c r="P30" s="571">
        <v>0.5</v>
      </c>
      <c r="Q30" s="562"/>
      <c r="R30" s="571">
        <f>K30*H27</f>
        <v>92.181996000000012</v>
      </c>
    </row>
    <row r="31" spans="2:18">
      <c r="B31" s="271"/>
      <c r="C31" s="271"/>
      <c r="D31" s="271"/>
      <c r="E31" s="271"/>
      <c r="F31" s="278" t="s">
        <v>100</v>
      </c>
      <c r="G31" s="240"/>
      <c r="H31" s="240"/>
      <c r="I31" s="240"/>
      <c r="J31" s="240"/>
      <c r="K31" s="416">
        <v>8.0000000000000002E-3</v>
      </c>
      <c r="L31" s="240"/>
      <c r="M31" s="240"/>
      <c r="O31" s="440"/>
    </row>
    <row r="32" spans="2:18">
      <c r="B32" s="271"/>
      <c r="C32" s="271"/>
      <c r="D32" s="271"/>
      <c r="E32" s="271"/>
      <c r="F32" s="278" t="s">
        <v>102</v>
      </c>
      <c r="G32" s="240"/>
      <c r="H32" s="240"/>
      <c r="I32" s="240"/>
      <c r="J32" s="240"/>
      <c r="K32" s="416">
        <v>1.1299999999999999E-3</v>
      </c>
      <c r="L32" s="240"/>
      <c r="M32" s="240"/>
      <c r="O32" s="440"/>
    </row>
    <row r="33" spans="2:18">
      <c r="B33" s="271"/>
      <c r="C33" s="271"/>
      <c r="D33" s="271"/>
      <c r="E33" s="271"/>
      <c r="F33" s="278" t="s">
        <v>98</v>
      </c>
      <c r="G33" s="240"/>
      <c r="H33" s="240"/>
      <c r="I33" s="240"/>
      <c r="J33" s="240"/>
      <c r="K33" s="416">
        <v>1.8E-5</v>
      </c>
      <c r="L33" s="240"/>
      <c r="M33" s="240"/>
      <c r="O33" s="440"/>
    </row>
    <row r="34" spans="2:18">
      <c r="B34" s="275" t="s">
        <v>259</v>
      </c>
      <c r="C34" s="276" t="s">
        <v>260</v>
      </c>
      <c r="D34" s="276"/>
      <c r="E34" s="276"/>
      <c r="F34" s="276"/>
      <c r="G34" s="414">
        <f>L75/1000</f>
        <v>9078.25</v>
      </c>
      <c r="H34" s="414">
        <f>G34</f>
        <v>9078.25</v>
      </c>
      <c r="I34" s="241"/>
      <c r="J34" s="241"/>
      <c r="K34" s="241"/>
      <c r="L34" s="414">
        <v>1</v>
      </c>
      <c r="M34" s="414">
        <v>1</v>
      </c>
      <c r="O34" s="440"/>
    </row>
    <row r="35" spans="2:18">
      <c r="B35" s="276"/>
      <c r="C35" s="276"/>
      <c r="D35" s="277" t="str">
        <f>$D$70</f>
        <v>AGR_LIVESTOCK_FOOD</v>
      </c>
      <c r="E35" s="276"/>
      <c r="F35" s="276"/>
      <c r="G35" s="241"/>
      <c r="H35" s="241"/>
      <c r="I35" s="415">
        <v>1</v>
      </c>
      <c r="J35" s="415">
        <v>1</v>
      </c>
      <c r="K35" s="241"/>
      <c r="L35" s="241"/>
      <c r="M35" s="241"/>
      <c r="O35" s="440"/>
    </row>
    <row r="36" spans="2:18">
      <c r="B36" s="276"/>
      <c r="C36" s="276"/>
      <c r="D36" s="277" t="str">
        <f>AGR_Comm!$D$93</f>
        <v>AGR_MACH_WORK</v>
      </c>
      <c r="E36" s="276"/>
      <c r="F36" s="276"/>
      <c r="G36" s="241"/>
      <c r="H36" s="241"/>
      <c r="I36" s="588">
        <f>AGR_SVC!N136</f>
        <v>4.4287131033987078E-5</v>
      </c>
      <c r="J36" s="588">
        <f>AGR_SVC!AB136</f>
        <v>2.3009218857391302E-5</v>
      </c>
      <c r="K36" s="241"/>
      <c r="L36" s="241"/>
      <c r="M36" s="241"/>
      <c r="O36" s="440"/>
    </row>
    <row r="37" spans="2:18">
      <c r="B37" s="276"/>
      <c r="C37" s="276"/>
      <c r="D37" s="277" t="str">
        <f>AGR_Comm!$D$95</f>
        <v>AGR_LIV_HT</v>
      </c>
      <c r="E37" s="276"/>
      <c r="F37" s="276"/>
      <c r="G37" s="241"/>
      <c r="H37" s="241"/>
      <c r="I37" s="588">
        <f>AGR_SVC!P136</f>
        <v>3.3450464010282606E-4</v>
      </c>
      <c r="J37" s="588">
        <f>AGR_SVC!AD136</f>
        <v>3.2821363133276455E-4</v>
      </c>
      <c r="K37" s="241"/>
      <c r="L37" s="241"/>
      <c r="M37" s="241"/>
      <c r="O37" s="440"/>
    </row>
    <row r="38" spans="2:18">
      <c r="B38" s="276"/>
      <c r="C38" s="276"/>
      <c r="D38" s="277" t="str">
        <f>AGR_Comm!$D$96</f>
        <v>AGR_LIV_ELC_SVC</v>
      </c>
      <c r="E38" s="276"/>
      <c r="F38" s="276"/>
      <c r="G38" s="241"/>
      <c r="H38" s="241"/>
      <c r="I38" s="588">
        <f>AGR_SVC!Q136</f>
        <v>9.165339882063873E-5</v>
      </c>
      <c r="J38" s="588">
        <f>AGR_SVC!AE136</f>
        <v>3.5543399485988658E-4</v>
      </c>
      <c r="K38" s="241"/>
      <c r="L38" s="241"/>
      <c r="M38" s="241"/>
      <c r="O38" s="440"/>
    </row>
    <row r="39" spans="2:18">
      <c r="B39" s="276"/>
      <c r="C39" s="276"/>
      <c r="D39" s="277" t="str">
        <f>AGR_Comm!$D$97</f>
        <v>AGR_OTH_SVC</v>
      </c>
      <c r="E39" s="276"/>
      <c r="F39" s="276"/>
      <c r="G39" s="241"/>
      <c r="H39" s="241"/>
      <c r="I39" s="588">
        <f>AGR_SVC!R136</f>
        <v>3.0204255171572679E-4</v>
      </c>
      <c r="J39" s="588">
        <f>AGR_SVC!AF136</f>
        <v>3.8054469082099928E-4</v>
      </c>
      <c r="K39" s="241"/>
      <c r="L39" s="241"/>
      <c r="M39" s="241"/>
      <c r="O39" s="440"/>
    </row>
    <row r="40" spans="2:18">
      <c r="B40" s="276"/>
      <c r="C40" s="276"/>
      <c r="D40" s="276"/>
      <c r="E40" s="272" t="s">
        <v>155</v>
      </c>
      <c r="F40" s="276"/>
      <c r="G40" s="241"/>
      <c r="H40" s="241"/>
      <c r="I40" s="241"/>
      <c r="J40" s="241"/>
      <c r="K40" s="241"/>
      <c r="L40" s="241"/>
      <c r="M40" s="241"/>
      <c r="O40" s="440"/>
    </row>
    <row r="41" spans="2:18">
      <c r="B41" s="276"/>
      <c r="C41" s="276"/>
      <c r="D41" s="276"/>
      <c r="E41" s="273" t="s">
        <v>112</v>
      </c>
      <c r="F41" s="276"/>
      <c r="G41" s="241"/>
      <c r="H41" s="241"/>
      <c r="I41" s="241"/>
      <c r="J41" s="241"/>
      <c r="K41" s="413">
        <f>O41*P41</f>
        <v>1.0329999999999999</v>
      </c>
      <c r="L41" s="241"/>
      <c r="M41" s="241"/>
      <c r="O41" s="282">
        <v>2.0659999999999998</v>
      </c>
      <c r="P41" s="274">
        <v>0.5</v>
      </c>
      <c r="R41" s="274">
        <f>K41*H34</f>
        <v>9377.8322499999995</v>
      </c>
    </row>
    <row r="42" spans="2:18">
      <c r="B42" s="276"/>
      <c r="C42" s="276"/>
      <c r="D42" s="276"/>
      <c r="E42" s="276"/>
      <c r="F42" s="278" t="s">
        <v>100</v>
      </c>
      <c r="G42" s="241"/>
      <c r="H42" s="241"/>
      <c r="I42" s="241"/>
      <c r="J42" s="241"/>
      <c r="K42" s="416">
        <v>1.5E-3</v>
      </c>
      <c r="L42" s="241"/>
      <c r="M42" s="241"/>
      <c r="O42" s="440"/>
    </row>
    <row r="43" spans="2:18">
      <c r="B43" s="276"/>
      <c r="C43" s="276"/>
      <c r="D43" s="276"/>
      <c r="E43" s="276"/>
      <c r="F43" s="278" t="s">
        <v>102</v>
      </c>
      <c r="G43" s="241"/>
      <c r="H43" s="241"/>
      <c r="I43" s="241"/>
      <c r="J43" s="241"/>
      <c r="K43" s="416">
        <v>4.2399999999999998E-3</v>
      </c>
      <c r="L43" s="241"/>
      <c r="M43" s="241"/>
      <c r="O43" s="440"/>
    </row>
    <row r="44" spans="2:18">
      <c r="B44" s="276"/>
      <c r="C44" s="276"/>
      <c r="D44" s="276"/>
      <c r="E44" s="276"/>
      <c r="F44" s="278" t="s">
        <v>98</v>
      </c>
      <c r="G44" s="241"/>
      <c r="H44" s="241"/>
      <c r="I44" s="241"/>
      <c r="J44" s="241"/>
      <c r="K44" s="416">
        <v>2.5999999999999998E-4</v>
      </c>
      <c r="L44" s="241"/>
      <c r="M44" s="241"/>
      <c r="O44" s="440"/>
    </row>
    <row r="45" spans="2:18">
      <c r="B45" s="275" t="s">
        <v>261</v>
      </c>
      <c r="C45" s="271" t="s">
        <v>262</v>
      </c>
      <c r="E45" s="271"/>
      <c r="F45" s="271"/>
      <c r="G45" s="414">
        <f>P75/1000</f>
        <v>64.180000000000007</v>
      </c>
      <c r="H45" s="414">
        <f>G45</f>
        <v>64.180000000000007</v>
      </c>
      <c r="I45"/>
      <c r="J45"/>
      <c r="K45" s="240"/>
      <c r="L45" s="414">
        <v>1</v>
      </c>
      <c r="M45" s="414">
        <v>1</v>
      </c>
      <c r="O45" s="440"/>
    </row>
    <row r="46" spans="2:18">
      <c r="B46" s="271"/>
      <c r="C46" s="271"/>
      <c r="D46" s="277" t="str">
        <f>$D$70</f>
        <v>AGR_LIVESTOCK_FOOD</v>
      </c>
      <c r="E46" s="271"/>
      <c r="F46" s="271"/>
      <c r="G46" s="240"/>
      <c r="H46" s="240"/>
      <c r="I46" s="415">
        <v>1</v>
      </c>
      <c r="J46" s="415">
        <v>1</v>
      </c>
      <c r="K46" s="240"/>
      <c r="L46" s="240"/>
      <c r="M46" s="240"/>
      <c r="O46" s="440"/>
    </row>
    <row r="47" spans="2:18">
      <c r="B47" s="271"/>
      <c r="C47" s="271"/>
      <c r="D47" s="271"/>
      <c r="E47" s="272" t="s">
        <v>156</v>
      </c>
      <c r="F47" s="271"/>
      <c r="G47" s="240"/>
      <c r="H47" s="240"/>
      <c r="I47" s="240"/>
      <c r="J47" s="240"/>
      <c r="K47" s="240"/>
      <c r="L47" s="240"/>
      <c r="M47" s="240"/>
      <c r="O47" s="440"/>
    </row>
    <row r="48" spans="2:18">
      <c r="B48" s="271" t="s">
        <v>90</v>
      </c>
      <c r="C48" s="271"/>
      <c r="D48" s="271"/>
      <c r="E48" s="273" t="s">
        <v>114</v>
      </c>
      <c r="F48" s="271"/>
      <c r="G48" s="240"/>
      <c r="H48" s="240"/>
      <c r="I48" s="240"/>
      <c r="J48" s="240"/>
      <c r="K48" s="413">
        <f>O48*P48</f>
        <v>0</v>
      </c>
      <c r="L48" s="240"/>
      <c r="M48" s="240"/>
      <c r="O48" s="282">
        <v>0.76500000000000001</v>
      </c>
      <c r="P48" s="274">
        <v>0</v>
      </c>
      <c r="R48" s="274">
        <f>K48*H45</f>
        <v>0</v>
      </c>
    </row>
    <row r="49" spans="2:32">
      <c r="B49" s="271"/>
      <c r="C49" s="271"/>
      <c r="D49" s="271"/>
      <c r="E49" s="271"/>
      <c r="F49" s="278" t="s">
        <v>100</v>
      </c>
      <c r="G49" s="240"/>
      <c r="H49" s="240"/>
      <c r="I49" s="240"/>
      <c r="J49" s="240"/>
      <c r="K49" s="416">
        <v>5.00000000000004E-3</v>
      </c>
      <c r="L49" s="240"/>
      <c r="M49" s="240"/>
      <c r="O49" s="440"/>
    </row>
    <row r="50" spans="2:32">
      <c r="B50" s="271"/>
      <c r="C50" s="271"/>
      <c r="D50" s="271"/>
      <c r="E50" s="271"/>
      <c r="F50" s="278" t="s">
        <v>102</v>
      </c>
      <c r="G50" s="240"/>
      <c r="H50" s="240"/>
      <c r="I50" s="240"/>
      <c r="J50" s="240"/>
      <c r="K50" s="416">
        <v>1.6100000000000001E-3</v>
      </c>
      <c r="L50" s="240"/>
      <c r="M50" s="240"/>
      <c r="O50" s="440"/>
      <c r="AF50" s="279" t="s">
        <v>357</v>
      </c>
    </row>
    <row r="51" spans="2:32">
      <c r="B51" s="271"/>
      <c r="C51" s="271"/>
      <c r="D51" s="271"/>
      <c r="E51" s="271"/>
      <c r="F51" s="278" t="s">
        <v>98</v>
      </c>
      <c r="G51" s="240"/>
      <c r="H51" s="240"/>
      <c r="I51" s="240"/>
      <c r="J51" s="240"/>
      <c r="K51" s="416">
        <v>1.8E-5</v>
      </c>
      <c r="L51" s="240"/>
      <c r="M51" s="240"/>
      <c r="O51" s="440"/>
    </row>
    <row r="52" spans="2:32">
      <c r="B52" s="275" t="s">
        <v>265</v>
      </c>
      <c r="C52" s="280" t="s">
        <v>266</v>
      </c>
      <c r="D52" s="281"/>
      <c r="E52" s="280"/>
      <c r="F52" s="280"/>
      <c r="G52" s="414">
        <f>K79/1000</f>
        <v>268862.57400000002</v>
      </c>
      <c r="H52" s="414">
        <f>G52</f>
        <v>268862.57400000002</v>
      </c>
      <c r="I52" s="417"/>
      <c r="J52" s="417"/>
      <c r="K52" s="242"/>
      <c r="L52" s="414">
        <v>1</v>
      </c>
      <c r="M52" s="414">
        <v>1</v>
      </c>
      <c r="O52" s="440"/>
    </row>
    <row r="53" spans="2:32">
      <c r="B53" s="280"/>
      <c r="C53" s="280"/>
      <c r="D53" s="277" t="str">
        <f>$D$70</f>
        <v>AGR_LIVESTOCK_FOOD</v>
      </c>
      <c r="E53" s="280"/>
      <c r="F53" s="280"/>
      <c r="G53" s="242"/>
      <c r="H53" s="242"/>
      <c r="I53" s="415">
        <v>1</v>
      </c>
      <c r="J53" s="415">
        <v>1</v>
      </c>
      <c r="K53" s="242"/>
      <c r="L53" s="242"/>
      <c r="M53" s="242"/>
      <c r="O53" s="440"/>
    </row>
    <row r="54" spans="2:32">
      <c r="B54" s="280"/>
      <c r="C54" s="280"/>
      <c r="D54" s="277" t="str">
        <f>AGR_Comm!$D$93</f>
        <v>AGR_MACH_WORK</v>
      </c>
      <c r="E54" s="280"/>
      <c r="F54" s="280"/>
      <c r="G54" s="242"/>
      <c r="H54" s="242"/>
      <c r="I54" s="588">
        <f>AGR_SVC!N137</f>
        <v>2.4603961685548378E-6</v>
      </c>
      <c r="J54" s="588">
        <f>AGR_SVC!AB137</f>
        <v>1.2782899365217391E-6</v>
      </c>
      <c r="K54" s="242"/>
      <c r="L54" s="242"/>
      <c r="M54" s="242"/>
      <c r="O54" s="440"/>
    </row>
    <row r="55" spans="2:32">
      <c r="B55" s="280"/>
      <c r="C55" s="280"/>
      <c r="D55" s="277" t="str">
        <f>AGR_Comm!$D$95</f>
        <v>AGR_LIV_HT</v>
      </c>
      <c r="E55" s="280"/>
      <c r="F55" s="280"/>
      <c r="G55" s="242"/>
      <c r="H55" s="242"/>
      <c r="I55" s="588">
        <f>AGR_SVC!P137</f>
        <v>2.6976180653453714E-5</v>
      </c>
      <c r="J55" s="588">
        <f>AGR_SVC!AD137</f>
        <v>2.6468841236513271E-5</v>
      </c>
      <c r="K55" s="242"/>
      <c r="L55" s="242"/>
      <c r="M55" s="242"/>
      <c r="O55" s="440"/>
    </row>
    <row r="56" spans="2:32">
      <c r="B56" s="280"/>
      <c r="C56" s="280"/>
      <c r="D56" s="277" t="str">
        <f>AGR_Comm!$D$96</f>
        <v>AGR_LIV_ELC_SVC</v>
      </c>
      <c r="E56" s="280"/>
      <c r="F56" s="280"/>
      <c r="G56" s="242"/>
      <c r="H56" s="242"/>
      <c r="I56" s="588">
        <f>AGR_SVC!Q137</f>
        <v>5.4992039292383237E-6</v>
      </c>
      <c r="J56" s="588">
        <f>AGR_SVC!AE137</f>
        <v>2.1326039691593195E-5</v>
      </c>
      <c r="K56" s="242"/>
      <c r="L56" s="242"/>
      <c r="M56" s="242"/>
      <c r="O56" s="440"/>
    </row>
    <row r="57" spans="2:32">
      <c r="B57" s="280"/>
      <c r="C57" s="280"/>
      <c r="D57" s="277" t="str">
        <f>AGR_Comm!$D$97</f>
        <v>AGR_OTH_SVC</v>
      </c>
      <c r="E57" s="280"/>
      <c r="F57" s="280"/>
      <c r="G57" s="242"/>
      <c r="H57" s="242"/>
      <c r="I57" s="588">
        <f>AGR_SVC!R137</f>
        <v>7.5510637928931695E-6</v>
      </c>
      <c r="J57" s="588">
        <f>AGR_SVC!AF137</f>
        <v>9.5136172705249809E-6</v>
      </c>
      <c r="K57" s="242"/>
      <c r="L57" s="242"/>
      <c r="M57" s="242"/>
      <c r="O57" s="440"/>
    </row>
    <row r="58" spans="2:32">
      <c r="B58" s="280"/>
      <c r="C58" s="280"/>
      <c r="D58" s="280"/>
      <c r="E58" s="272" t="s">
        <v>158</v>
      </c>
      <c r="F58" s="280"/>
      <c r="G58" s="242"/>
      <c r="H58" s="242"/>
      <c r="I58" s="242"/>
      <c r="J58" s="242"/>
      <c r="K58" s="242"/>
      <c r="L58" s="242"/>
      <c r="M58" s="242"/>
      <c r="O58" s="440"/>
    </row>
    <row r="59" spans="2:32">
      <c r="B59" s="280"/>
      <c r="C59" s="280"/>
      <c r="D59" s="280"/>
      <c r="E59" s="273" t="s">
        <v>118</v>
      </c>
      <c r="F59" s="280"/>
      <c r="G59" s="242"/>
      <c r="H59" s="242"/>
      <c r="I59" s="242"/>
      <c r="J59" s="242"/>
      <c r="K59" s="413">
        <f>O59*P59</f>
        <v>0.01</v>
      </c>
      <c r="L59" s="242"/>
      <c r="M59" s="242"/>
      <c r="O59" s="282">
        <v>0.02</v>
      </c>
      <c r="P59" s="274">
        <v>0.5</v>
      </c>
      <c r="R59" s="274">
        <f>K59*H52</f>
        <v>2688.6257400000004</v>
      </c>
    </row>
    <row r="60" spans="2:32">
      <c r="B60" s="280"/>
      <c r="C60" s="280"/>
      <c r="D60" s="280"/>
      <c r="E60" s="280"/>
      <c r="F60" s="278" t="s">
        <v>102</v>
      </c>
      <c r="G60" s="242"/>
      <c r="H60" s="242"/>
      <c r="I60" s="242"/>
      <c r="J60" s="242"/>
      <c r="K60" s="416">
        <f>0.012/1000</f>
        <v>1.2E-5</v>
      </c>
      <c r="L60" s="243"/>
      <c r="M60" s="243"/>
    </row>
    <row r="61" spans="2:32" ht="13.5" thickBot="1">
      <c r="B61" s="283"/>
      <c r="C61" s="283"/>
      <c r="D61" s="283"/>
      <c r="E61" s="283"/>
      <c r="F61" s="284" t="s">
        <v>98</v>
      </c>
      <c r="G61" s="418"/>
      <c r="H61" s="418"/>
      <c r="I61" s="418"/>
      <c r="J61" s="418"/>
      <c r="K61" s="419">
        <v>2.5000000000000001E-4</v>
      </c>
      <c r="L61" s="420"/>
      <c r="M61" s="420"/>
    </row>
    <row r="63" spans="2:32">
      <c r="R63" s="267">
        <f>SUM(R12:R59)</f>
        <v>39072.758809500003</v>
      </c>
    </row>
    <row r="65" spans="2:16" ht="12.75" customHeight="1"/>
    <row r="67" spans="2:16" ht="12.75" customHeight="1" thickBot="1">
      <c r="D67" s="250" t="s">
        <v>303</v>
      </c>
      <c r="E67" s="42"/>
      <c r="I67" s="267" t="s">
        <v>358</v>
      </c>
    </row>
    <row r="68" spans="2:16" ht="12.75" customHeight="1">
      <c r="B68" s="251" t="s">
        <v>179</v>
      </c>
      <c r="C68" s="252" t="s">
        <v>359</v>
      </c>
      <c r="D68" s="251" t="s">
        <v>306</v>
      </c>
      <c r="E68" s="253" t="s">
        <v>360</v>
      </c>
      <c r="I68" s="285" t="s">
        <v>816</v>
      </c>
      <c r="J68" s="286"/>
      <c r="K68" s="286"/>
      <c r="L68" s="286"/>
      <c r="M68" s="286"/>
      <c r="N68" s="287" t="s">
        <v>361</v>
      </c>
      <c r="O68" s="288"/>
      <c r="P68" s="289"/>
    </row>
    <row r="69" spans="2:16" ht="12.75" customHeight="1" thickBot="1">
      <c r="B69" s="254" t="s">
        <v>349</v>
      </c>
      <c r="C69" s="254" t="s">
        <v>350</v>
      </c>
      <c r="D69" s="254" t="s">
        <v>352</v>
      </c>
      <c r="E69" s="254" t="s">
        <v>362</v>
      </c>
      <c r="I69" s="290"/>
      <c r="J69" s="231"/>
      <c r="K69" s="231"/>
      <c r="L69" s="231"/>
      <c r="M69" s="231"/>
      <c r="N69" s="231"/>
      <c r="O69" s="231"/>
      <c r="P69" s="291"/>
    </row>
    <row r="70" spans="2:16">
      <c r="B70" s="292" t="str">
        <f>AGR_Proc!D31</f>
        <v>AGR_IMP_DUMMY_FOOD_LIV</v>
      </c>
      <c r="C70" s="292" t="str">
        <f>AGR_Proc!E31</f>
        <v>Dummy Energy Import</v>
      </c>
      <c r="D70" s="292" t="str">
        <f>AGR_Comm!D62</f>
        <v>AGR_LIVESTOCK_FOOD</v>
      </c>
      <c r="E70" s="292">
        <v>1E-3</v>
      </c>
      <c r="I70" s="293" t="s">
        <v>817</v>
      </c>
      <c r="J70" s="294"/>
      <c r="K70" s="294"/>
      <c r="L70" s="294"/>
      <c r="M70" s="294"/>
      <c r="N70" s="294"/>
      <c r="O70" s="294"/>
      <c r="P70" s="295"/>
    </row>
    <row r="71" spans="2:16">
      <c r="I71" s="296"/>
      <c r="J71" s="297"/>
      <c r="K71" s="297"/>
      <c r="L71" s="297"/>
      <c r="M71" s="297"/>
      <c r="N71" s="297"/>
      <c r="O71" s="297"/>
      <c r="P71" s="298"/>
    </row>
    <row r="72" spans="2:16" ht="24">
      <c r="I72" s="299" t="s">
        <v>363</v>
      </c>
      <c r="J72" s="300" t="s">
        <v>364</v>
      </c>
      <c r="K72" s="300"/>
      <c r="L72" s="300" t="s">
        <v>365</v>
      </c>
      <c r="M72" s="300"/>
      <c r="N72" s="300" t="s">
        <v>366</v>
      </c>
      <c r="O72" s="301" t="s">
        <v>367</v>
      </c>
      <c r="P72" s="302" t="s">
        <v>368</v>
      </c>
    </row>
    <row r="73" spans="2:16" ht="22.5">
      <c r="I73" s="299"/>
      <c r="J73" s="300" t="s">
        <v>369</v>
      </c>
      <c r="K73" s="301" t="s">
        <v>370</v>
      </c>
      <c r="L73" s="300" t="s">
        <v>369</v>
      </c>
      <c r="M73" s="301" t="s">
        <v>371</v>
      </c>
      <c r="N73" s="300"/>
      <c r="O73" s="301"/>
      <c r="P73" s="302"/>
    </row>
    <row r="74" spans="2:16">
      <c r="I74" s="299"/>
      <c r="J74" s="300" t="s">
        <v>372</v>
      </c>
      <c r="K74" s="300"/>
      <c r="L74" s="300"/>
      <c r="M74" s="300"/>
      <c r="N74" s="300"/>
      <c r="O74" s="300"/>
      <c r="P74" s="303" t="s">
        <v>373</v>
      </c>
    </row>
    <row r="75" spans="2:16" ht="13.5" thickBot="1">
      <c r="I75" s="304" t="s">
        <v>374</v>
      </c>
      <c r="J75" s="305">
        <v>6190927</v>
      </c>
      <c r="K75" s="305">
        <v>2101159</v>
      </c>
      <c r="L75" s="305">
        <v>9078250</v>
      </c>
      <c r="M75" s="305">
        <v>599707</v>
      </c>
      <c r="N75" s="305">
        <v>269538</v>
      </c>
      <c r="O75" s="305">
        <v>244679548</v>
      </c>
      <c r="P75" s="306">
        <v>64180</v>
      </c>
    </row>
    <row r="76" spans="2:16">
      <c r="I76" s="307" t="s">
        <v>818</v>
      </c>
      <c r="J76" s="308"/>
      <c r="K76" s="308"/>
      <c r="L76" s="308"/>
      <c r="M76" s="308"/>
      <c r="N76" s="309"/>
      <c r="O76" s="310"/>
      <c r="P76" s="311"/>
    </row>
    <row r="77" spans="2:16">
      <c r="I77" s="299" t="s">
        <v>375</v>
      </c>
      <c r="J77" s="300" t="s">
        <v>376</v>
      </c>
      <c r="K77" s="300"/>
      <c r="L77" s="300" t="s">
        <v>377</v>
      </c>
      <c r="M77" s="300"/>
      <c r="P77" s="312"/>
    </row>
    <row r="78" spans="2:16">
      <c r="I78" s="299"/>
      <c r="J78" s="300" t="s">
        <v>372</v>
      </c>
      <c r="K78" s="300"/>
      <c r="L78" s="300"/>
      <c r="M78" s="300"/>
      <c r="P78" s="312"/>
    </row>
    <row r="79" spans="2:16" ht="13.5" thickBot="1">
      <c r="I79" s="313" t="s">
        <v>378</v>
      </c>
      <c r="J79" s="314">
        <v>214987216</v>
      </c>
      <c r="K79" s="314">
        <v>268862574</v>
      </c>
      <c r="L79" s="314">
        <v>185713737</v>
      </c>
      <c r="M79" s="314">
        <v>244679548</v>
      </c>
      <c r="N79" s="315"/>
      <c r="O79" s="315"/>
      <c r="P79" s="316"/>
    </row>
  </sheetData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AG159"/>
  <sheetViews>
    <sheetView zoomScale="85" zoomScaleNormal="85" workbookViewId="0">
      <selection activeCell="E48" sqref="E48"/>
    </sheetView>
  </sheetViews>
  <sheetFormatPr defaultRowHeight="12.75"/>
  <cols>
    <col min="1" max="1" width="3.42578125" customWidth="1"/>
    <col min="2" max="2" width="39" customWidth="1"/>
    <col min="3" max="3" width="27.42578125" customWidth="1"/>
    <col min="4" max="4" width="28.42578125" customWidth="1"/>
    <col min="5" max="6" width="20.42578125" customWidth="1"/>
    <col min="7" max="7" width="12" bestFit="1" customWidth="1"/>
    <col min="8" max="8" width="12.42578125" customWidth="1"/>
    <col min="9" max="9" width="16.42578125" bestFit="1" customWidth="1"/>
    <col min="10" max="10" width="16.140625" customWidth="1"/>
    <col min="11" max="11" width="15" customWidth="1"/>
    <col min="12" max="12" width="15.140625" bestFit="1" customWidth="1"/>
    <col min="13" max="13" width="14.7109375" customWidth="1"/>
    <col min="14" max="14" width="16.85546875" customWidth="1"/>
    <col min="15" max="15" width="12.85546875" bestFit="1" customWidth="1"/>
    <col min="16" max="16" width="11.28515625" bestFit="1" customWidth="1"/>
    <col min="17" max="17" width="15.7109375" bestFit="1" customWidth="1"/>
    <col min="18" max="18" width="12.5703125" bestFit="1" customWidth="1"/>
    <col min="19" max="19" width="9.28515625" bestFit="1" customWidth="1"/>
    <col min="20" max="20" width="12.28515625" bestFit="1" customWidth="1"/>
    <col min="21" max="21" width="10.28515625" customWidth="1"/>
    <col min="23" max="24" width="15" bestFit="1" customWidth="1"/>
    <col min="25" max="25" width="12.28515625" bestFit="1" customWidth="1"/>
    <col min="26" max="27" width="15.140625" bestFit="1" customWidth="1"/>
    <col min="28" max="28" width="15" bestFit="1" customWidth="1"/>
    <col min="29" max="29" width="12.28515625" bestFit="1" customWidth="1"/>
    <col min="30" max="30" width="11" bestFit="1" customWidth="1"/>
    <col min="31" max="31" width="15.140625" bestFit="1" customWidth="1"/>
    <col min="32" max="32" width="12.140625" bestFit="1" customWidth="1"/>
    <col min="33" max="33" width="15.140625" bestFit="1" customWidth="1"/>
    <col min="34" max="34" width="12.140625" bestFit="1" customWidth="1"/>
  </cols>
  <sheetData>
    <row r="1" spans="1:19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1:19" ht="18">
      <c r="A2" s="177"/>
      <c r="B2" s="261" t="s">
        <v>904</v>
      </c>
      <c r="C2" s="63"/>
      <c r="D2" s="63"/>
      <c r="E2" s="63"/>
      <c r="F2" s="63"/>
      <c r="G2" s="177"/>
      <c r="H2" s="177"/>
      <c r="I2" s="177"/>
      <c r="J2" s="177"/>
      <c r="K2" s="177"/>
      <c r="L2" s="177"/>
      <c r="M2" s="177"/>
      <c r="N2" s="177"/>
      <c r="O2" s="177"/>
    </row>
    <row r="3" spans="1:19">
      <c r="A3" s="177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</row>
    <row r="4" spans="1:19">
      <c r="A4" s="177"/>
      <c r="B4" s="177"/>
      <c r="C4" s="177"/>
      <c r="D4" s="177"/>
      <c r="E4" s="245" t="s">
        <v>338</v>
      </c>
      <c r="F4" s="177"/>
      <c r="G4" s="177"/>
      <c r="H4" s="245"/>
      <c r="I4" s="245"/>
      <c r="J4" s="245"/>
      <c r="K4" s="245"/>
      <c r="L4" s="246"/>
      <c r="M4" s="246"/>
      <c r="N4" s="42"/>
      <c r="O4" s="177"/>
    </row>
    <row r="5" spans="1:19">
      <c r="A5" s="177"/>
      <c r="B5" s="71" t="s">
        <v>179</v>
      </c>
      <c r="C5" s="72" t="s">
        <v>359</v>
      </c>
      <c r="D5" s="71" t="s">
        <v>305</v>
      </c>
      <c r="E5" s="71" t="s">
        <v>306</v>
      </c>
      <c r="F5" s="71" t="s">
        <v>917</v>
      </c>
      <c r="G5" s="71" t="s">
        <v>918</v>
      </c>
      <c r="H5" s="71" t="s">
        <v>861</v>
      </c>
      <c r="I5" s="71" t="s">
        <v>341</v>
      </c>
      <c r="J5" s="71" t="s">
        <v>391</v>
      </c>
      <c r="K5" s="71" t="s">
        <v>442</v>
      </c>
      <c r="L5" s="247" t="s">
        <v>444</v>
      </c>
      <c r="M5" s="247" t="s">
        <v>445</v>
      </c>
      <c r="N5" s="247" t="s">
        <v>344</v>
      </c>
      <c r="O5" s="177"/>
      <c r="P5" s="747" t="s">
        <v>888</v>
      </c>
      <c r="Q5" s="748"/>
      <c r="R5" s="747" t="s">
        <v>888</v>
      </c>
      <c r="S5" s="748"/>
    </row>
    <row r="6" spans="1:19" ht="13.5" thickBot="1">
      <c r="A6" s="177"/>
      <c r="B6" s="74" t="s">
        <v>349</v>
      </c>
      <c r="C6" s="74" t="s">
        <v>350</v>
      </c>
      <c r="D6" s="74" t="s">
        <v>351</v>
      </c>
      <c r="E6" s="74" t="s">
        <v>352</v>
      </c>
      <c r="F6" s="74" t="s">
        <v>906</v>
      </c>
      <c r="G6" s="74"/>
      <c r="H6" s="74"/>
      <c r="I6" s="74"/>
      <c r="J6" s="74"/>
      <c r="K6" s="74" t="s">
        <v>490</v>
      </c>
      <c r="L6" s="74"/>
      <c r="M6" s="74"/>
      <c r="N6" s="74" t="s">
        <v>907</v>
      </c>
      <c r="O6" s="177"/>
      <c r="P6" s="749">
        <v>2024</v>
      </c>
      <c r="Q6" s="750"/>
      <c r="R6" s="749">
        <v>2050</v>
      </c>
      <c r="S6" s="750"/>
    </row>
    <row r="7" spans="1:19" ht="15.95" customHeight="1">
      <c r="A7" s="177"/>
      <c r="B7" s="651" t="str">
        <f>AGR_Proc!D72</f>
        <v>AGR_PRC_MECH_WORK</v>
      </c>
      <c r="C7" s="651" t="s">
        <v>905</v>
      </c>
      <c r="D7" s="651" t="str">
        <f>SECTF!E12</f>
        <v>AGR_OIL_GSL</v>
      </c>
      <c r="E7" s="651" t="str">
        <f>AGR_Comm!D93</f>
        <v>AGR_MACH_WORK</v>
      </c>
      <c r="F7" s="654">
        <f>N60/N65</f>
        <v>1.2003485219001025E-3</v>
      </c>
      <c r="G7" s="654">
        <f>AB60/AB65</f>
        <v>2.3504831548707234E-3</v>
      </c>
      <c r="H7" s="652">
        <f>N99</f>
        <v>23.352101633700002</v>
      </c>
      <c r="I7" s="652">
        <f>AB99</f>
        <v>12.1325</v>
      </c>
      <c r="J7" s="198"/>
      <c r="K7" s="652">
        <f>N79</f>
        <v>0.25</v>
      </c>
      <c r="L7" s="651"/>
      <c r="M7" s="651"/>
      <c r="N7" s="651">
        <v>1</v>
      </c>
      <c r="O7" s="177"/>
      <c r="P7" s="723">
        <f>H7*N7/(F7*K7+F8*K8+F9*K9)</f>
        <v>77.33080943280001</v>
      </c>
      <c r="Q7" s="669" t="b">
        <f>P7=N67</f>
        <v>1</v>
      </c>
      <c r="R7" s="668">
        <f>I7*N7/(G7*K7+G8*K8+G9*K9)</f>
        <v>38.290000000000006</v>
      </c>
      <c r="S7" s="669" t="b">
        <f>R7=AB67</f>
        <v>1</v>
      </c>
    </row>
    <row r="8" spans="1:19" ht="15.95" customHeight="1">
      <c r="A8" s="177"/>
      <c r="B8" s="198"/>
      <c r="C8" s="198"/>
      <c r="D8" s="198" t="str">
        <f>SECTF!E14</f>
        <v>AGR_OIL_DSL</v>
      </c>
      <c r="E8" s="198"/>
      <c r="F8" s="655">
        <f>N61/N65</f>
        <v>0.99472624267363452</v>
      </c>
      <c r="G8" s="655">
        <f>AB61/AB65</f>
        <v>0.96369809349699664</v>
      </c>
      <c r="H8" s="198"/>
      <c r="I8" s="198"/>
      <c r="J8" s="198"/>
      <c r="K8" s="653">
        <f>N80</f>
        <v>0.3</v>
      </c>
      <c r="L8" s="198"/>
      <c r="M8" s="198"/>
      <c r="N8" s="198"/>
      <c r="O8" s="177"/>
      <c r="P8" s="724"/>
      <c r="Q8" s="667"/>
      <c r="R8" s="670"/>
      <c r="S8" s="667"/>
    </row>
    <row r="9" spans="1:19" ht="15.95" customHeight="1">
      <c r="A9" s="177"/>
      <c r="B9" s="663"/>
      <c r="C9" s="663"/>
      <c r="D9" s="663" t="str">
        <f>SECTF!E31</f>
        <v>AGR_ELC</v>
      </c>
      <c r="E9" s="663"/>
      <c r="F9" s="664">
        <f>N63/N65</f>
        <v>4.0734088044653534E-3</v>
      </c>
      <c r="G9" s="664">
        <f>AB63/AB65</f>
        <v>3.395142334813267E-2</v>
      </c>
      <c r="H9" s="663"/>
      <c r="I9" s="663"/>
      <c r="J9" s="663"/>
      <c r="K9" s="665">
        <f>N82</f>
        <v>0.8</v>
      </c>
      <c r="L9" s="663"/>
      <c r="M9" s="663"/>
      <c r="N9" s="663"/>
      <c r="O9" s="177"/>
      <c r="P9" s="724"/>
      <c r="Q9" s="667"/>
      <c r="R9" s="670"/>
      <c r="S9" s="667"/>
    </row>
    <row r="10" spans="1:19" ht="15.95" customHeight="1">
      <c r="A10" s="177"/>
      <c r="B10" s="197" t="str">
        <f>AGR_Proc!D73</f>
        <v>AGR_PRC_DRY_SVC</v>
      </c>
      <c r="C10" s="197" t="s">
        <v>912</v>
      </c>
      <c r="D10" s="197" t="str">
        <f>SECTF!E8</f>
        <v>AGR_HC</v>
      </c>
      <c r="E10" s="197" t="str">
        <f>AGR_Comm!D94</f>
        <v>AGR_DRY_SVC</v>
      </c>
      <c r="F10" s="656">
        <f>O52/O65</f>
        <v>0.17413255851542628</v>
      </c>
      <c r="G10" s="656">
        <f>AC52/AC65</f>
        <v>0</v>
      </c>
      <c r="H10" s="658">
        <f>O99</f>
        <v>5.5134242940529994</v>
      </c>
      <c r="I10" s="658">
        <f>AC99</f>
        <v>5.3064999999999998</v>
      </c>
      <c r="J10" s="197"/>
      <c r="K10" s="658">
        <f>O71</f>
        <v>0.65</v>
      </c>
      <c r="L10" s="197"/>
      <c r="M10" s="197"/>
      <c r="N10" s="197">
        <v>1</v>
      </c>
      <c r="O10" s="177"/>
      <c r="P10" s="724"/>
      <c r="Q10" s="667"/>
      <c r="R10" s="670"/>
      <c r="S10" s="667"/>
    </row>
    <row r="11" spans="1:19" ht="15.95" customHeight="1">
      <c r="A11" s="177"/>
      <c r="B11" s="177"/>
      <c r="C11" s="197"/>
      <c r="D11" s="197" t="str">
        <f>SECTF!E10</f>
        <v>AGR_BC</v>
      </c>
      <c r="E11" s="197"/>
      <c r="F11" s="656">
        <f>O53/O65</f>
        <v>2.1431699509590926E-3</v>
      </c>
      <c r="G11" s="656">
        <f>AC53/AC65</f>
        <v>0</v>
      </c>
      <c r="H11" s="177"/>
      <c r="I11" s="197"/>
      <c r="J11" s="197"/>
      <c r="K11" s="658">
        <f>O72</f>
        <v>0.6</v>
      </c>
      <c r="L11" s="197"/>
      <c r="M11" s="197"/>
      <c r="N11" s="197"/>
      <c r="O11" s="177"/>
      <c r="P11" s="724"/>
      <c r="Q11" s="667"/>
      <c r="R11" s="670"/>
      <c r="S11" s="667"/>
    </row>
    <row r="12" spans="1:19">
      <c r="A12" s="177"/>
      <c r="B12" s="177"/>
      <c r="C12" s="177"/>
      <c r="D12" s="177" t="str">
        <f>SECTF!E20</f>
        <v>AGR_NAT_GAS</v>
      </c>
      <c r="E12" s="177"/>
      <c r="F12" s="657">
        <f>O54/O65</f>
        <v>0.11138031196057432</v>
      </c>
      <c r="G12" s="657">
        <f>AC54/AC65</f>
        <v>6.741573033707865E-2</v>
      </c>
      <c r="H12" s="177"/>
      <c r="I12" s="177"/>
      <c r="J12" s="177"/>
      <c r="K12" s="228">
        <f>O73</f>
        <v>0.8</v>
      </c>
      <c r="L12" s="177"/>
      <c r="M12" s="177"/>
      <c r="N12" s="177"/>
      <c r="O12" s="177"/>
      <c r="P12" s="724"/>
      <c r="Q12" s="667"/>
      <c r="R12" s="670"/>
      <c r="S12" s="667"/>
    </row>
    <row r="13" spans="1:19">
      <c r="A13" s="177"/>
      <c r="B13" s="177"/>
      <c r="C13" s="177"/>
      <c r="D13" s="177" t="str">
        <f>SECTF!E24</f>
        <v>AGR_BIOM</v>
      </c>
      <c r="E13" s="177"/>
      <c r="F13" s="657">
        <f>O55/O65</f>
        <v>0.21899684974609052</v>
      </c>
      <c r="G13" s="657">
        <f>AC55/AC65</f>
        <v>0.14981273408239701</v>
      </c>
      <c r="H13" s="177"/>
      <c r="I13" s="177"/>
      <c r="J13" s="177"/>
      <c r="K13" s="228">
        <f>O74</f>
        <v>0.68</v>
      </c>
      <c r="L13" s="177"/>
      <c r="M13" s="177"/>
      <c r="N13" s="177"/>
      <c r="O13" s="177"/>
      <c r="P13" s="724"/>
      <c r="Q13" s="667"/>
      <c r="R13" s="670"/>
      <c r="S13" s="667"/>
    </row>
    <row r="14" spans="1:19">
      <c r="A14" s="177"/>
      <c r="B14" s="177"/>
      <c r="C14" s="177"/>
      <c r="D14" s="177" t="str">
        <f>SECTF!E22</f>
        <v>AGR_BIOG</v>
      </c>
      <c r="E14" s="177"/>
      <c r="F14" s="657">
        <f>O56/O65</f>
        <v>7.4592743092305918E-3</v>
      </c>
      <c r="G14" s="657">
        <f>AC56/AC65</f>
        <v>0.11235955056179775</v>
      </c>
      <c r="H14" s="177"/>
      <c r="I14" s="177"/>
      <c r="J14" s="177"/>
      <c r="K14" s="228">
        <f>O75</f>
        <v>0.75</v>
      </c>
      <c r="L14" s="177"/>
      <c r="M14" s="177"/>
      <c r="N14" s="177"/>
      <c r="O14" s="177"/>
      <c r="P14" s="724"/>
      <c r="Q14" s="667"/>
      <c r="R14" s="670"/>
      <c r="S14" s="667"/>
    </row>
    <row r="15" spans="1:19">
      <c r="A15" s="177"/>
      <c r="B15" s="177"/>
      <c r="C15" s="177"/>
      <c r="D15" s="177" t="str">
        <f>SECTF!E34</f>
        <v>AGR_OTH_FUE</v>
      </c>
      <c r="E15" s="177"/>
      <c r="F15" s="657">
        <f>(O57+O58)/O65</f>
        <v>1.1902903369307807E-3</v>
      </c>
      <c r="G15" s="657">
        <f>(AC57+AC58)/AC65</f>
        <v>3.7453183520599252E-2</v>
      </c>
      <c r="H15" s="177"/>
      <c r="I15" s="177"/>
      <c r="J15" s="177"/>
      <c r="K15" s="177">
        <f>(O76+O77)/2</f>
        <v>0.65</v>
      </c>
      <c r="L15" s="177"/>
      <c r="M15" s="177"/>
      <c r="N15" s="177"/>
      <c r="O15" s="177"/>
      <c r="P15" s="724"/>
      <c r="Q15" s="667"/>
      <c r="R15" s="670"/>
      <c r="S15" s="667"/>
    </row>
    <row r="16" spans="1:19">
      <c r="A16" s="177"/>
      <c r="B16" s="177"/>
      <c r="C16" s="177"/>
      <c r="D16" s="177" t="str">
        <f>SECTF!E16</f>
        <v>AGR_OIL_LPG</v>
      </c>
      <c r="E16" s="177"/>
      <c r="F16" s="657">
        <f>O59/O65</f>
        <v>8.626259052610348E-2</v>
      </c>
      <c r="G16" s="657">
        <f>AC59/AC65</f>
        <v>2.6217228464419477E-2</v>
      </c>
      <c r="H16" s="177"/>
      <c r="I16" s="177"/>
      <c r="J16" s="177"/>
      <c r="K16" s="228">
        <f>O78</f>
        <v>0.8</v>
      </c>
      <c r="L16" s="177"/>
      <c r="M16" s="177"/>
      <c r="N16" s="177"/>
      <c r="O16" s="177"/>
      <c r="P16" s="724"/>
      <c r="Q16" s="667"/>
      <c r="R16" s="670"/>
      <c r="S16" s="667"/>
    </row>
    <row r="17" spans="1:19">
      <c r="A17" s="177"/>
      <c r="B17" s="177"/>
      <c r="C17" s="177"/>
      <c r="D17" s="177" t="str">
        <f>SECTF!E14</f>
        <v>AGR_OIL_DSL</v>
      </c>
      <c r="E17" s="177"/>
      <c r="F17" s="657">
        <f>O61/O65</f>
        <v>0.11448543825214842</v>
      </c>
      <c r="G17" s="657">
        <f>AC61/AC65</f>
        <v>6.142322097378277E-2</v>
      </c>
      <c r="H17" s="177"/>
      <c r="I17" s="177"/>
      <c r="J17" s="177"/>
      <c r="K17" s="228">
        <f>O80</f>
        <v>0.75</v>
      </c>
      <c r="L17" s="177"/>
      <c r="M17" s="197"/>
      <c r="N17" s="177"/>
      <c r="O17" s="177"/>
      <c r="P17" s="725">
        <f>H10*N10/(F10*K10+F11*K11+F12*K12+F13*K13+F14*K14+F15*K15+F16*K16+F17*K17+F18*K18+F19*K19)</f>
        <v>7.465576863299999</v>
      </c>
      <c r="Q17" s="669" t="b">
        <f>P17=O67</f>
        <v>1</v>
      </c>
      <c r="R17" s="671">
        <f>I10*N10/(G10*K10+G11*K11+G12*K12+G13*K13+G14*K14+G15*K15+G16*K16+G17*K17+G18*K18+G19*K19)</f>
        <v>6.6749999999999989</v>
      </c>
      <c r="S17" s="669" t="b">
        <f>R17=AC67</f>
        <v>1</v>
      </c>
    </row>
    <row r="18" spans="1:19">
      <c r="A18" s="177"/>
      <c r="B18" s="177"/>
      <c r="C18" s="177"/>
      <c r="D18" s="177" t="str">
        <f>SECTF!E18</f>
        <v>AGR_OIL_FUE</v>
      </c>
      <c r="E18" s="177"/>
      <c r="F18" s="657">
        <f>O62/O65</f>
        <v>0.16580727285591645</v>
      </c>
      <c r="G18" s="657">
        <f>AC62/AC65</f>
        <v>0</v>
      </c>
      <c r="H18" s="177"/>
      <c r="I18" s="177"/>
      <c r="J18" s="177"/>
      <c r="K18" s="228">
        <f>O81</f>
        <v>0.75</v>
      </c>
      <c r="L18" s="177"/>
      <c r="M18" s="177"/>
      <c r="N18" s="177"/>
      <c r="O18" s="177"/>
      <c r="P18" s="724"/>
      <c r="Q18" s="667"/>
      <c r="R18" s="670"/>
      <c r="S18" s="667"/>
    </row>
    <row r="19" spans="1:19">
      <c r="A19" s="177"/>
      <c r="B19" s="660"/>
      <c r="C19" s="660"/>
      <c r="D19" s="660" t="str">
        <f>SECTF!E31</f>
        <v>AGR_ELC</v>
      </c>
      <c r="E19" s="660"/>
      <c r="F19" s="661">
        <f>O63/O65</f>
        <v>0.11814224354662001</v>
      </c>
      <c r="G19" s="661">
        <f>AC63/AC65</f>
        <v>0.54531835205992518</v>
      </c>
      <c r="H19" s="660"/>
      <c r="I19" s="660"/>
      <c r="J19" s="660"/>
      <c r="K19" s="662">
        <f>O82</f>
        <v>0.85</v>
      </c>
      <c r="L19" s="660"/>
      <c r="M19" s="660"/>
      <c r="N19" s="660"/>
      <c r="O19" s="177"/>
      <c r="P19" s="724"/>
      <c r="Q19" s="667"/>
      <c r="R19" s="670"/>
      <c r="S19" s="667"/>
    </row>
    <row r="20" spans="1:19">
      <c r="A20" s="177"/>
      <c r="B20" s="417" t="str">
        <f>AGR_Proc!D74</f>
        <v>AGR_PRC_LIV_HT</v>
      </c>
      <c r="C20" s="198" t="s">
        <v>911</v>
      </c>
      <c r="D20" s="417" t="str">
        <f>SECTF!E8</f>
        <v>AGR_HC</v>
      </c>
      <c r="E20" s="417" t="str">
        <f>AGR_Comm!D95</f>
        <v>AGR_LIV_HT</v>
      </c>
      <c r="F20" s="659">
        <f>P52/P65</f>
        <v>0.39642403185417113</v>
      </c>
      <c r="G20" s="659">
        <f>AD52/AD65</f>
        <v>0</v>
      </c>
      <c r="H20" s="674">
        <f>P99</f>
        <v>10.736979736049998</v>
      </c>
      <c r="I20" s="674">
        <f>AD99</f>
        <v>10.53505</v>
      </c>
      <c r="J20" s="417"/>
      <c r="K20" s="674">
        <f>P71</f>
        <v>0.7</v>
      </c>
      <c r="L20" s="417"/>
      <c r="M20" s="417"/>
      <c r="N20" s="417">
        <v>1</v>
      </c>
      <c r="O20" s="177"/>
      <c r="P20" s="724"/>
      <c r="Q20" s="667"/>
      <c r="R20" s="670"/>
      <c r="S20" s="667"/>
    </row>
    <row r="21" spans="1:19">
      <c r="A21" s="177"/>
      <c r="B21" s="417"/>
      <c r="C21" s="417"/>
      <c r="D21" s="417" t="str">
        <f>SECTF!E10</f>
        <v>AGR_BC</v>
      </c>
      <c r="E21" s="417"/>
      <c r="F21" s="659">
        <f>P53/P65</f>
        <v>4.336946673276402E-3</v>
      </c>
      <c r="G21" s="659">
        <f>AD53/AD65</f>
        <v>0</v>
      </c>
      <c r="H21" s="417"/>
      <c r="I21" s="417"/>
      <c r="J21" s="417"/>
      <c r="K21" s="674">
        <f>P72</f>
        <v>0.6</v>
      </c>
      <c r="L21" s="417"/>
      <c r="M21" s="417"/>
      <c r="N21" s="417"/>
      <c r="O21" s="177"/>
      <c r="P21" s="724"/>
      <c r="Q21" s="667"/>
      <c r="R21" s="670"/>
      <c r="S21" s="667"/>
    </row>
    <row r="22" spans="1:19">
      <c r="A22" s="177"/>
      <c r="B22" s="417"/>
      <c r="C22" s="417"/>
      <c r="D22" s="417" t="str">
        <f>SECTF!E20</f>
        <v>AGR_NAT_GAS</v>
      </c>
      <c r="E22" s="417"/>
      <c r="F22" s="659">
        <f>P54/P65</f>
        <v>3.7565108731401203E-2</v>
      </c>
      <c r="G22" s="659">
        <f>AD54/AD65</f>
        <v>2.2779043280182234E-2</v>
      </c>
      <c r="H22" s="417"/>
      <c r="I22" s="417"/>
      <c r="J22" s="417"/>
      <c r="K22" s="674">
        <f>P73</f>
        <v>0.85</v>
      </c>
      <c r="L22" s="417"/>
      <c r="M22" s="417"/>
      <c r="N22" s="417"/>
      <c r="O22" s="177"/>
      <c r="P22" s="724"/>
      <c r="Q22" s="667"/>
      <c r="R22" s="670"/>
      <c r="S22" s="667"/>
    </row>
    <row r="23" spans="1:19">
      <c r="A23" s="177"/>
      <c r="B23" s="417"/>
      <c r="C23" s="417"/>
      <c r="D23" s="417" t="str">
        <f>SECTF!E24</f>
        <v>AGR_BIOM</v>
      </c>
      <c r="E23" s="417"/>
      <c r="F23" s="659">
        <f>P55/P65</f>
        <v>0.38776927197111583</v>
      </c>
      <c r="G23" s="659">
        <f>AD55/AD65</f>
        <v>0.26575550493545935</v>
      </c>
      <c r="H23" s="417"/>
      <c r="I23" s="417"/>
      <c r="J23" s="417"/>
      <c r="K23" s="674">
        <f>P74</f>
        <v>0.7</v>
      </c>
      <c r="L23" s="417"/>
      <c r="M23" s="417"/>
      <c r="N23" s="417"/>
      <c r="O23" s="177"/>
      <c r="P23" s="724"/>
      <c r="Q23" s="667"/>
      <c r="R23" s="670"/>
      <c r="S23" s="667"/>
    </row>
    <row r="24" spans="1:19">
      <c r="A24" s="177"/>
      <c r="B24" s="417"/>
      <c r="C24" s="417"/>
      <c r="D24" s="417" t="str">
        <f>SECTF!E22</f>
        <v>AGR_BIOG</v>
      </c>
      <c r="E24" s="417"/>
      <c r="F24" s="659">
        <f>P56/P65</f>
        <v>2.0755191611493643E-2</v>
      </c>
      <c r="G24" s="659">
        <f>AD56/AD65</f>
        <v>0.31321184510250571</v>
      </c>
      <c r="H24" s="417"/>
      <c r="I24" s="417"/>
      <c r="J24" s="417"/>
      <c r="K24" s="674">
        <f>P75</f>
        <v>0.8</v>
      </c>
      <c r="L24" s="417"/>
      <c r="M24" s="417"/>
      <c r="N24" s="417"/>
      <c r="O24" s="177"/>
      <c r="P24" s="724"/>
      <c r="Q24" s="667"/>
      <c r="R24" s="670"/>
      <c r="S24" s="667"/>
    </row>
    <row r="25" spans="1:19">
      <c r="A25" s="177"/>
      <c r="B25" s="417"/>
      <c r="C25" s="417"/>
      <c r="D25" s="417" t="str">
        <f>SECTF!E34</f>
        <v>AGR_OTH_FUE</v>
      </c>
      <c r="E25" s="417"/>
      <c r="F25" s="659">
        <f>(P57+P58)/P65</f>
        <v>2.5682162169340969E-3</v>
      </c>
      <c r="G25" s="659">
        <f>(AD57+AD58)/AD65</f>
        <v>7.5930144267274111E-2</v>
      </c>
      <c r="H25" s="417"/>
      <c r="I25" s="417"/>
      <c r="J25" s="417"/>
      <c r="K25" s="674">
        <f>(P76+P77)/2</f>
        <v>0.7</v>
      </c>
      <c r="L25" s="417"/>
      <c r="M25" s="417"/>
      <c r="N25" s="417"/>
      <c r="O25" s="177"/>
      <c r="P25" s="724"/>
      <c r="Q25" s="667"/>
      <c r="R25" s="670"/>
      <c r="S25" s="667"/>
    </row>
    <row r="26" spans="1:19">
      <c r="A26" s="177"/>
      <c r="B26" s="417"/>
      <c r="C26" s="417"/>
      <c r="D26" s="417" t="str">
        <f>SECTF!E16</f>
        <v>AGR_OIL_LPG</v>
      </c>
      <c r="E26" s="417"/>
      <c r="F26" s="659">
        <f>P59/P65</f>
        <v>5.6109247585513451E-2</v>
      </c>
      <c r="G26" s="659">
        <f>AD59/AD65</f>
        <v>1.7084282460136675E-2</v>
      </c>
      <c r="H26" s="417"/>
      <c r="I26" s="417"/>
      <c r="J26" s="417"/>
      <c r="K26" s="674">
        <f>P78</f>
        <v>0.85</v>
      </c>
      <c r="L26" s="417"/>
      <c r="M26" s="417"/>
      <c r="N26" s="417"/>
      <c r="O26" s="177"/>
      <c r="P26" s="724"/>
      <c r="Q26" s="667"/>
      <c r="R26" s="670"/>
      <c r="S26" s="667"/>
    </row>
    <row r="27" spans="1:19">
      <c r="A27" s="177"/>
      <c r="B27" s="417"/>
      <c r="C27" s="417"/>
      <c r="D27" s="417" t="str">
        <f>SECTF!E18</f>
        <v>AGR_OIL_FUE</v>
      </c>
      <c r="E27" s="417"/>
      <c r="F27" s="659">
        <f>P62/P65</f>
        <v>7.3397135115641832E-2</v>
      </c>
      <c r="G27" s="659">
        <f>AD62/AD65</f>
        <v>0</v>
      </c>
      <c r="H27" s="417"/>
      <c r="I27" s="417"/>
      <c r="J27" s="417"/>
      <c r="K27" s="674">
        <f>P81</f>
        <v>0.8</v>
      </c>
      <c r="L27" s="417"/>
      <c r="M27" s="417"/>
      <c r="N27" s="417"/>
      <c r="O27" s="177"/>
      <c r="P27" s="725">
        <f>H20*N20/(F20*K20+F21*K21+F22*K22+F23*K23+F24*K24+F25*K25+F26*K26+F27*K27+F28*K28+F29*K29)</f>
        <v>14.756925740949995</v>
      </c>
      <c r="Q27" s="669" t="b">
        <f>P27=P67</f>
        <v>1</v>
      </c>
      <c r="R27" s="671">
        <f>I20*N20/(G20*K20+G21*K21+G22*K22+G23*K23+G24*K24+G25*K25+G26*K26+G27*K27+G28*K28+G29*K29)</f>
        <v>13.170000000000002</v>
      </c>
      <c r="S27" s="669" t="b">
        <f>R27=AD67</f>
        <v>1</v>
      </c>
    </row>
    <row r="28" spans="1:19">
      <c r="A28" s="177"/>
      <c r="B28" s="417"/>
      <c r="C28" s="417"/>
      <c r="D28" s="417" t="str">
        <f>SECTF!E31</f>
        <v>AGR_ELC</v>
      </c>
      <c r="E28" s="417"/>
      <c r="F28" s="659">
        <f>P63/P65</f>
        <v>4.2691818815064585E-3</v>
      </c>
      <c r="G28" s="659">
        <f>AD63/AD65</f>
        <v>1.9741837509491267E-2</v>
      </c>
      <c r="H28" s="417"/>
      <c r="I28" s="417"/>
      <c r="J28" s="417"/>
      <c r="K28" s="674">
        <f>P82</f>
        <v>0.98</v>
      </c>
      <c r="L28" s="417"/>
      <c r="M28" s="417"/>
      <c r="N28" s="417"/>
      <c r="O28" s="177"/>
      <c r="P28" s="726"/>
      <c r="Q28" s="666"/>
      <c r="R28" s="676"/>
      <c r="S28" s="666"/>
    </row>
    <row r="29" spans="1:19">
      <c r="A29" s="177"/>
      <c r="B29" s="672"/>
      <c r="C29" s="672"/>
      <c r="D29" s="672" t="str">
        <f>SECTF!E33</f>
        <v>AGR_DH</v>
      </c>
      <c r="E29" s="672"/>
      <c r="F29" s="673">
        <f>P64/P65</f>
        <v>1.6805668358946056E-2</v>
      </c>
      <c r="G29" s="673">
        <f>AD64/AD65</f>
        <v>0.28549734244495062</v>
      </c>
      <c r="H29" s="672"/>
      <c r="I29" s="672"/>
      <c r="J29" s="672"/>
      <c r="K29" s="675">
        <f>P83</f>
        <v>0.9</v>
      </c>
      <c r="L29" s="672"/>
      <c r="M29" s="672"/>
      <c r="N29" s="672"/>
      <c r="O29" s="177"/>
      <c r="P29" s="725">
        <f>H30*N30/(F30*K30+F31*K31)</f>
        <v>4.0046998390000006</v>
      </c>
      <c r="Q29" s="669" t="b">
        <f>P29=Q67</f>
        <v>1</v>
      </c>
      <c r="R29" s="671">
        <f>I30*N30/(G30*K30+G31*K31)</f>
        <v>13.410000000000002</v>
      </c>
      <c r="S29" s="669" t="b">
        <f>R29=AE67</f>
        <v>1</v>
      </c>
    </row>
    <row r="30" spans="1:19">
      <c r="A30" s="177"/>
      <c r="B30" s="177" t="str">
        <f>AGR_Proc!D75</f>
        <v>AGR_PRC_LIV_ELC_SVC</v>
      </c>
      <c r="C30" s="197" t="s">
        <v>913</v>
      </c>
      <c r="D30" s="177" t="str">
        <f>SECTF!E14</f>
        <v>AGR_OIL_DSL</v>
      </c>
      <c r="E30" s="177" t="str">
        <f>AGR_Comm!D96</f>
        <v>AGR_LIV_ELC_SVC</v>
      </c>
      <c r="F30" s="657">
        <f>Q61/Q65</f>
        <v>0.2134241949113031</v>
      </c>
      <c r="G30" s="657">
        <f>AE61/AE65</f>
        <v>3.0574198359433258E-2</v>
      </c>
      <c r="H30" s="228">
        <f>Q99</f>
        <v>3.3807689565300003</v>
      </c>
      <c r="I30" s="228">
        <f>AE99</f>
        <v>13.110700000000001</v>
      </c>
      <c r="J30" s="177"/>
      <c r="K30" s="228">
        <f>Q80</f>
        <v>0.27</v>
      </c>
      <c r="L30" s="177"/>
      <c r="M30" s="177"/>
      <c r="N30" s="177">
        <v>1</v>
      </c>
      <c r="O30" s="177"/>
      <c r="P30" s="726"/>
      <c r="Q30" s="666"/>
      <c r="R30" s="676"/>
      <c r="S30" s="666"/>
    </row>
    <row r="31" spans="1:19">
      <c r="A31" s="177"/>
      <c r="B31" s="660"/>
      <c r="C31" s="660"/>
      <c r="D31" s="660" t="str">
        <f>SECTF!E31</f>
        <v>AGR_ELC</v>
      </c>
      <c r="E31" s="660"/>
      <c r="F31" s="661">
        <f>Q63/Q65</f>
        <v>0.78657580508869696</v>
      </c>
      <c r="G31" s="661">
        <f>AE63/AE65</f>
        <v>0.96942580164056669</v>
      </c>
      <c r="H31" s="660"/>
      <c r="I31" s="660"/>
      <c r="J31" s="660"/>
      <c r="K31" s="662">
        <f>Q82</f>
        <v>1</v>
      </c>
      <c r="L31" s="660"/>
      <c r="M31" s="660"/>
      <c r="N31" s="660"/>
      <c r="O31" s="177"/>
      <c r="P31" s="724"/>
      <c r="Q31" s="667"/>
      <c r="R31" s="670"/>
      <c r="S31" s="667"/>
    </row>
    <row r="32" spans="1:19">
      <c r="A32" s="177"/>
      <c r="B32" s="417" t="str">
        <f>AGR_Proc!D76</f>
        <v>AGR_PRC_OTH_SVC</v>
      </c>
      <c r="C32" s="198" t="s">
        <v>914</v>
      </c>
      <c r="D32" s="417" t="str">
        <f>SECTF!E8</f>
        <v>AGR_HC</v>
      </c>
      <c r="E32" s="417" t="str">
        <f>AGR_Comm!D97</f>
        <v>AGR_OTH_SVC</v>
      </c>
      <c r="F32" s="659">
        <f>R52/R65</f>
        <v>0.22610737383015625</v>
      </c>
      <c r="G32" s="659">
        <f>AF52/AF65</f>
        <v>0</v>
      </c>
      <c r="H32" s="674">
        <f>R99</f>
        <v>16.036933124069996</v>
      </c>
      <c r="I32" s="674">
        <f>AF99</f>
        <v>20.204999999999998</v>
      </c>
      <c r="J32" s="417"/>
      <c r="K32" s="674">
        <f>R71</f>
        <v>0.7</v>
      </c>
      <c r="L32" s="417"/>
      <c r="M32" s="417"/>
      <c r="N32" s="417">
        <v>1</v>
      </c>
      <c r="O32" s="177"/>
      <c r="P32" s="724"/>
      <c r="Q32" s="667"/>
      <c r="R32" s="670"/>
      <c r="S32" s="667"/>
    </row>
    <row r="33" spans="1:33">
      <c r="A33" s="177"/>
      <c r="B33" s="417"/>
      <c r="C33" s="417"/>
      <c r="D33" s="417" t="str">
        <f>SECTF!E10</f>
        <v>AGR_BC</v>
      </c>
      <c r="E33" s="417"/>
      <c r="F33" s="659">
        <f>R53/R65</f>
        <v>3.0920666506688032E-3</v>
      </c>
      <c r="G33" s="659">
        <f>AF53/AF65</f>
        <v>0</v>
      </c>
      <c r="H33" s="417"/>
      <c r="I33" s="417"/>
      <c r="J33" s="417"/>
      <c r="K33" s="674">
        <f>R72</f>
        <v>0.6</v>
      </c>
      <c r="L33" s="417"/>
      <c r="M33" s="417"/>
      <c r="N33" s="417"/>
      <c r="O33" s="177"/>
      <c r="P33" s="724"/>
      <c r="Q33" s="667"/>
      <c r="R33" s="670"/>
      <c r="S33" s="667"/>
    </row>
    <row r="34" spans="1:33">
      <c r="A34" s="177"/>
      <c r="B34" s="417"/>
      <c r="C34" s="417"/>
      <c r="D34" s="417" t="str">
        <f>SECTF!E20</f>
        <v>AGR_NAT_GAS</v>
      </c>
      <c r="E34" s="417"/>
      <c r="F34" s="659">
        <f>R54/R65</f>
        <v>1.7854930159788084E-2</v>
      </c>
      <c r="G34" s="659">
        <f>AF54/AF65</f>
        <v>9.4500094500094504E-3</v>
      </c>
      <c r="H34" s="417"/>
      <c r="I34" s="417"/>
      <c r="J34" s="417"/>
      <c r="K34" s="674">
        <f>R73</f>
        <v>0.85</v>
      </c>
      <c r="L34" s="417"/>
      <c r="M34" s="417"/>
      <c r="N34" s="417"/>
      <c r="O34" s="177"/>
      <c r="P34" s="724"/>
      <c r="Q34" s="667"/>
      <c r="R34" s="670"/>
      <c r="S34" s="667"/>
    </row>
    <row r="35" spans="1:33">
      <c r="A35" s="177"/>
      <c r="B35" s="417"/>
      <c r="C35" s="417"/>
      <c r="D35" s="417" t="str">
        <f>SECTF!E24</f>
        <v>AGR_BIOM</v>
      </c>
      <c r="E35" s="417"/>
      <c r="F35" s="659">
        <f>R55/R65</f>
        <v>0.34755439760538714</v>
      </c>
      <c r="G35" s="659">
        <f>AF55/AF65</f>
        <v>0.20790020790020791</v>
      </c>
      <c r="H35" s="417"/>
      <c r="I35" s="417"/>
      <c r="J35" s="417"/>
      <c r="K35" s="674">
        <f>R74</f>
        <v>0.7</v>
      </c>
      <c r="L35" s="417"/>
      <c r="M35" s="417"/>
      <c r="N35" s="417"/>
      <c r="O35" s="177"/>
      <c r="P35" s="724"/>
      <c r="Q35" s="667"/>
      <c r="R35" s="670"/>
      <c r="S35" s="667"/>
    </row>
    <row r="36" spans="1:33">
      <c r="A36" s="177"/>
      <c r="B36" s="417"/>
      <c r="C36" s="417"/>
      <c r="D36" s="417" t="str">
        <f>SECTF!E22</f>
        <v>AGR_BIOG</v>
      </c>
      <c r="E36" s="417"/>
      <c r="F36" s="659">
        <f>R56/R65</f>
        <v>7.5333275942995456E-3</v>
      </c>
      <c r="G36" s="659">
        <f>AF56/AF65</f>
        <v>9.9225099225099228E-2</v>
      </c>
      <c r="H36" s="417"/>
      <c r="I36" s="417"/>
      <c r="J36" s="417"/>
      <c r="K36" s="674">
        <f>R75</f>
        <v>0.8</v>
      </c>
      <c r="L36" s="417"/>
      <c r="M36" s="417"/>
      <c r="N36" s="417"/>
      <c r="O36" s="177"/>
      <c r="P36" s="724"/>
      <c r="Q36" s="667"/>
      <c r="R36" s="670"/>
      <c r="S36" s="667"/>
    </row>
    <row r="37" spans="1:33">
      <c r="A37" s="177"/>
      <c r="B37" s="417"/>
      <c r="C37" s="417"/>
      <c r="D37" s="417" t="str">
        <f>SECTF!E34</f>
        <v>AGR_OTH_FUE</v>
      </c>
      <c r="E37" s="417"/>
      <c r="F37" s="659">
        <f>(R57+R58)/R65</f>
        <v>1.6263056946357517E-3</v>
      </c>
      <c r="G37" s="659">
        <f>(AF57+AF58)/AF65</f>
        <v>4.725004725004725E-2</v>
      </c>
      <c r="H37" s="417"/>
      <c r="I37" s="417"/>
      <c r="J37" s="417"/>
      <c r="K37" s="674">
        <f>(R76+R77)/2</f>
        <v>0.7</v>
      </c>
      <c r="L37" s="417"/>
      <c r="M37" s="417"/>
      <c r="N37" s="417"/>
      <c r="O37" s="177"/>
      <c r="P37" s="724"/>
      <c r="Q37" s="667"/>
      <c r="R37" s="670"/>
      <c r="S37" s="667"/>
    </row>
    <row r="38" spans="1:33">
      <c r="A38" s="177"/>
      <c r="B38" s="417"/>
      <c r="C38" s="417"/>
      <c r="D38" s="417" t="str">
        <f>SECTF!E16</f>
        <v>AGR_OIL_LPG</v>
      </c>
      <c r="E38" s="417"/>
      <c r="F38" s="659">
        <f>R59/R65</f>
        <v>1.4223506593076496E-2</v>
      </c>
      <c r="G38" s="659">
        <f>AF59/AF65</f>
        <v>3.78000378000378E-3</v>
      </c>
      <c r="H38" s="417"/>
      <c r="I38" s="417"/>
      <c r="J38" s="417"/>
      <c r="K38" s="674">
        <f t="shared" ref="K38:K43" si="0">R78</f>
        <v>0.85</v>
      </c>
      <c r="L38" s="417"/>
      <c r="M38" s="417"/>
      <c r="N38" s="417"/>
      <c r="O38" s="177"/>
      <c r="P38" s="724"/>
      <c r="Q38" s="667"/>
      <c r="R38" s="670"/>
      <c r="S38" s="667"/>
    </row>
    <row r="39" spans="1:33">
      <c r="A39" s="177"/>
      <c r="B39" s="417"/>
      <c r="C39" s="417"/>
      <c r="D39" s="417" t="str">
        <f>SECTF!E12</f>
        <v>AGR_OIL_GSL</v>
      </c>
      <c r="E39" s="417"/>
      <c r="F39" s="659">
        <f>R60/R65</f>
        <v>3.9863577232518833E-4</v>
      </c>
      <c r="G39" s="659">
        <f>AF60/AF65</f>
        <v>3.7800037800037799E-4</v>
      </c>
      <c r="H39" s="417"/>
      <c r="I39" s="417"/>
      <c r="J39" s="417"/>
      <c r="K39" s="674">
        <f t="shared" si="0"/>
        <v>0.25</v>
      </c>
      <c r="L39" s="417"/>
      <c r="M39" s="417"/>
      <c r="N39" s="417"/>
      <c r="O39" s="177"/>
      <c r="P39" s="724"/>
      <c r="Q39" s="667"/>
      <c r="R39" s="670"/>
      <c r="S39" s="667"/>
    </row>
    <row r="40" spans="1:33">
      <c r="A40" s="177"/>
      <c r="B40" s="417"/>
      <c r="C40" s="417"/>
      <c r="D40" s="417" t="str">
        <f>SECTF!E14</f>
        <v>AGR_OIL_DSL</v>
      </c>
      <c r="E40" s="417"/>
      <c r="F40" s="659">
        <f>R61/R65</f>
        <v>0.26427888685038958</v>
      </c>
      <c r="G40" s="659">
        <f>AF61/AF65</f>
        <v>0.12398412398412398</v>
      </c>
      <c r="H40" s="417"/>
      <c r="I40" s="417"/>
      <c r="J40" s="417"/>
      <c r="K40" s="674">
        <f t="shared" si="0"/>
        <v>0.3</v>
      </c>
      <c r="L40" s="417"/>
      <c r="M40" s="417"/>
      <c r="N40" s="417"/>
      <c r="O40" s="177"/>
      <c r="P40" s="724"/>
      <c r="Q40" s="667"/>
      <c r="R40" s="670"/>
      <c r="S40" s="667"/>
    </row>
    <row r="41" spans="1:33">
      <c r="A41" s="177"/>
      <c r="B41" s="417"/>
      <c r="C41" s="417"/>
      <c r="D41" s="417" t="str">
        <f>SECTF!E18</f>
        <v>AGR_OIL_FUE</v>
      </c>
      <c r="E41" s="417"/>
      <c r="F41" s="659">
        <f>R62/R65</f>
        <v>2.9902384701612713E-2</v>
      </c>
      <c r="G41" s="659">
        <f>AF62/AF65</f>
        <v>0</v>
      </c>
      <c r="H41" s="417"/>
      <c r="I41" s="417"/>
      <c r="J41" s="417"/>
      <c r="K41" s="674">
        <f t="shared" si="0"/>
        <v>0.8</v>
      </c>
      <c r="L41" s="417"/>
      <c r="M41" s="417"/>
      <c r="N41" s="417"/>
      <c r="O41" s="177"/>
      <c r="P41" s="725">
        <f>H32*N32/(F32*K32+F33*K33+F34*K34+F35*K35+F36*K36+F37*K37+F38*K38+F39*K39+F40*K40+F41*K41+F42*K42+F43*K43)</f>
        <v>25.872663508950001</v>
      </c>
      <c r="Q41" s="669" t="b">
        <f>P41=R67</f>
        <v>1</v>
      </c>
      <c r="R41" s="671">
        <f>I32*N32/(G32*K32+G33*K33+G34*K34+G35*K35+G36*K36+G37*K37+G38*K38+G39*K39+G40*K40+G41*K41+G42*K42+G43*K43)</f>
        <v>26.454999999999998</v>
      </c>
      <c r="S41" s="669" t="b">
        <f>R41=AF67</f>
        <v>1</v>
      </c>
    </row>
    <row r="42" spans="1:33">
      <c r="A42" s="177"/>
      <c r="B42" s="417"/>
      <c r="C42" s="417"/>
      <c r="D42" s="417" t="str">
        <f>SECTF!E31</f>
        <v>AGR_ELC</v>
      </c>
      <c r="E42" s="417"/>
      <c r="F42" s="659">
        <f>R63/R65</f>
        <v>7.3050074622050473E-2</v>
      </c>
      <c r="G42" s="659">
        <f>AF63/AF65</f>
        <v>0.29484029484029484</v>
      </c>
      <c r="H42" s="417"/>
      <c r="I42" s="417"/>
      <c r="J42" s="417"/>
      <c r="K42" s="674">
        <f t="shared" si="0"/>
        <v>0.9</v>
      </c>
      <c r="L42" s="417"/>
      <c r="M42" s="417"/>
      <c r="N42" s="417"/>
      <c r="O42" s="177"/>
    </row>
    <row r="43" spans="1:33" ht="13.5" thickBot="1">
      <c r="A43" s="177"/>
      <c r="B43" s="677"/>
      <c r="C43" s="677"/>
      <c r="D43" s="677" t="str">
        <f>SECTF!E33</f>
        <v>AGR_DH</v>
      </c>
      <c r="E43" s="677"/>
      <c r="F43" s="678">
        <f>R64/R65</f>
        <v>1.4378109925609936E-2</v>
      </c>
      <c r="G43" s="678">
        <f>AF64/AF65</f>
        <v>0.21319221319221318</v>
      </c>
      <c r="H43" s="677"/>
      <c r="I43" s="677"/>
      <c r="J43" s="677"/>
      <c r="K43" s="679">
        <f t="shared" si="0"/>
        <v>0.9</v>
      </c>
      <c r="L43" s="677"/>
      <c r="M43" s="677"/>
      <c r="N43" s="677"/>
      <c r="O43" s="177"/>
    </row>
    <row r="44" spans="1:33" ht="13.5" thickTop="1">
      <c r="A44" s="177"/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  <c r="O44" s="177"/>
    </row>
    <row r="45" spans="1:33">
      <c r="A45" s="177"/>
      <c r="B45" s="177"/>
      <c r="C45" s="177"/>
      <c r="D45" s="177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</row>
    <row r="46" spans="1:33">
      <c r="A46" s="177"/>
      <c r="B46" s="177"/>
      <c r="C46" s="177"/>
      <c r="D46" s="177"/>
      <c r="E46" s="177"/>
      <c r="F46" s="177"/>
      <c r="G46" s="177"/>
      <c r="H46" s="177"/>
      <c r="I46" s="177"/>
      <c r="J46" s="177"/>
      <c r="K46" s="177"/>
      <c r="L46" s="177"/>
      <c r="M46" s="177"/>
      <c r="N46" s="177"/>
      <c r="O46" s="177"/>
    </row>
    <row r="47" spans="1:33" ht="14.25">
      <c r="D47" s="451"/>
      <c r="F47" s="680"/>
      <c r="G47" s="680"/>
      <c r="H47" s="680"/>
      <c r="I47" s="680"/>
      <c r="J47" s="680"/>
      <c r="K47" s="680"/>
      <c r="L47" s="680"/>
      <c r="M47" s="680"/>
      <c r="N47" s="680"/>
      <c r="O47" s="680"/>
      <c r="P47" s="680"/>
      <c r="Q47" s="680"/>
      <c r="R47" s="680"/>
      <c r="T47" s="680"/>
      <c r="U47" s="680"/>
      <c r="V47" s="680"/>
      <c r="W47" s="680"/>
      <c r="X47" s="680"/>
      <c r="Y47" s="680"/>
      <c r="Z47" s="680"/>
      <c r="AA47" s="680"/>
      <c r="AB47" s="680"/>
      <c r="AC47" s="680"/>
      <c r="AD47" s="680"/>
      <c r="AE47" s="680"/>
      <c r="AF47" s="680"/>
    </row>
    <row r="48" spans="1:33" ht="15" thickBot="1">
      <c r="D48" s="451"/>
      <c r="F48" s="742" t="s">
        <v>915</v>
      </c>
      <c r="G48" s="743"/>
      <c r="H48" s="743"/>
      <c r="I48" s="743"/>
      <c r="J48" s="743"/>
      <c r="K48" s="743"/>
      <c r="L48" s="743"/>
      <c r="M48" s="743"/>
      <c r="N48" s="743"/>
      <c r="O48" s="743"/>
      <c r="P48" s="743"/>
      <c r="Q48" s="743"/>
      <c r="R48" s="743"/>
      <c r="S48" s="681"/>
      <c r="T48" s="742" t="s">
        <v>916</v>
      </c>
      <c r="U48" s="743"/>
      <c r="V48" s="743"/>
      <c r="W48" s="743"/>
      <c r="X48" s="743"/>
      <c r="Y48" s="743"/>
      <c r="Z48" s="743"/>
      <c r="AA48" s="743"/>
      <c r="AB48" s="743"/>
      <c r="AC48" s="743"/>
      <c r="AD48" s="743"/>
      <c r="AE48" s="743"/>
      <c r="AF48" s="743"/>
      <c r="AG48" s="681"/>
    </row>
    <row r="49" spans="2:32" ht="15" thickBot="1">
      <c r="B49" s="774" t="s">
        <v>859</v>
      </c>
      <c r="C49" s="774"/>
      <c r="D49" s="774"/>
      <c r="F49" s="751" t="s">
        <v>901</v>
      </c>
      <c r="G49" s="752"/>
      <c r="H49" s="612"/>
      <c r="I49" s="751" t="s">
        <v>877</v>
      </c>
      <c r="J49" s="752"/>
      <c r="K49" s="752"/>
      <c r="L49" s="752"/>
      <c r="M49" s="753"/>
      <c r="N49" s="754" t="s">
        <v>899</v>
      </c>
      <c r="O49" s="755"/>
      <c r="P49" s="755"/>
      <c r="Q49" s="755"/>
      <c r="R49" s="756"/>
      <c r="T49" s="751" t="s">
        <v>901</v>
      </c>
      <c r="U49" s="752"/>
      <c r="V49" s="612"/>
      <c r="W49" s="751" t="s">
        <v>877</v>
      </c>
      <c r="X49" s="752"/>
      <c r="Y49" s="752"/>
      <c r="Z49" s="752"/>
      <c r="AA49" s="753"/>
      <c r="AB49" s="754" t="s">
        <v>899</v>
      </c>
      <c r="AC49" s="755"/>
      <c r="AD49" s="755"/>
      <c r="AE49" s="755"/>
      <c r="AF49" s="756"/>
    </row>
    <row r="50" spans="2:32">
      <c r="B50" s="450">
        <v>2024</v>
      </c>
      <c r="C50" s="452" t="s">
        <v>858</v>
      </c>
      <c r="D50" s="450" t="s">
        <v>833</v>
      </c>
      <c r="F50" s="757" t="s">
        <v>876</v>
      </c>
      <c r="G50" s="759" t="s">
        <v>827</v>
      </c>
      <c r="H50" s="485"/>
      <c r="I50" s="476" t="s">
        <v>811</v>
      </c>
      <c r="J50" s="477" t="s">
        <v>812</v>
      </c>
      <c r="K50" s="477" t="s">
        <v>862</v>
      </c>
      <c r="L50" s="477" t="s">
        <v>863</v>
      </c>
      <c r="M50" s="478" t="s">
        <v>864</v>
      </c>
      <c r="N50" s="476" t="s">
        <v>811</v>
      </c>
      <c r="O50" s="477" t="s">
        <v>812</v>
      </c>
      <c r="P50" s="477" t="s">
        <v>862</v>
      </c>
      <c r="Q50" s="477" t="s">
        <v>863</v>
      </c>
      <c r="R50" s="478" t="s">
        <v>864</v>
      </c>
      <c r="T50" s="757" t="s">
        <v>876</v>
      </c>
      <c r="U50" s="759" t="s">
        <v>827</v>
      </c>
      <c r="V50" s="485"/>
      <c r="W50" s="476" t="s">
        <v>811</v>
      </c>
      <c r="X50" s="477" t="s">
        <v>812</v>
      </c>
      <c r="Y50" s="477" t="s">
        <v>862</v>
      </c>
      <c r="Z50" s="477" t="s">
        <v>863</v>
      </c>
      <c r="AA50" s="478" t="s">
        <v>864</v>
      </c>
      <c r="AB50" s="476" t="s">
        <v>811</v>
      </c>
      <c r="AC50" s="477" t="s">
        <v>812</v>
      </c>
      <c r="AD50" s="477" t="s">
        <v>862</v>
      </c>
      <c r="AE50" s="477" t="s">
        <v>863</v>
      </c>
      <c r="AF50" s="478" t="s">
        <v>864</v>
      </c>
    </row>
    <row r="51" spans="2:32">
      <c r="B51" s="441" t="s">
        <v>834</v>
      </c>
      <c r="C51" s="442" t="s">
        <v>835</v>
      </c>
      <c r="D51" s="443">
        <v>129449.389635</v>
      </c>
      <c r="F51" s="758"/>
      <c r="G51" s="760"/>
      <c r="H51" s="486" t="s">
        <v>490</v>
      </c>
      <c r="I51" s="488" t="s">
        <v>490</v>
      </c>
      <c r="J51" s="489"/>
      <c r="K51" s="489"/>
      <c r="L51" s="489"/>
      <c r="M51" s="490"/>
      <c r="N51" s="488" t="s">
        <v>827</v>
      </c>
      <c r="O51" s="489"/>
      <c r="P51" s="489"/>
      <c r="Q51" s="489"/>
      <c r="R51" s="490"/>
      <c r="T51" s="758"/>
      <c r="U51" s="760"/>
      <c r="V51" s="486" t="s">
        <v>490</v>
      </c>
      <c r="W51" s="488" t="s">
        <v>490</v>
      </c>
      <c r="X51" s="489"/>
      <c r="Y51" s="489"/>
      <c r="Z51" s="489"/>
      <c r="AA51" s="490"/>
      <c r="AB51" s="488" t="s">
        <v>827</v>
      </c>
      <c r="AC51" s="489"/>
      <c r="AD51" s="489"/>
      <c r="AE51" s="489"/>
      <c r="AF51" s="490"/>
    </row>
    <row r="52" spans="2:32">
      <c r="B52" s="441" t="s">
        <v>836</v>
      </c>
      <c r="C52" s="442" t="s">
        <v>835</v>
      </c>
      <c r="D52" s="443">
        <v>31955.870993</v>
      </c>
      <c r="F52" s="613" t="s">
        <v>874</v>
      </c>
      <c r="G52" s="466">
        <f>D53</f>
        <v>13000</v>
      </c>
      <c r="H52" s="471">
        <f t="shared" ref="H52:H65" si="1">G52/$G$65</f>
        <v>0.10043986837996982</v>
      </c>
      <c r="I52" s="464">
        <v>0</v>
      </c>
      <c r="J52" s="462">
        <v>0.1</v>
      </c>
      <c r="K52" s="462">
        <v>0.45</v>
      </c>
      <c r="L52" s="462">
        <v>0</v>
      </c>
      <c r="M52" s="465">
        <v>0.45</v>
      </c>
      <c r="N52" s="479">
        <f>I52*$G$52/1000</f>
        <v>0</v>
      </c>
      <c r="O52" s="480">
        <f>J52*$G$52</f>
        <v>1300</v>
      </c>
      <c r="P52" s="480">
        <f>K52*$G$52</f>
        <v>5850</v>
      </c>
      <c r="Q52" s="480">
        <f>L52*$G$52</f>
        <v>0</v>
      </c>
      <c r="R52" s="481">
        <f>M52*$G$52</f>
        <v>5850</v>
      </c>
      <c r="T52" s="613" t="s">
        <v>874</v>
      </c>
      <c r="U52" s="466">
        <v>0</v>
      </c>
      <c r="V52" s="471">
        <f>U52/$U$65</f>
        <v>0</v>
      </c>
      <c r="W52" s="464">
        <v>0</v>
      </c>
      <c r="X52" s="462">
        <v>0.1</v>
      </c>
      <c r="Y52" s="462">
        <v>0.45</v>
      </c>
      <c r="Z52" s="462">
        <v>0</v>
      </c>
      <c r="AA52" s="465">
        <v>0.45</v>
      </c>
      <c r="AB52" s="479">
        <f>W52*U52</f>
        <v>0</v>
      </c>
      <c r="AC52" s="480">
        <f>X52*U52</f>
        <v>0</v>
      </c>
      <c r="AD52" s="480">
        <f>Y52*U52</f>
        <v>0</v>
      </c>
      <c r="AE52" s="480">
        <f>Z52*U52</f>
        <v>0</v>
      </c>
      <c r="AF52" s="481">
        <f>AA52*U52</f>
        <v>0</v>
      </c>
    </row>
    <row r="53" spans="2:32">
      <c r="B53" s="444" t="s">
        <v>837</v>
      </c>
      <c r="C53" s="445" t="s">
        <v>835</v>
      </c>
      <c r="D53" s="446">
        <v>13000</v>
      </c>
      <c r="F53" s="614" t="s">
        <v>869</v>
      </c>
      <c r="G53" s="460">
        <f>D54</f>
        <v>160</v>
      </c>
      <c r="H53" s="472">
        <f t="shared" si="1"/>
        <v>1.2361829954457824E-3</v>
      </c>
      <c r="I53" s="464">
        <v>0</v>
      </c>
      <c r="J53" s="462">
        <v>0.1</v>
      </c>
      <c r="K53" s="462">
        <v>0.4</v>
      </c>
      <c r="L53" s="462">
        <v>0</v>
      </c>
      <c r="M53" s="465">
        <v>0.5</v>
      </c>
      <c r="N53" s="479">
        <f>I53*$G$53</f>
        <v>0</v>
      </c>
      <c r="O53" s="480">
        <f>J53*$G$53</f>
        <v>16</v>
      </c>
      <c r="P53" s="480">
        <f>K53*$G$53</f>
        <v>64</v>
      </c>
      <c r="Q53" s="480">
        <f>L53*$G$53</f>
        <v>0</v>
      </c>
      <c r="R53" s="481">
        <f>M53*$G$53</f>
        <v>80</v>
      </c>
      <c r="T53" s="614" t="s">
        <v>869</v>
      </c>
      <c r="U53" s="460">
        <v>0</v>
      </c>
      <c r="V53" s="471">
        <f t="shared" ref="V53:V65" si="2">U53/$U$65</f>
        <v>0</v>
      </c>
      <c r="W53" s="464">
        <v>0</v>
      </c>
      <c r="X53" s="462">
        <v>0.1</v>
      </c>
      <c r="Y53" s="462">
        <v>0.4</v>
      </c>
      <c r="Z53" s="462">
        <v>0</v>
      </c>
      <c r="AA53" s="465">
        <v>0.5</v>
      </c>
      <c r="AB53" s="479">
        <f t="shared" ref="AB53:AB64" si="3">W53*U53</f>
        <v>0</v>
      </c>
      <c r="AC53" s="480">
        <f t="shared" ref="AC53:AC64" si="4">X53*U53</f>
        <v>0</v>
      </c>
      <c r="AD53" s="480">
        <f t="shared" ref="AD53:AD64" si="5">Y53*U53</f>
        <v>0</v>
      </c>
      <c r="AE53" s="480">
        <f t="shared" ref="AE53:AE64" si="6">Z53*U53</f>
        <v>0</v>
      </c>
      <c r="AF53" s="481">
        <f t="shared" ref="AF53:AF64" si="7">AA53*U53</f>
        <v>0</v>
      </c>
    </row>
    <row r="54" spans="2:32">
      <c r="B54" s="444" t="s">
        <v>838</v>
      </c>
      <c r="C54" s="445" t="s">
        <v>835</v>
      </c>
      <c r="D54" s="446">
        <v>160</v>
      </c>
      <c r="F54" s="615" t="s">
        <v>865</v>
      </c>
      <c r="G54" s="460">
        <f>D55+D56</f>
        <v>1847.8183999999999</v>
      </c>
      <c r="H54" s="472">
        <f t="shared" si="1"/>
        <v>1.4276510529698956E-2</v>
      </c>
      <c r="I54" s="464">
        <v>0</v>
      </c>
      <c r="J54" s="462">
        <v>0.45</v>
      </c>
      <c r="K54" s="462">
        <v>0.3</v>
      </c>
      <c r="L54" s="462">
        <v>0</v>
      </c>
      <c r="M54" s="465">
        <v>0.25</v>
      </c>
      <c r="N54" s="479">
        <f>I54*$G$54</f>
        <v>0</v>
      </c>
      <c r="O54" s="480">
        <f>J54*$G$54</f>
        <v>831.51828</v>
      </c>
      <c r="P54" s="480">
        <f>K54*$G$54</f>
        <v>554.34551999999996</v>
      </c>
      <c r="Q54" s="480">
        <f>L54*$G$54</f>
        <v>0</v>
      </c>
      <c r="R54" s="481">
        <f>M54*$G$54</f>
        <v>461.95459999999997</v>
      </c>
      <c r="T54" s="615" t="s">
        <v>865</v>
      </c>
      <c r="U54" s="460">
        <v>1000</v>
      </c>
      <c r="V54" s="471">
        <f t="shared" si="2"/>
        <v>1.020408163265306E-2</v>
      </c>
      <c r="W54" s="464">
        <v>0</v>
      </c>
      <c r="X54" s="462">
        <v>0.45</v>
      </c>
      <c r="Y54" s="462">
        <v>0.3</v>
      </c>
      <c r="Z54" s="462">
        <v>0</v>
      </c>
      <c r="AA54" s="465">
        <v>0.25</v>
      </c>
      <c r="AB54" s="479">
        <f t="shared" si="3"/>
        <v>0</v>
      </c>
      <c r="AC54" s="480">
        <f t="shared" si="4"/>
        <v>450</v>
      </c>
      <c r="AD54" s="480">
        <f t="shared" si="5"/>
        <v>300</v>
      </c>
      <c r="AE54" s="480">
        <f t="shared" si="6"/>
        <v>0</v>
      </c>
      <c r="AF54" s="481">
        <f t="shared" si="7"/>
        <v>250</v>
      </c>
    </row>
    <row r="55" spans="2:32">
      <c r="B55" s="444" t="s">
        <v>839</v>
      </c>
      <c r="C55" s="445" t="s">
        <v>835</v>
      </c>
      <c r="D55" s="446">
        <v>1553.57</v>
      </c>
      <c r="F55" s="615" t="s">
        <v>866</v>
      </c>
      <c r="G55" s="460">
        <f>D57</f>
        <v>16349.378145999999</v>
      </c>
      <c r="H55" s="472">
        <f t="shared" si="1"/>
        <v>0.12631764531373807</v>
      </c>
      <c r="I55" s="464">
        <v>0</v>
      </c>
      <c r="J55" s="462">
        <v>0.1</v>
      </c>
      <c r="K55" s="462">
        <v>0.35</v>
      </c>
      <c r="L55" s="462">
        <v>0</v>
      </c>
      <c r="M55" s="465">
        <v>0.55000000000000004</v>
      </c>
      <c r="N55" s="479">
        <f>I55*$G$55</f>
        <v>0</v>
      </c>
      <c r="O55" s="480">
        <f>J55*$G$55</f>
        <v>1634.9378145999999</v>
      </c>
      <c r="P55" s="480">
        <f>K55*$G$55</f>
        <v>5722.2823510999997</v>
      </c>
      <c r="Q55" s="480">
        <f>L55*$G$55</f>
        <v>0</v>
      </c>
      <c r="R55" s="481">
        <f>M55*$G$55</f>
        <v>8992.1579803000004</v>
      </c>
      <c r="T55" s="615" t="s">
        <v>866</v>
      </c>
      <c r="U55" s="460">
        <v>10000</v>
      </c>
      <c r="V55" s="471">
        <f t="shared" si="2"/>
        <v>0.10204081632653061</v>
      </c>
      <c r="W55" s="464">
        <v>0</v>
      </c>
      <c r="X55" s="462">
        <v>0.1</v>
      </c>
      <c r="Y55" s="462">
        <v>0.35</v>
      </c>
      <c r="Z55" s="462">
        <v>0</v>
      </c>
      <c r="AA55" s="465">
        <v>0.55000000000000004</v>
      </c>
      <c r="AB55" s="479">
        <f t="shared" si="3"/>
        <v>0</v>
      </c>
      <c r="AC55" s="480">
        <f t="shared" si="4"/>
        <v>1000</v>
      </c>
      <c r="AD55" s="480">
        <f t="shared" si="5"/>
        <v>3500</v>
      </c>
      <c r="AE55" s="480">
        <f t="shared" si="6"/>
        <v>0</v>
      </c>
      <c r="AF55" s="481">
        <f t="shared" si="7"/>
        <v>5500</v>
      </c>
    </row>
    <row r="56" spans="2:32">
      <c r="B56" s="444" t="s">
        <v>840</v>
      </c>
      <c r="C56" s="445" t="s">
        <v>835</v>
      </c>
      <c r="D56" s="446">
        <v>294.2484</v>
      </c>
      <c r="F56" s="615" t="s">
        <v>867</v>
      </c>
      <c r="G56" s="461">
        <f>D58</f>
        <v>556.87785699999995</v>
      </c>
      <c r="H56" s="472">
        <f t="shared" si="1"/>
        <v>4.3025183585230506E-3</v>
      </c>
      <c r="I56" s="464">
        <v>0</v>
      </c>
      <c r="J56" s="462">
        <v>0.1</v>
      </c>
      <c r="K56" s="462">
        <v>0.55000000000000004</v>
      </c>
      <c r="L56" s="462">
        <v>0</v>
      </c>
      <c r="M56" s="465">
        <v>0.35</v>
      </c>
      <c r="N56" s="479">
        <f>I56*$G$56</f>
        <v>0</v>
      </c>
      <c r="O56" s="480">
        <f>J56*$G$56</f>
        <v>55.687785699999999</v>
      </c>
      <c r="P56" s="480">
        <f>K56*$G$56</f>
        <v>306.28282135000001</v>
      </c>
      <c r="Q56" s="480">
        <f>L56*$G$56</f>
        <v>0</v>
      </c>
      <c r="R56" s="481">
        <f>M56*$G$56</f>
        <v>194.90724994999997</v>
      </c>
      <c r="T56" s="615" t="s">
        <v>867</v>
      </c>
      <c r="U56" s="461">
        <v>7500</v>
      </c>
      <c r="V56" s="471">
        <f t="shared" si="2"/>
        <v>7.6530612244897961E-2</v>
      </c>
      <c r="W56" s="464">
        <v>0</v>
      </c>
      <c r="X56" s="462">
        <v>0.1</v>
      </c>
      <c r="Y56" s="462">
        <v>0.55000000000000004</v>
      </c>
      <c r="Z56" s="462">
        <v>0</v>
      </c>
      <c r="AA56" s="465">
        <v>0.35</v>
      </c>
      <c r="AB56" s="479">
        <f t="shared" si="3"/>
        <v>0</v>
      </c>
      <c r="AC56" s="480">
        <f t="shared" si="4"/>
        <v>750</v>
      </c>
      <c r="AD56" s="480">
        <f t="shared" si="5"/>
        <v>4125</v>
      </c>
      <c r="AE56" s="480">
        <f t="shared" si="6"/>
        <v>0</v>
      </c>
      <c r="AF56" s="481">
        <f t="shared" si="7"/>
        <v>2625</v>
      </c>
    </row>
    <row r="57" spans="2:32">
      <c r="B57" s="444" t="s">
        <v>841</v>
      </c>
      <c r="C57" s="445" t="s">
        <v>835</v>
      </c>
      <c r="D57" s="446">
        <v>16349.378145999999</v>
      </c>
      <c r="F57" s="615" t="s">
        <v>875</v>
      </c>
      <c r="G57" s="461">
        <f>D59+D60</f>
        <v>41.778839999999995</v>
      </c>
      <c r="H57" s="472">
        <f t="shared" si="1"/>
        <v>3.2278932235906292E-4</v>
      </c>
      <c r="I57" s="464">
        <v>0</v>
      </c>
      <c r="J57" s="462">
        <v>0.1</v>
      </c>
      <c r="K57" s="462">
        <v>0.4</v>
      </c>
      <c r="L57" s="462">
        <v>0</v>
      </c>
      <c r="M57" s="465">
        <v>0.5</v>
      </c>
      <c r="N57" s="479">
        <f>I57*$G$57</f>
        <v>0</v>
      </c>
      <c r="O57" s="480">
        <f>J57*$G$57</f>
        <v>4.1778839999999997</v>
      </c>
      <c r="P57" s="480">
        <f>K57*$G$57</f>
        <v>16.711535999999999</v>
      </c>
      <c r="Q57" s="480">
        <f>L57*$G$57</f>
        <v>0</v>
      </c>
      <c r="R57" s="481">
        <f>M57*$G$57</f>
        <v>20.889419999999998</v>
      </c>
      <c r="T57" s="615" t="s">
        <v>875</v>
      </c>
      <c r="U57" s="461">
        <v>2500</v>
      </c>
      <c r="V57" s="471">
        <f t="shared" si="2"/>
        <v>2.5510204081632654E-2</v>
      </c>
      <c r="W57" s="464">
        <v>0</v>
      </c>
      <c r="X57" s="462">
        <v>0.1</v>
      </c>
      <c r="Y57" s="462">
        <v>0.4</v>
      </c>
      <c r="Z57" s="462">
        <v>0</v>
      </c>
      <c r="AA57" s="465">
        <v>0.5</v>
      </c>
      <c r="AB57" s="479">
        <f t="shared" si="3"/>
        <v>0</v>
      </c>
      <c r="AC57" s="480">
        <f t="shared" si="4"/>
        <v>250</v>
      </c>
      <c r="AD57" s="480">
        <f t="shared" si="5"/>
        <v>1000</v>
      </c>
      <c r="AE57" s="480">
        <f t="shared" si="6"/>
        <v>0</v>
      </c>
      <c r="AF57" s="481">
        <f t="shared" si="7"/>
        <v>1250</v>
      </c>
    </row>
    <row r="58" spans="2:32">
      <c r="B58" s="444" t="s">
        <v>842</v>
      </c>
      <c r="C58" s="445" t="s">
        <v>835</v>
      </c>
      <c r="D58" s="446">
        <v>556.87785699999995</v>
      </c>
      <c r="F58" s="615" t="s">
        <v>870</v>
      </c>
      <c r="G58" s="461">
        <f>D62+D63</f>
        <v>47.083199999999998</v>
      </c>
      <c r="H58" s="472">
        <f t="shared" si="1"/>
        <v>3.6377157006983041E-4</v>
      </c>
      <c r="I58" s="464">
        <v>0</v>
      </c>
      <c r="J58" s="462">
        <v>0.1</v>
      </c>
      <c r="K58" s="462">
        <v>0.45</v>
      </c>
      <c r="L58" s="462">
        <v>0</v>
      </c>
      <c r="M58" s="465">
        <v>0.45</v>
      </c>
      <c r="N58" s="479">
        <f>I58*$G$58</f>
        <v>0</v>
      </c>
      <c r="O58" s="480">
        <f>J58*$G$58</f>
        <v>4.7083199999999996</v>
      </c>
      <c r="P58" s="480">
        <f>K58*$G$58</f>
        <v>21.187439999999999</v>
      </c>
      <c r="Q58" s="480">
        <f>L58*$G$58</f>
        <v>0</v>
      </c>
      <c r="R58" s="481">
        <f>M58*$G$58</f>
        <v>21.187439999999999</v>
      </c>
      <c r="T58" s="615" t="s">
        <v>870</v>
      </c>
      <c r="U58" s="461">
        <v>0</v>
      </c>
      <c r="V58" s="471">
        <f t="shared" si="2"/>
        <v>0</v>
      </c>
      <c r="W58" s="464">
        <v>0</v>
      </c>
      <c r="X58" s="462">
        <v>0.1</v>
      </c>
      <c r="Y58" s="462">
        <v>0.45</v>
      </c>
      <c r="Z58" s="462">
        <v>0</v>
      </c>
      <c r="AA58" s="465">
        <v>0.45</v>
      </c>
      <c r="AB58" s="479">
        <f t="shared" si="3"/>
        <v>0</v>
      </c>
      <c r="AC58" s="480">
        <f t="shared" si="4"/>
        <v>0</v>
      </c>
      <c r="AD58" s="480">
        <f t="shared" si="5"/>
        <v>0</v>
      </c>
      <c r="AE58" s="480">
        <f t="shared" si="6"/>
        <v>0</v>
      </c>
      <c r="AF58" s="481">
        <f t="shared" si="7"/>
        <v>0</v>
      </c>
    </row>
    <row r="59" spans="2:32">
      <c r="B59" s="447" t="s">
        <v>843</v>
      </c>
      <c r="C59" s="445" t="s">
        <v>835</v>
      </c>
      <c r="D59" s="446">
        <v>37.378839999999997</v>
      </c>
      <c r="F59" s="615" t="s">
        <v>871</v>
      </c>
      <c r="G59" s="461">
        <f>D64</f>
        <v>1840</v>
      </c>
      <c r="H59" s="472">
        <f t="shared" si="1"/>
        <v>1.4216104447626499E-2</v>
      </c>
      <c r="I59" s="464">
        <v>0</v>
      </c>
      <c r="J59" s="462">
        <v>0.35</v>
      </c>
      <c r="K59" s="462">
        <v>0.45</v>
      </c>
      <c r="L59" s="462">
        <v>0</v>
      </c>
      <c r="M59" s="465">
        <v>0.2</v>
      </c>
      <c r="N59" s="479">
        <f>I59*$G$59</f>
        <v>0</v>
      </c>
      <c r="O59" s="480">
        <f>J59*$G$59</f>
        <v>644</v>
      </c>
      <c r="P59" s="480">
        <f>K59*$G$59</f>
        <v>828</v>
      </c>
      <c r="Q59" s="480">
        <f>L59*$G$59</f>
        <v>0</v>
      </c>
      <c r="R59" s="481">
        <f>M59*$G$59</f>
        <v>368</v>
      </c>
      <c r="T59" s="615" t="s">
        <v>871</v>
      </c>
      <c r="U59" s="461">
        <v>500</v>
      </c>
      <c r="V59" s="471">
        <f t="shared" si="2"/>
        <v>5.1020408163265302E-3</v>
      </c>
      <c r="W59" s="464">
        <v>0</v>
      </c>
      <c r="X59" s="462">
        <v>0.35</v>
      </c>
      <c r="Y59" s="462">
        <v>0.45</v>
      </c>
      <c r="Z59" s="462">
        <v>0</v>
      </c>
      <c r="AA59" s="465">
        <v>0.2</v>
      </c>
      <c r="AB59" s="479">
        <f t="shared" si="3"/>
        <v>0</v>
      </c>
      <c r="AC59" s="480">
        <f t="shared" si="4"/>
        <v>175</v>
      </c>
      <c r="AD59" s="480">
        <f t="shared" si="5"/>
        <v>225</v>
      </c>
      <c r="AE59" s="480">
        <f t="shared" si="6"/>
        <v>0</v>
      </c>
      <c r="AF59" s="481">
        <f t="shared" si="7"/>
        <v>100</v>
      </c>
    </row>
    <row r="60" spans="2:32">
      <c r="B60" s="444" t="s">
        <v>844</v>
      </c>
      <c r="C60" s="445" t="s">
        <v>835</v>
      </c>
      <c r="D60" s="448">
        <v>4.4000000000000004</v>
      </c>
      <c r="F60" s="615" t="s">
        <v>868</v>
      </c>
      <c r="G60" s="461">
        <f>D65+D66</f>
        <v>103.137692</v>
      </c>
      <c r="H60" s="472">
        <f t="shared" si="1"/>
        <v>7.9685663149952821E-4</v>
      </c>
      <c r="I60" s="464">
        <v>0.9</v>
      </c>
      <c r="J60" s="462">
        <v>0</v>
      </c>
      <c r="K60" s="462">
        <v>0</v>
      </c>
      <c r="L60" s="462">
        <v>0</v>
      </c>
      <c r="M60" s="465">
        <v>0.1</v>
      </c>
      <c r="N60" s="479">
        <f>I60*$G$60</f>
        <v>92.823922800000005</v>
      </c>
      <c r="O60" s="480">
        <f>J60*$G$60</f>
        <v>0</v>
      </c>
      <c r="P60" s="480">
        <f>K60*$G$60</f>
        <v>0</v>
      </c>
      <c r="Q60" s="480">
        <f>L60*$G$60</f>
        <v>0</v>
      </c>
      <c r="R60" s="481">
        <f>M60*$G$60</f>
        <v>10.313769200000001</v>
      </c>
      <c r="T60" s="615" t="s">
        <v>868</v>
      </c>
      <c r="U60" s="461">
        <v>100</v>
      </c>
      <c r="V60" s="471">
        <f t="shared" si="2"/>
        <v>1.0204081632653062E-3</v>
      </c>
      <c r="W60" s="464">
        <v>0.9</v>
      </c>
      <c r="X60" s="462">
        <v>0</v>
      </c>
      <c r="Y60" s="462">
        <v>0</v>
      </c>
      <c r="Z60" s="462">
        <v>0</v>
      </c>
      <c r="AA60" s="465">
        <v>0.1</v>
      </c>
      <c r="AB60" s="479">
        <f t="shared" si="3"/>
        <v>90</v>
      </c>
      <c r="AC60" s="480">
        <f t="shared" si="4"/>
        <v>0</v>
      </c>
      <c r="AD60" s="480">
        <f t="shared" si="5"/>
        <v>0</v>
      </c>
      <c r="AE60" s="480">
        <f t="shared" si="6"/>
        <v>0</v>
      </c>
      <c r="AF60" s="481">
        <f t="shared" si="7"/>
        <v>10</v>
      </c>
    </row>
    <row r="61" spans="2:32">
      <c r="B61" s="441" t="s">
        <v>845</v>
      </c>
      <c r="C61" s="442" t="s">
        <v>835</v>
      </c>
      <c r="D61" s="443">
        <v>97493.518641999995</v>
      </c>
      <c r="F61" s="615" t="s">
        <v>872</v>
      </c>
      <c r="G61" s="461">
        <f>D67+D68</f>
        <v>85469.983900000007</v>
      </c>
      <c r="H61" s="472">
        <f t="shared" si="1"/>
        <v>0.66035337948878003</v>
      </c>
      <c r="I61" s="464">
        <v>0.9</v>
      </c>
      <c r="J61" s="462">
        <v>0.01</v>
      </c>
      <c r="K61" s="462">
        <v>0</v>
      </c>
      <c r="L61" s="462">
        <v>0.01</v>
      </c>
      <c r="M61" s="465">
        <v>0.08</v>
      </c>
      <c r="N61" s="479">
        <f>I61*$G$61</f>
        <v>76922.985510000013</v>
      </c>
      <c r="O61" s="480">
        <f>J61*$G$61</f>
        <v>854.69983900000011</v>
      </c>
      <c r="P61" s="480">
        <f>K61*$G$61</f>
        <v>0</v>
      </c>
      <c r="Q61" s="480">
        <f>L61*$G$61</f>
        <v>854.69983900000011</v>
      </c>
      <c r="R61" s="481">
        <f>M61*$G$61</f>
        <v>6837.5987120000009</v>
      </c>
      <c r="T61" s="615" t="s">
        <v>872</v>
      </c>
      <c r="U61" s="461">
        <v>41000</v>
      </c>
      <c r="V61" s="471">
        <f t="shared" si="2"/>
        <v>0.41836734693877553</v>
      </c>
      <c r="W61" s="464">
        <v>0.9</v>
      </c>
      <c r="X61" s="462">
        <v>0.01</v>
      </c>
      <c r="Y61" s="462">
        <v>0</v>
      </c>
      <c r="Z61" s="462">
        <v>0.01</v>
      </c>
      <c r="AA61" s="465">
        <v>0.08</v>
      </c>
      <c r="AB61" s="479">
        <f t="shared" si="3"/>
        <v>36900</v>
      </c>
      <c r="AC61" s="480">
        <f t="shared" si="4"/>
        <v>410</v>
      </c>
      <c r="AD61" s="480">
        <f t="shared" si="5"/>
        <v>0</v>
      </c>
      <c r="AE61" s="480">
        <f t="shared" si="6"/>
        <v>410</v>
      </c>
      <c r="AF61" s="481">
        <f t="shared" si="7"/>
        <v>3280</v>
      </c>
    </row>
    <row r="62" spans="2:32">
      <c r="B62" s="444" t="s">
        <v>846</v>
      </c>
      <c r="C62" s="445" t="s">
        <v>835</v>
      </c>
      <c r="D62" s="446">
        <v>46.4</v>
      </c>
      <c r="F62" s="615" t="s">
        <v>873</v>
      </c>
      <c r="G62" s="461">
        <f>D69+D70</f>
        <v>3094.61735</v>
      </c>
      <c r="H62" s="472">
        <f t="shared" si="1"/>
        <v>2.3909458409259308E-2</v>
      </c>
      <c r="I62" s="464">
        <v>0</v>
      </c>
      <c r="J62" s="462">
        <v>0.4</v>
      </c>
      <c r="K62" s="462">
        <v>0.35</v>
      </c>
      <c r="L62" s="462">
        <v>0</v>
      </c>
      <c r="M62" s="465">
        <v>0.25</v>
      </c>
      <c r="N62" s="479">
        <f>I62*$G$62</f>
        <v>0</v>
      </c>
      <c r="O62" s="480">
        <f>J62*$G$62</f>
        <v>1237.8469400000001</v>
      </c>
      <c r="P62" s="480">
        <f>K62*$G$62</f>
        <v>1083.1160725</v>
      </c>
      <c r="Q62" s="480">
        <f>L62*$G$62</f>
        <v>0</v>
      </c>
      <c r="R62" s="481">
        <f>M62*$G$62</f>
        <v>773.6543375</v>
      </c>
      <c r="T62" s="615" t="s">
        <v>873</v>
      </c>
      <c r="U62" s="461">
        <v>0</v>
      </c>
      <c r="V62" s="471">
        <f t="shared" si="2"/>
        <v>0</v>
      </c>
      <c r="W62" s="464">
        <v>0</v>
      </c>
      <c r="X62" s="462">
        <v>0.4</v>
      </c>
      <c r="Y62" s="462">
        <v>0.35</v>
      </c>
      <c r="Z62" s="462">
        <v>0</v>
      </c>
      <c r="AA62" s="465">
        <v>0.25</v>
      </c>
      <c r="AB62" s="479">
        <f t="shared" si="3"/>
        <v>0</v>
      </c>
      <c r="AC62" s="480">
        <f t="shared" si="4"/>
        <v>0</v>
      </c>
      <c r="AD62" s="480">
        <f t="shared" si="5"/>
        <v>0</v>
      </c>
      <c r="AE62" s="480">
        <f t="shared" si="6"/>
        <v>0</v>
      </c>
      <c r="AF62" s="481">
        <f t="shared" si="7"/>
        <v>0</v>
      </c>
    </row>
    <row r="63" spans="2:32">
      <c r="B63" s="444" t="s">
        <v>847</v>
      </c>
      <c r="C63" s="445" t="s">
        <v>835</v>
      </c>
      <c r="D63" s="446">
        <v>0.68320000000000003</v>
      </c>
      <c r="F63" s="615" t="s">
        <v>680</v>
      </c>
      <c r="G63" s="461">
        <f>D73</f>
        <v>6300</v>
      </c>
      <c r="H63" s="472">
        <f t="shared" si="1"/>
        <v>4.8674705445677688E-2</v>
      </c>
      <c r="I63" s="464">
        <v>0.05</v>
      </c>
      <c r="J63" s="462">
        <v>0.14000000000000001</v>
      </c>
      <c r="K63" s="462">
        <v>0.01</v>
      </c>
      <c r="L63" s="462">
        <v>0.5</v>
      </c>
      <c r="M63" s="465">
        <v>0.3</v>
      </c>
      <c r="N63" s="479">
        <f>I63*$G$63</f>
        <v>315</v>
      </c>
      <c r="O63" s="480">
        <f>J63*$G$63</f>
        <v>882.00000000000011</v>
      </c>
      <c r="P63" s="480">
        <f>K63*$G$63</f>
        <v>63</v>
      </c>
      <c r="Q63" s="480">
        <f>L63*$G$63</f>
        <v>3150</v>
      </c>
      <c r="R63" s="481">
        <f>M63*$G$63</f>
        <v>1890</v>
      </c>
      <c r="T63" s="615" t="s">
        <v>680</v>
      </c>
      <c r="U63" s="461">
        <v>26000</v>
      </c>
      <c r="V63" s="471">
        <f t="shared" si="2"/>
        <v>0.26530612244897961</v>
      </c>
      <c r="W63" s="464">
        <v>0.05</v>
      </c>
      <c r="X63" s="462">
        <v>0.14000000000000001</v>
      </c>
      <c r="Y63" s="462">
        <v>0.01</v>
      </c>
      <c r="Z63" s="462">
        <v>0.5</v>
      </c>
      <c r="AA63" s="465">
        <v>0.3</v>
      </c>
      <c r="AB63" s="479">
        <f t="shared" si="3"/>
        <v>1300</v>
      </c>
      <c r="AC63" s="480">
        <f t="shared" si="4"/>
        <v>3640.0000000000005</v>
      </c>
      <c r="AD63" s="480">
        <f t="shared" si="5"/>
        <v>260</v>
      </c>
      <c r="AE63" s="480">
        <f t="shared" si="6"/>
        <v>13000</v>
      </c>
      <c r="AF63" s="481">
        <f t="shared" si="7"/>
        <v>7800</v>
      </c>
    </row>
    <row r="64" spans="2:32" ht="13.5" thickBot="1">
      <c r="B64" s="444" t="s">
        <v>848</v>
      </c>
      <c r="C64" s="445" t="s">
        <v>835</v>
      </c>
      <c r="D64" s="446">
        <v>1840</v>
      </c>
      <c r="F64" s="616" t="s">
        <v>860</v>
      </c>
      <c r="G64" s="463">
        <f>D74</f>
        <v>620</v>
      </c>
      <c r="H64" s="473">
        <f t="shared" si="1"/>
        <v>4.7902091073524075E-3</v>
      </c>
      <c r="I64" s="467">
        <v>0</v>
      </c>
      <c r="J64" s="468">
        <v>0</v>
      </c>
      <c r="K64" s="468">
        <v>0.4</v>
      </c>
      <c r="L64" s="468">
        <v>0</v>
      </c>
      <c r="M64" s="469">
        <v>0.6</v>
      </c>
      <c r="N64" s="482">
        <f>I64*$G$64</f>
        <v>0</v>
      </c>
      <c r="O64" s="483">
        <f>J64*$G$64</f>
        <v>0</v>
      </c>
      <c r="P64" s="483">
        <f>K64*$G$64</f>
        <v>248</v>
      </c>
      <c r="Q64" s="483">
        <f>L64*$G$64</f>
        <v>0</v>
      </c>
      <c r="R64" s="484">
        <f>M64*$G$64</f>
        <v>372</v>
      </c>
      <c r="T64" s="616" t="s">
        <v>860</v>
      </c>
      <c r="U64" s="463">
        <v>9400</v>
      </c>
      <c r="V64" s="682">
        <f t="shared" si="2"/>
        <v>9.5918367346938774E-2</v>
      </c>
      <c r="W64" s="467">
        <v>0</v>
      </c>
      <c r="X64" s="468">
        <v>0</v>
      </c>
      <c r="Y64" s="468">
        <v>0.4</v>
      </c>
      <c r="Z64" s="468">
        <v>0</v>
      </c>
      <c r="AA64" s="469">
        <v>0.6</v>
      </c>
      <c r="AB64" s="685">
        <f t="shared" si="3"/>
        <v>0</v>
      </c>
      <c r="AC64" s="686">
        <f t="shared" si="4"/>
        <v>0</v>
      </c>
      <c r="AD64" s="686">
        <f t="shared" si="5"/>
        <v>3760</v>
      </c>
      <c r="AE64" s="686">
        <f t="shared" si="6"/>
        <v>0</v>
      </c>
      <c r="AF64" s="687">
        <f t="shared" si="7"/>
        <v>5640</v>
      </c>
    </row>
    <row r="65" spans="2:32" ht="14.25" thickTop="1" thickBot="1">
      <c r="B65" s="444" t="s">
        <v>849</v>
      </c>
      <c r="C65" s="445" t="s">
        <v>835</v>
      </c>
      <c r="D65" s="446">
        <v>86.347291999999996</v>
      </c>
      <c r="F65" s="487" t="s">
        <v>878</v>
      </c>
      <c r="G65" s="474">
        <f>SUM(G52:G64)</f>
        <v>129430.675385</v>
      </c>
      <c r="H65" s="475">
        <f t="shared" si="1"/>
        <v>1</v>
      </c>
      <c r="I65" s="470"/>
      <c r="J65" s="541"/>
      <c r="K65" s="541"/>
      <c r="L65" s="542"/>
      <c r="M65" s="495"/>
      <c r="N65" s="492">
        <f>SUM(N52:N64)</f>
        <v>77330.809432800015</v>
      </c>
      <c r="O65" s="493">
        <f t="shared" ref="O65:R65" si="8">SUM(O52:O64)</f>
        <v>7465.5768633000007</v>
      </c>
      <c r="P65" s="493">
        <f t="shared" si="8"/>
        <v>14756.925740949999</v>
      </c>
      <c r="Q65" s="493">
        <f t="shared" si="8"/>
        <v>4004.6998389999999</v>
      </c>
      <c r="R65" s="494">
        <f t="shared" si="8"/>
        <v>25872.663508950001</v>
      </c>
      <c r="T65" s="487" t="s">
        <v>878</v>
      </c>
      <c r="U65" s="474">
        <f>SUM(U52:U64)</f>
        <v>98000</v>
      </c>
      <c r="V65" s="683">
        <f t="shared" si="2"/>
        <v>1</v>
      </c>
      <c r="W65" s="470"/>
      <c r="X65" s="541"/>
      <c r="Y65" s="541"/>
      <c r="Z65" s="542"/>
      <c r="AA65" s="495"/>
      <c r="AB65" s="492">
        <f>SUM(AB52:AB64)</f>
        <v>38290</v>
      </c>
      <c r="AC65" s="493">
        <f t="shared" ref="AC65:AF65" si="9">SUM(AC52:AC64)</f>
        <v>6675</v>
      </c>
      <c r="AD65" s="493">
        <f t="shared" si="9"/>
        <v>13170</v>
      </c>
      <c r="AE65" s="493">
        <f t="shared" si="9"/>
        <v>13410</v>
      </c>
      <c r="AF65" s="494">
        <f t="shared" si="9"/>
        <v>26455</v>
      </c>
    </row>
    <row r="66" spans="2:32">
      <c r="B66" s="444" t="s">
        <v>850</v>
      </c>
      <c r="C66" s="445" t="s">
        <v>835</v>
      </c>
      <c r="D66" s="446">
        <v>16.790400000000002</v>
      </c>
      <c r="J66" s="514"/>
      <c r="K66" s="190"/>
      <c r="L66" s="190"/>
      <c r="M66" s="650" t="s">
        <v>887</v>
      </c>
      <c r="N66" s="539">
        <f>N65/$G$65</f>
        <v>0.59746894778053561</v>
      </c>
      <c r="O66" s="537">
        <f>O65/$G$65</f>
        <v>5.7680119810030774E-2</v>
      </c>
      <c r="P66" s="537">
        <f>P65/$G$65</f>
        <v>0.11401412916261588</v>
      </c>
      <c r="Q66" s="537">
        <f>Q65/$G$65</f>
        <v>3.0940886517726644E-2</v>
      </c>
      <c r="R66" s="538">
        <f>R65/$G$65</f>
        <v>0.19989591672909127</v>
      </c>
      <c r="V66" s="684"/>
      <c r="X66" s="514"/>
      <c r="Y66" s="190"/>
      <c r="Z66" s="190"/>
      <c r="AA66" s="650" t="s">
        <v>887</v>
      </c>
      <c r="AB66" s="539">
        <f>AB65/$G$65</f>
        <v>0.29583404309761885</v>
      </c>
      <c r="AC66" s="537">
        <f>AC65/$G$65</f>
        <v>5.1572009341253736E-2</v>
      </c>
      <c r="AD66" s="537">
        <f>AD65/$G$65</f>
        <v>0.10175331281263097</v>
      </c>
      <c r="AE66" s="537">
        <f>AE65/$G$65</f>
        <v>0.10360758730579965</v>
      </c>
      <c r="AF66" s="538">
        <f>AF65/$G$65</f>
        <v>0.2043951321532386</v>
      </c>
    </row>
    <row r="67" spans="2:32" ht="13.5" thickBot="1">
      <c r="B67" s="447" t="s">
        <v>852</v>
      </c>
      <c r="C67" s="445" t="s">
        <v>835</v>
      </c>
      <c r="D67" s="446">
        <v>85440</v>
      </c>
      <c r="J67" s="518"/>
      <c r="K67" s="177"/>
      <c r="L67" s="177"/>
      <c r="M67" s="630" t="s">
        <v>37</v>
      </c>
      <c r="N67" s="496">
        <f>N65/1000</f>
        <v>77.33080943280001</v>
      </c>
      <c r="O67" s="496">
        <f t="shared" ref="O67:R67" si="10">O65/1000</f>
        <v>7.4655768633000008</v>
      </c>
      <c r="P67" s="496">
        <f t="shared" si="10"/>
        <v>14.756925740949999</v>
      </c>
      <c r="Q67" s="496">
        <f t="shared" si="10"/>
        <v>4.0046998389999997</v>
      </c>
      <c r="R67" s="540">
        <f t="shared" si="10"/>
        <v>25.872663508950001</v>
      </c>
      <c r="X67" s="518"/>
      <c r="Y67" s="177"/>
      <c r="Z67" s="177"/>
      <c r="AA67" s="630" t="s">
        <v>37</v>
      </c>
      <c r="AB67" s="496">
        <f>AB65/1000</f>
        <v>38.29</v>
      </c>
      <c r="AC67" s="496">
        <f t="shared" ref="AC67:AF67" si="11">AC65/1000</f>
        <v>6.6749999999999998</v>
      </c>
      <c r="AD67" s="496">
        <f t="shared" si="11"/>
        <v>13.17</v>
      </c>
      <c r="AE67" s="496">
        <f t="shared" si="11"/>
        <v>13.41</v>
      </c>
      <c r="AF67" s="540">
        <f t="shared" si="11"/>
        <v>26.454999999999998</v>
      </c>
    </row>
    <row r="68" spans="2:32" ht="13.5" thickBot="1">
      <c r="B68" s="444" t="s">
        <v>851</v>
      </c>
      <c r="C68" s="445" t="s">
        <v>835</v>
      </c>
      <c r="D68" s="446">
        <v>29.983899999999998</v>
      </c>
      <c r="I68" s="603"/>
      <c r="J68" s="177"/>
      <c r="K68" s="177"/>
      <c r="L68" s="177"/>
      <c r="M68" s="629"/>
      <c r="N68" s="754" t="s">
        <v>900</v>
      </c>
      <c r="O68" s="755"/>
      <c r="P68" s="755"/>
      <c r="Q68" s="755"/>
      <c r="R68" s="756"/>
      <c r="W68" s="603"/>
      <c r="X68" s="177"/>
      <c r="Y68" s="177"/>
      <c r="Z68" s="177"/>
      <c r="AA68" s="629"/>
      <c r="AB68" s="754" t="s">
        <v>900</v>
      </c>
      <c r="AC68" s="755"/>
      <c r="AD68" s="755"/>
      <c r="AE68" s="755"/>
      <c r="AF68" s="756"/>
    </row>
    <row r="69" spans="2:32">
      <c r="B69" s="444" t="s">
        <v>853</v>
      </c>
      <c r="C69" s="449" t="s">
        <v>835</v>
      </c>
      <c r="D69" s="446">
        <v>3074.5</v>
      </c>
      <c r="I69" s="603"/>
      <c r="J69" s="177"/>
      <c r="K69" s="197"/>
      <c r="L69" s="177"/>
      <c r="M69" s="761" t="s">
        <v>876</v>
      </c>
      <c r="N69" s="476" t="s">
        <v>811</v>
      </c>
      <c r="O69" s="477" t="s">
        <v>812</v>
      </c>
      <c r="P69" s="477" t="s">
        <v>862</v>
      </c>
      <c r="Q69" s="477" t="s">
        <v>863</v>
      </c>
      <c r="R69" s="478" t="s">
        <v>864</v>
      </c>
      <c r="W69" s="603"/>
      <c r="X69" s="177"/>
      <c r="Y69" s="197"/>
      <c r="Z69" s="177"/>
      <c r="AA69" s="761" t="s">
        <v>876</v>
      </c>
      <c r="AB69" s="476" t="s">
        <v>811</v>
      </c>
      <c r="AC69" s="477" t="s">
        <v>812</v>
      </c>
      <c r="AD69" s="477" t="s">
        <v>862</v>
      </c>
      <c r="AE69" s="477" t="s">
        <v>863</v>
      </c>
      <c r="AF69" s="478" t="s">
        <v>864</v>
      </c>
    </row>
    <row r="70" spans="2:32">
      <c r="B70" s="444" t="s">
        <v>857</v>
      </c>
      <c r="C70" s="449" t="s">
        <v>835</v>
      </c>
      <c r="D70" s="446">
        <v>20.117349999999998</v>
      </c>
      <c r="I70" s="603"/>
      <c r="J70" s="177"/>
      <c r="K70" s="177"/>
      <c r="L70" s="177"/>
      <c r="M70" s="762"/>
      <c r="N70" s="763" t="s">
        <v>902</v>
      </c>
      <c r="O70" s="764"/>
      <c r="P70" s="764"/>
      <c r="Q70" s="764"/>
      <c r="R70" s="765"/>
      <c r="W70" s="603"/>
      <c r="X70" s="177"/>
      <c r="Y70" s="177"/>
      <c r="Z70" s="177"/>
      <c r="AA70" s="762"/>
      <c r="AB70" s="763" t="s">
        <v>902</v>
      </c>
      <c r="AC70" s="764"/>
      <c r="AD70" s="764"/>
      <c r="AE70" s="764"/>
      <c r="AF70" s="765"/>
    </row>
    <row r="71" spans="2:32">
      <c r="B71" s="444" t="s">
        <v>854</v>
      </c>
      <c r="C71" s="445" t="s">
        <v>835</v>
      </c>
      <c r="D71" s="446">
        <v>18.5915</v>
      </c>
      <c r="I71" s="603"/>
      <c r="J71" s="177"/>
      <c r="K71" s="177"/>
      <c r="L71" s="177"/>
      <c r="M71" s="646" t="s">
        <v>874</v>
      </c>
      <c r="N71" s="621"/>
      <c r="O71" s="617">
        <v>0.65</v>
      </c>
      <c r="P71" s="617">
        <v>0.7</v>
      </c>
      <c r="Q71" s="624"/>
      <c r="R71" s="618">
        <v>0.7</v>
      </c>
      <c r="W71" s="603"/>
      <c r="X71" s="177"/>
      <c r="Y71" s="177"/>
      <c r="Z71" s="177"/>
      <c r="AA71" s="646" t="s">
        <v>874</v>
      </c>
      <c r="AB71" s="621"/>
      <c r="AC71" s="617">
        <v>0.65</v>
      </c>
      <c r="AD71" s="617">
        <v>0.7</v>
      </c>
      <c r="AE71" s="624"/>
      <c r="AF71" s="618">
        <v>0.7</v>
      </c>
    </row>
    <row r="72" spans="2:32">
      <c r="B72" s="642" t="s">
        <v>855</v>
      </c>
      <c r="C72" s="445" t="s">
        <v>829</v>
      </c>
      <c r="D72" s="446">
        <v>1750</v>
      </c>
      <c r="I72" s="603"/>
      <c r="J72" s="177"/>
      <c r="K72" s="177"/>
      <c r="L72" s="177"/>
      <c r="M72" s="647" t="s">
        <v>869</v>
      </c>
      <c r="N72" s="621"/>
      <c r="O72" s="617">
        <v>0.6</v>
      </c>
      <c r="P72" s="617">
        <v>0.6</v>
      </c>
      <c r="Q72" s="624"/>
      <c r="R72" s="618">
        <v>0.6</v>
      </c>
      <c r="W72" s="603"/>
      <c r="X72" s="177"/>
      <c r="Y72" s="177"/>
      <c r="Z72" s="177"/>
      <c r="AA72" s="647" t="s">
        <v>869</v>
      </c>
      <c r="AB72" s="621"/>
      <c r="AC72" s="617">
        <v>0.6</v>
      </c>
      <c r="AD72" s="617">
        <v>0.6</v>
      </c>
      <c r="AE72" s="624"/>
      <c r="AF72" s="618">
        <v>0.6</v>
      </c>
    </row>
    <row r="73" spans="2:32">
      <c r="B73" s="643"/>
      <c r="C73" s="445" t="s">
        <v>835</v>
      </c>
      <c r="D73" s="446">
        <v>6300</v>
      </c>
      <c r="I73" s="603"/>
      <c r="J73" s="177"/>
      <c r="K73" s="177"/>
      <c r="L73" s="177"/>
      <c r="M73" s="647" t="s">
        <v>865</v>
      </c>
      <c r="N73" s="621"/>
      <c r="O73" s="617">
        <v>0.8</v>
      </c>
      <c r="P73" s="617">
        <v>0.85</v>
      </c>
      <c r="Q73" s="624"/>
      <c r="R73" s="618">
        <v>0.85</v>
      </c>
      <c r="W73" s="603"/>
      <c r="X73" s="177"/>
      <c r="Y73" s="177"/>
      <c r="Z73" s="177"/>
      <c r="AA73" s="647" t="s">
        <v>865</v>
      </c>
      <c r="AB73" s="621"/>
      <c r="AC73" s="617">
        <v>0.8</v>
      </c>
      <c r="AD73" s="617">
        <v>0.85</v>
      </c>
      <c r="AE73" s="624"/>
      <c r="AF73" s="618">
        <v>0.85</v>
      </c>
    </row>
    <row r="74" spans="2:32">
      <c r="B74" s="444" t="s">
        <v>856</v>
      </c>
      <c r="C74" s="445" t="s">
        <v>835</v>
      </c>
      <c r="D74" s="446">
        <v>620</v>
      </c>
      <c r="I74" s="603"/>
      <c r="J74" s="177"/>
      <c r="K74" s="177"/>
      <c r="L74" s="177"/>
      <c r="M74" s="647" t="s">
        <v>866</v>
      </c>
      <c r="N74" s="621"/>
      <c r="O74" s="617">
        <v>0.68</v>
      </c>
      <c r="P74" s="617">
        <v>0.7</v>
      </c>
      <c r="Q74" s="624"/>
      <c r="R74" s="618">
        <v>0.7</v>
      </c>
      <c r="W74" s="603"/>
      <c r="X74" s="177"/>
      <c r="Y74" s="177"/>
      <c r="Z74" s="177"/>
      <c r="AA74" s="647" t="s">
        <v>866</v>
      </c>
      <c r="AB74" s="621"/>
      <c r="AC74" s="617">
        <v>0.68</v>
      </c>
      <c r="AD74" s="617">
        <v>0.7</v>
      </c>
      <c r="AE74" s="624"/>
      <c r="AF74" s="618">
        <v>0.7</v>
      </c>
    </row>
    <row r="75" spans="2:32">
      <c r="I75" s="603"/>
      <c r="J75" s="177"/>
      <c r="K75" s="177"/>
      <c r="L75" s="177"/>
      <c r="M75" s="647" t="s">
        <v>867</v>
      </c>
      <c r="N75" s="621"/>
      <c r="O75" s="617">
        <v>0.75</v>
      </c>
      <c r="P75" s="617">
        <v>0.8</v>
      </c>
      <c r="Q75" s="624"/>
      <c r="R75" s="618">
        <v>0.8</v>
      </c>
      <c r="W75" s="603"/>
      <c r="X75" s="177"/>
      <c r="Y75" s="177"/>
      <c r="Z75" s="177"/>
      <c r="AA75" s="647" t="s">
        <v>867</v>
      </c>
      <c r="AB75" s="621"/>
      <c r="AC75" s="617">
        <v>0.75</v>
      </c>
      <c r="AD75" s="617">
        <v>0.8</v>
      </c>
      <c r="AE75" s="624"/>
      <c r="AF75" s="618">
        <v>0.8</v>
      </c>
    </row>
    <row r="76" spans="2:32">
      <c r="I76" s="603"/>
      <c r="J76" s="177"/>
      <c r="K76" s="177"/>
      <c r="L76" s="177"/>
      <c r="M76" s="647" t="s">
        <v>875</v>
      </c>
      <c r="N76" s="621"/>
      <c r="O76" s="617">
        <v>0.65</v>
      </c>
      <c r="P76" s="617">
        <v>0.7</v>
      </c>
      <c r="Q76" s="624"/>
      <c r="R76" s="618">
        <v>0.7</v>
      </c>
      <c r="W76" s="603"/>
      <c r="X76" s="177"/>
      <c r="Y76" s="177"/>
      <c r="Z76" s="177"/>
      <c r="AA76" s="647" t="s">
        <v>875</v>
      </c>
      <c r="AB76" s="621"/>
      <c r="AC76" s="617">
        <v>0.65</v>
      </c>
      <c r="AD76" s="617">
        <v>0.7</v>
      </c>
      <c r="AE76" s="624"/>
      <c r="AF76" s="618">
        <v>0.7</v>
      </c>
    </row>
    <row r="77" spans="2:32">
      <c r="I77" s="603"/>
      <c r="J77" s="177"/>
      <c r="K77" s="177"/>
      <c r="L77" s="177"/>
      <c r="M77" s="647" t="s">
        <v>870</v>
      </c>
      <c r="N77" s="621"/>
      <c r="O77" s="617">
        <v>0.65</v>
      </c>
      <c r="P77" s="617">
        <v>0.7</v>
      </c>
      <c r="Q77" s="624"/>
      <c r="R77" s="618">
        <v>0.7</v>
      </c>
      <c r="W77" s="603"/>
      <c r="X77" s="177"/>
      <c r="Y77" s="177"/>
      <c r="Z77" s="177"/>
      <c r="AA77" s="647" t="s">
        <v>870</v>
      </c>
      <c r="AB77" s="621"/>
      <c r="AC77" s="617">
        <v>0.65</v>
      </c>
      <c r="AD77" s="617">
        <v>0.7</v>
      </c>
      <c r="AE77" s="624"/>
      <c r="AF77" s="618">
        <v>0.7</v>
      </c>
    </row>
    <row r="78" spans="2:32">
      <c r="I78" s="603"/>
      <c r="J78" s="177"/>
      <c r="K78" s="177"/>
      <c r="L78" s="177"/>
      <c r="M78" s="647" t="s">
        <v>871</v>
      </c>
      <c r="N78" s="621"/>
      <c r="O78" s="617">
        <v>0.8</v>
      </c>
      <c r="P78" s="617">
        <v>0.85</v>
      </c>
      <c r="Q78" s="624"/>
      <c r="R78" s="618">
        <v>0.85</v>
      </c>
      <c r="W78" s="603"/>
      <c r="X78" s="177"/>
      <c r="Y78" s="177"/>
      <c r="Z78" s="177"/>
      <c r="AA78" s="647" t="s">
        <v>871</v>
      </c>
      <c r="AB78" s="621"/>
      <c r="AC78" s="617">
        <v>0.8</v>
      </c>
      <c r="AD78" s="617">
        <v>0.85</v>
      </c>
      <c r="AE78" s="624"/>
      <c r="AF78" s="618">
        <v>0.85</v>
      </c>
    </row>
    <row r="79" spans="2:32">
      <c r="I79" s="603"/>
      <c r="J79" s="177"/>
      <c r="K79" s="177"/>
      <c r="L79" s="177"/>
      <c r="M79" s="647" t="s">
        <v>868</v>
      </c>
      <c r="N79" s="611">
        <v>0.25</v>
      </c>
      <c r="O79" s="624"/>
      <c r="P79" s="624"/>
      <c r="Q79" s="624"/>
      <c r="R79" s="618">
        <v>0.25</v>
      </c>
      <c r="W79" s="603"/>
      <c r="X79" s="177"/>
      <c r="Y79" s="177"/>
      <c r="Z79" s="177"/>
      <c r="AA79" s="647" t="s">
        <v>868</v>
      </c>
      <c r="AB79" s="611">
        <v>0.25</v>
      </c>
      <c r="AC79" s="624"/>
      <c r="AD79" s="624"/>
      <c r="AE79" s="624"/>
      <c r="AF79" s="618">
        <v>0.25</v>
      </c>
    </row>
    <row r="80" spans="2:32">
      <c r="I80" s="603"/>
      <c r="J80" s="177"/>
      <c r="K80" s="177"/>
      <c r="L80" s="177"/>
      <c r="M80" s="647" t="s">
        <v>872</v>
      </c>
      <c r="N80" s="611">
        <v>0.3</v>
      </c>
      <c r="O80" s="617">
        <v>0.75</v>
      </c>
      <c r="P80" s="624"/>
      <c r="Q80" s="617">
        <v>0.27</v>
      </c>
      <c r="R80" s="618">
        <v>0.3</v>
      </c>
      <c r="W80" s="603"/>
      <c r="X80" s="177"/>
      <c r="Y80" s="177"/>
      <c r="Z80" s="177"/>
      <c r="AA80" s="647" t="s">
        <v>872</v>
      </c>
      <c r="AB80" s="611">
        <v>0.3</v>
      </c>
      <c r="AC80" s="617">
        <v>0.75</v>
      </c>
      <c r="AD80" s="624"/>
      <c r="AE80" s="617">
        <v>0.27</v>
      </c>
      <c r="AF80" s="618">
        <v>0.3</v>
      </c>
    </row>
    <row r="81" spans="9:32">
      <c r="I81" s="603"/>
      <c r="J81" s="177"/>
      <c r="K81" s="177"/>
      <c r="L81" s="177"/>
      <c r="M81" s="647" t="s">
        <v>873</v>
      </c>
      <c r="N81" s="621"/>
      <c r="O81" s="617">
        <v>0.75</v>
      </c>
      <c r="P81" s="617">
        <v>0.8</v>
      </c>
      <c r="Q81" s="624"/>
      <c r="R81" s="618">
        <v>0.8</v>
      </c>
      <c r="W81" s="603"/>
      <c r="X81" s="177"/>
      <c r="Y81" s="177"/>
      <c r="Z81" s="177"/>
      <c r="AA81" s="647" t="s">
        <v>873</v>
      </c>
      <c r="AB81" s="621"/>
      <c r="AC81" s="617">
        <v>0.75</v>
      </c>
      <c r="AD81" s="617">
        <v>0.8</v>
      </c>
      <c r="AE81" s="624"/>
      <c r="AF81" s="618">
        <v>0.8</v>
      </c>
    </row>
    <row r="82" spans="9:32">
      <c r="I82" s="603"/>
      <c r="J82" s="177"/>
      <c r="K82" s="177"/>
      <c r="L82" s="177"/>
      <c r="M82" s="647" t="s">
        <v>680</v>
      </c>
      <c r="N82" s="611">
        <v>0.8</v>
      </c>
      <c r="O82" s="617">
        <v>0.85</v>
      </c>
      <c r="P82" s="617">
        <v>0.98</v>
      </c>
      <c r="Q82" s="617">
        <v>1</v>
      </c>
      <c r="R82" s="618">
        <v>0.9</v>
      </c>
      <c r="W82" s="603"/>
      <c r="X82" s="177"/>
      <c r="Y82" s="177"/>
      <c r="Z82" s="177"/>
      <c r="AA82" s="647" t="s">
        <v>680</v>
      </c>
      <c r="AB82" s="611">
        <v>0.8</v>
      </c>
      <c r="AC82" s="617">
        <v>0.85</v>
      </c>
      <c r="AD82" s="617">
        <v>0.98</v>
      </c>
      <c r="AE82" s="617">
        <v>1</v>
      </c>
      <c r="AF82" s="618">
        <v>0.9</v>
      </c>
    </row>
    <row r="83" spans="9:32" ht="13.5" thickBot="1">
      <c r="I83" s="603"/>
      <c r="J83" s="177"/>
      <c r="K83" s="177"/>
      <c r="L83" s="177"/>
      <c r="M83" s="648" t="s">
        <v>860</v>
      </c>
      <c r="N83" s="622"/>
      <c r="O83" s="623"/>
      <c r="P83" s="619">
        <v>0.9</v>
      </c>
      <c r="Q83" s="623"/>
      <c r="R83" s="620">
        <v>0.9</v>
      </c>
      <c r="W83" s="603"/>
      <c r="X83" s="177"/>
      <c r="Y83" s="177"/>
      <c r="Z83" s="177"/>
      <c r="AA83" s="648" t="s">
        <v>860</v>
      </c>
      <c r="AB83" s="622"/>
      <c r="AC83" s="623"/>
      <c r="AD83" s="619">
        <v>0.9</v>
      </c>
      <c r="AE83" s="623"/>
      <c r="AF83" s="620">
        <v>0.9</v>
      </c>
    </row>
    <row r="84" spans="9:32" ht="13.5" thickTop="1">
      <c r="I84" s="603"/>
      <c r="J84" s="177"/>
      <c r="K84" s="177"/>
      <c r="L84" s="177"/>
      <c r="M84" s="177"/>
      <c r="N84" s="766" t="s">
        <v>827</v>
      </c>
      <c r="O84" s="767"/>
      <c r="P84" s="767"/>
      <c r="Q84" s="767"/>
      <c r="R84" s="768"/>
      <c r="W84" s="603"/>
      <c r="X84" s="177"/>
      <c r="Y84" s="177"/>
      <c r="Z84" s="177"/>
      <c r="AA84" s="177"/>
      <c r="AB84" s="766" t="s">
        <v>827</v>
      </c>
      <c r="AC84" s="767"/>
      <c r="AD84" s="767"/>
      <c r="AE84" s="767"/>
      <c r="AF84" s="768"/>
    </row>
    <row r="85" spans="9:32">
      <c r="I85" s="603"/>
      <c r="J85" s="177"/>
      <c r="K85" s="177"/>
      <c r="L85" s="177"/>
      <c r="M85" s="177"/>
      <c r="N85" s="625">
        <f>N52*N71</f>
        <v>0</v>
      </c>
      <c r="O85" s="480">
        <f>O52*O71</f>
        <v>845</v>
      </c>
      <c r="P85" s="480">
        <f>P52*P71</f>
        <v>4094.9999999999995</v>
      </c>
      <c r="Q85" s="626">
        <f t="shared" ref="Q85:R85" si="12">Q52*Q71</f>
        <v>0</v>
      </c>
      <c r="R85" s="481">
        <f t="shared" si="12"/>
        <v>4094.9999999999995</v>
      </c>
      <c r="W85" s="603"/>
      <c r="X85" s="177"/>
      <c r="Y85" s="177"/>
      <c r="Z85" s="177"/>
      <c r="AA85" s="177"/>
      <c r="AB85" s="625">
        <f>AB52*AB71</f>
        <v>0</v>
      </c>
      <c r="AC85" s="480">
        <f>AC52*AC71</f>
        <v>0</v>
      </c>
      <c r="AD85" s="480">
        <f>AD52*AD71</f>
        <v>0</v>
      </c>
      <c r="AE85" s="626">
        <f t="shared" ref="AE85:AF85" si="13">AE52*AE71</f>
        <v>0</v>
      </c>
      <c r="AF85" s="481">
        <f t="shared" si="13"/>
        <v>0</v>
      </c>
    </row>
    <row r="86" spans="9:32">
      <c r="I86" s="603"/>
      <c r="J86" s="177"/>
      <c r="K86" s="177"/>
      <c r="L86" s="177"/>
      <c r="M86" s="177"/>
      <c r="N86" s="625">
        <f t="shared" ref="N86:R86" si="14">N53*N72</f>
        <v>0</v>
      </c>
      <c r="O86" s="480">
        <f t="shared" si="14"/>
        <v>9.6</v>
      </c>
      <c r="P86" s="480">
        <f t="shared" si="14"/>
        <v>38.4</v>
      </c>
      <c r="Q86" s="626">
        <f t="shared" si="14"/>
        <v>0</v>
      </c>
      <c r="R86" s="481">
        <f t="shared" si="14"/>
        <v>48</v>
      </c>
      <c r="W86" s="603"/>
      <c r="X86" s="177"/>
      <c r="Y86" s="177"/>
      <c r="Z86" s="177"/>
      <c r="AA86" s="177"/>
      <c r="AB86" s="625">
        <f t="shared" ref="AB86:AF86" si="15">AB53*AB72</f>
        <v>0</v>
      </c>
      <c r="AC86" s="480">
        <f t="shared" si="15"/>
        <v>0</v>
      </c>
      <c r="AD86" s="480">
        <f t="shared" si="15"/>
        <v>0</v>
      </c>
      <c r="AE86" s="626">
        <f t="shared" si="15"/>
        <v>0</v>
      </c>
      <c r="AF86" s="481">
        <f t="shared" si="15"/>
        <v>0</v>
      </c>
    </row>
    <row r="87" spans="9:32">
      <c r="I87" s="603"/>
      <c r="J87" s="177"/>
      <c r="K87" s="177"/>
      <c r="L87" s="177"/>
      <c r="M87" s="177"/>
      <c r="N87" s="625">
        <f t="shared" ref="N87:R87" si="16">N54*N73</f>
        <v>0</v>
      </c>
      <c r="O87" s="480">
        <f t="shared" si="16"/>
        <v>665.21462400000007</v>
      </c>
      <c r="P87" s="480">
        <f t="shared" si="16"/>
        <v>471.19369199999994</v>
      </c>
      <c r="Q87" s="626">
        <f t="shared" si="16"/>
        <v>0</v>
      </c>
      <c r="R87" s="481">
        <f t="shared" si="16"/>
        <v>392.66140999999999</v>
      </c>
      <c r="W87" s="603"/>
      <c r="X87" s="177"/>
      <c r="Y87" s="177"/>
      <c r="Z87" s="177"/>
      <c r="AA87" s="177"/>
      <c r="AB87" s="625">
        <f t="shared" ref="AB87:AF87" si="17">AB54*AB73</f>
        <v>0</v>
      </c>
      <c r="AC87" s="480">
        <f t="shared" si="17"/>
        <v>360</v>
      </c>
      <c r="AD87" s="480">
        <f t="shared" si="17"/>
        <v>255</v>
      </c>
      <c r="AE87" s="626">
        <f t="shared" si="17"/>
        <v>0</v>
      </c>
      <c r="AF87" s="481">
        <f t="shared" si="17"/>
        <v>212.5</v>
      </c>
    </row>
    <row r="88" spans="9:32">
      <c r="I88" s="603"/>
      <c r="J88" s="177"/>
      <c r="K88" s="177"/>
      <c r="L88" s="177"/>
      <c r="M88" s="177"/>
      <c r="N88" s="625">
        <f t="shared" ref="N88:R88" si="18">N55*N74</f>
        <v>0</v>
      </c>
      <c r="O88" s="480">
        <f t="shared" si="18"/>
        <v>1111.7577139279999</v>
      </c>
      <c r="P88" s="480">
        <f t="shared" si="18"/>
        <v>4005.5976457699994</v>
      </c>
      <c r="Q88" s="626">
        <f t="shared" si="18"/>
        <v>0</v>
      </c>
      <c r="R88" s="481">
        <f t="shared" si="18"/>
        <v>6294.5105862099999</v>
      </c>
      <c r="W88" s="603"/>
      <c r="X88" s="177"/>
      <c r="Y88" s="177"/>
      <c r="Z88" s="177"/>
      <c r="AA88" s="177"/>
      <c r="AB88" s="625">
        <f t="shared" ref="AB88:AF88" si="19">AB55*AB74</f>
        <v>0</v>
      </c>
      <c r="AC88" s="480">
        <f t="shared" si="19"/>
        <v>680</v>
      </c>
      <c r="AD88" s="480">
        <f t="shared" si="19"/>
        <v>2450</v>
      </c>
      <c r="AE88" s="626">
        <f t="shared" si="19"/>
        <v>0</v>
      </c>
      <c r="AF88" s="481">
        <f t="shared" si="19"/>
        <v>3849.9999999999995</v>
      </c>
    </row>
    <row r="89" spans="9:32">
      <c r="I89" s="603"/>
      <c r="J89" s="177"/>
      <c r="K89" s="177"/>
      <c r="L89" s="177"/>
      <c r="M89" s="177"/>
      <c r="N89" s="625">
        <f t="shared" ref="N89:R89" si="20">N56*N75</f>
        <v>0</v>
      </c>
      <c r="O89" s="480">
        <f t="shared" si="20"/>
        <v>41.765839274999998</v>
      </c>
      <c r="P89" s="480">
        <f t="shared" si="20"/>
        <v>245.02625708000002</v>
      </c>
      <c r="Q89" s="626">
        <f t="shared" si="20"/>
        <v>0</v>
      </c>
      <c r="R89" s="481">
        <f t="shared" si="20"/>
        <v>155.92579995999998</v>
      </c>
      <c r="W89" s="603"/>
      <c r="X89" s="177"/>
      <c r="Y89" s="177"/>
      <c r="Z89" s="177"/>
      <c r="AA89" s="177"/>
      <c r="AB89" s="625">
        <f t="shared" ref="AB89:AF89" si="21">AB56*AB75</f>
        <v>0</v>
      </c>
      <c r="AC89" s="480">
        <f t="shared" si="21"/>
        <v>562.5</v>
      </c>
      <c r="AD89" s="480">
        <f t="shared" si="21"/>
        <v>3300</v>
      </c>
      <c r="AE89" s="626">
        <f t="shared" si="21"/>
        <v>0</v>
      </c>
      <c r="AF89" s="481">
        <f t="shared" si="21"/>
        <v>2100</v>
      </c>
    </row>
    <row r="90" spans="9:32">
      <c r="I90" s="603"/>
      <c r="J90" s="177"/>
      <c r="K90" s="177"/>
      <c r="L90" s="177"/>
      <c r="M90" s="177"/>
      <c r="N90" s="625">
        <f t="shared" ref="N90:R90" si="22">N57*N76</f>
        <v>0</v>
      </c>
      <c r="O90" s="480">
        <f t="shared" si="22"/>
        <v>2.7156245999999999</v>
      </c>
      <c r="P90" s="480">
        <f t="shared" si="22"/>
        <v>11.698075199999998</v>
      </c>
      <c r="Q90" s="626">
        <f t="shared" si="22"/>
        <v>0</v>
      </c>
      <c r="R90" s="481">
        <f t="shared" si="22"/>
        <v>14.622593999999998</v>
      </c>
      <c r="W90" s="603"/>
      <c r="X90" s="177"/>
      <c r="Y90" s="177"/>
      <c r="Z90" s="177"/>
      <c r="AA90" s="177"/>
      <c r="AB90" s="625">
        <f t="shared" ref="AB90:AF90" si="23">AB57*AB76</f>
        <v>0</v>
      </c>
      <c r="AC90" s="480">
        <f t="shared" si="23"/>
        <v>162.5</v>
      </c>
      <c r="AD90" s="480">
        <f t="shared" si="23"/>
        <v>700</v>
      </c>
      <c r="AE90" s="626">
        <f t="shared" si="23"/>
        <v>0</v>
      </c>
      <c r="AF90" s="481">
        <f t="shared" si="23"/>
        <v>875</v>
      </c>
    </row>
    <row r="91" spans="9:32">
      <c r="I91" s="603"/>
      <c r="J91" s="177"/>
      <c r="K91" s="177"/>
      <c r="L91" s="177"/>
      <c r="M91" s="177"/>
      <c r="N91" s="625">
        <f t="shared" ref="N91:R91" si="24">N58*N77</f>
        <v>0</v>
      </c>
      <c r="O91" s="480">
        <f t="shared" si="24"/>
        <v>3.0604079999999998</v>
      </c>
      <c r="P91" s="480">
        <f t="shared" si="24"/>
        <v>14.831207999999998</v>
      </c>
      <c r="Q91" s="626">
        <f t="shared" si="24"/>
        <v>0</v>
      </c>
      <c r="R91" s="481">
        <f t="shared" si="24"/>
        <v>14.831207999999998</v>
      </c>
      <c r="W91" s="603"/>
      <c r="X91" s="177"/>
      <c r="Y91" s="177"/>
      <c r="Z91" s="177"/>
      <c r="AA91" s="177"/>
      <c r="AB91" s="625">
        <f t="shared" ref="AB91:AF91" si="25">AB58*AB77</f>
        <v>0</v>
      </c>
      <c r="AC91" s="480">
        <f t="shared" si="25"/>
        <v>0</v>
      </c>
      <c r="AD91" s="480">
        <f t="shared" si="25"/>
        <v>0</v>
      </c>
      <c r="AE91" s="626">
        <f t="shared" si="25"/>
        <v>0</v>
      </c>
      <c r="AF91" s="481">
        <f t="shared" si="25"/>
        <v>0</v>
      </c>
    </row>
    <row r="92" spans="9:32">
      <c r="I92" s="603"/>
      <c r="J92" s="177"/>
      <c r="K92" s="177"/>
      <c r="L92" s="177"/>
      <c r="M92" s="177"/>
      <c r="N92" s="625">
        <f t="shared" ref="N92:R92" si="26">N59*N78</f>
        <v>0</v>
      </c>
      <c r="O92" s="480">
        <f t="shared" si="26"/>
        <v>515.20000000000005</v>
      </c>
      <c r="P92" s="480">
        <f t="shared" si="26"/>
        <v>703.8</v>
      </c>
      <c r="Q92" s="626">
        <f t="shared" si="26"/>
        <v>0</v>
      </c>
      <c r="R92" s="481">
        <f t="shared" si="26"/>
        <v>312.8</v>
      </c>
      <c r="W92" s="603"/>
      <c r="X92" s="177"/>
      <c r="Y92" s="177"/>
      <c r="Z92" s="177"/>
      <c r="AA92" s="177"/>
      <c r="AB92" s="625">
        <f t="shared" ref="AB92:AF92" si="27">AB59*AB78</f>
        <v>0</v>
      </c>
      <c r="AC92" s="480">
        <f t="shared" si="27"/>
        <v>140</v>
      </c>
      <c r="AD92" s="480">
        <f t="shared" si="27"/>
        <v>191.25</v>
      </c>
      <c r="AE92" s="626">
        <f t="shared" si="27"/>
        <v>0</v>
      </c>
      <c r="AF92" s="481">
        <f t="shared" si="27"/>
        <v>85</v>
      </c>
    </row>
    <row r="93" spans="9:32">
      <c r="I93" s="603"/>
      <c r="J93" s="177"/>
      <c r="K93" s="177"/>
      <c r="L93" s="177"/>
      <c r="M93" s="177"/>
      <c r="N93" s="479">
        <f t="shared" ref="N93:R93" si="28">N60*N79</f>
        <v>23.205980700000001</v>
      </c>
      <c r="O93" s="626">
        <f t="shared" si="28"/>
        <v>0</v>
      </c>
      <c r="P93" s="626">
        <f t="shared" si="28"/>
        <v>0</v>
      </c>
      <c r="Q93" s="626">
        <f t="shared" si="28"/>
        <v>0</v>
      </c>
      <c r="R93" s="481">
        <f t="shared" si="28"/>
        <v>2.5784423000000003</v>
      </c>
      <c r="W93" s="603"/>
      <c r="X93" s="177"/>
      <c r="Y93" s="177"/>
      <c r="Z93" s="177"/>
      <c r="AA93" s="177"/>
      <c r="AB93" s="479">
        <f>AB60*AB79</f>
        <v>22.5</v>
      </c>
      <c r="AC93" s="626">
        <f t="shared" ref="AC93:AF93" si="29">AC60*AC79</f>
        <v>0</v>
      </c>
      <c r="AD93" s="626">
        <f t="shared" si="29"/>
        <v>0</v>
      </c>
      <c r="AE93" s="626">
        <f t="shared" si="29"/>
        <v>0</v>
      </c>
      <c r="AF93" s="481">
        <f t="shared" si="29"/>
        <v>2.5</v>
      </c>
    </row>
    <row r="94" spans="9:32">
      <c r="I94" s="603"/>
      <c r="J94" s="177"/>
      <c r="K94" s="177"/>
      <c r="L94" s="177"/>
      <c r="M94" s="177"/>
      <c r="N94" s="479">
        <f t="shared" ref="N94:R94" si="30">N61*N80</f>
        <v>23076.895653000003</v>
      </c>
      <c r="O94" s="480">
        <f t="shared" si="30"/>
        <v>641.02487925000014</v>
      </c>
      <c r="P94" s="626">
        <f t="shared" si="30"/>
        <v>0</v>
      </c>
      <c r="Q94" s="480">
        <f t="shared" si="30"/>
        <v>230.76895653000005</v>
      </c>
      <c r="R94" s="481">
        <f t="shared" si="30"/>
        <v>2051.2796136000002</v>
      </c>
      <c r="W94" s="603"/>
      <c r="X94" s="177"/>
      <c r="Y94" s="177"/>
      <c r="Z94" s="177"/>
      <c r="AA94" s="177"/>
      <c r="AB94" s="479">
        <f>AB61*AB80</f>
        <v>11070</v>
      </c>
      <c r="AC94" s="480">
        <f>AC61*AC80</f>
        <v>307.5</v>
      </c>
      <c r="AD94" s="626">
        <f t="shared" ref="AD94:AF94" si="31">AD61*AD80</f>
        <v>0</v>
      </c>
      <c r="AE94" s="480">
        <f t="shared" si="31"/>
        <v>110.7</v>
      </c>
      <c r="AF94" s="481">
        <f t="shared" si="31"/>
        <v>984</v>
      </c>
    </row>
    <row r="95" spans="9:32">
      <c r="I95" s="603"/>
      <c r="J95" s="177"/>
      <c r="K95" s="177"/>
      <c r="L95" s="177"/>
      <c r="M95" s="177"/>
      <c r="N95" s="625">
        <f t="shared" ref="N95:R95" si="32">N62*N81</f>
        <v>0</v>
      </c>
      <c r="O95" s="480">
        <f t="shared" si="32"/>
        <v>928.38520500000004</v>
      </c>
      <c r="P95" s="480">
        <f t="shared" si="32"/>
        <v>866.49285800000007</v>
      </c>
      <c r="Q95" s="626">
        <f t="shared" si="32"/>
        <v>0</v>
      </c>
      <c r="R95" s="481">
        <f t="shared" si="32"/>
        <v>618.92347000000007</v>
      </c>
      <c r="W95" s="603"/>
      <c r="X95" s="177"/>
      <c r="Y95" s="177"/>
      <c r="Z95" s="177"/>
      <c r="AA95" s="177"/>
      <c r="AB95" s="625">
        <f>AB62*AB81</f>
        <v>0</v>
      </c>
      <c r="AC95" s="480">
        <f>AC62*AC81</f>
        <v>0</v>
      </c>
      <c r="AD95" s="480">
        <f t="shared" ref="AD95:AF95" si="33">AD62*AD81</f>
        <v>0</v>
      </c>
      <c r="AE95" s="626">
        <f t="shared" si="33"/>
        <v>0</v>
      </c>
      <c r="AF95" s="481">
        <f t="shared" si="33"/>
        <v>0</v>
      </c>
    </row>
    <row r="96" spans="9:32">
      <c r="I96" s="603"/>
      <c r="J96" s="177"/>
      <c r="K96" s="177"/>
      <c r="L96" s="177"/>
      <c r="M96" s="177"/>
      <c r="N96" s="479">
        <f t="shared" ref="N96:R96" si="34">N63*N82</f>
        <v>252</v>
      </c>
      <c r="O96" s="480">
        <f t="shared" si="34"/>
        <v>749.7</v>
      </c>
      <c r="P96" s="480">
        <f t="shared" si="34"/>
        <v>61.74</v>
      </c>
      <c r="Q96" s="480">
        <f t="shared" si="34"/>
        <v>3150</v>
      </c>
      <c r="R96" s="481">
        <f t="shared" si="34"/>
        <v>1701</v>
      </c>
      <c r="W96" s="603"/>
      <c r="X96" s="177"/>
      <c r="Y96" s="177"/>
      <c r="Z96" s="177"/>
      <c r="AA96" s="177"/>
      <c r="AB96" s="479">
        <f>AB63*AB82</f>
        <v>1040</v>
      </c>
      <c r="AC96" s="480">
        <f>AC63*AC82</f>
        <v>3094.0000000000005</v>
      </c>
      <c r="AD96" s="480">
        <f>AD63*AD82</f>
        <v>254.79999999999998</v>
      </c>
      <c r="AE96" s="480">
        <f t="shared" ref="AE96:AF96" si="35">AE63*AE82</f>
        <v>13000</v>
      </c>
      <c r="AF96" s="481">
        <f t="shared" si="35"/>
        <v>7020</v>
      </c>
    </row>
    <row r="97" spans="2:32" ht="13.5" thickBot="1">
      <c r="I97" s="603"/>
      <c r="J97" s="177"/>
      <c r="K97" s="177"/>
      <c r="L97" s="177"/>
      <c r="M97" s="649" t="s">
        <v>887</v>
      </c>
      <c r="N97" s="627">
        <f t="shared" ref="N97:R97" si="36">N64*N83</f>
        <v>0</v>
      </c>
      <c r="O97" s="628">
        <f t="shared" si="36"/>
        <v>0</v>
      </c>
      <c r="P97" s="483">
        <f t="shared" si="36"/>
        <v>223.20000000000002</v>
      </c>
      <c r="Q97" s="628">
        <f t="shared" si="36"/>
        <v>0</v>
      </c>
      <c r="R97" s="484">
        <f t="shared" si="36"/>
        <v>334.8</v>
      </c>
      <c r="W97" s="603"/>
      <c r="X97" s="177"/>
      <c r="Y97" s="177"/>
      <c r="Z97" s="177"/>
      <c r="AA97" s="649" t="s">
        <v>887</v>
      </c>
      <c r="AB97" s="627">
        <f t="shared" ref="AB97:AF97" si="37">AB64*AB83</f>
        <v>0</v>
      </c>
      <c r="AC97" s="628">
        <f>AC64*AC83</f>
        <v>0</v>
      </c>
      <c r="AD97" s="483">
        <f t="shared" si="37"/>
        <v>3384</v>
      </c>
      <c r="AE97" s="628">
        <f t="shared" si="37"/>
        <v>0</v>
      </c>
      <c r="AF97" s="484">
        <f t="shared" si="37"/>
        <v>5076</v>
      </c>
    </row>
    <row r="98" spans="2:32" ht="13.5" thickTop="1">
      <c r="I98" s="603"/>
      <c r="J98" s="177"/>
      <c r="K98" s="177"/>
      <c r="L98" s="177"/>
      <c r="M98" s="633" t="s">
        <v>827</v>
      </c>
      <c r="N98" s="632">
        <f>SUM(N85:N97)</f>
        <v>23352.101633700004</v>
      </c>
      <c r="O98" s="631">
        <f t="shared" ref="O98:R98" si="38">SUM(O85:O97)</f>
        <v>5513.4242940529994</v>
      </c>
      <c r="P98" s="631">
        <f t="shared" si="38"/>
        <v>10736.979736049998</v>
      </c>
      <c r="Q98" s="631">
        <f t="shared" si="38"/>
        <v>3380.7689565300002</v>
      </c>
      <c r="R98" s="636">
        <f t="shared" si="38"/>
        <v>16036.933124069998</v>
      </c>
      <c r="W98" s="603"/>
      <c r="X98" s="177"/>
      <c r="Y98" s="177"/>
      <c r="Z98" s="177"/>
      <c r="AA98" s="633" t="s">
        <v>827</v>
      </c>
      <c r="AB98" s="632">
        <f>SUM(AB85:AB97)</f>
        <v>12132.5</v>
      </c>
      <c r="AC98" s="631">
        <f t="shared" ref="AC98:AF98" si="39">SUM(AC85:AC97)</f>
        <v>5306.5</v>
      </c>
      <c r="AD98" s="631">
        <f t="shared" si="39"/>
        <v>10535.05</v>
      </c>
      <c r="AE98" s="631">
        <f t="shared" si="39"/>
        <v>13110.7</v>
      </c>
      <c r="AF98" s="636">
        <f t="shared" si="39"/>
        <v>20205</v>
      </c>
    </row>
    <row r="99" spans="2:32" ht="13.5" thickBot="1">
      <c r="I99" s="603"/>
      <c r="J99" s="177"/>
      <c r="K99" s="177"/>
      <c r="L99" s="177"/>
      <c r="M99" s="638" t="s">
        <v>37</v>
      </c>
      <c r="N99" s="634">
        <f>N98/1000</f>
        <v>23.352101633700002</v>
      </c>
      <c r="O99" s="635">
        <f>O98/1000</f>
        <v>5.5134242940529994</v>
      </c>
      <c r="P99" s="635">
        <f>P98/1000</f>
        <v>10.736979736049998</v>
      </c>
      <c r="Q99" s="635">
        <f>Q98/1000</f>
        <v>3.3807689565300003</v>
      </c>
      <c r="R99" s="637">
        <f>R98/1000</f>
        <v>16.036933124069996</v>
      </c>
      <c r="W99" s="603"/>
      <c r="X99" s="177"/>
      <c r="Y99" s="177"/>
      <c r="Z99" s="177"/>
      <c r="AA99" s="638" t="s">
        <v>37</v>
      </c>
      <c r="AB99" s="634">
        <f>AB98/1000</f>
        <v>12.1325</v>
      </c>
      <c r="AC99" s="635">
        <f>AC98/1000</f>
        <v>5.3064999999999998</v>
      </c>
      <c r="AD99" s="635">
        <f>AD98/1000</f>
        <v>10.53505</v>
      </c>
      <c r="AE99" s="635">
        <f>AE98/1000</f>
        <v>13.110700000000001</v>
      </c>
      <c r="AF99" s="637">
        <f>AF98/1000</f>
        <v>20.204999999999998</v>
      </c>
    </row>
    <row r="100" spans="2:32">
      <c r="J100" s="518"/>
      <c r="K100" s="610"/>
      <c r="L100" s="640"/>
      <c r="M100" s="644" t="s">
        <v>881</v>
      </c>
      <c r="N100" s="644"/>
      <c r="O100" s="644"/>
      <c r="P100" s="644"/>
      <c r="Q100" s="644"/>
      <c r="R100" s="645"/>
      <c r="X100" s="518"/>
      <c r="Y100" s="610"/>
      <c r="Z100" s="640"/>
      <c r="AA100" s="644" t="s">
        <v>881</v>
      </c>
      <c r="AB100" s="644"/>
      <c r="AC100" s="644"/>
      <c r="AD100" s="644"/>
      <c r="AE100" s="644"/>
      <c r="AF100" s="645"/>
    </row>
    <row r="101" spans="2:32">
      <c r="J101" s="518"/>
      <c r="K101" s="177"/>
      <c r="L101" s="640"/>
      <c r="M101" s="639" t="s">
        <v>879</v>
      </c>
      <c r="N101" s="583">
        <v>0.9</v>
      </c>
      <c r="O101" s="583">
        <v>1</v>
      </c>
      <c r="P101" s="583">
        <v>0</v>
      </c>
      <c r="Q101" s="583">
        <v>0</v>
      </c>
      <c r="R101" s="584">
        <v>0.6</v>
      </c>
      <c r="X101" s="518"/>
      <c r="Y101" s="177"/>
      <c r="Z101" s="640"/>
      <c r="AA101" s="639" t="s">
        <v>879</v>
      </c>
      <c r="AB101" s="583">
        <v>0.9</v>
      </c>
      <c r="AC101" s="583">
        <v>1</v>
      </c>
      <c r="AD101" s="583">
        <v>0</v>
      </c>
      <c r="AE101" s="583">
        <v>0</v>
      </c>
      <c r="AF101" s="584">
        <v>0.6</v>
      </c>
    </row>
    <row r="102" spans="2:32" ht="13.5" thickBot="1">
      <c r="J102" s="518"/>
      <c r="K102" s="177"/>
      <c r="L102" s="641"/>
      <c r="M102" s="639" t="s">
        <v>880</v>
      </c>
      <c r="N102" s="583">
        <v>0.1</v>
      </c>
      <c r="O102" s="583">
        <v>0</v>
      </c>
      <c r="P102" s="583">
        <v>1</v>
      </c>
      <c r="Q102" s="583">
        <v>1</v>
      </c>
      <c r="R102" s="584">
        <v>0.4</v>
      </c>
      <c r="X102" s="518"/>
      <c r="Y102" s="177"/>
      <c r="Z102" s="641"/>
      <c r="AA102" s="639" t="s">
        <v>880</v>
      </c>
      <c r="AB102" s="583">
        <v>0.1</v>
      </c>
      <c r="AC102" s="583">
        <v>0</v>
      </c>
      <c r="AD102" s="583">
        <v>1</v>
      </c>
      <c r="AE102" s="583">
        <v>1</v>
      </c>
      <c r="AF102" s="584">
        <v>0.4</v>
      </c>
    </row>
    <row r="103" spans="2:32" ht="13.5" thickBot="1">
      <c r="J103" s="497" t="s">
        <v>884</v>
      </c>
      <c r="K103" s="498"/>
      <c r="L103" s="498"/>
      <c r="M103" s="498"/>
      <c r="N103" s="498"/>
      <c r="O103" s="498"/>
      <c r="P103" s="498"/>
      <c r="Q103" s="498"/>
      <c r="R103" s="499"/>
      <c r="X103" s="744" t="s">
        <v>884</v>
      </c>
      <c r="Y103" s="745"/>
      <c r="Z103" s="745"/>
      <c r="AA103" s="745"/>
      <c r="AB103" s="745"/>
      <c r="AC103" s="745"/>
      <c r="AD103" s="745"/>
      <c r="AE103" s="745"/>
      <c r="AF103" s="746"/>
    </row>
    <row r="104" spans="2:32">
      <c r="J104" s="514"/>
      <c r="K104" s="190"/>
      <c r="L104" s="515" t="s">
        <v>882</v>
      </c>
      <c r="M104" s="516"/>
      <c r="N104" s="517" t="s">
        <v>811</v>
      </c>
      <c r="O104" s="509" t="s">
        <v>812</v>
      </c>
      <c r="P104" s="509" t="s">
        <v>862</v>
      </c>
      <c r="Q104" s="509" t="s">
        <v>863</v>
      </c>
      <c r="R104" s="510" t="s">
        <v>864</v>
      </c>
      <c r="X104" s="689"/>
      <c r="Y104" s="690"/>
      <c r="Z104" s="691" t="s">
        <v>882</v>
      </c>
      <c r="AA104" s="692"/>
      <c r="AB104" s="693" t="s">
        <v>811</v>
      </c>
      <c r="AC104" s="694" t="s">
        <v>812</v>
      </c>
      <c r="AD104" s="694" t="s">
        <v>862</v>
      </c>
      <c r="AE104" s="694" t="s">
        <v>863</v>
      </c>
      <c r="AF104" s="695" t="s">
        <v>864</v>
      </c>
    </row>
    <row r="105" spans="2:32">
      <c r="B105" s="38" t="s">
        <v>814</v>
      </c>
      <c r="C105" s="38" t="s">
        <v>815</v>
      </c>
      <c r="J105" s="518"/>
      <c r="K105" s="177"/>
      <c r="L105" s="500" t="s">
        <v>885</v>
      </c>
      <c r="M105" s="491"/>
      <c r="N105" s="769" t="s">
        <v>883</v>
      </c>
      <c r="O105" s="770"/>
      <c r="P105" s="770"/>
      <c r="Q105" s="770"/>
      <c r="R105" s="773"/>
      <c r="X105" s="696"/>
      <c r="Y105" s="177"/>
      <c r="Z105" s="500" t="s">
        <v>885</v>
      </c>
      <c r="AA105" s="491"/>
      <c r="AB105" s="769" t="s">
        <v>883</v>
      </c>
      <c r="AC105" s="770"/>
      <c r="AD105" s="770"/>
      <c r="AE105" s="770"/>
      <c r="AF105" s="771"/>
    </row>
    <row r="106" spans="2:32">
      <c r="J106" s="519" t="str">
        <f>AGR_LAND!B28</f>
        <v>AGR_LAND_CROP_WHEAT</v>
      </c>
      <c r="K106" s="502"/>
      <c r="L106" s="501">
        <f>AGR_LAND!G28</f>
        <v>2385.6930000000002</v>
      </c>
      <c r="M106" s="491"/>
      <c r="N106" s="578">
        <v>1</v>
      </c>
      <c r="O106" s="578">
        <v>1</v>
      </c>
      <c r="P106" s="578">
        <v>0</v>
      </c>
      <c r="Q106" s="578">
        <v>0</v>
      </c>
      <c r="R106" s="579">
        <v>1</v>
      </c>
      <c r="X106" s="697" t="str">
        <f t="shared" ref="X106:X113" si="40">J106</f>
        <v>AGR_LAND_CROP_WHEAT</v>
      </c>
      <c r="Y106" s="502"/>
      <c r="Z106" s="501">
        <f t="shared" ref="Z106:Z113" si="41">L106</f>
        <v>2385.6930000000002</v>
      </c>
      <c r="AA106" s="491"/>
      <c r="AB106" s="578">
        <v>1</v>
      </c>
      <c r="AC106" s="578">
        <v>1</v>
      </c>
      <c r="AD106" s="578">
        <v>0</v>
      </c>
      <c r="AE106" s="578">
        <v>0</v>
      </c>
      <c r="AF106" s="698">
        <v>1</v>
      </c>
    </row>
    <row r="107" spans="2:32">
      <c r="J107" s="519" t="str">
        <f>AGR_LAND!B36</f>
        <v>AGR_LAND_CROP_BARLEY</v>
      </c>
      <c r="K107" s="502"/>
      <c r="L107" s="501">
        <f>AGR_LAND!G36</f>
        <v>695.31399999999996</v>
      </c>
      <c r="M107" s="491"/>
      <c r="N107" s="578">
        <v>1</v>
      </c>
      <c r="O107" s="578">
        <v>0.85</v>
      </c>
      <c r="P107" s="578">
        <v>0</v>
      </c>
      <c r="Q107" s="578">
        <v>0</v>
      </c>
      <c r="R107" s="579">
        <v>0.95</v>
      </c>
      <c r="X107" s="697" t="str">
        <f t="shared" si="40"/>
        <v>AGR_LAND_CROP_BARLEY</v>
      </c>
      <c r="Y107" s="502"/>
      <c r="Z107" s="501">
        <f t="shared" si="41"/>
        <v>695.31399999999996</v>
      </c>
      <c r="AA107" s="491"/>
      <c r="AB107" s="578">
        <v>1</v>
      </c>
      <c r="AC107" s="578">
        <v>0.85</v>
      </c>
      <c r="AD107" s="578">
        <v>0</v>
      </c>
      <c r="AE107" s="578">
        <v>0</v>
      </c>
      <c r="AF107" s="698">
        <v>0.95</v>
      </c>
    </row>
    <row r="108" spans="2:32" ht="14.25">
      <c r="B108" s="453" t="s">
        <v>832</v>
      </c>
      <c r="J108" s="520" t="str">
        <f>AGR_LAND!B44</f>
        <v>AGR_LAND_CROP_MAIZE</v>
      </c>
      <c r="K108" s="503"/>
      <c r="L108" s="501">
        <f>AGR_LAND!G44</f>
        <v>1276.7270000000001</v>
      </c>
      <c r="M108" s="491"/>
      <c r="N108" s="578">
        <v>1.25</v>
      </c>
      <c r="O108" s="578">
        <v>5</v>
      </c>
      <c r="P108" s="578">
        <v>0</v>
      </c>
      <c r="Q108" s="578">
        <v>0</v>
      </c>
      <c r="R108" s="579">
        <v>1.3</v>
      </c>
      <c r="X108" s="699" t="str">
        <f t="shared" si="40"/>
        <v>AGR_LAND_CROP_MAIZE</v>
      </c>
      <c r="Y108" s="503"/>
      <c r="Z108" s="501">
        <f t="shared" si="41"/>
        <v>1276.7270000000001</v>
      </c>
      <c r="AA108" s="491"/>
      <c r="AB108" s="578">
        <v>1.25</v>
      </c>
      <c r="AC108" s="578">
        <v>5</v>
      </c>
      <c r="AD108" s="578">
        <v>0</v>
      </c>
      <c r="AE108" s="578">
        <v>0</v>
      </c>
      <c r="AF108" s="698">
        <v>1.3</v>
      </c>
    </row>
    <row r="109" spans="2:32">
      <c r="B109" s="454" t="s">
        <v>822</v>
      </c>
      <c r="J109" s="519" t="str">
        <f>AGR_LAND!B52</f>
        <v>AGR_LAND_CROP_CER-MIX</v>
      </c>
      <c r="K109" s="502"/>
      <c r="L109" s="501">
        <f>AGR_LAND!G52</f>
        <v>252.4</v>
      </c>
      <c r="M109" s="491"/>
      <c r="N109" s="578">
        <v>0.85</v>
      </c>
      <c r="O109" s="578">
        <v>0.45</v>
      </c>
      <c r="P109" s="578">
        <v>0</v>
      </c>
      <c r="Q109" s="578">
        <v>0</v>
      </c>
      <c r="R109" s="579">
        <v>0.8</v>
      </c>
      <c r="X109" s="697" t="str">
        <f t="shared" si="40"/>
        <v>AGR_LAND_CROP_CER-MIX</v>
      </c>
      <c r="Y109" s="502"/>
      <c r="Z109" s="501">
        <f t="shared" si="41"/>
        <v>252.4</v>
      </c>
      <c r="AA109" s="491"/>
      <c r="AB109" s="578">
        <v>0.85</v>
      </c>
      <c r="AC109" s="578">
        <v>0.45</v>
      </c>
      <c r="AD109" s="578">
        <v>0</v>
      </c>
      <c r="AE109" s="578">
        <v>0</v>
      </c>
      <c r="AF109" s="698">
        <v>0.8</v>
      </c>
    </row>
    <row r="110" spans="2:32">
      <c r="B110" s="455" t="s">
        <v>823</v>
      </c>
      <c r="J110" s="519" t="str">
        <f>AGR_LAND!B60</f>
        <v>AGR_LAND_CROP_TRITICALE</v>
      </c>
      <c r="K110" s="502"/>
      <c r="L110" s="501">
        <f>AGR_LAND!G60</f>
        <v>1147.0340000000001</v>
      </c>
      <c r="M110" s="491"/>
      <c r="N110" s="578">
        <v>0.9</v>
      </c>
      <c r="O110" s="578">
        <v>0.7</v>
      </c>
      <c r="P110" s="578">
        <v>0</v>
      </c>
      <c r="Q110" s="578">
        <v>0</v>
      </c>
      <c r="R110" s="579">
        <v>0.9</v>
      </c>
      <c r="X110" s="697" t="str">
        <f t="shared" si="40"/>
        <v>AGR_LAND_CROP_TRITICALE</v>
      </c>
      <c r="Y110" s="502"/>
      <c r="Z110" s="501">
        <f t="shared" si="41"/>
        <v>1147.0340000000001</v>
      </c>
      <c r="AA110" s="491"/>
      <c r="AB110" s="578">
        <v>0.9</v>
      </c>
      <c r="AC110" s="578">
        <v>0.7</v>
      </c>
      <c r="AD110" s="578">
        <v>0</v>
      </c>
      <c r="AE110" s="578">
        <v>0</v>
      </c>
      <c r="AF110" s="698">
        <v>0.9</v>
      </c>
    </row>
    <row r="111" spans="2:32">
      <c r="B111" s="456">
        <v>500</v>
      </c>
      <c r="J111" s="519" t="str">
        <f>AGR_LAND!B68</f>
        <v>AGR_LAND_CROP_OATS</v>
      </c>
      <c r="K111" s="502"/>
      <c r="L111" s="501">
        <f>AGR_LAND!G68</f>
        <v>519.00300000000004</v>
      </c>
      <c r="M111" s="491"/>
      <c r="N111" s="578">
        <v>0.8</v>
      </c>
      <c r="O111" s="578">
        <v>0.35</v>
      </c>
      <c r="P111" s="578">
        <v>0</v>
      </c>
      <c r="Q111" s="578">
        <v>0</v>
      </c>
      <c r="R111" s="579">
        <v>0.8</v>
      </c>
      <c r="X111" s="697" t="str">
        <f t="shared" si="40"/>
        <v>AGR_LAND_CROP_OATS</v>
      </c>
      <c r="Y111" s="502"/>
      <c r="Z111" s="501">
        <f t="shared" si="41"/>
        <v>519.00300000000004</v>
      </c>
      <c r="AA111" s="491"/>
      <c r="AB111" s="578">
        <v>0.8</v>
      </c>
      <c r="AC111" s="578">
        <v>0.35</v>
      </c>
      <c r="AD111" s="578">
        <v>0</v>
      </c>
      <c r="AE111" s="578">
        <v>0</v>
      </c>
      <c r="AF111" s="698">
        <v>0.8</v>
      </c>
    </row>
    <row r="112" spans="2:32">
      <c r="B112" s="454" t="s">
        <v>824</v>
      </c>
      <c r="J112" s="521" t="str">
        <f>AGR_LAND!B76</f>
        <v>AGR_LAND_CROP_RYE</v>
      </c>
      <c r="K112" s="504"/>
      <c r="L112" s="505">
        <f>AGR_LAND!G76</f>
        <v>682.18100000000004</v>
      </c>
      <c r="M112" s="491"/>
      <c r="N112" s="578">
        <v>0.7</v>
      </c>
      <c r="O112" s="578">
        <v>0.35</v>
      </c>
      <c r="P112" s="578">
        <v>0</v>
      </c>
      <c r="Q112" s="578">
        <v>0</v>
      </c>
      <c r="R112" s="579">
        <v>0.75</v>
      </c>
      <c r="X112" s="700" t="str">
        <f t="shared" si="40"/>
        <v>AGR_LAND_CROP_RYE</v>
      </c>
      <c r="Y112" s="504"/>
      <c r="Z112" s="505">
        <f t="shared" si="41"/>
        <v>682.18100000000004</v>
      </c>
      <c r="AA112" s="491"/>
      <c r="AB112" s="578">
        <v>0.7</v>
      </c>
      <c r="AC112" s="578">
        <v>0.35</v>
      </c>
      <c r="AD112" s="578">
        <v>0</v>
      </c>
      <c r="AE112" s="578">
        <v>0</v>
      </c>
      <c r="AF112" s="698">
        <v>0.75</v>
      </c>
    </row>
    <row r="113" spans="2:32" ht="13.5" thickBot="1">
      <c r="B113" s="457"/>
      <c r="J113" s="522" t="str">
        <f>AGR_LAND!B84</f>
        <v>AGR_LAND_CROP_MILL-BUCK</v>
      </c>
      <c r="K113" s="506"/>
      <c r="L113" s="507">
        <f>AGR_LAND!G84</f>
        <v>116.38</v>
      </c>
      <c r="M113" s="508"/>
      <c r="N113" s="581">
        <v>0.75</v>
      </c>
      <c r="O113" s="581">
        <v>0.25</v>
      </c>
      <c r="P113" s="581">
        <v>0</v>
      </c>
      <c r="Q113" s="581">
        <v>0</v>
      </c>
      <c r="R113" s="582">
        <v>0.75</v>
      </c>
      <c r="X113" s="701" t="str">
        <f t="shared" si="40"/>
        <v>AGR_LAND_CROP_MILL-BUCK</v>
      </c>
      <c r="Y113" s="506"/>
      <c r="Z113" s="507">
        <f t="shared" si="41"/>
        <v>116.38</v>
      </c>
      <c r="AA113" s="508"/>
      <c r="AB113" s="581">
        <v>0.75</v>
      </c>
      <c r="AC113" s="581">
        <v>0.25</v>
      </c>
      <c r="AD113" s="581">
        <v>0</v>
      </c>
      <c r="AE113" s="581">
        <v>0</v>
      </c>
      <c r="AF113" s="702">
        <v>0.75</v>
      </c>
    </row>
    <row r="114" spans="2:32" ht="13.5" thickTop="1">
      <c r="B114" s="457"/>
      <c r="J114" s="518"/>
      <c r="K114" s="177"/>
      <c r="L114" s="523"/>
      <c r="M114" s="177"/>
      <c r="N114" s="535">
        <f>SUM($L$106*N106+$L$107*N107+$L$108*N108+$L$109*N109+$L$110*N110+$L$111*N111+$L$112*N112+$L$113*N113)</f>
        <v>6903.8004500000006</v>
      </c>
      <c r="O114" s="512">
        <f>SUM($L$106*O106+$L$107*O107+$L$108*O108+$L$109*O109+$L$110*O110+$L$111*O111+$L$112*O112+$L$113*O113)</f>
        <v>10726.358099999999</v>
      </c>
      <c r="P114" s="512">
        <f>SUM($L$106*P106+$L$107*P107+$L$108*P108+$L$109*P109+$L$110*P110+$L$111*P111+$L$112*P112+$L$113*P113)</f>
        <v>0</v>
      </c>
      <c r="Q114" s="512">
        <f>SUM($L$106*Q106+$L$107*Q107+$L$108*Q108+$L$109*Q109+$L$110*Q110+$L$111*Q111+$L$112*Q112+$L$113*Q113)</f>
        <v>0</v>
      </c>
      <c r="R114" s="536">
        <f>SUM($L$106*R106+$L$107*R107+$L$108*R108+$L$109*R109+$L$110*R110+$L$111*R111+$L$112*R112+$L$113*R113)</f>
        <v>6954.3601500000004</v>
      </c>
      <c r="X114" s="696"/>
      <c r="Y114" s="177"/>
      <c r="Z114" s="523"/>
      <c r="AA114" s="177"/>
      <c r="AB114" s="535">
        <f>SUM($Z$106*AB106+$Z$107*AB107+$Z$108*AB108+$Z$109*AB109+$Z$110*AB110+$Z$111*AB111+$Z$112*AB112+$Z$113*AB113)</f>
        <v>6903.8004500000006</v>
      </c>
      <c r="AC114" s="688">
        <f t="shared" ref="AC114:AF114" si="42">SUM($Z$106*AC106+$Z$107*AC107+$Z$108*AC108+$Z$109*AC109+$Z$110*AC110+$Z$111*AC111+$Z$112*AC112+$Z$113*AC113)</f>
        <v>10726.358099999999</v>
      </c>
      <c r="AD114" s="688">
        <f t="shared" si="42"/>
        <v>0</v>
      </c>
      <c r="AE114" s="512">
        <f t="shared" si="42"/>
        <v>0</v>
      </c>
      <c r="AF114" s="703">
        <f t="shared" si="42"/>
        <v>6954.3601500000004</v>
      </c>
    </row>
    <row r="115" spans="2:32">
      <c r="B115" s="458" t="s">
        <v>830</v>
      </c>
      <c r="J115" s="518"/>
      <c r="K115" s="177"/>
      <c r="L115" s="177"/>
      <c r="M115" s="177"/>
      <c r="N115" s="769" t="s">
        <v>886</v>
      </c>
      <c r="O115" s="770"/>
      <c r="P115" s="770"/>
      <c r="Q115" s="770"/>
      <c r="R115" s="772"/>
      <c r="X115" s="696"/>
      <c r="Y115" s="177"/>
      <c r="Z115" s="177"/>
      <c r="AA115" s="177"/>
      <c r="AB115" s="769" t="s">
        <v>886</v>
      </c>
      <c r="AC115" s="770"/>
      <c r="AD115" s="770"/>
      <c r="AE115" s="770"/>
      <c r="AF115" s="771"/>
    </row>
    <row r="116" spans="2:32">
      <c r="B116" s="455" t="s">
        <v>831</v>
      </c>
      <c r="J116" s="544" t="str">
        <f t="shared" ref="J116:J123" si="43">J106</f>
        <v>AGR_LAND_CROP_WHEAT</v>
      </c>
      <c r="K116" s="177"/>
      <c r="L116" s="177"/>
      <c r="M116" s="177"/>
      <c r="N116" s="528">
        <f>N106*N124</f>
        <v>3.0442495582748193E-3</v>
      </c>
      <c r="O116" s="524">
        <f t="shared" ref="O116:R116" si="44">O106*O124</f>
        <v>5.1400710685325706E-4</v>
      </c>
      <c r="P116" s="524">
        <v>0</v>
      </c>
      <c r="Q116" s="524">
        <f t="shared" si="44"/>
        <v>0</v>
      </c>
      <c r="R116" s="529">
        <f t="shared" si="44"/>
        <v>1.3836154106056755E-3</v>
      </c>
      <c r="X116" s="704" t="str">
        <f t="shared" ref="X116:X123" si="45">X106</f>
        <v>AGR_LAND_CROP_WHEAT</v>
      </c>
      <c r="Y116" s="177"/>
      <c r="Z116" s="177"/>
      <c r="AA116" s="177"/>
      <c r="AB116" s="528">
        <f>AB106*AB124</f>
        <v>1.5816288548722464E-3</v>
      </c>
      <c r="AC116" s="524">
        <f t="shared" ref="AC116" si="46">AC106*AC124</f>
        <v>4.9471590921433062E-4</v>
      </c>
      <c r="AD116" s="524">
        <v>0</v>
      </c>
      <c r="AE116" s="524">
        <f t="shared" ref="AE116:AF116" si="47">AE106*AE124</f>
        <v>0</v>
      </c>
      <c r="AF116" s="705">
        <f t="shared" si="47"/>
        <v>1.7432229189338142E-3</v>
      </c>
    </row>
    <row r="117" spans="2:32">
      <c r="B117" s="456">
        <v>40</v>
      </c>
      <c r="J117" s="544" t="str">
        <f t="shared" si="43"/>
        <v>AGR_LAND_CROP_BARLEY</v>
      </c>
      <c r="K117" s="177"/>
      <c r="L117" s="177"/>
      <c r="M117" s="177"/>
      <c r="N117" s="528">
        <f>N107*N124</f>
        <v>3.0442495582748193E-3</v>
      </c>
      <c r="O117" s="524">
        <f t="shared" ref="O117:R117" si="48">O107*O124</f>
        <v>4.3690604082526849E-4</v>
      </c>
      <c r="P117" s="524">
        <f t="shared" si="48"/>
        <v>0</v>
      </c>
      <c r="Q117" s="524">
        <f t="shared" si="48"/>
        <v>0</v>
      </c>
      <c r="R117" s="529">
        <f t="shared" si="48"/>
        <v>1.3144346400753917E-3</v>
      </c>
      <c r="X117" s="704" t="str">
        <f t="shared" si="45"/>
        <v>AGR_LAND_CROP_BARLEY</v>
      </c>
      <c r="Y117" s="177"/>
      <c r="Z117" s="177"/>
      <c r="AA117" s="177"/>
      <c r="AB117" s="528">
        <f>AB107*AB124</f>
        <v>1.5816288548722464E-3</v>
      </c>
      <c r="AC117" s="524">
        <f t="shared" ref="AC117:AF117" si="49">AC107*AC124</f>
        <v>4.2050852283218103E-4</v>
      </c>
      <c r="AD117" s="524">
        <f t="shared" si="49"/>
        <v>0</v>
      </c>
      <c r="AE117" s="524">
        <f t="shared" si="49"/>
        <v>0</v>
      </c>
      <c r="AF117" s="705">
        <f t="shared" si="49"/>
        <v>1.6560617729871234E-3</v>
      </c>
    </row>
    <row r="118" spans="2:32">
      <c r="B118" s="459" t="s">
        <v>825</v>
      </c>
      <c r="J118" s="544" t="str">
        <f t="shared" si="43"/>
        <v>AGR_LAND_CROP_MAIZE</v>
      </c>
      <c r="K118" s="177"/>
      <c r="L118" s="177"/>
      <c r="M118" s="177"/>
      <c r="N118" s="528">
        <f>N108*N124</f>
        <v>3.8053119478435242E-3</v>
      </c>
      <c r="O118" s="524">
        <f t="shared" ref="O118:R118" si="50">O108*O124</f>
        <v>2.5700355342662853E-3</v>
      </c>
      <c r="P118" s="524">
        <f t="shared" si="50"/>
        <v>0</v>
      </c>
      <c r="Q118" s="524">
        <f t="shared" si="50"/>
        <v>0</v>
      </c>
      <c r="R118" s="529">
        <f t="shared" si="50"/>
        <v>1.7987000337873781E-3</v>
      </c>
      <c r="X118" s="704" t="str">
        <f t="shared" si="45"/>
        <v>AGR_LAND_CROP_MAIZE</v>
      </c>
      <c r="Y118" s="177"/>
      <c r="Z118" s="177"/>
      <c r="AA118" s="177"/>
      <c r="AB118" s="528">
        <f>AB108*AB124</f>
        <v>1.9770360685903081E-3</v>
      </c>
      <c r="AC118" s="524">
        <f t="shared" ref="AC118:AF118" si="51">AC108*AC124</f>
        <v>2.4735795460716532E-3</v>
      </c>
      <c r="AD118" s="524">
        <f t="shared" si="51"/>
        <v>0</v>
      </c>
      <c r="AE118" s="524">
        <f t="shared" si="51"/>
        <v>0</v>
      </c>
      <c r="AF118" s="705">
        <f t="shared" si="51"/>
        <v>2.2661897946139585E-3</v>
      </c>
    </row>
    <row r="119" spans="2:32">
      <c r="B119" s="455" t="s">
        <v>823</v>
      </c>
      <c r="J119" s="544" t="str">
        <f t="shared" si="43"/>
        <v>AGR_LAND_CROP_CER-MIX</v>
      </c>
      <c r="K119" s="177"/>
      <c r="L119" s="177"/>
      <c r="M119" s="177"/>
      <c r="N119" s="528">
        <f>N109*N124</f>
        <v>2.5876121245335965E-3</v>
      </c>
      <c r="O119" s="524">
        <f t="shared" ref="O119:R119" si="52">O109*O124</f>
        <v>2.3130319808396568E-4</v>
      </c>
      <c r="P119" s="524">
        <f t="shared" si="52"/>
        <v>0</v>
      </c>
      <c r="Q119" s="524">
        <f t="shared" si="52"/>
        <v>0</v>
      </c>
      <c r="R119" s="529">
        <f t="shared" si="52"/>
        <v>1.1068923284845405E-3</v>
      </c>
      <c r="X119" s="704" t="str">
        <f t="shared" si="45"/>
        <v>AGR_LAND_CROP_CER-MIX</v>
      </c>
      <c r="Y119" s="177"/>
      <c r="Z119" s="177"/>
      <c r="AA119" s="177"/>
      <c r="AB119" s="528">
        <f>AB109*AB124</f>
        <v>1.3443845266414094E-3</v>
      </c>
      <c r="AC119" s="524">
        <f t="shared" ref="AC119:AF119" si="53">AC109*AC124</f>
        <v>2.226221591464488E-4</v>
      </c>
      <c r="AD119" s="524">
        <f t="shared" si="53"/>
        <v>0</v>
      </c>
      <c r="AE119" s="524">
        <f t="shared" si="53"/>
        <v>0</v>
      </c>
      <c r="AF119" s="705">
        <f t="shared" si="53"/>
        <v>1.3945783351470514E-3</v>
      </c>
    </row>
    <row r="120" spans="2:32">
      <c r="B120" s="456">
        <v>71.5</v>
      </c>
      <c r="J120" s="544" t="str">
        <f t="shared" si="43"/>
        <v>AGR_LAND_CROP_TRITICALE</v>
      </c>
      <c r="K120" s="177"/>
      <c r="L120" s="177"/>
      <c r="M120" s="177"/>
      <c r="N120" s="528">
        <f>N110*N124</f>
        <v>2.7398246024473373E-3</v>
      </c>
      <c r="O120" s="524">
        <f t="shared" ref="O120:R120" si="54">O110*O124</f>
        <v>3.5980497479727992E-4</v>
      </c>
      <c r="P120" s="524">
        <f t="shared" si="54"/>
        <v>0</v>
      </c>
      <c r="Q120" s="524">
        <f t="shared" si="54"/>
        <v>0</v>
      </c>
      <c r="R120" s="529">
        <f t="shared" si="54"/>
        <v>1.245253869545108E-3</v>
      </c>
      <c r="X120" s="704" t="str">
        <f t="shared" si="45"/>
        <v>AGR_LAND_CROP_TRITICALE</v>
      </c>
      <c r="Y120" s="177"/>
      <c r="Z120" s="177"/>
      <c r="AA120" s="177"/>
      <c r="AB120" s="528">
        <f>AB110*AB124</f>
        <v>1.4234659693850217E-3</v>
      </c>
      <c r="AC120" s="524">
        <f t="shared" ref="AC120:AF120" si="55">AC110*AC124</f>
        <v>3.4630113645003143E-4</v>
      </c>
      <c r="AD120" s="524">
        <f t="shared" si="55"/>
        <v>0</v>
      </c>
      <c r="AE120" s="524">
        <f t="shared" si="55"/>
        <v>0</v>
      </c>
      <c r="AF120" s="705">
        <f t="shared" si="55"/>
        <v>1.5689006270404328E-3</v>
      </c>
    </row>
    <row r="121" spans="2:32">
      <c r="B121" s="459" t="s">
        <v>826</v>
      </c>
      <c r="J121" s="544" t="str">
        <f t="shared" si="43"/>
        <v>AGR_LAND_CROP_OATS</v>
      </c>
      <c r="K121" s="177"/>
      <c r="L121" s="177"/>
      <c r="M121" s="177"/>
      <c r="N121" s="528">
        <f>N111*N124</f>
        <v>2.4353996466198557E-3</v>
      </c>
      <c r="O121" s="524">
        <f t="shared" ref="O121:R121" si="56">O111*O124</f>
        <v>1.7990248739863996E-4</v>
      </c>
      <c r="P121" s="524">
        <f t="shared" si="56"/>
        <v>0</v>
      </c>
      <c r="Q121" s="524">
        <f t="shared" si="56"/>
        <v>0</v>
      </c>
      <c r="R121" s="529">
        <f t="shared" si="56"/>
        <v>1.1068923284845405E-3</v>
      </c>
      <c r="X121" s="704" t="str">
        <f t="shared" si="45"/>
        <v>AGR_LAND_CROP_OATS</v>
      </c>
      <c r="Y121" s="177"/>
      <c r="Z121" s="177"/>
      <c r="AA121" s="177"/>
      <c r="AB121" s="528">
        <f>AB111*AB124</f>
        <v>1.2653030838977973E-3</v>
      </c>
      <c r="AC121" s="524">
        <f t="shared" ref="AC121:AF121" si="57">AC111*AC124</f>
        <v>1.7315056822501571E-4</v>
      </c>
      <c r="AD121" s="524">
        <f t="shared" si="57"/>
        <v>0</v>
      </c>
      <c r="AE121" s="524">
        <f t="shared" si="57"/>
        <v>0</v>
      </c>
      <c r="AF121" s="705">
        <f t="shared" si="57"/>
        <v>1.3945783351470514E-3</v>
      </c>
    </row>
    <row r="122" spans="2:32">
      <c r="B122" s="455" t="s">
        <v>827</v>
      </c>
      <c r="J122" s="544" t="str">
        <f t="shared" si="43"/>
        <v>AGR_LAND_CROP_RYE</v>
      </c>
      <c r="K122" s="177"/>
      <c r="L122" s="177"/>
      <c r="M122" s="177"/>
      <c r="N122" s="528">
        <f>N112*N124</f>
        <v>2.1309746907923733E-3</v>
      </c>
      <c r="O122" s="524">
        <f t="shared" ref="O122:R122" si="58">O112*O124</f>
        <v>1.7990248739863996E-4</v>
      </c>
      <c r="P122" s="524">
        <f t="shared" si="58"/>
        <v>0</v>
      </c>
      <c r="Q122" s="524">
        <f t="shared" si="58"/>
        <v>0</v>
      </c>
      <c r="R122" s="529">
        <f t="shared" si="58"/>
        <v>1.0377115579542566E-3</v>
      </c>
      <c r="X122" s="704" t="str">
        <f t="shared" si="45"/>
        <v>AGR_LAND_CROP_RYE</v>
      </c>
      <c r="Y122" s="177"/>
      <c r="Z122" s="177"/>
      <c r="AA122" s="177"/>
      <c r="AB122" s="528">
        <f>AB112*AB124</f>
        <v>1.1071401984105724E-3</v>
      </c>
      <c r="AC122" s="524">
        <f t="shared" ref="AC122:AF122" si="59">AC112*AC124</f>
        <v>1.7315056822501571E-4</v>
      </c>
      <c r="AD122" s="524">
        <f t="shared" si="59"/>
        <v>0</v>
      </c>
      <c r="AE122" s="524">
        <f t="shared" si="59"/>
        <v>0</v>
      </c>
      <c r="AF122" s="705">
        <f t="shared" si="59"/>
        <v>1.3074171892003606E-3</v>
      </c>
    </row>
    <row r="123" spans="2:32" ht="13.5" thickBot="1">
      <c r="B123" s="456">
        <v>620</v>
      </c>
      <c r="J123" s="547" t="str">
        <f t="shared" si="43"/>
        <v>AGR_LAND_CROP_MILL-BUCK</v>
      </c>
      <c r="K123" s="511"/>
      <c r="L123" s="511"/>
      <c r="M123" s="511"/>
      <c r="N123" s="530">
        <f>N113*N124</f>
        <v>2.2831871687061145E-3</v>
      </c>
      <c r="O123" s="513">
        <f t="shared" ref="O123:R123" si="60">O113*O124</f>
        <v>1.2850177671331427E-4</v>
      </c>
      <c r="P123" s="513">
        <v>0</v>
      </c>
      <c r="Q123" s="513">
        <f t="shared" si="60"/>
        <v>0</v>
      </c>
      <c r="R123" s="531">
        <f t="shared" si="60"/>
        <v>1.0377115579542566E-3</v>
      </c>
      <c r="X123" s="706" t="str">
        <f t="shared" si="45"/>
        <v>AGR_LAND_CROP_MILL-BUCK</v>
      </c>
      <c r="Y123" s="511"/>
      <c r="Z123" s="511"/>
      <c r="AA123" s="511"/>
      <c r="AB123" s="530">
        <f>AB113*AB124</f>
        <v>1.1862216411541848E-3</v>
      </c>
      <c r="AC123" s="513">
        <f t="shared" ref="AC123" si="61">AC113*AC124</f>
        <v>1.2367897730358266E-4</v>
      </c>
      <c r="AD123" s="513">
        <v>0</v>
      </c>
      <c r="AE123" s="513">
        <f t="shared" ref="AE123:AF123" si="62">AE113*AE124</f>
        <v>0</v>
      </c>
      <c r="AF123" s="707">
        <f t="shared" si="62"/>
        <v>1.3074171892003606E-3</v>
      </c>
    </row>
    <row r="124" spans="2:32" ht="14.25" thickTop="1" thickBot="1">
      <c r="B124" s="459" t="s">
        <v>828</v>
      </c>
      <c r="J124" s="525"/>
      <c r="K124" s="193"/>
      <c r="L124" s="193"/>
      <c r="M124" s="193"/>
      <c r="N124" s="532">
        <f>N99*N101/N114</f>
        <v>3.0442495582748193E-3</v>
      </c>
      <c r="O124" s="533">
        <f>O99*O101/O114</f>
        <v>5.1400710685325706E-4</v>
      </c>
      <c r="P124" s="533">
        <v>0</v>
      </c>
      <c r="Q124" s="533">
        <v>0</v>
      </c>
      <c r="R124" s="534">
        <f>R99*R101/R114</f>
        <v>1.3836154106056755E-3</v>
      </c>
      <c r="X124" s="708"/>
      <c r="Y124" s="709"/>
      <c r="Z124" s="709"/>
      <c r="AA124" s="709"/>
      <c r="AB124" s="710">
        <f>AB99*AB101/AB114</f>
        <v>1.5816288548722464E-3</v>
      </c>
      <c r="AC124" s="711">
        <f>AC99*AC101/AC114</f>
        <v>4.9471590921433062E-4</v>
      </c>
      <c r="AD124" s="711">
        <v>0</v>
      </c>
      <c r="AE124" s="711">
        <v>0</v>
      </c>
      <c r="AF124" s="712">
        <f>AF99*AF101/AF114</f>
        <v>1.7432229189338142E-3</v>
      </c>
    </row>
    <row r="125" spans="2:32" ht="13.5" thickBot="1">
      <c r="B125" s="455" t="s">
        <v>829</v>
      </c>
      <c r="J125" s="497" t="s">
        <v>891</v>
      </c>
      <c r="K125" s="498"/>
      <c r="L125" s="498"/>
      <c r="M125" s="498"/>
      <c r="N125" s="498"/>
      <c r="O125" s="498"/>
      <c r="P125" s="498"/>
      <c r="Q125" s="498"/>
      <c r="R125" s="499"/>
      <c r="X125" s="715" t="s">
        <v>891</v>
      </c>
      <c r="Y125" s="716"/>
      <c r="Z125" s="716"/>
      <c r="AA125" s="716"/>
      <c r="AB125" s="716"/>
      <c r="AC125" s="716"/>
      <c r="AD125" s="716"/>
      <c r="AE125" s="716"/>
      <c r="AF125" s="717"/>
    </row>
    <row r="126" spans="2:32">
      <c r="B126" s="456">
        <v>1750</v>
      </c>
      <c r="J126" s="514"/>
      <c r="K126" s="190"/>
      <c r="L126" s="515" t="s">
        <v>882</v>
      </c>
      <c r="M126" s="516"/>
      <c r="N126" s="509" t="s">
        <v>811</v>
      </c>
      <c r="O126" s="509" t="s">
        <v>812</v>
      </c>
      <c r="P126" s="509" t="s">
        <v>862</v>
      </c>
      <c r="Q126" s="509" t="s">
        <v>863</v>
      </c>
      <c r="R126" s="510" t="s">
        <v>864</v>
      </c>
      <c r="X126" s="689"/>
      <c r="Y126" s="690"/>
      <c r="Z126" s="691" t="s">
        <v>882</v>
      </c>
      <c r="AA126" s="692"/>
      <c r="AB126" s="694" t="s">
        <v>811</v>
      </c>
      <c r="AC126" s="694" t="s">
        <v>812</v>
      </c>
      <c r="AD126" s="694" t="s">
        <v>862</v>
      </c>
      <c r="AE126" s="694" t="s">
        <v>863</v>
      </c>
      <c r="AF126" s="695" t="s">
        <v>864</v>
      </c>
    </row>
    <row r="127" spans="2:32">
      <c r="J127" s="518"/>
      <c r="K127" s="177"/>
      <c r="L127" s="500" t="s">
        <v>889</v>
      </c>
      <c r="M127" s="491"/>
      <c r="N127" s="769" t="s">
        <v>883</v>
      </c>
      <c r="O127" s="770"/>
      <c r="P127" s="770"/>
      <c r="Q127" s="770"/>
      <c r="R127" s="773"/>
      <c r="X127" s="696"/>
      <c r="Y127" s="177"/>
      <c r="Z127" s="500" t="s">
        <v>889</v>
      </c>
      <c r="AA127" s="491"/>
      <c r="AB127" s="769" t="s">
        <v>883</v>
      </c>
      <c r="AC127" s="770"/>
      <c r="AD127" s="770"/>
      <c r="AE127" s="770"/>
      <c r="AF127" s="771"/>
    </row>
    <row r="128" spans="2:32">
      <c r="J128" s="544" t="str">
        <f>AGR_LIV!B5</f>
        <v>AGR_EX_LIV_CAT_DAIRY</v>
      </c>
      <c r="K128" s="545"/>
      <c r="L128" s="501">
        <f>AGR_LIV!G5</f>
        <v>2101.1590000000001</v>
      </c>
      <c r="M128" s="491"/>
      <c r="N128" s="578">
        <v>1</v>
      </c>
      <c r="O128" s="578">
        <v>0</v>
      </c>
      <c r="P128" s="578">
        <v>1</v>
      </c>
      <c r="Q128" s="578">
        <v>1</v>
      </c>
      <c r="R128" s="579">
        <v>1</v>
      </c>
      <c r="X128" s="704" t="str">
        <f>J128</f>
        <v>AGR_EX_LIV_CAT_DAIRY</v>
      </c>
      <c r="Y128" s="545"/>
      <c r="Z128" s="501">
        <f>L128</f>
        <v>2101.1590000000001</v>
      </c>
      <c r="AA128" s="491"/>
      <c r="AB128" s="578">
        <v>1</v>
      </c>
      <c r="AC128" s="578">
        <v>0</v>
      </c>
      <c r="AD128" s="578">
        <v>1</v>
      </c>
      <c r="AE128" s="578">
        <v>1</v>
      </c>
      <c r="AF128" s="698">
        <v>1</v>
      </c>
    </row>
    <row r="129" spans="10:32">
      <c r="J129" s="544" t="str">
        <f>AGR_LIV!B16</f>
        <v>AGR_EX_LIV_CAT_NON-DAIRY</v>
      </c>
      <c r="K129" s="545"/>
      <c r="L129" s="501">
        <f>AGR_LIV!G16</f>
        <v>4089.768</v>
      </c>
      <c r="M129" s="491"/>
      <c r="N129" s="578">
        <v>0.75</v>
      </c>
      <c r="O129" s="578">
        <v>0</v>
      </c>
      <c r="P129" s="578">
        <v>0.5</v>
      </c>
      <c r="Q129" s="578">
        <v>0.2</v>
      </c>
      <c r="R129" s="579">
        <v>0.55000000000000004</v>
      </c>
      <c r="X129" s="704" t="str">
        <f>J129</f>
        <v>AGR_EX_LIV_CAT_NON-DAIRY</v>
      </c>
      <c r="Y129" s="545"/>
      <c r="Z129" s="501">
        <f>L129</f>
        <v>4089.768</v>
      </c>
      <c r="AA129" s="491"/>
      <c r="AB129" s="578">
        <v>0.75</v>
      </c>
      <c r="AC129" s="578">
        <v>0</v>
      </c>
      <c r="AD129" s="578">
        <v>0.5</v>
      </c>
      <c r="AE129" s="578">
        <v>0.2</v>
      </c>
      <c r="AF129" s="698">
        <v>0.55000000000000004</v>
      </c>
    </row>
    <row r="130" spans="10:32">
      <c r="J130" s="546" t="str">
        <f>AGR_LIV!B34</f>
        <v>AGR_EX_LIV_SWINE</v>
      </c>
      <c r="K130" s="545"/>
      <c r="L130" s="501">
        <f>AGR_LIV!G34</f>
        <v>9078.25</v>
      </c>
      <c r="M130" s="491"/>
      <c r="N130" s="578">
        <v>0.18</v>
      </c>
      <c r="O130" s="578">
        <v>0</v>
      </c>
      <c r="P130" s="578">
        <v>3.1</v>
      </c>
      <c r="Q130" s="578">
        <v>0.25</v>
      </c>
      <c r="R130" s="579">
        <v>0.8</v>
      </c>
      <c r="X130" s="718" t="str">
        <f>J130</f>
        <v>AGR_EX_LIV_SWINE</v>
      </c>
      <c r="Y130" s="545"/>
      <c r="Z130" s="501">
        <f>L130</f>
        <v>9078.25</v>
      </c>
      <c r="AA130" s="491"/>
      <c r="AB130" s="578">
        <v>0.18</v>
      </c>
      <c r="AC130" s="578">
        <v>0</v>
      </c>
      <c r="AD130" s="578">
        <v>3.1</v>
      </c>
      <c r="AE130" s="578">
        <v>0.25</v>
      </c>
      <c r="AF130" s="698">
        <v>0.8</v>
      </c>
    </row>
    <row r="131" spans="10:32" ht="13.5" thickBot="1">
      <c r="J131" s="547" t="str">
        <f>AGR_LIV!B52</f>
        <v>AGR_EX_LIV_POULTRY</v>
      </c>
      <c r="K131" s="543"/>
      <c r="L131" s="507">
        <f>AGR_LIV!G52</f>
        <v>268862.57400000002</v>
      </c>
      <c r="M131" s="508"/>
      <c r="N131" s="580">
        <v>0.01</v>
      </c>
      <c r="O131" s="581">
        <v>0</v>
      </c>
      <c r="P131" s="581">
        <v>0.25</v>
      </c>
      <c r="Q131" s="581">
        <v>1.4999999999999999E-2</v>
      </c>
      <c r="R131" s="582">
        <v>0.02</v>
      </c>
      <c r="X131" s="706" t="str">
        <f>J131</f>
        <v>AGR_EX_LIV_POULTRY</v>
      </c>
      <c r="Y131" s="543"/>
      <c r="Z131" s="507">
        <f>L131</f>
        <v>268862.57400000002</v>
      </c>
      <c r="AA131" s="508"/>
      <c r="AB131" s="580">
        <v>0.01</v>
      </c>
      <c r="AC131" s="581">
        <v>0</v>
      </c>
      <c r="AD131" s="581">
        <v>0.25</v>
      </c>
      <c r="AE131" s="581">
        <v>1.4999999999999999E-2</v>
      </c>
      <c r="AF131" s="702">
        <v>0.02</v>
      </c>
    </row>
    <row r="132" spans="10:32" ht="13.5" thickTop="1">
      <c r="J132" s="518"/>
      <c r="K132" s="177"/>
      <c r="L132" s="177"/>
      <c r="M132" s="177"/>
      <c r="N132" s="550">
        <f>SUM($L$128*N128+$L$129*N129+$L$130*N130+$L$131*N131)</f>
        <v>9491.195740000001</v>
      </c>
      <c r="O132" s="549">
        <f>SUM($L$128*O128+$L$129*O129+$L$130*O130+$L$131*O131)</f>
        <v>0</v>
      </c>
      <c r="P132" s="549">
        <f>SUM($L$128*P128+$L$129*P129+$L$130*P130+$L$131*P131)</f>
        <v>99504.261500000008</v>
      </c>
      <c r="Q132" s="549">
        <f>SUM($L$128*Q128+$L$129*Q129+$L$130*Q130+$L$131*Q131)</f>
        <v>9221.6137100000014</v>
      </c>
      <c r="R132" s="551">
        <f>SUM($L$128*R128+$L$129*R129+$L$130*R130+$L$131*R131)</f>
        <v>16990.382880000001</v>
      </c>
      <c r="X132" s="696"/>
      <c r="Y132" s="177"/>
      <c r="Z132" s="177"/>
      <c r="AA132" s="177"/>
      <c r="AB132" s="550">
        <f>SUM($Z$128*AB128+$Z$129*AB129+$Z$130*AB130+$Z$131*AB131)</f>
        <v>9491.195740000001</v>
      </c>
      <c r="AC132" s="550">
        <f t="shared" ref="AC132:AF132" si="63">SUM($Z$128*AC128+$Z$129*AC129+$Z$130*AC130+$Z$131*AC131)</f>
        <v>0</v>
      </c>
      <c r="AD132" s="550">
        <f t="shared" si="63"/>
        <v>99504.261500000008</v>
      </c>
      <c r="AE132" s="550">
        <f t="shared" si="63"/>
        <v>9221.6137100000014</v>
      </c>
      <c r="AF132" s="719">
        <f t="shared" si="63"/>
        <v>16990.382880000001</v>
      </c>
    </row>
    <row r="133" spans="10:32">
      <c r="J133" s="518"/>
      <c r="K133" s="177"/>
      <c r="L133" s="177"/>
      <c r="M133" s="177"/>
      <c r="N133" s="769" t="s">
        <v>890</v>
      </c>
      <c r="O133" s="770"/>
      <c r="P133" s="770"/>
      <c r="Q133" s="770"/>
      <c r="R133" s="772"/>
      <c r="X133" s="696"/>
      <c r="Y133" s="177"/>
      <c r="Z133" s="177"/>
      <c r="AA133" s="177"/>
      <c r="AB133" s="769" t="s">
        <v>890</v>
      </c>
      <c r="AC133" s="770"/>
      <c r="AD133" s="770"/>
      <c r="AE133" s="770"/>
      <c r="AF133" s="771"/>
    </row>
    <row r="134" spans="10:32">
      <c r="J134" s="544" t="str">
        <f>J128</f>
        <v>AGR_EX_LIV_CAT_DAIRY</v>
      </c>
      <c r="K134" s="177"/>
      <c r="L134" s="177"/>
      <c r="M134" s="177"/>
      <c r="N134" s="528">
        <f>N128*N138</f>
        <v>2.4603961685548377E-4</v>
      </c>
      <c r="O134" s="524">
        <f>O128*$O$138</f>
        <v>0</v>
      </c>
      <c r="P134" s="524">
        <f>P128*$P$138</f>
        <v>1.0790472261381486E-4</v>
      </c>
      <c r="Q134" s="524">
        <f>Q128*$Q$138</f>
        <v>3.6661359528255492E-4</v>
      </c>
      <c r="R134" s="529">
        <f>R128*$R$138</f>
        <v>3.7755318964465847E-4</v>
      </c>
      <c r="X134" s="704" t="str">
        <f>X128</f>
        <v>AGR_EX_LIV_CAT_DAIRY</v>
      </c>
      <c r="Y134" s="177"/>
      <c r="Z134" s="177"/>
      <c r="AA134" s="177"/>
      <c r="AB134" s="528">
        <f>AB128*$AB$138</f>
        <v>1.2782899365217391E-4</v>
      </c>
      <c r="AC134" s="524">
        <f>AC128*$O$138</f>
        <v>0</v>
      </c>
      <c r="AD134" s="524">
        <f>AD128*$AD$138</f>
        <v>1.0587536494605309E-4</v>
      </c>
      <c r="AE134" s="524">
        <f>AE128*$AE$138</f>
        <v>1.4217359794395463E-3</v>
      </c>
      <c r="AF134" s="705">
        <f>AF128*$AF$138</f>
        <v>4.7568086352624907E-4</v>
      </c>
    </row>
    <row r="135" spans="10:32">
      <c r="J135" s="544" t="str">
        <f>J129</f>
        <v>AGR_EX_LIV_CAT_NON-DAIRY</v>
      </c>
      <c r="K135" s="177"/>
      <c r="L135" s="177"/>
      <c r="M135" s="177"/>
      <c r="N135" s="528">
        <f>N129*$N$138</f>
        <v>1.8452971264161283E-4</v>
      </c>
      <c r="O135" s="524">
        <f>O129*$O$138</f>
        <v>0</v>
      </c>
      <c r="P135" s="524">
        <f>P129*$P$138</f>
        <v>5.3952361306907428E-5</v>
      </c>
      <c r="Q135" s="524">
        <f>Q129*$Q$138</f>
        <v>7.3322719056510989E-5</v>
      </c>
      <c r="R135" s="529">
        <f>R129*$R$138</f>
        <v>2.0765425430456218E-4</v>
      </c>
      <c r="X135" s="704" t="str">
        <f>X129</f>
        <v>AGR_EX_LIV_CAT_NON-DAIRY</v>
      </c>
      <c r="Y135" s="177"/>
      <c r="Z135" s="177"/>
      <c r="AA135" s="177"/>
      <c r="AB135" s="528">
        <f t="shared" ref="AB135:AB137" si="64">AB129*$AB$138</f>
        <v>9.5871745239130434E-5</v>
      </c>
      <c r="AC135" s="524">
        <f>AC129*$O$138</f>
        <v>0</v>
      </c>
      <c r="AD135" s="524">
        <f t="shared" ref="AD135:AD137" si="65">AD129*$AD$138</f>
        <v>5.2937682473026543E-5</v>
      </c>
      <c r="AE135" s="524">
        <f t="shared" ref="AE135:AE137" si="66">AE129*$AE$138</f>
        <v>2.8434719588790925E-4</v>
      </c>
      <c r="AF135" s="705">
        <f t="shared" ref="AF135:AF137" si="67">AF129*$AF$138</f>
        <v>2.6162447493943702E-4</v>
      </c>
    </row>
    <row r="136" spans="10:32">
      <c r="J136" s="544" t="str">
        <f>J130</f>
        <v>AGR_EX_LIV_SWINE</v>
      </c>
      <c r="K136" s="177"/>
      <c r="L136" s="177"/>
      <c r="M136" s="177"/>
      <c r="N136" s="528">
        <f>N130*$N$138</f>
        <v>4.4287131033987078E-5</v>
      </c>
      <c r="O136" s="524">
        <f>O130*$O$138</f>
        <v>0</v>
      </c>
      <c r="P136" s="524">
        <f>P130*$P$138</f>
        <v>3.3450464010282606E-4</v>
      </c>
      <c r="Q136" s="524">
        <f>Q130*$Q$138</f>
        <v>9.165339882063873E-5</v>
      </c>
      <c r="R136" s="529">
        <f>R130*$R$138</f>
        <v>3.0204255171572679E-4</v>
      </c>
      <c r="X136" s="704" t="str">
        <f>X130</f>
        <v>AGR_EX_LIV_SWINE</v>
      </c>
      <c r="Y136" s="177"/>
      <c r="Z136" s="177"/>
      <c r="AA136" s="177"/>
      <c r="AB136" s="528">
        <f t="shared" si="64"/>
        <v>2.3009218857391302E-5</v>
      </c>
      <c r="AC136" s="524">
        <f>AC130*$O$138</f>
        <v>0</v>
      </c>
      <c r="AD136" s="524">
        <f t="shared" si="65"/>
        <v>3.2821363133276455E-4</v>
      </c>
      <c r="AE136" s="524">
        <f t="shared" si="66"/>
        <v>3.5543399485988658E-4</v>
      </c>
      <c r="AF136" s="705">
        <f t="shared" si="67"/>
        <v>3.8054469082099928E-4</v>
      </c>
    </row>
    <row r="137" spans="10:32" ht="13.5" thickBot="1">
      <c r="J137" s="547" t="str">
        <f>J131</f>
        <v>AGR_EX_LIV_POULTRY</v>
      </c>
      <c r="K137" s="511"/>
      <c r="L137" s="511"/>
      <c r="M137" s="511"/>
      <c r="N137" s="530">
        <f>N131*$N$138</f>
        <v>2.4603961685548378E-6</v>
      </c>
      <c r="O137" s="513">
        <f>O131*$O$138</f>
        <v>0</v>
      </c>
      <c r="P137" s="513">
        <f>P131*$P$138</f>
        <v>2.6976180653453714E-5</v>
      </c>
      <c r="Q137" s="513">
        <f>Q131*$Q$138</f>
        <v>5.4992039292383237E-6</v>
      </c>
      <c r="R137" s="531">
        <f>R131*$R$138</f>
        <v>7.5510637928931695E-6</v>
      </c>
      <c r="X137" s="706" t="str">
        <f>X131</f>
        <v>AGR_EX_LIV_POULTRY</v>
      </c>
      <c r="Y137" s="511"/>
      <c r="Z137" s="511"/>
      <c r="AA137" s="511"/>
      <c r="AB137" s="713">
        <f t="shared" si="64"/>
        <v>1.2782899365217391E-6</v>
      </c>
      <c r="AC137" s="714">
        <f>AC131*$O$138</f>
        <v>0</v>
      </c>
      <c r="AD137" s="714">
        <f t="shared" si="65"/>
        <v>2.6468841236513271E-5</v>
      </c>
      <c r="AE137" s="714">
        <f t="shared" si="66"/>
        <v>2.1326039691593195E-5</v>
      </c>
      <c r="AF137" s="720">
        <f t="shared" si="67"/>
        <v>9.5136172705249809E-6</v>
      </c>
    </row>
    <row r="138" spans="10:32" ht="14.25" thickTop="1" thickBot="1">
      <c r="J138" s="548"/>
      <c r="K138" s="192"/>
      <c r="L138" s="192"/>
      <c r="M138" s="192"/>
      <c r="N138" s="526">
        <f>N99*N102/N132</f>
        <v>2.4603961685548377E-4</v>
      </c>
      <c r="O138" s="526">
        <v>0</v>
      </c>
      <c r="P138" s="526">
        <f>P99*P102/P132</f>
        <v>1.0790472261381486E-4</v>
      </c>
      <c r="Q138" s="526">
        <f>Q99*Q102/Q132</f>
        <v>3.6661359528255492E-4</v>
      </c>
      <c r="R138" s="527">
        <f>R99*R102/R132</f>
        <v>3.7755318964465847E-4</v>
      </c>
      <c r="X138" s="721"/>
      <c r="Y138" s="722"/>
      <c r="Z138" s="722"/>
      <c r="AA138" s="722"/>
      <c r="AB138" s="711">
        <f>AB99*AB102/AB132</f>
        <v>1.2782899365217391E-4</v>
      </c>
      <c r="AC138" s="711">
        <v>0</v>
      </c>
      <c r="AD138" s="711">
        <f>AD99*AD102/AD132</f>
        <v>1.0587536494605309E-4</v>
      </c>
      <c r="AE138" s="711">
        <f>AE99*AE102/AE132</f>
        <v>1.4217359794395463E-3</v>
      </c>
      <c r="AF138" s="712">
        <f>AF99*AF102/AF132</f>
        <v>4.7568086352624907E-4</v>
      </c>
    </row>
    <row r="141" spans="10:32" ht="13.5" thickBot="1"/>
    <row r="142" spans="10:32">
      <c r="N142" s="595" t="s">
        <v>888</v>
      </c>
      <c r="O142" s="596"/>
      <c r="P142" s="596"/>
      <c r="Q142" s="596"/>
      <c r="R142" s="597"/>
      <c r="AB142" s="595" t="s">
        <v>888</v>
      </c>
      <c r="AC142" s="596"/>
      <c r="AD142" s="596"/>
      <c r="AE142" s="596"/>
      <c r="AF142" s="597"/>
    </row>
    <row r="143" spans="10:32">
      <c r="N143" s="598">
        <f t="shared" ref="N143:N150" si="68">N116*L106</f>
        <v>7.2626448614293295</v>
      </c>
      <c r="O143" s="173">
        <f t="shared" ref="O143:O150" si="69">O116*L106</f>
        <v>1.2262631567700675</v>
      </c>
      <c r="P143" s="173">
        <f t="shared" ref="P143:P150" si="70">P116*L106</f>
        <v>0</v>
      </c>
      <c r="Q143" s="173">
        <f t="shared" ref="Q143:Q150" si="71">Q116*L106</f>
        <v>0</v>
      </c>
      <c r="R143" s="599">
        <f t="shared" ref="R143:R150" si="72">R116*L106</f>
        <v>3.3008815997740859</v>
      </c>
      <c r="AB143" s="598">
        <f t="shared" ref="AB143:AB150" si="73">AB116*Z106</f>
        <v>3.7732808876667345</v>
      </c>
      <c r="AC143" s="173">
        <f t="shared" ref="AC143:AC150" si="74">AC116*Z106</f>
        <v>1.1802402816012643</v>
      </c>
      <c r="AD143" s="173">
        <f t="shared" ref="AD143:AD150" si="75">AD116*Z106</f>
        <v>0</v>
      </c>
      <c r="AE143" s="173">
        <f t="shared" ref="AE143:AE150" si="76">AE116*Z106</f>
        <v>0</v>
      </c>
      <c r="AF143" s="599">
        <f t="shared" ref="AF143:AF150" si="77">AF116*Z106</f>
        <v>4.1587947151399689</v>
      </c>
    </row>
    <row r="144" spans="10:32">
      <c r="N144" s="598">
        <f t="shared" si="68"/>
        <v>2.1167093373622978</v>
      </c>
      <c r="O144" s="173">
        <f t="shared" si="69"/>
        <v>0.30378688687038075</v>
      </c>
      <c r="P144" s="173">
        <f t="shared" si="70"/>
        <v>0</v>
      </c>
      <c r="Q144" s="173">
        <f t="shared" si="71"/>
        <v>0</v>
      </c>
      <c r="R144" s="599">
        <f t="shared" si="72"/>
        <v>0.91394480732938088</v>
      </c>
      <c r="AB144" s="598">
        <f t="shared" si="73"/>
        <v>1.0997286855966411</v>
      </c>
      <c r="AC144" s="173">
        <f t="shared" si="74"/>
        <v>0.29238546304453511</v>
      </c>
      <c r="AD144" s="173">
        <f t="shared" si="75"/>
        <v>0</v>
      </c>
      <c r="AE144" s="173">
        <f t="shared" si="76"/>
        <v>0</v>
      </c>
      <c r="AF144" s="599">
        <f t="shared" si="77"/>
        <v>1.1514829356227687</v>
      </c>
    </row>
    <row r="145" spans="14:32">
      <c r="N145" s="598">
        <f t="shared" si="68"/>
        <v>4.8583445072344196</v>
      </c>
      <c r="O145" s="173">
        <f t="shared" si="69"/>
        <v>3.2812337575571919</v>
      </c>
      <c r="P145" s="173">
        <f t="shared" si="70"/>
        <v>0</v>
      </c>
      <c r="Q145" s="173">
        <f t="shared" si="71"/>
        <v>0</v>
      </c>
      <c r="R145" s="599">
        <f t="shared" si="72"/>
        <v>2.2964488980372582</v>
      </c>
      <c r="AB145" s="598">
        <f t="shared" si="73"/>
        <v>2.5241353287430983</v>
      </c>
      <c r="AC145" s="173">
        <f t="shared" si="74"/>
        <v>3.158085793117424</v>
      </c>
      <c r="AD145" s="173">
        <f t="shared" si="75"/>
        <v>0</v>
      </c>
      <c r="AE145" s="173">
        <f t="shared" si="76"/>
        <v>0</v>
      </c>
      <c r="AF145" s="599">
        <f t="shared" si="77"/>
        <v>2.8933056979080956</v>
      </c>
    </row>
    <row r="146" spans="14:32">
      <c r="N146" s="598">
        <f t="shared" si="68"/>
        <v>0.65311330023227976</v>
      </c>
      <c r="O146" s="173">
        <f t="shared" si="69"/>
        <v>5.8380927196392943E-2</v>
      </c>
      <c r="P146" s="173">
        <f t="shared" si="70"/>
        <v>0</v>
      </c>
      <c r="Q146" s="173">
        <f t="shared" si="71"/>
        <v>0</v>
      </c>
      <c r="R146" s="599">
        <f t="shared" si="72"/>
        <v>0.27937962370949804</v>
      </c>
      <c r="AB146" s="598">
        <f t="shared" si="73"/>
        <v>0.33932265452429172</v>
      </c>
      <c r="AC146" s="173">
        <f t="shared" si="74"/>
        <v>5.6189832968563676E-2</v>
      </c>
      <c r="AD146" s="173">
        <f t="shared" si="75"/>
        <v>0</v>
      </c>
      <c r="AE146" s="173">
        <f t="shared" si="76"/>
        <v>0</v>
      </c>
      <c r="AF146" s="599">
        <f t="shared" si="77"/>
        <v>0.35199157179111579</v>
      </c>
    </row>
    <row r="147" spans="14:32">
      <c r="N147" s="598">
        <f t="shared" si="68"/>
        <v>3.1426719730435795</v>
      </c>
      <c r="O147" s="173">
        <f t="shared" si="69"/>
        <v>0.41270853946162323</v>
      </c>
      <c r="P147" s="173">
        <f t="shared" si="70"/>
        <v>0</v>
      </c>
      <c r="Q147" s="173">
        <f t="shared" si="71"/>
        <v>0</v>
      </c>
      <c r="R147" s="599">
        <f t="shared" si="72"/>
        <v>1.4283485269998035</v>
      </c>
      <c r="AB147" s="598">
        <f t="shared" si="73"/>
        <v>1.6327638647275793</v>
      </c>
      <c r="AC147" s="173">
        <f t="shared" si="74"/>
        <v>0.39721917774682536</v>
      </c>
      <c r="AD147" s="173">
        <f t="shared" si="75"/>
        <v>0</v>
      </c>
      <c r="AE147" s="173">
        <f t="shared" si="76"/>
        <v>0</v>
      </c>
      <c r="AF147" s="599">
        <f t="shared" si="77"/>
        <v>1.799582361836696</v>
      </c>
    </row>
    <row r="148" spans="14:32">
      <c r="N148" s="598">
        <f t="shared" si="68"/>
        <v>1.263979722794645</v>
      </c>
      <c r="O148" s="173">
        <f t="shared" si="69"/>
        <v>9.3369930667356341E-2</v>
      </c>
      <c r="P148" s="173">
        <f t="shared" si="70"/>
        <v>0</v>
      </c>
      <c r="Q148" s="173">
        <f t="shared" si="71"/>
        <v>0</v>
      </c>
      <c r="R148" s="599">
        <f t="shared" si="72"/>
        <v>0.57448043916046199</v>
      </c>
      <c r="AB148" s="598">
        <f t="shared" si="73"/>
        <v>0.6566960964522085</v>
      </c>
      <c r="AC148" s="173">
        <f t="shared" si="74"/>
        <v>8.9865664360487832E-2</v>
      </c>
      <c r="AD148" s="173">
        <f t="shared" si="75"/>
        <v>0</v>
      </c>
      <c r="AE148" s="173">
        <f t="shared" si="76"/>
        <v>0</v>
      </c>
      <c r="AF148" s="599">
        <f t="shared" si="77"/>
        <v>0.72379033967632522</v>
      </c>
    </row>
    <row r="149" spans="14:32">
      <c r="N149" s="598">
        <f t="shared" si="68"/>
        <v>1.4537104455394321</v>
      </c>
      <c r="O149" s="173">
        <f t="shared" si="69"/>
        <v>0.12272605875609162</v>
      </c>
      <c r="P149" s="173">
        <f t="shared" si="70"/>
        <v>0</v>
      </c>
      <c r="Q149" s="173">
        <f t="shared" si="71"/>
        <v>0</v>
      </c>
      <c r="R149" s="599">
        <f t="shared" si="72"/>
        <v>0.70790710831679271</v>
      </c>
      <c r="AB149" s="598">
        <f t="shared" si="73"/>
        <v>0.75527000769192276</v>
      </c>
      <c r="AC149" s="173">
        <f t="shared" si="74"/>
        <v>0.11812002778230946</v>
      </c>
      <c r="AD149" s="173">
        <f t="shared" si="75"/>
        <v>0</v>
      </c>
      <c r="AE149" s="173">
        <f t="shared" si="76"/>
        <v>0</v>
      </c>
      <c r="AF149" s="599">
        <f t="shared" si="77"/>
        <v>0.89189516554589121</v>
      </c>
    </row>
    <row r="150" spans="14:32" ht="13.5" thickBot="1">
      <c r="N150" s="600">
        <f t="shared" si="68"/>
        <v>0.2657173226940176</v>
      </c>
      <c r="O150" s="594">
        <f t="shared" si="69"/>
        <v>1.4955036773895513E-2</v>
      </c>
      <c r="P150" s="594">
        <f t="shared" si="70"/>
        <v>0</v>
      </c>
      <c r="Q150" s="594">
        <f t="shared" si="71"/>
        <v>0</v>
      </c>
      <c r="R150" s="601">
        <f t="shared" si="72"/>
        <v>0.12076887111471638</v>
      </c>
      <c r="AB150" s="600">
        <f t="shared" si="73"/>
        <v>0.13805247459752401</v>
      </c>
      <c r="AC150" s="594">
        <f t="shared" si="74"/>
        <v>1.4393759378590949E-2</v>
      </c>
      <c r="AD150" s="594">
        <f t="shared" si="75"/>
        <v>0</v>
      </c>
      <c r="AE150" s="594">
        <f t="shared" si="76"/>
        <v>0</v>
      </c>
      <c r="AF150" s="601">
        <f t="shared" si="77"/>
        <v>0.15215721247913797</v>
      </c>
    </row>
    <row r="151" spans="14:32" ht="13.5" thickTop="1">
      <c r="N151" s="598">
        <f>SUM(N143:N150)</f>
        <v>21.016891470329998</v>
      </c>
      <c r="O151" s="173">
        <f t="shared" ref="O151:R151" si="78">SUM(O143:O150)</f>
        <v>5.5134242940530003</v>
      </c>
      <c r="P151" s="173">
        <f t="shared" si="78"/>
        <v>0</v>
      </c>
      <c r="Q151" s="173">
        <f t="shared" si="78"/>
        <v>0</v>
      </c>
      <c r="R151" s="599">
        <f t="shared" si="78"/>
        <v>9.6221598744419961</v>
      </c>
      <c r="AB151" s="598">
        <f>SUM(AB143:AB150)</f>
        <v>10.91925</v>
      </c>
      <c r="AC151" s="173">
        <f t="shared" ref="AC151:AF151" si="79">SUM(AC143:AC150)</f>
        <v>5.3064999999999998</v>
      </c>
      <c r="AD151" s="173">
        <f t="shared" si="79"/>
        <v>0</v>
      </c>
      <c r="AE151" s="173">
        <f t="shared" si="79"/>
        <v>0</v>
      </c>
      <c r="AF151" s="599">
        <f t="shared" si="79"/>
        <v>12.122999999999999</v>
      </c>
    </row>
    <row r="152" spans="14:32">
      <c r="N152" s="604" t="b">
        <f>N99*N101=SUM(N143:N150)</f>
        <v>1</v>
      </c>
      <c r="O152" s="605" t="b">
        <f>O99*O101=SUM(O143:O150)</f>
        <v>1</v>
      </c>
      <c r="P152" s="605" t="b">
        <f>P99*P101=SUM(P143:P150)</f>
        <v>1</v>
      </c>
      <c r="Q152" s="605" t="b">
        <f>Q99*Q101=SUM(Q143:Q150)</f>
        <v>1</v>
      </c>
      <c r="R152" s="606" t="b">
        <f>R99*R101=SUM(R143:R150)</f>
        <v>1</v>
      </c>
      <c r="AB152" s="604" t="b">
        <f>AB99*AB101=SUM(AB143:AB150)</f>
        <v>1</v>
      </c>
      <c r="AC152" s="605" t="b">
        <f>AC99*AC101=SUM(AC143:AC150)</f>
        <v>1</v>
      </c>
      <c r="AD152" s="605" t="b">
        <f>AD99*AD101=SUM(AD143:AD150)</f>
        <v>1</v>
      </c>
      <c r="AE152" s="605" t="b">
        <f>AE99*AE101=SUM(AE143:AE150)</f>
        <v>1</v>
      </c>
      <c r="AF152" s="606" t="b">
        <f>AF99*AF101=SUM(AF143:AF150)</f>
        <v>1</v>
      </c>
    </row>
    <row r="153" spans="14:32">
      <c r="N153" s="602"/>
      <c r="R153" s="603"/>
      <c r="AB153" s="602"/>
      <c r="AF153" s="603"/>
    </row>
    <row r="154" spans="14:32">
      <c r="N154" s="598">
        <f>$L$128*N134</f>
        <v>0.51696835531245144</v>
      </c>
      <c r="O154" s="173">
        <f>$L$128*O134</f>
        <v>0</v>
      </c>
      <c r="P154" s="173">
        <f>$L$128*P134</f>
        <v>0.22672497906252062</v>
      </c>
      <c r="Q154" s="173">
        <f>$L$128*Q134</f>
        <v>0.77031345525029782</v>
      </c>
      <c r="R154" s="599">
        <f>$L$128*R134</f>
        <v>0.79329928240058101</v>
      </c>
      <c r="AB154" s="598">
        <f>$L$128*AB134</f>
        <v>0.26858904047320808</v>
      </c>
      <c r="AC154" s="173">
        <f>$L$128*AC134</f>
        <v>0</v>
      </c>
      <c r="AD154" s="173">
        <f>$L$128*AD134</f>
        <v>0.22246097593468397</v>
      </c>
      <c r="AE154" s="173">
        <f>$L$128*AE134</f>
        <v>2.9872933488232181</v>
      </c>
      <c r="AF154" s="599">
        <f>$L$128*AF134</f>
        <v>0.99948112752594997</v>
      </c>
    </row>
    <row r="155" spans="14:32">
      <c r="N155" s="598">
        <f>$L$129*N135</f>
        <v>0.75468371381086363</v>
      </c>
      <c r="O155" s="173">
        <f>$L$129*O135</f>
        <v>0</v>
      </c>
      <c r="P155" s="173">
        <f>$L$129*P135</f>
        <v>0.22065264079742819</v>
      </c>
      <c r="Q155" s="173">
        <f>$L$129*Q135</f>
        <v>0.29987291007030886</v>
      </c>
      <c r="R155" s="599">
        <f>$L$129*R135</f>
        <v>0.84925772431866065</v>
      </c>
      <c r="AB155" s="598">
        <f>$L$129*AB135</f>
        <v>0.392093195783148</v>
      </c>
      <c r="AC155" s="173">
        <f>$L$129*AC135</f>
        <v>0</v>
      </c>
      <c r="AD155" s="173">
        <f>$L$129*AD135</f>
        <v>0.21650283977234483</v>
      </c>
      <c r="AE155" s="173">
        <f>$L$129*AE135</f>
        <v>1.1629140626321028</v>
      </c>
      <c r="AF155" s="599">
        <f>$L$129*AF135</f>
        <v>1.0699834056241115</v>
      </c>
    </row>
    <row r="156" spans="14:32">
      <c r="N156" s="598">
        <f>$L$130*N136</f>
        <v>0.40204964730929321</v>
      </c>
      <c r="O156" s="173">
        <f>$L$130*O136</f>
        <v>0</v>
      </c>
      <c r="P156" s="173">
        <f>$L$130*P136</f>
        <v>3.0367167490134808</v>
      </c>
      <c r="Q156" s="173">
        <f>$L$130*Q136</f>
        <v>0.83205246784346354</v>
      </c>
      <c r="R156" s="599">
        <f>$L$130*R136</f>
        <v>2.7420177951132967</v>
      </c>
      <c r="AB156" s="598">
        <f>$L$130*AB136</f>
        <v>0.2088834410921126</v>
      </c>
      <c r="AC156" s="173">
        <f>$L$130*AC136</f>
        <v>0</v>
      </c>
      <c r="AD156" s="173">
        <f>$L$130*AD136</f>
        <v>2.9796053986466697</v>
      </c>
      <c r="AE156" s="173">
        <f>$L$130*AE136</f>
        <v>3.2267186638367655</v>
      </c>
      <c r="AF156" s="599">
        <f>$L$130*AF136</f>
        <v>3.4546798394457365</v>
      </c>
    </row>
    <row r="157" spans="14:32" ht="13.5" thickBot="1">
      <c r="N157" s="600">
        <f>$L$131*N137</f>
        <v>0.66150844693739164</v>
      </c>
      <c r="O157" s="594">
        <f>$L$131*O137</f>
        <v>0</v>
      </c>
      <c r="P157" s="594">
        <f>$L$131*P137</f>
        <v>7.2528853671765683</v>
      </c>
      <c r="Q157" s="594">
        <f>$L$131*Q137</f>
        <v>1.4785301233659296</v>
      </c>
      <c r="R157" s="601">
        <f>$L$131*R137</f>
        <v>2.0301984477954607</v>
      </c>
      <c r="AB157" s="600">
        <f>$L$131*AB137</f>
        <v>0.34368432265153143</v>
      </c>
      <c r="AC157" s="594">
        <f>$L$131*AC137</f>
        <v>0</v>
      </c>
      <c r="AD157" s="594">
        <f>$L$131*AD137</f>
        <v>7.1164807856463019</v>
      </c>
      <c r="AE157" s="594">
        <f>$L$131*AE137</f>
        <v>5.7337739247079131</v>
      </c>
      <c r="AF157" s="601">
        <f>$L$131*AF137</f>
        <v>2.557855627404201</v>
      </c>
    </row>
    <row r="158" spans="14:32" ht="13.5" thickTop="1">
      <c r="N158" s="598">
        <f>SUM(N154:N157)</f>
        <v>2.3352101633699998</v>
      </c>
      <c r="O158" s="173">
        <f t="shared" ref="O158:R158" si="80">SUM(O154:O157)</f>
        <v>0</v>
      </c>
      <c r="P158" s="173">
        <f t="shared" si="80"/>
        <v>10.736979736049998</v>
      </c>
      <c r="Q158" s="173">
        <f t="shared" si="80"/>
        <v>3.3807689565299999</v>
      </c>
      <c r="R158" s="599">
        <f t="shared" si="80"/>
        <v>6.4147732496279994</v>
      </c>
      <c r="AB158" s="598">
        <f>SUM(AB154:AB157)</f>
        <v>1.2132499999999999</v>
      </c>
      <c r="AC158" s="173">
        <f t="shared" ref="AC158:AF158" si="81">SUM(AC154:AC157)</f>
        <v>0</v>
      </c>
      <c r="AD158" s="173">
        <f t="shared" si="81"/>
        <v>10.53505</v>
      </c>
      <c r="AE158" s="173">
        <f t="shared" si="81"/>
        <v>13.1107</v>
      </c>
      <c r="AF158" s="599">
        <f t="shared" si="81"/>
        <v>8.081999999999999</v>
      </c>
    </row>
    <row r="159" spans="14:32" ht="13.5" thickBot="1">
      <c r="N159" s="607" t="b">
        <f>N99*N102=N158</f>
        <v>1</v>
      </c>
      <c r="O159" s="608" t="b">
        <f>O99*O102=O158</f>
        <v>1</v>
      </c>
      <c r="P159" s="608" t="b">
        <f>P99*P102=P158</f>
        <v>1</v>
      </c>
      <c r="Q159" s="608" t="b">
        <f>Q99*Q102=Q158</f>
        <v>1</v>
      </c>
      <c r="R159" s="609" t="b">
        <f>R99*R102=R158</f>
        <v>1</v>
      </c>
      <c r="AB159" s="607" t="b">
        <f>AB99*AB102=AB158</f>
        <v>1</v>
      </c>
      <c r="AC159" s="608" t="b">
        <f>AC99*AC102=AC158</f>
        <v>1</v>
      </c>
      <c r="AD159" s="608" t="b">
        <f>AD99*AD102=AD158</f>
        <v>1</v>
      </c>
      <c r="AE159" s="608" t="b">
        <f>AE99*AE102=AE158</f>
        <v>1</v>
      </c>
      <c r="AF159" s="609" t="b">
        <f>AF99*AF102=AF158</f>
        <v>1</v>
      </c>
    </row>
  </sheetData>
  <mergeCells count="34">
    <mergeCell ref="N68:R68"/>
    <mergeCell ref="N84:R84"/>
    <mergeCell ref="N70:R70"/>
    <mergeCell ref="F48:R48"/>
    <mergeCell ref="M69:M70"/>
    <mergeCell ref="B49:D49"/>
    <mergeCell ref="F49:G49"/>
    <mergeCell ref="F50:F51"/>
    <mergeCell ref="G50:G51"/>
    <mergeCell ref="I49:M49"/>
    <mergeCell ref="AB105:AF105"/>
    <mergeCell ref="AB115:AF115"/>
    <mergeCell ref="AB127:AF127"/>
    <mergeCell ref="AB133:AF133"/>
    <mergeCell ref="N115:R115"/>
    <mergeCell ref="N105:R105"/>
    <mergeCell ref="N127:R127"/>
    <mergeCell ref="N133:R133"/>
    <mergeCell ref="T48:AF48"/>
    <mergeCell ref="X103:AF103"/>
    <mergeCell ref="R5:S5"/>
    <mergeCell ref="P5:Q5"/>
    <mergeCell ref="R6:S6"/>
    <mergeCell ref="P6:Q6"/>
    <mergeCell ref="T49:U49"/>
    <mergeCell ref="W49:AA49"/>
    <mergeCell ref="AB49:AF49"/>
    <mergeCell ref="T50:T51"/>
    <mergeCell ref="U50:U51"/>
    <mergeCell ref="AB68:AF68"/>
    <mergeCell ref="AA69:AA70"/>
    <mergeCell ref="AB70:AF70"/>
    <mergeCell ref="AB84:AF84"/>
    <mergeCell ref="N49:R49"/>
  </mergeCells>
  <conditionalFormatting sqref="H52:H64">
    <cfRule type="colorScale" priority="10">
      <colorScale>
        <cfvo type="percent" val="0"/>
        <cfvo type="percent" val="100"/>
        <color theme="0"/>
        <color theme="6" tint="0.39997558519241921"/>
      </colorScale>
    </cfRule>
  </conditionalFormatting>
  <conditionalFormatting sqref="I52:M64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N52:R64">
    <cfRule type="colorScale" priority="8">
      <colorScale>
        <cfvo type="num" val="0"/>
        <cfvo type="num" val="79000"/>
        <color theme="0"/>
        <color theme="6" tint="0.39997558519241921"/>
      </colorScale>
    </cfRule>
  </conditionalFormatting>
  <conditionalFormatting sqref="V52:V64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W52:AA64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AB52:AF64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Normal="100" workbookViewId="0">
      <selection activeCell="J23" sqref="J23"/>
    </sheetView>
  </sheetViews>
  <sheetFormatPr defaultColWidth="8.85546875" defaultRowHeight="12.75"/>
  <cols>
    <col min="1" max="1" width="8.85546875" style="267"/>
    <col min="2" max="2" width="24.85546875" style="267" customWidth="1"/>
    <col min="3" max="3" width="30.85546875" style="267" customWidth="1"/>
    <col min="4" max="4" width="35.140625" style="267" bestFit="1" customWidth="1"/>
    <col min="5" max="5" width="20.42578125" style="267" customWidth="1"/>
    <col min="6" max="6" width="15.140625" style="267" bestFit="1" customWidth="1"/>
    <col min="7" max="9" width="15.140625" style="267" customWidth="1"/>
    <col min="10" max="16" width="11.5703125" style="267" customWidth="1"/>
    <col min="17" max="18" width="10.42578125" style="267" customWidth="1"/>
    <col min="19" max="19" width="8.85546875" style="267"/>
    <col min="20" max="20" width="12.140625" style="267" bestFit="1" customWidth="1"/>
    <col min="21" max="22" width="12.140625" style="267" customWidth="1"/>
    <col min="23" max="23" width="17.140625" style="267" customWidth="1"/>
    <col min="24" max="25" width="8.85546875" style="267"/>
    <col min="26" max="26" width="23.42578125" style="267" customWidth="1"/>
    <col min="27" max="27" width="22" style="267" customWidth="1"/>
    <col min="28" max="16384" width="8.85546875" style="267"/>
  </cols>
  <sheetData>
    <row r="2" spans="2:33">
      <c r="B2" s="231"/>
      <c r="C2" s="231"/>
      <c r="D2" s="231"/>
      <c r="E2" s="231"/>
      <c r="F2" s="245" t="s">
        <v>338</v>
      </c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6"/>
      <c r="R2" s="246"/>
      <c r="S2" s="246"/>
      <c r="T2" s="231"/>
      <c r="U2" s="231"/>
      <c r="V2" s="231"/>
    </row>
    <row r="3" spans="2:33" ht="38.25">
      <c r="B3" s="71" t="s">
        <v>179</v>
      </c>
      <c r="C3" s="72" t="s">
        <v>359</v>
      </c>
      <c r="D3" s="71" t="s">
        <v>305</v>
      </c>
      <c r="E3" s="71" t="s">
        <v>306</v>
      </c>
      <c r="F3" s="71" t="s">
        <v>340</v>
      </c>
      <c r="G3" s="71" t="s">
        <v>436</v>
      </c>
      <c r="H3" s="71" t="s">
        <v>437</v>
      </c>
      <c r="I3" s="71" t="s">
        <v>438</v>
      </c>
      <c r="J3" s="71" t="s">
        <v>439</v>
      </c>
      <c r="K3" s="71" t="s">
        <v>440</v>
      </c>
      <c r="L3" s="71" t="s">
        <v>341</v>
      </c>
      <c r="M3" s="73" t="s">
        <v>441</v>
      </c>
      <c r="N3" s="73" t="s">
        <v>391</v>
      </c>
      <c r="O3" s="71" t="s">
        <v>442</v>
      </c>
      <c r="P3" s="71" t="s">
        <v>443</v>
      </c>
      <c r="Q3" s="247" t="s">
        <v>444</v>
      </c>
      <c r="R3" s="247" t="s">
        <v>445</v>
      </c>
      <c r="S3" s="247" t="s">
        <v>344</v>
      </c>
      <c r="T3" s="247" t="s">
        <v>446</v>
      </c>
      <c r="U3" s="247" t="s">
        <v>385</v>
      </c>
      <c r="V3" s="247" t="s">
        <v>447</v>
      </c>
    </row>
    <row r="4" spans="2:33" ht="38.25">
      <c r="B4" s="74" t="s">
        <v>349</v>
      </c>
      <c r="C4" s="74" t="s">
        <v>350</v>
      </c>
      <c r="D4" s="74" t="s">
        <v>351</v>
      </c>
      <c r="E4" s="74" t="s">
        <v>352</v>
      </c>
      <c r="F4" s="74" t="s">
        <v>448</v>
      </c>
      <c r="G4" s="74" t="s">
        <v>448</v>
      </c>
      <c r="H4" s="74" t="s">
        <v>448</v>
      </c>
      <c r="I4" s="74" t="s">
        <v>448</v>
      </c>
      <c r="J4" s="74" t="s">
        <v>448</v>
      </c>
      <c r="K4" s="74" t="s">
        <v>448</v>
      </c>
      <c r="L4" s="74" t="s">
        <v>448</v>
      </c>
      <c r="M4" s="74" t="s">
        <v>449</v>
      </c>
      <c r="N4" s="74" t="s">
        <v>450</v>
      </c>
      <c r="O4" s="47" t="s">
        <v>474</v>
      </c>
      <c r="P4" s="74" t="s">
        <v>451</v>
      </c>
      <c r="Q4" s="74"/>
      <c r="R4" s="74"/>
      <c r="S4" s="74" t="s">
        <v>452</v>
      </c>
      <c r="T4" s="74" t="s">
        <v>453</v>
      </c>
      <c r="U4" s="74"/>
      <c r="V4" s="74"/>
      <c r="AA4" s="267" t="s">
        <v>454</v>
      </c>
      <c r="AF4" s="267" t="s">
        <v>455</v>
      </c>
      <c r="AG4" s="267" t="s">
        <v>456</v>
      </c>
    </row>
    <row r="5" spans="2:33" ht="15.95" customHeight="1">
      <c r="B5" s="322" t="str">
        <f>AGR_Proc!D26</f>
        <v>AGR_EX_BIOG</v>
      </c>
      <c r="C5" s="322" t="str">
        <f>AGR_Proc!E26</f>
        <v>Agriculture Existing Biogass</v>
      </c>
      <c r="E5" s="322"/>
      <c r="F5" s="322">
        <v>374</v>
      </c>
      <c r="G5" s="322">
        <v>374</v>
      </c>
      <c r="H5" s="322">
        <v>374</v>
      </c>
      <c r="I5" s="322">
        <v>374</v>
      </c>
      <c r="J5" s="322">
        <v>374</v>
      </c>
      <c r="K5" s="322">
        <v>374</v>
      </c>
      <c r="L5" s="322">
        <v>374</v>
      </c>
      <c r="M5" s="322"/>
      <c r="N5" s="321"/>
      <c r="O5" s="231"/>
      <c r="P5" s="231"/>
      <c r="Q5" s="322">
        <f>E36*F42/1000*F48</f>
        <v>0.57499999999999996</v>
      </c>
      <c r="R5" s="322"/>
      <c r="S5" s="322">
        <v>1</v>
      </c>
      <c r="T5" s="321"/>
      <c r="U5" s="321">
        <v>1</v>
      </c>
      <c r="V5" s="321"/>
      <c r="AA5" s="267" t="s">
        <v>239</v>
      </c>
      <c r="AF5" s="274">
        <v>0.32200000000000001</v>
      </c>
      <c r="AG5" s="267">
        <f>AF5*0.95</f>
        <v>0.30590000000000001</v>
      </c>
    </row>
    <row r="6" spans="2:33" ht="15.95" customHeight="1">
      <c r="B6" s="281"/>
      <c r="C6" s="281"/>
      <c r="D6" s="281" t="s">
        <v>124</v>
      </c>
      <c r="E6" s="281"/>
      <c r="F6" s="281"/>
      <c r="G6" s="281"/>
      <c r="H6" s="281"/>
      <c r="I6" s="281"/>
      <c r="J6" s="281"/>
      <c r="K6" s="281"/>
      <c r="L6" s="281"/>
      <c r="M6" s="281"/>
      <c r="N6" s="281"/>
      <c r="O6" s="281">
        <v>0.30590000000000001</v>
      </c>
      <c r="P6" s="281">
        <v>3.9503400000000001E-2</v>
      </c>
      <c r="Q6" s="281"/>
      <c r="R6" s="281"/>
      <c r="S6" s="281"/>
      <c r="T6" s="281">
        <f>E36*$F$46/(O6*1000)</f>
        <v>0.14710689767898008</v>
      </c>
      <c r="U6" s="281"/>
      <c r="V6" s="281">
        <v>3</v>
      </c>
      <c r="AA6" s="353">
        <f>O6*AGR_LAND!$J$34*AGR_LAND!$G$28</f>
        <v>557.6809449527085</v>
      </c>
      <c r="AF6" s="274">
        <v>0.32200000000000001</v>
      </c>
      <c r="AG6" s="267">
        <f t="shared" ref="AG6:AG24" si="0">AF6*0.95</f>
        <v>0.30590000000000001</v>
      </c>
    </row>
    <row r="7" spans="2:33" ht="15.95" customHeight="1">
      <c r="B7" s="321"/>
      <c r="C7" s="321"/>
      <c r="D7" s="321" t="s">
        <v>126</v>
      </c>
      <c r="E7" s="321"/>
      <c r="F7" s="321"/>
      <c r="G7" s="321"/>
      <c r="H7" s="321"/>
      <c r="I7" s="321"/>
      <c r="J7" s="321"/>
      <c r="K7" s="321"/>
      <c r="L7" s="321"/>
      <c r="M7" s="321"/>
      <c r="N7" s="321"/>
      <c r="O7" s="321">
        <v>0.30590000000000001</v>
      </c>
      <c r="P7" s="321">
        <v>8.4101999999999996E-3</v>
      </c>
      <c r="Q7" s="321"/>
      <c r="R7" s="321"/>
      <c r="S7" s="321"/>
      <c r="T7" s="321">
        <f>E36*$F$46/(O7*1000)</f>
        <v>0.14710689767898008</v>
      </c>
      <c r="U7" s="321"/>
      <c r="V7" s="321">
        <v>3</v>
      </c>
      <c r="AA7" s="353">
        <f>O7*AGR_LAND!$J$42*AGR_LAND!$G$36</f>
        <v>121.78896986256001</v>
      </c>
      <c r="AF7" s="274">
        <v>0.40899999999999997</v>
      </c>
      <c r="AG7" s="267">
        <f t="shared" si="0"/>
        <v>0.38854999999999995</v>
      </c>
    </row>
    <row r="8" spans="2:33" ht="15.95" customHeight="1">
      <c r="B8" s="281"/>
      <c r="C8" s="281"/>
      <c r="D8" s="281" t="s">
        <v>127</v>
      </c>
      <c r="E8" s="281"/>
      <c r="F8" s="281"/>
      <c r="G8" s="281"/>
      <c r="H8" s="281"/>
      <c r="I8" s="281"/>
      <c r="J8" s="281"/>
      <c r="K8" s="281"/>
      <c r="L8" s="281"/>
      <c r="M8" s="281"/>
      <c r="N8" s="281"/>
      <c r="O8" s="281">
        <v>0.38854999999999995</v>
      </c>
      <c r="P8" s="281">
        <v>2.1270600000000001E-2</v>
      </c>
      <c r="Q8" s="281"/>
      <c r="R8" s="281"/>
      <c r="S8" s="281"/>
      <c r="T8" s="281">
        <f>E36*$F$46/(O8*1000)</f>
        <v>0.11581521039763223</v>
      </c>
      <c r="U8" s="281"/>
      <c r="V8" s="281">
        <v>3</v>
      </c>
      <c r="AA8" s="353">
        <f>O8*AGR_LAND!$J$50*AGR_LAND!$G$44</f>
        <v>783.27301119210006</v>
      </c>
      <c r="AF8" s="274">
        <v>0.32200000000000001</v>
      </c>
      <c r="AG8" s="267">
        <f t="shared" si="0"/>
        <v>0.30590000000000001</v>
      </c>
    </row>
    <row r="9" spans="2:33" ht="15.95" customHeight="1">
      <c r="B9" s="321"/>
      <c r="C9" s="321"/>
      <c r="D9" s="321" t="s">
        <v>128</v>
      </c>
      <c r="E9" s="321"/>
      <c r="F9" s="321"/>
      <c r="G9" s="321"/>
      <c r="H9" s="321"/>
      <c r="I9" s="321"/>
      <c r="J9" s="321"/>
      <c r="K9" s="321"/>
      <c r="L9" s="321"/>
      <c r="M9" s="321"/>
      <c r="N9" s="321"/>
      <c r="O9" s="321">
        <v>0.30590000000000001</v>
      </c>
      <c r="P9" s="321">
        <v>6.5585000000000001E-3</v>
      </c>
      <c r="Q9" s="321"/>
      <c r="R9" s="321"/>
      <c r="S9" s="321"/>
      <c r="T9" s="321">
        <f>E36*$F$46/(O9*1000)</f>
        <v>0.14710689767898008</v>
      </c>
      <c r="U9" s="321"/>
      <c r="V9" s="321">
        <v>3</v>
      </c>
      <c r="AA9" s="353">
        <f>O9*AGR_LAND!$J$58*AGR_LAND!$G$52</f>
        <v>37.860183958905004</v>
      </c>
      <c r="AF9" s="274">
        <v>0.32200000000000001</v>
      </c>
      <c r="AG9" s="267">
        <f t="shared" si="0"/>
        <v>0.30590000000000001</v>
      </c>
    </row>
    <row r="10" spans="2:33" ht="15.95" customHeight="1">
      <c r="B10" s="281"/>
      <c r="C10" s="281"/>
      <c r="D10" s="281" t="s">
        <v>129</v>
      </c>
      <c r="E10" s="281"/>
      <c r="F10" s="281"/>
      <c r="G10" s="281"/>
      <c r="H10" s="281"/>
      <c r="I10" s="281"/>
      <c r="J10" s="281"/>
      <c r="K10" s="281"/>
      <c r="L10" s="281"/>
      <c r="M10" s="281"/>
      <c r="N10" s="281"/>
      <c r="O10" s="281">
        <v>0.30590000000000001</v>
      </c>
      <c r="P10" s="281">
        <v>2.38757E-2</v>
      </c>
      <c r="Q10" s="281"/>
      <c r="R10" s="281"/>
      <c r="S10" s="281"/>
      <c r="T10" s="281">
        <f>E36*$F$46/(O10*1000)</f>
        <v>0.14710689767898008</v>
      </c>
      <c r="U10" s="281"/>
      <c r="V10" s="281">
        <v>3</v>
      </c>
      <c r="AA10" s="353">
        <f>O10*AGR_LAND!$J$66*AGR_LAND!$G$60</f>
        <v>280.50218297409003</v>
      </c>
      <c r="AF10" s="274">
        <v>0.32200000000000001</v>
      </c>
      <c r="AG10" s="267">
        <f t="shared" si="0"/>
        <v>0.30590000000000001</v>
      </c>
    </row>
    <row r="11" spans="2:33" ht="15.95" customHeight="1">
      <c r="B11" s="321"/>
      <c r="C11" s="321"/>
      <c r="D11" s="321" t="s">
        <v>130</v>
      </c>
      <c r="E11" s="321"/>
      <c r="F11" s="321"/>
      <c r="G11" s="321"/>
      <c r="H11" s="321"/>
      <c r="I11" s="321"/>
      <c r="J11" s="321"/>
      <c r="K11" s="321"/>
      <c r="L11" s="321"/>
      <c r="M11" s="321"/>
      <c r="N11" s="321"/>
      <c r="O11" s="321">
        <v>0.30590000000000001</v>
      </c>
      <c r="P11" s="321">
        <v>6.3896999999999999E-3</v>
      </c>
      <c r="Q11" s="321"/>
      <c r="R11" s="321"/>
      <c r="S11" s="321"/>
      <c r="T11" s="321">
        <f>E36*$F$46/(O11*1000)</f>
        <v>0.14710689767898008</v>
      </c>
      <c r="U11" s="321"/>
      <c r="V11" s="321">
        <v>3</v>
      </c>
      <c r="AA11" s="353">
        <f>O11*AGR_LAND!$J$74*AGR_LAND!$G$68</f>
        <v>91.474181469824998</v>
      </c>
      <c r="AF11" s="274">
        <v>0.32200000000000001</v>
      </c>
      <c r="AG11" s="267">
        <f t="shared" si="0"/>
        <v>0.30590000000000001</v>
      </c>
    </row>
    <row r="12" spans="2:33" ht="15.95" customHeight="1">
      <c r="B12" s="281"/>
      <c r="C12" s="281"/>
      <c r="D12" s="281" t="s">
        <v>131</v>
      </c>
      <c r="E12" s="281"/>
      <c r="F12" s="281"/>
      <c r="G12" s="281"/>
      <c r="H12" s="281"/>
      <c r="I12" s="281"/>
      <c r="J12" s="281"/>
      <c r="K12" s="281"/>
      <c r="L12" s="281"/>
      <c r="M12" s="281"/>
      <c r="N12" s="281"/>
      <c r="O12" s="281">
        <v>0.30590000000000001</v>
      </c>
      <c r="P12" s="281">
        <v>5.8006299999999997E-2</v>
      </c>
      <c r="Q12" s="281"/>
      <c r="R12" s="281"/>
      <c r="S12" s="281"/>
      <c r="T12" s="281">
        <f>E36*$F$46/(O12*1000)</f>
        <v>0.14710689767898008</v>
      </c>
      <c r="U12" s="281"/>
      <c r="V12" s="281">
        <v>3</v>
      </c>
      <c r="AA12" s="353">
        <f>AGR_LAND!$J$82*AGR_LAND!$G$76</f>
        <v>2209.1067323000002</v>
      </c>
      <c r="AF12" s="274">
        <v>0.32200000000000001</v>
      </c>
      <c r="AG12" s="267">
        <f t="shared" si="0"/>
        <v>0.30590000000000001</v>
      </c>
    </row>
    <row r="13" spans="2:33" ht="15.95" customHeight="1">
      <c r="B13" s="321"/>
      <c r="C13" s="321"/>
      <c r="D13" s="321" t="s">
        <v>132</v>
      </c>
      <c r="E13" s="321"/>
      <c r="F13" s="321"/>
      <c r="G13" s="321"/>
      <c r="H13" s="321"/>
      <c r="I13" s="321"/>
      <c r="J13" s="321"/>
      <c r="K13" s="321"/>
      <c r="L13" s="321"/>
      <c r="M13" s="321"/>
      <c r="N13" s="321"/>
      <c r="O13" s="321">
        <v>0.30590000000000001</v>
      </c>
      <c r="P13" s="321">
        <v>8.2019999999999999E-4</v>
      </c>
      <c r="Q13" s="321"/>
      <c r="R13" s="321"/>
      <c r="S13" s="321"/>
      <c r="T13" s="321">
        <f>E36*$F$46/(O13*1000)</f>
        <v>0.14710689767898008</v>
      </c>
      <c r="U13" s="321"/>
      <c r="V13" s="321">
        <v>3</v>
      </c>
      <c r="X13" s="79"/>
      <c r="Y13" s="79" t="s">
        <v>120</v>
      </c>
      <c r="Z13" s="79"/>
      <c r="AA13" s="353">
        <f>O13*AGR_LAND!$J$90*AGR_LAND!$G$84</f>
        <v>15.904977141899998</v>
      </c>
      <c r="AF13" s="274">
        <v>0</v>
      </c>
      <c r="AG13" s="267">
        <f t="shared" si="0"/>
        <v>0</v>
      </c>
    </row>
    <row r="14" spans="2:33" ht="15.95" customHeight="1">
      <c r="B14" s="281"/>
      <c r="C14" s="281"/>
      <c r="D14" s="281" t="s">
        <v>106</v>
      </c>
      <c r="E14" s="281"/>
      <c r="F14" s="281"/>
      <c r="G14" s="281"/>
      <c r="H14" s="281"/>
      <c r="I14" s="281"/>
      <c r="J14" s="281"/>
      <c r="K14" s="281"/>
      <c r="L14" s="281"/>
      <c r="M14" s="281"/>
      <c r="N14" s="281"/>
      <c r="O14" s="281">
        <v>9.7849999999999993E-2</v>
      </c>
      <c r="P14" s="281">
        <v>0.3757413</v>
      </c>
      <c r="Q14" s="281"/>
      <c r="R14" s="281"/>
      <c r="S14" s="281"/>
      <c r="T14" s="281">
        <f>E36*$F$45/(O14*1000)</f>
        <v>0.59785385794583545</v>
      </c>
      <c r="U14" s="281"/>
      <c r="V14" s="281">
        <v>3</v>
      </c>
      <c r="X14" s="81"/>
      <c r="Y14" s="81" t="s">
        <v>122</v>
      </c>
      <c r="Z14" s="81"/>
      <c r="AA14" s="353" t="e">
        <f>#REF!*AGR_LAND!$J$95*AGR_LAND!$G$92</f>
        <v>#REF!</v>
      </c>
      <c r="AF14" s="274">
        <v>0</v>
      </c>
      <c r="AG14" s="267">
        <f t="shared" si="0"/>
        <v>0</v>
      </c>
    </row>
    <row r="15" spans="2:33" ht="15.95" customHeight="1">
      <c r="B15" s="321"/>
      <c r="C15" s="321"/>
      <c r="D15" s="321" t="s">
        <v>108</v>
      </c>
      <c r="E15" s="321"/>
      <c r="F15" s="321"/>
      <c r="G15" s="321"/>
      <c r="H15" s="321"/>
      <c r="I15" s="321"/>
      <c r="J15" s="321"/>
      <c r="K15" s="321"/>
      <c r="L15" s="321"/>
      <c r="M15" s="321"/>
      <c r="N15" s="321"/>
      <c r="O15" s="321">
        <v>9.7849999999999993E-2</v>
      </c>
      <c r="P15" s="321">
        <v>0.241698</v>
      </c>
      <c r="Q15" s="321"/>
      <c r="R15" s="321"/>
      <c r="S15" s="321"/>
      <c r="T15" s="321">
        <f>E36*$F$45/(O15*1000)</f>
        <v>0.59785385794583545</v>
      </c>
      <c r="U15" s="321"/>
      <c r="V15" s="321">
        <v>3</v>
      </c>
      <c r="AA15" s="353" t="e">
        <f>#REF!*AGR_LAND!$J$100*AGR_LAND!$G$97</f>
        <v>#REF!</v>
      </c>
      <c r="AF15" s="274">
        <v>0</v>
      </c>
      <c r="AG15" s="267">
        <f t="shared" si="0"/>
        <v>0</v>
      </c>
    </row>
    <row r="16" spans="2:33" ht="15.95" customHeight="1">
      <c r="B16" s="281"/>
      <c r="C16" s="281"/>
      <c r="D16" s="281" t="s">
        <v>112</v>
      </c>
      <c r="E16" s="281"/>
      <c r="F16" s="281"/>
      <c r="G16" s="281"/>
      <c r="H16" s="281"/>
      <c r="I16" s="281"/>
      <c r="J16" s="281"/>
      <c r="K16" s="281"/>
      <c r="L16" s="281"/>
      <c r="M16" s="281"/>
      <c r="N16" s="281"/>
      <c r="O16" s="281">
        <v>1.1875E-2</v>
      </c>
      <c r="P16" s="281">
        <v>0.1680845</v>
      </c>
      <c r="Q16" s="281"/>
      <c r="R16" s="281"/>
      <c r="S16" s="281"/>
      <c r="T16" s="281">
        <f>E36*$F$45/(O16*1000)</f>
        <v>4.9263157894736844</v>
      </c>
      <c r="U16" s="281"/>
      <c r="V16" s="281">
        <v>3</v>
      </c>
      <c r="X16" s="79">
        <v>7.1861999999999995E-2</v>
      </c>
      <c r="Y16" s="79" t="s">
        <v>133</v>
      </c>
      <c r="Z16" s="79"/>
      <c r="AA16" s="353" t="e">
        <f>#REF!*AGR_LAND!$J$105*AGR_LAND!$G$102</f>
        <v>#REF!</v>
      </c>
      <c r="AF16" s="274">
        <v>0</v>
      </c>
      <c r="AG16" s="267">
        <f t="shared" si="0"/>
        <v>0</v>
      </c>
    </row>
    <row r="17" spans="2:33" ht="15.95" customHeight="1">
      <c r="B17" s="321" t="str">
        <f t="shared" ref="B17" si="1">IF(O17&gt;0,"","\I:")</f>
        <v/>
      </c>
      <c r="C17" s="321"/>
      <c r="D17" s="321" t="s">
        <v>118</v>
      </c>
      <c r="E17" s="321"/>
      <c r="F17" s="321"/>
      <c r="G17" s="321"/>
      <c r="H17" s="321"/>
      <c r="I17" s="321"/>
      <c r="J17" s="321"/>
      <c r="K17" s="321"/>
      <c r="L17" s="321"/>
      <c r="M17" s="321"/>
      <c r="N17" s="321"/>
      <c r="O17" s="321">
        <v>8.8349999999999998E-2</v>
      </c>
      <c r="P17" s="321">
        <v>4.9154799999999998E-2</v>
      </c>
      <c r="Q17" s="321"/>
      <c r="R17" s="321"/>
      <c r="S17" s="321"/>
      <c r="T17" s="321">
        <f>E36*$F$45/(O17*1000)</f>
        <v>0.66213921901528017</v>
      </c>
      <c r="U17" s="321"/>
      <c r="V17" s="321">
        <v>3</v>
      </c>
      <c r="X17" s="81">
        <v>3.9537999999999997E-2</v>
      </c>
      <c r="Y17" s="81" t="s">
        <v>134</v>
      </c>
      <c r="Z17" s="81"/>
      <c r="AA17" s="353" t="e">
        <f>#REF!*AGR_LAND!$J$110*AGR_LAND!$G$107</f>
        <v>#REF!</v>
      </c>
      <c r="AF17" s="274">
        <v>0</v>
      </c>
      <c r="AG17" s="267">
        <f t="shared" si="0"/>
        <v>0</v>
      </c>
    </row>
    <row r="18" spans="2:33" ht="15.95" customHeight="1" thickBot="1">
      <c r="E18" s="421" t="str">
        <f>AGR_Comm!D14</f>
        <v>PRI_BIOG_AGR</v>
      </c>
      <c r="F18" s="421"/>
      <c r="G18" s="421"/>
      <c r="H18" s="421"/>
      <c r="I18" s="421"/>
      <c r="J18" s="421"/>
      <c r="K18" s="421"/>
      <c r="L18" s="421"/>
      <c r="M18" s="421">
        <v>23</v>
      </c>
      <c r="N18" s="421">
        <f>M18/1000</f>
        <v>2.3E-2</v>
      </c>
      <c r="AA18" s="353" t="e">
        <f>#REF!*AGR_LAND!$J$115*AGR_LAND!$G$112</f>
        <v>#REF!</v>
      </c>
      <c r="AC18" s="267" t="s">
        <v>457</v>
      </c>
      <c r="AF18" s="274">
        <v>0</v>
      </c>
      <c r="AG18" s="267">
        <f t="shared" si="0"/>
        <v>0</v>
      </c>
    </row>
    <row r="19" spans="2:33" ht="15.95" customHeight="1">
      <c r="AA19" s="353" t="e">
        <f>#REF!*AGR_LAND!J120*AGR_LAND!G117</f>
        <v>#REF!</v>
      </c>
      <c r="AC19" s="267" t="e">
        <f>SUM(AA6:AA19)</f>
        <v>#REF!</v>
      </c>
      <c r="AF19" s="274">
        <v>0.10299999999999999</v>
      </c>
      <c r="AG19" s="267">
        <f t="shared" si="0"/>
        <v>9.7849999999999993E-2</v>
      </c>
    </row>
    <row r="20" spans="2:33" ht="15.95" customHeight="1">
      <c r="AA20" s="353">
        <f>O14*AGR_LIV!$K$12*AGR_LIV!$G$5</f>
        <v>1458.2067098038751</v>
      </c>
      <c r="AF20" s="274">
        <v>0.10299999999999999</v>
      </c>
      <c r="AG20" s="267">
        <f t="shared" si="0"/>
        <v>9.7849999999999993E-2</v>
      </c>
    </row>
    <row r="21" spans="2:33" ht="15.95" customHeight="1">
      <c r="AA21" s="353">
        <f>O15*AGR_LIV!$K$23*AGR_LIV!$G$16</f>
        <v>1175.3398170756</v>
      </c>
      <c r="AF21" s="274">
        <v>0</v>
      </c>
      <c r="AG21" s="267">
        <f t="shared" si="0"/>
        <v>0</v>
      </c>
    </row>
    <row r="22" spans="2:33" ht="15.95" customHeight="1">
      <c r="AA22" s="353" t="e">
        <f>#REF!*AGR_LIV!$K$30*AGR_LIV!$G$27</f>
        <v>#REF!</v>
      </c>
      <c r="AF22" s="274">
        <f>0.0125</f>
        <v>1.2500000000000001E-2</v>
      </c>
      <c r="AG22" s="267">
        <f t="shared" si="0"/>
        <v>1.1875E-2</v>
      </c>
    </row>
    <row r="23" spans="2:33" ht="15.95" customHeight="1">
      <c r="AA23" s="353">
        <f>O16*AGR_LIV!$K$41*AGR_LIV!$G$34</f>
        <v>111.36175796875</v>
      </c>
      <c r="AF23" s="274">
        <v>0</v>
      </c>
      <c r="AG23" s="267">
        <f t="shared" si="0"/>
        <v>0</v>
      </c>
    </row>
    <row r="24" spans="2:33" ht="15.95" customHeight="1">
      <c r="AA24" s="353" t="e">
        <f>#REF!*AGR_LIV!$K$48*AGR_LIV!$G$45</f>
        <v>#REF!</v>
      </c>
      <c r="AC24" s="267" t="s">
        <v>458</v>
      </c>
      <c r="AF24" s="274">
        <f>0.093</f>
        <v>9.2999999999999999E-2</v>
      </c>
      <c r="AG24" s="267">
        <f t="shared" si="0"/>
        <v>8.8349999999999998E-2</v>
      </c>
    </row>
    <row r="25" spans="2:33" ht="15.95" customHeight="1">
      <c r="X25" s="79">
        <v>6.0317999999999997E-2</v>
      </c>
      <c r="Y25" s="79" t="s">
        <v>135</v>
      </c>
      <c r="Z25" s="79"/>
      <c r="AA25" s="353">
        <f>O17*AGR_LIV!$K$59*AGR_LIV!$G$52</f>
        <v>237.54008412900001</v>
      </c>
      <c r="AC25" s="267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7" t="s">
        <v>459</v>
      </c>
    </row>
    <row r="28" spans="2:33">
      <c r="X28" s="81">
        <v>3.8671999999999998E-2</v>
      </c>
      <c r="Y28" s="81" t="s">
        <v>138</v>
      </c>
      <c r="Z28" s="81"/>
      <c r="AA28" s="267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31"/>
      <c r="C30" s="231"/>
    </row>
    <row r="31" spans="2:33">
      <c r="L31" s="267">
        <f>L32*17695.67</f>
        <v>39.82499011849999</v>
      </c>
    </row>
    <row r="32" spans="2:33">
      <c r="L32" s="267">
        <f>N18*O15</f>
        <v>2.2505499999999996E-3</v>
      </c>
    </row>
    <row r="33" spans="4:7" ht="15.95" customHeight="1"/>
    <row r="34" spans="4:7" ht="15.95" customHeight="1"/>
    <row r="36" spans="4:7" ht="15">
      <c r="D36" s="430" t="s">
        <v>460</v>
      </c>
      <c r="E36" s="267">
        <v>4.5</v>
      </c>
    </row>
    <row r="37" spans="4:7" ht="13.5" thickBot="1"/>
    <row r="38" spans="4:7" ht="43.5" thickBot="1">
      <c r="D38" s="422" t="s">
        <v>461</v>
      </c>
      <c r="E38" s="423" t="s">
        <v>462</v>
      </c>
      <c r="F38" s="423" t="s">
        <v>463</v>
      </c>
    </row>
    <row r="39" spans="4:7" ht="15" thickBot="1">
      <c r="D39" s="424" t="s">
        <v>464</v>
      </c>
      <c r="E39" s="425">
        <v>4300</v>
      </c>
      <c r="F39" s="425">
        <v>1600</v>
      </c>
    </row>
    <row r="40" spans="4:7" ht="15" thickBot="1">
      <c r="D40" s="424" t="s">
        <v>465</v>
      </c>
      <c r="E40" s="425">
        <v>800</v>
      </c>
      <c r="F40" s="425">
        <v>300</v>
      </c>
    </row>
    <row r="41" spans="4:7" ht="29.25" thickBot="1">
      <c r="D41" s="424" t="s">
        <v>466</v>
      </c>
      <c r="E41" s="425">
        <v>270</v>
      </c>
      <c r="F41" s="425">
        <v>100</v>
      </c>
    </row>
    <row r="42" spans="4:7" ht="15" thickBot="1">
      <c r="D42" s="424" t="s">
        <v>467</v>
      </c>
      <c r="E42" s="425">
        <v>20</v>
      </c>
      <c r="F42" s="425">
        <v>20</v>
      </c>
    </row>
    <row r="43" spans="4:7" ht="15" thickBot="1">
      <c r="D43" s="424" t="s">
        <v>468</v>
      </c>
      <c r="E43" s="425">
        <v>15</v>
      </c>
      <c r="F43" s="425">
        <v>10</v>
      </c>
    </row>
    <row r="44" spans="4:7" ht="15" thickBot="1">
      <c r="D44" s="424" t="s">
        <v>469</v>
      </c>
      <c r="E44" s="425">
        <v>2</v>
      </c>
      <c r="F44" s="425">
        <v>3</v>
      </c>
    </row>
    <row r="45" spans="4:7" ht="15" thickBot="1">
      <c r="D45" s="424" t="s">
        <v>470</v>
      </c>
      <c r="E45" s="425">
        <v>16</v>
      </c>
      <c r="F45" s="425">
        <v>13</v>
      </c>
    </row>
    <row r="46" spans="4:7" ht="14.25">
      <c r="D46" s="426" t="s">
        <v>471</v>
      </c>
      <c r="E46" s="427">
        <v>10</v>
      </c>
      <c r="F46" s="427">
        <v>10</v>
      </c>
    </row>
    <row r="47" spans="4:7">
      <c r="D47"/>
      <c r="E47"/>
      <c r="F47"/>
    </row>
    <row r="48" spans="4:7">
      <c r="D48" s="38" t="s">
        <v>472</v>
      </c>
      <c r="E48"/>
      <c r="F48">
        <f>N18*1000/3.6</f>
        <v>6.3888888888888884</v>
      </c>
      <c r="G48" s="38" t="s">
        <v>473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B1" zoomScale="115" zoomScaleNormal="115" workbookViewId="0">
      <selection activeCell="G17" sqref="G17"/>
    </sheetView>
  </sheetViews>
  <sheetFormatPr defaultRowHeight="12.75"/>
  <cols>
    <col min="1" max="1" width="3.42578125" customWidth="1"/>
    <col min="2" max="2" width="34.42578125" customWidth="1"/>
    <col min="3" max="3" width="48.28515625" customWidth="1"/>
    <col min="4" max="4" width="40.42578125" customWidth="1"/>
    <col min="5" max="5" width="20.42578125" customWidth="1"/>
    <col min="6" max="12" width="6.140625" customWidth="1"/>
    <col min="13" max="13" width="9.42578125" customWidth="1"/>
    <col min="14" max="27" width="7.85546875" customWidth="1"/>
    <col min="28" max="28" width="9" customWidth="1"/>
    <col min="29" max="30" width="7.85546875" customWidth="1"/>
    <col min="31" max="31" width="3.42578125" customWidth="1"/>
  </cols>
  <sheetData>
    <row r="2" spans="2:30" ht="18">
      <c r="B2" s="265" t="s">
        <v>475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63.75">
      <c r="B5" s="181" t="s">
        <v>179</v>
      </c>
      <c r="C5" s="181" t="s">
        <v>359</v>
      </c>
      <c r="D5" s="181" t="s">
        <v>305</v>
      </c>
      <c r="E5" s="181" t="s">
        <v>306</v>
      </c>
      <c r="F5" s="182" t="s">
        <v>476</v>
      </c>
      <c r="G5" s="182" t="s">
        <v>477</v>
      </c>
      <c r="H5" s="182" t="s">
        <v>478</v>
      </c>
      <c r="I5" s="182" t="s">
        <v>479</v>
      </c>
      <c r="J5" s="182" t="s">
        <v>480</v>
      </c>
      <c r="K5" s="182" t="s">
        <v>481</v>
      </c>
      <c r="L5" s="182" t="s">
        <v>482</v>
      </c>
      <c r="M5" s="183" t="s">
        <v>483</v>
      </c>
      <c r="N5" s="183" t="s">
        <v>436</v>
      </c>
      <c r="O5" s="183" t="s">
        <v>437</v>
      </c>
      <c r="P5" s="183" t="s">
        <v>438</v>
      </c>
      <c r="Q5" s="183" t="s">
        <v>439</v>
      </c>
      <c r="R5" s="183" t="s">
        <v>440</v>
      </c>
      <c r="S5" s="183" t="s">
        <v>341</v>
      </c>
      <c r="T5" s="181" t="s">
        <v>307</v>
      </c>
      <c r="U5" s="182" t="s">
        <v>484</v>
      </c>
      <c r="V5" s="182" t="s">
        <v>485</v>
      </c>
      <c r="W5" s="182" t="s">
        <v>486</v>
      </c>
      <c r="X5" s="182" t="s">
        <v>487</v>
      </c>
      <c r="Y5" s="183" t="s">
        <v>488</v>
      </c>
      <c r="Z5" s="183" t="s">
        <v>345</v>
      </c>
      <c r="AA5" s="183" t="s">
        <v>489</v>
      </c>
      <c r="AB5" s="183" t="s">
        <v>344</v>
      </c>
      <c r="AC5" s="183" t="s">
        <v>445</v>
      </c>
      <c r="AD5" s="183" t="s">
        <v>444</v>
      </c>
    </row>
    <row r="6" spans="2:30" ht="13.5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490</v>
      </c>
      <c r="U6" s="184" t="s">
        <v>490</v>
      </c>
      <c r="V6" s="184" t="s">
        <v>490</v>
      </c>
      <c r="W6" s="184" t="s">
        <v>490</v>
      </c>
      <c r="X6" s="184" t="s">
        <v>490</v>
      </c>
      <c r="Y6" s="184" t="s">
        <v>37</v>
      </c>
      <c r="Z6" s="184" t="s">
        <v>490</v>
      </c>
      <c r="AA6" s="184" t="s">
        <v>490</v>
      </c>
      <c r="AB6" s="184" t="s">
        <v>491</v>
      </c>
      <c r="AC6" s="184" t="s">
        <v>492</v>
      </c>
      <c r="AD6" s="184" t="s">
        <v>493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</v>
      </c>
      <c r="S7" s="87">
        <v>0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2.75"/>
  <cols>
    <col min="1" max="1" width="3.42578125" customWidth="1"/>
    <col min="2" max="2" width="26" customWidth="1"/>
    <col min="3" max="3" width="39.42578125" customWidth="1"/>
    <col min="4" max="4" width="27" customWidth="1"/>
    <col min="5" max="5" width="32.5703125" customWidth="1"/>
    <col min="6" max="6" width="39.85546875" customWidth="1"/>
    <col min="8" max="8" width="3.42578125" customWidth="1"/>
  </cols>
  <sheetData>
    <row r="2" spans="2:7" ht="18">
      <c r="B2" s="261" t="s">
        <v>494</v>
      </c>
      <c r="C2" s="63"/>
      <c r="D2" s="63"/>
    </row>
    <row r="3" spans="2:7">
      <c r="E3" s="64" t="s">
        <v>495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496</v>
      </c>
      <c r="G5" s="187" t="s">
        <v>307</v>
      </c>
    </row>
    <row r="6" spans="2:7" ht="13.5" thickBot="1">
      <c r="B6" s="188" t="s">
        <v>90</v>
      </c>
      <c r="C6" s="189"/>
      <c r="D6" s="189"/>
      <c r="E6" s="189"/>
      <c r="F6" s="188" t="s">
        <v>490</v>
      </c>
      <c r="G6" s="188"/>
    </row>
    <row r="7" spans="2:7" ht="13.5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497</v>
      </c>
      <c r="F9" s="180">
        <v>0</v>
      </c>
      <c r="G9" s="177"/>
    </row>
    <row r="10" spans="2:7">
      <c r="B10" s="177"/>
      <c r="C10" s="177"/>
      <c r="D10" s="177"/>
      <c r="E10" s="177" t="s">
        <v>498</v>
      </c>
      <c r="F10" s="180">
        <v>1</v>
      </c>
      <c r="G10" s="177"/>
    </row>
    <row r="11" spans="2:7" ht="13.5" thickBot="1">
      <c r="B11" s="192"/>
      <c r="C11" s="192"/>
      <c r="D11" s="192"/>
      <c r="E11" s="193" t="s">
        <v>499</v>
      </c>
      <c r="F11" s="194">
        <v>0</v>
      </c>
      <c r="G11" s="192"/>
    </row>
    <row r="14" spans="2:7" ht="18">
      <c r="B14" s="261" t="s">
        <v>500</v>
      </c>
      <c r="C14" s="63"/>
      <c r="D14" s="63"/>
    </row>
    <row r="15" spans="2:7">
      <c r="E15" s="64" t="s">
        <v>799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496</v>
      </c>
      <c r="G17" s="187" t="s">
        <v>307</v>
      </c>
    </row>
    <row r="18" spans="2:7" ht="13.5" thickBot="1">
      <c r="B18" s="188" t="s">
        <v>90</v>
      </c>
      <c r="C18" s="189"/>
      <c r="D18" s="189"/>
      <c r="E18" s="189"/>
      <c r="F18" s="188" t="s">
        <v>490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5" thickBot="1">
      <c r="B21" s="193"/>
      <c r="C21" s="193"/>
      <c r="D21" s="193"/>
      <c r="E21" s="195" t="s">
        <v>501</v>
      </c>
      <c r="F21" s="194">
        <v>0</v>
      </c>
      <c r="G21" s="193"/>
    </row>
    <row r="26" spans="2:7">
      <c r="E26" s="433" t="s">
        <v>338</v>
      </c>
    </row>
    <row r="27" spans="2:7">
      <c r="B27" s="186" t="s">
        <v>179</v>
      </c>
      <c r="C27" s="186" t="s">
        <v>795</v>
      </c>
      <c r="D27" s="186" t="s">
        <v>305</v>
      </c>
      <c r="E27" s="186" t="s">
        <v>306</v>
      </c>
      <c r="F27" s="187" t="s">
        <v>307</v>
      </c>
    </row>
    <row r="28" spans="2:7" ht="13.5" thickBot="1">
      <c r="B28" s="188" t="s">
        <v>90</v>
      </c>
      <c r="C28" s="189"/>
      <c r="D28" s="189"/>
      <c r="E28" s="189"/>
      <c r="F28" s="188"/>
    </row>
    <row r="29" spans="2:7" ht="13.5" thickBot="1">
      <c r="B29" s="193" t="str">
        <f>AGR_Proc!D20</f>
        <v>AGR_DEM_OWN_HEAT</v>
      </c>
      <c r="C29" s="193" t="s">
        <v>796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zoomScale="130" zoomScaleNormal="130" workbookViewId="0">
      <selection activeCell="G37" sqref="G37"/>
    </sheetView>
  </sheetViews>
  <sheetFormatPr defaultRowHeight="12.75"/>
  <cols>
    <col min="1" max="1" width="3.42578125" customWidth="1"/>
    <col min="2" max="2" width="19.140625" customWidth="1"/>
    <col min="3" max="3" width="31.140625" customWidth="1"/>
    <col min="4" max="4" width="17" customWidth="1"/>
    <col min="5" max="5" width="17.85546875" customWidth="1"/>
    <col min="6" max="6" width="20.140625" customWidth="1"/>
    <col min="7" max="7" width="23" customWidth="1"/>
    <col min="8" max="8" width="3.42578125" customWidth="1"/>
    <col min="9" max="9" width="15.42578125" customWidth="1"/>
    <col min="10" max="10" width="16.140625" customWidth="1"/>
  </cols>
  <sheetData>
    <row r="2" spans="2:10" ht="18">
      <c r="B2" s="264" t="s">
        <v>502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503</v>
      </c>
      <c r="G5" s="163" t="s">
        <v>504</v>
      </c>
    </row>
    <row r="6" spans="2:10" ht="39" thickBot="1">
      <c r="B6" s="74" t="s">
        <v>349</v>
      </c>
      <c r="C6" s="74" t="s">
        <v>350</v>
      </c>
      <c r="D6" s="74" t="s">
        <v>351</v>
      </c>
      <c r="E6" s="74" t="s">
        <v>352</v>
      </c>
      <c r="F6" s="74" t="s">
        <v>505</v>
      </c>
      <c r="G6" s="74" t="s">
        <v>505</v>
      </c>
      <c r="J6" s="161" t="s">
        <v>506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2.75"/>
  <cols>
    <col min="1" max="1" width="3.42578125" customWidth="1"/>
    <col min="2" max="2" width="17.5703125" customWidth="1"/>
    <col min="3" max="3" width="16.42578125" customWidth="1"/>
    <col min="4" max="4" width="11" customWidth="1"/>
    <col min="5" max="5" width="8.42578125" bestFit="1" customWidth="1"/>
    <col min="6" max="6" width="13.5703125" bestFit="1" customWidth="1"/>
    <col min="7" max="7" width="13.42578125" bestFit="1" customWidth="1"/>
    <col min="8" max="8" width="13.5703125" bestFit="1" customWidth="1"/>
    <col min="9" max="9" width="13.42578125" bestFit="1" customWidth="1"/>
    <col min="10" max="10" width="14.42578125" bestFit="1" customWidth="1"/>
    <col min="11" max="11" width="12.42578125" bestFit="1" customWidth="1"/>
    <col min="12" max="12" width="10.42578125" bestFit="1" customWidth="1"/>
    <col min="13" max="13" width="9.42578125" bestFit="1" customWidth="1"/>
    <col min="14" max="14" width="14.42578125" bestFit="1" customWidth="1"/>
    <col min="15" max="15" width="3.42578125" customWidth="1"/>
  </cols>
  <sheetData>
    <row r="2" spans="2:14" ht="18">
      <c r="B2" s="261" t="s">
        <v>507</v>
      </c>
      <c r="C2" s="63"/>
      <c r="D2" s="63"/>
      <c r="E2" s="63"/>
      <c r="F2" s="63"/>
    </row>
    <row r="4" spans="2:14">
      <c r="C4" s="93" t="s">
        <v>508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2" t="s">
        <v>90</v>
      </c>
      <c r="C6" s="202"/>
      <c r="D6" s="775" t="s">
        <v>509</v>
      </c>
      <c r="E6" s="775"/>
      <c r="F6" s="775"/>
      <c r="G6" s="775"/>
      <c r="H6" s="775"/>
      <c r="I6" s="775"/>
      <c r="J6" s="775"/>
      <c r="K6" s="775"/>
      <c r="L6" s="775"/>
      <c r="M6" s="775"/>
      <c r="N6" s="775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7">
        <v>4.7595900000000003E-5</v>
      </c>
      <c r="I8" s="79">
        <v>3.2759599999999999E-4</v>
      </c>
      <c r="J8" s="208">
        <v>4.7595900000000003E-5</v>
      </c>
      <c r="K8" s="207">
        <v>4.7595900000000003E-6</v>
      </c>
      <c r="L8" s="206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5" t="str">
        <f>AGR_Proc!$D$21</f>
        <v>AGR_DEM_AGR</v>
      </c>
      <c r="C12" s="205" t="str">
        <f>AGR_Comm!D28</f>
        <v>AGR_PM2.5</v>
      </c>
      <c r="D12" s="205">
        <v>0.35625308300000003</v>
      </c>
      <c r="E12" s="205">
        <v>0.35625308300000003</v>
      </c>
      <c r="F12" s="205">
        <v>2.2034333E-2</v>
      </c>
      <c r="G12" s="205">
        <v>2.8183083000000001E-2</v>
      </c>
      <c r="H12" s="205">
        <v>2.1561725E-2</v>
      </c>
      <c r="I12" s="205">
        <v>2.3653082999999998E-2</v>
      </c>
      <c r="J12" s="205">
        <v>2.2453082999999999E-2</v>
      </c>
      <c r="K12" s="205">
        <v>2.2453082999999999E-2</v>
      </c>
      <c r="L12" s="205">
        <v>0.65625308299999996</v>
      </c>
      <c r="M12" s="205">
        <v>0.65625308299999996</v>
      </c>
      <c r="N12" s="205">
        <v>0.65625308299999996</v>
      </c>
    </row>
    <row r="13" spans="2:14">
      <c r="B13" s="204" t="s">
        <v>90</v>
      </c>
      <c r="C13" s="204"/>
      <c r="D13" s="776" t="s">
        <v>510</v>
      </c>
      <c r="E13" s="776"/>
      <c r="F13" s="776"/>
      <c r="G13" s="776"/>
      <c r="H13" s="776"/>
      <c r="I13" s="776"/>
      <c r="J13" s="776"/>
      <c r="K13" s="776"/>
      <c r="L13" s="776"/>
      <c r="M13" s="776"/>
      <c r="N13" s="776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511</v>
      </c>
      <c r="E14" s="199" t="s">
        <v>512</v>
      </c>
      <c r="F14" s="199" t="s">
        <v>513</v>
      </c>
      <c r="G14" s="199" t="s">
        <v>514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40625" defaultRowHeight="13.5"/>
  <cols>
    <col min="1" max="2" width="1.42578125" style="132" customWidth="1"/>
    <col min="3" max="3" width="5" style="132" customWidth="1"/>
    <col min="4" max="4" width="7.140625" style="132" customWidth="1"/>
    <col min="5" max="5" width="4.42578125" style="132" customWidth="1"/>
    <col min="6" max="6" width="7.140625" style="132" customWidth="1"/>
    <col min="7" max="7" width="5.5703125" style="37" customWidth="1"/>
    <col min="8" max="8" width="14.5703125" style="151" bestFit="1" customWidth="1"/>
    <col min="9" max="9" width="9.85546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4062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25">
      <c r="A2" s="98" t="s">
        <v>515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7" customHeight="1">
      <c r="A4" s="103"/>
      <c r="B4" s="103"/>
      <c r="C4" s="103"/>
      <c r="D4" s="103"/>
      <c r="E4" s="103"/>
      <c r="F4" s="103"/>
      <c r="G4" s="103"/>
      <c r="H4" s="103"/>
      <c r="I4" s="104" t="s">
        <v>516</v>
      </c>
      <c r="J4" s="105" t="s">
        <v>517</v>
      </c>
      <c r="K4" s="104" t="s">
        <v>518</v>
      </c>
      <c r="L4" s="104" t="s">
        <v>519</v>
      </c>
      <c r="M4" s="104" t="s">
        <v>520</v>
      </c>
      <c r="N4" s="104" t="s">
        <v>521</v>
      </c>
      <c r="O4" s="104" t="s">
        <v>522</v>
      </c>
      <c r="P4" s="104" t="s">
        <v>523</v>
      </c>
      <c r="Q4" s="104" t="s">
        <v>524</v>
      </c>
      <c r="R4" s="104" t="s">
        <v>525</v>
      </c>
      <c r="S4" s="104" t="s">
        <v>526</v>
      </c>
      <c r="T4" s="104" t="s">
        <v>527</v>
      </c>
      <c r="U4" s="106" t="s">
        <v>528</v>
      </c>
      <c r="V4" s="104" t="s">
        <v>529</v>
      </c>
      <c r="W4" s="104" t="s">
        <v>530</v>
      </c>
      <c r="X4" s="104" t="s">
        <v>531</v>
      </c>
      <c r="Y4" s="104" t="s">
        <v>532</v>
      </c>
      <c r="Z4" s="106" t="s">
        <v>533</v>
      </c>
      <c r="AA4" s="104" t="s">
        <v>534</v>
      </c>
      <c r="AB4" s="104" t="s">
        <v>535</v>
      </c>
      <c r="AC4" s="107" t="s">
        <v>536</v>
      </c>
      <c r="AD4" s="108" t="s">
        <v>537</v>
      </c>
      <c r="AE4" s="109" t="s">
        <v>538</v>
      </c>
      <c r="AF4" s="104" t="s">
        <v>539</v>
      </c>
      <c r="AG4" s="104" t="s">
        <v>540</v>
      </c>
      <c r="AH4" s="104" t="s">
        <v>541</v>
      </c>
      <c r="AI4" s="104" t="s">
        <v>542</v>
      </c>
      <c r="AJ4" s="104" t="s">
        <v>543</v>
      </c>
      <c r="AK4" s="104" t="s">
        <v>544</v>
      </c>
      <c r="AL4" s="104" t="s">
        <v>545</v>
      </c>
      <c r="AM4" s="104" t="s">
        <v>546</v>
      </c>
      <c r="AN4" s="104" t="s">
        <v>547</v>
      </c>
      <c r="AO4" s="104" t="s">
        <v>548</v>
      </c>
      <c r="AP4" s="104" t="s">
        <v>549</v>
      </c>
      <c r="AQ4" s="104" t="s">
        <v>550</v>
      </c>
      <c r="AR4" s="104" t="s">
        <v>551</v>
      </c>
      <c r="AS4" s="104" t="s">
        <v>552</v>
      </c>
      <c r="AT4" s="104" t="s">
        <v>553</v>
      </c>
      <c r="AU4" s="104" t="s">
        <v>554</v>
      </c>
      <c r="AV4" s="104" t="s">
        <v>555</v>
      </c>
      <c r="AW4" s="104" t="s">
        <v>556</v>
      </c>
      <c r="AX4" s="104" t="s">
        <v>557</v>
      </c>
      <c r="AY4" s="104" t="s">
        <v>558</v>
      </c>
      <c r="AZ4" s="104" t="s">
        <v>559</v>
      </c>
      <c r="BA4" s="104" t="s">
        <v>560</v>
      </c>
      <c r="BB4" s="106" t="s">
        <v>561</v>
      </c>
      <c r="BC4" s="104" t="s">
        <v>562</v>
      </c>
      <c r="BD4" s="104" t="s">
        <v>563</v>
      </c>
      <c r="BE4" s="104" t="s">
        <v>564</v>
      </c>
      <c r="BF4" s="104" t="s">
        <v>565</v>
      </c>
      <c r="BG4" s="104" t="s">
        <v>566</v>
      </c>
      <c r="BH4" s="104" t="s">
        <v>567</v>
      </c>
      <c r="BI4" s="110" t="s">
        <v>568</v>
      </c>
      <c r="BJ4" s="104" t="s">
        <v>569</v>
      </c>
      <c r="BK4" s="104" t="s">
        <v>570</v>
      </c>
      <c r="BL4" s="104" t="s">
        <v>571</v>
      </c>
      <c r="BM4" s="104" t="s">
        <v>572</v>
      </c>
      <c r="BN4" s="104" t="s">
        <v>573</v>
      </c>
      <c r="BO4" s="104" t="s">
        <v>574</v>
      </c>
      <c r="BP4" s="104" t="s">
        <v>575</v>
      </c>
      <c r="BQ4" s="104" t="s">
        <v>576</v>
      </c>
      <c r="BR4" s="104" t="s">
        <v>577</v>
      </c>
      <c r="BS4" s="104" t="s">
        <v>578</v>
      </c>
      <c r="BT4" s="104" t="s">
        <v>579</v>
      </c>
      <c r="BU4" s="106" t="s">
        <v>580</v>
      </c>
      <c r="BV4" s="104" t="s">
        <v>581</v>
      </c>
      <c r="BW4" s="104" t="s">
        <v>582</v>
      </c>
      <c r="BX4" s="107" t="s">
        <v>583</v>
      </c>
      <c r="BY4" s="108" t="s">
        <v>584</v>
      </c>
      <c r="BZ4" s="106" t="s">
        <v>585</v>
      </c>
      <c r="CA4" s="111" t="s">
        <v>586</v>
      </c>
      <c r="CB4" s="106" t="s">
        <v>587</v>
      </c>
    </row>
    <row r="5" spans="1:84" s="122" customFormat="1" ht="54">
      <c r="A5" s="113"/>
      <c r="B5" s="113"/>
      <c r="C5" s="113"/>
      <c r="D5" s="114" t="s">
        <v>588</v>
      </c>
      <c r="E5" s="114"/>
      <c r="F5" s="115">
        <v>2020</v>
      </c>
      <c r="G5" s="116"/>
      <c r="H5" s="117"/>
      <c r="I5" s="118" t="s">
        <v>589</v>
      </c>
      <c r="J5" s="118" t="s">
        <v>590</v>
      </c>
      <c r="K5" s="119" t="s">
        <v>591</v>
      </c>
      <c r="L5" s="119" t="s">
        <v>592</v>
      </c>
      <c r="M5" s="119" t="s">
        <v>593</v>
      </c>
      <c r="N5" s="119" t="s">
        <v>594</v>
      </c>
      <c r="O5" s="119" t="s">
        <v>595</v>
      </c>
      <c r="P5" s="119" t="s">
        <v>596</v>
      </c>
      <c r="Q5" s="119" t="s">
        <v>597</v>
      </c>
      <c r="R5" s="119" t="s">
        <v>598</v>
      </c>
      <c r="S5" s="119" t="s">
        <v>599</v>
      </c>
      <c r="T5" s="119" t="s">
        <v>600</v>
      </c>
      <c r="U5" s="118" t="s">
        <v>601</v>
      </c>
      <c r="V5" s="119" t="s">
        <v>602</v>
      </c>
      <c r="W5" s="119" t="s">
        <v>603</v>
      </c>
      <c r="X5" s="119" t="s">
        <v>604</v>
      </c>
      <c r="Y5" s="119" t="s">
        <v>605</v>
      </c>
      <c r="Z5" s="118" t="s">
        <v>606</v>
      </c>
      <c r="AA5" s="119" t="s">
        <v>607</v>
      </c>
      <c r="AB5" s="119" t="s">
        <v>608</v>
      </c>
      <c r="AC5" s="118" t="s">
        <v>609</v>
      </c>
      <c r="AD5" s="118" t="s">
        <v>610</v>
      </c>
      <c r="AE5" s="119" t="s">
        <v>611</v>
      </c>
      <c r="AF5" s="119" t="s">
        <v>612</v>
      </c>
      <c r="AG5" s="119" t="s">
        <v>613</v>
      </c>
      <c r="AH5" s="119" t="s">
        <v>614</v>
      </c>
      <c r="AI5" s="119" t="s">
        <v>615</v>
      </c>
      <c r="AJ5" s="119" t="s">
        <v>616</v>
      </c>
      <c r="AK5" s="119" t="s">
        <v>617</v>
      </c>
      <c r="AL5" s="119" t="s">
        <v>618</v>
      </c>
      <c r="AM5" s="120" t="s">
        <v>619</v>
      </c>
      <c r="AN5" s="119" t="s">
        <v>620</v>
      </c>
      <c r="AO5" s="119" t="s">
        <v>621</v>
      </c>
      <c r="AP5" s="120" t="s">
        <v>622</v>
      </c>
      <c r="AQ5" s="119" t="s">
        <v>623</v>
      </c>
      <c r="AR5" s="119" t="s">
        <v>624</v>
      </c>
      <c r="AS5" s="120" t="s">
        <v>625</v>
      </c>
      <c r="AT5" s="119" t="s">
        <v>626</v>
      </c>
      <c r="AU5" s="120" t="s">
        <v>627</v>
      </c>
      <c r="AV5" s="119" t="s">
        <v>628</v>
      </c>
      <c r="AW5" s="119" t="s">
        <v>629</v>
      </c>
      <c r="AX5" s="119" t="s">
        <v>630</v>
      </c>
      <c r="AY5" s="119" t="s">
        <v>631</v>
      </c>
      <c r="AZ5" s="119" t="s">
        <v>632</v>
      </c>
      <c r="BA5" s="118" t="s">
        <v>633</v>
      </c>
      <c r="BB5" s="118" t="s">
        <v>634</v>
      </c>
      <c r="BC5" s="119" t="s">
        <v>635</v>
      </c>
      <c r="BD5" s="119" t="s">
        <v>636</v>
      </c>
      <c r="BE5" s="119" t="s">
        <v>637</v>
      </c>
      <c r="BF5" s="119" t="s">
        <v>638</v>
      </c>
      <c r="BG5" s="119" t="s">
        <v>639</v>
      </c>
      <c r="BH5" s="119" t="s">
        <v>640</v>
      </c>
      <c r="BI5" s="119" t="s">
        <v>641</v>
      </c>
      <c r="BJ5" s="119" t="s">
        <v>642</v>
      </c>
      <c r="BK5" s="119" t="s">
        <v>643</v>
      </c>
      <c r="BL5" s="119" t="s">
        <v>644</v>
      </c>
      <c r="BM5" s="119" t="s">
        <v>645</v>
      </c>
      <c r="BN5" s="119" t="s">
        <v>646</v>
      </c>
      <c r="BO5" s="119" t="s">
        <v>647</v>
      </c>
      <c r="BP5" s="119" t="s">
        <v>648</v>
      </c>
      <c r="BQ5" s="119" t="s">
        <v>649</v>
      </c>
      <c r="BR5" s="119" t="s">
        <v>650</v>
      </c>
      <c r="BS5" s="119" t="s">
        <v>651</v>
      </c>
      <c r="BT5" s="119" t="s">
        <v>652</v>
      </c>
      <c r="BU5" s="118" t="s">
        <v>653</v>
      </c>
      <c r="BV5" s="119" t="s">
        <v>654</v>
      </c>
      <c r="BW5" s="119" t="s">
        <v>655</v>
      </c>
      <c r="BX5" s="118" t="s">
        <v>656</v>
      </c>
      <c r="BY5" s="118" t="s">
        <v>657</v>
      </c>
      <c r="BZ5" s="118" t="s">
        <v>61</v>
      </c>
      <c r="CA5" s="121" t="s">
        <v>658</v>
      </c>
      <c r="CB5" s="118" t="s">
        <v>659</v>
      </c>
      <c r="CE5" s="37"/>
      <c r="CF5" s="123"/>
    </row>
    <row r="6" spans="1:84" ht="11.25" customHeight="1">
      <c r="A6" s="124" t="s">
        <v>660</v>
      </c>
      <c r="B6" s="125" t="s">
        <v>661</v>
      </c>
      <c r="C6" s="125"/>
      <c r="D6" s="125"/>
      <c r="E6" s="125"/>
      <c r="F6" s="125"/>
      <c r="G6" s="126"/>
      <c r="H6" s="127" t="s">
        <v>662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663</v>
      </c>
      <c r="AH6" s="129" t="s">
        <v>663</v>
      </c>
      <c r="AI6" s="129" t="s">
        <v>663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663</v>
      </c>
      <c r="BD6" s="129" t="s">
        <v>663</v>
      </c>
      <c r="BE6" s="129" t="s">
        <v>663</v>
      </c>
      <c r="BF6" s="129" t="s">
        <v>663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663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660</v>
      </c>
      <c r="C7" s="125" t="s">
        <v>664</v>
      </c>
      <c r="D7" s="125"/>
      <c r="E7" s="125"/>
      <c r="F7" s="125"/>
      <c r="G7" s="126"/>
      <c r="H7" s="127" t="s">
        <v>665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663</v>
      </c>
      <c r="AH7" s="129" t="s">
        <v>663</v>
      </c>
      <c r="AI7" s="129" t="s">
        <v>663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663</v>
      </c>
      <c r="BD7" s="129" t="s">
        <v>663</v>
      </c>
      <c r="BE7" s="129" t="s">
        <v>663</v>
      </c>
      <c r="BF7" s="129" t="s">
        <v>663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663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660</v>
      </c>
      <c r="C8" s="125" t="s">
        <v>666</v>
      </c>
      <c r="D8" s="125"/>
      <c r="E8" s="125"/>
      <c r="F8" s="125"/>
      <c r="G8" s="126"/>
      <c r="H8" s="127" t="s">
        <v>667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663</v>
      </c>
      <c r="AH8" s="129" t="s">
        <v>663</v>
      </c>
      <c r="AI8" s="129" t="s">
        <v>663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663</v>
      </c>
      <c r="BD8" s="129" t="s">
        <v>663</v>
      </c>
      <c r="BE8" s="129" t="s">
        <v>663</v>
      </c>
      <c r="BF8" s="129" t="s">
        <v>663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663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660</v>
      </c>
      <c r="C9" s="125" t="s">
        <v>668</v>
      </c>
      <c r="D9" s="125"/>
      <c r="E9" s="125"/>
      <c r="F9" s="125"/>
      <c r="G9" s="126"/>
      <c r="H9" s="127" t="s">
        <v>669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663</v>
      </c>
      <c r="AH9" s="129" t="s">
        <v>663</v>
      </c>
      <c r="AI9" s="129" t="s">
        <v>663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663</v>
      </c>
      <c r="BD9" s="129" t="s">
        <v>663</v>
      </c>
      <c r="BE9" s="129" t="s">
        <v>663</v>
      </c>
      <c r="BF9" s="129" t="s">
        <v>663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663</v>
      </c>
      <c r="BU9" s="128">
        <v>0</v>
      </c>
      <c r="BV9" s="129">
        <v>0</v>
      </c>
      <c r="BW9" s="129">
        <v>0</v>
      </c>
      <c r="BX9" s="130" t="s">
        <v>663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660</v>
      </c>
      <c r="C10" s="125" t="s">
        <v>670</v>
      </c>
      <c r="D10" s="125"/>
      <c r="E10" s="125"/>
      <c r="F10" s="125"/>
      <c r="G10" s="126"/>
      <c r="H10" s="127" t="s">
        <v>671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663</v>
      </c>
      <c r="AH10" s="129" t="s">
        <v>663</v>
      </c>
      <c r="AI10" s="129" t="s">
        <v>663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663</v>
      </c>
      <c r="BD10" s="129" t="s">
        <v>663</v>
      </c>
      <c r="BE10" s="129" t="s">
        <v>663</v>
      </c>
      <c r="BF10" s="129" t="s">
        <v>663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663</v>
      </c>
      <c r="BU10" s="128">
        <v>0</v>
      </c>
      <c r="BV10" s="129">
        <v>0</v>
      </c>
      <c r="BW10" s="129">
        <v>0</v>
      </c>
      <c r="BX10" s="130" t="s">
        <v>663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660</v>
      </c>
      <c r="C11" s="125" t="s">
        <v>672</v>
      </c>
      <c r="D11" s="137"/>
      <c r="E11" s="137"/>
      <c r="F11" s="137"/>
      <c r="G11" s="138"/>
      <c r="H11" s="139" t="s">
        <v>673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663</v>
      </c>
      <c r="AH11" s="141" t="s">
        <v>663</v>
      </c>
      <c r="AI11" s="141" t="s">
        <v>663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663</v>
      </c>
      <c r="BD11" s="141" t="s">
        <v>663</v>
      </c>
      <c r="BE11" s="141" t="s">
        <v>663</v>
      </c>
      <c r="BF11" s="141" t="s">
        <v>663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663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777" t="s">
        <v>588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777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777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777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777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777" t="s">
        <v>37</v>
      </c>
      <c r="H25" s="152" t="s">
        <v>674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777"/>
      <c r="H26" s="152" t="s">
        <v>675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109" zoomScaleNormal="100" workbookViewId="0">
      <selection activeCell="C128" sqref="C128"/>
    </sheetView>
  </sheetViews>
  <sheetFormatPr defaultColWidth="62.140625" defaultRowHeight="23.25" customHeight="1"/>
  <cols>
    <col min="2" max="6" width="16.42578125" customWidth="1"/>
  </cols>
  <sheetData>
    <row r="1" spans="1:6" ht="23.25" customHeight="1">
      <c r="A1" s="54" t="s">
        <v>676</v>
      </c>
    </row>
    <row r="2" spans="1:6" ht="23.25" customHeight="1">
      <c r="A2" s="54" t="s">
        <v>677</v>
      </c>
    </row>
    <row r="3" spans="1:6" ht="23.25" customHeight="1">
      <c r="A3" s="55" t="s">
        <v>678</v>
      </c>
      <c r="B3" s="56" t="s">
        <v>679</v>
      </c>
      <c r="C3" s="56" t="s">
        <v>680</v>
      </c>
      <c r="D3" s="56" t="s">
        <v>679</v>
      </c>
      <c r="E3" s="56" t="s">
        <v>680</v>
      </c>
    </row>
    <row r="4" spans="1:6" ht="23.25" customHeight="1">
      <c r="A4" s="778" t="s">
        <v>681</v>
      </c>
      <c r="B4" s="57" t="s">
        <v>657</v>
      </c>
      <c r="C4" s="57" t="s">
        <v>61</v>
      </c>
      <c r="D4" s="57" t="s">
        <v>657</v>
      </c>
      <c r="E4" s="57" t="s">
        <v>61</v>
      </c>
    </row>
    <row r="5" spans="1:6" ht="23.25" customHeight="1">
      <c r="A5" s="779"/>
      <c r="B5" s="780" t="s">
        <v>37</v>
      </c>
      <c r="C5" s="781"/>
      <c r="D5" s="780" t="s">
        <v>682</v>
      </c>
      <c r="E5" s="781"/>
    </row>
    <row r="6" spans="1:6" ht="9" customHeight="1">
      <c r="A6" s="58" t="s">
        <v>683</v>
      </c>
      <c r="B6" s="59">
        <v>1.1304360000000002</v>
      </c>
      <c r="C6" s="59" t="s">
        <v>396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684</v>
      </c>
      <c r="B7" s="59" t="s">
        <v>396</v>
      </c>
      <c r="C7" s="59" t="s">
        <v>396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685</v>
      </c>
      <c r="B8" s="59" t="s">
        <v>396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686</v>
      </c>
      <c r="B9" s="59" t="s">
        <v>396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687</v>
      </c>
      <c r="B10" s="59" t="s">
        <v>396</v>
      </c>
      <c r="C10" s="59" t="s">
        <v>396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688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689</v>
      </c>
      <c r="B12" s="59" t="s">
        <v>396</v>
      </c>
      <c r="C12" s="59" t="s">
        <v>396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690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691</v>
      </c>
      <c r="B14" s="59" t="s">
        <v>396</v>
      </c>
      <c r="C14" s="59" t="s">
        <v>396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692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693</v>
      </c>
      <c r="B16" s="59" t="s">
        <v>396</v>
      </c>
      <c r="C16" s="59" t="s">
        <v>396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694</v>
      </c>
      <c r="B17" s="59" t="s">
        <v>396</v>
      </c>
      <c r="C17" s="59" t="s">
        <v>396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695</v>
      </c>
      <c r="B18" s="59" t="s">
        <v>396</v>
      </c>
      <c r="C18" s="59" t="s">
        <v>396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696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697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698</v>
      </c>
      <c r="B21" s="59" t="s">
        <v>396</v>
      </c>
      <c r="C21" s="59" t="s">
        <v>396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699</v>
      </c>
      <c r="B22" s="59" t="s">
        <v>396</v>
      </c>
      <c r="C22" s="59" t="s">
        <v>396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700</v>
      </c>
      <c r="B23" s="59" t="s">
        <v>396</v>
      </c>
      <c r="C23" s="59" t="s">
        <v>396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701</v>
      </c>
      <c r="B24" s="59" t="s">
        <v>396</v>
      </c>
      <c r="C24" s="59" t="s">
        <v>396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702</v>
      </c>
      <c r="B25" s="59">
        <v>1.1304360000000002</v>
      </c>
      <c r="C25" s="59" t="s">
        <v>396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703</v>
      </c>
      <c r="B26" s="59" t="s">
        <v>396</v>
      </c>
      <c r="C26" s="59" t="s">
        <v>396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704</v>
      </c>
      <c r="B27" s="59" t="s">
        <v>396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705</v>
      </c>
      <c r="B28" s="59" t="s">
        <v>396</v>
      </c>
      <c r="C28" s="59" t="s">
        <v>396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706</v>
      </c>
      <c r="B29" s="59" t="s">
        <v>396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707</v>
      </c>
      <c r="B30" s="59">
        <v>0.62802000000000002</v>
      </c>
      <c r="C30" s="59" t="s">
        <v>396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708</v>
      </c>
      <c r="B31" s="59" t="s">
        <v>396</v>
      </c>
      <c r="C31" s="59" t="s">
        <v>396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709</v>
      </c>
      <c r="B32" s="59" t="s">
        <v>396</v>
      </c>
      <c r="C32" s="59" t="s">
        <v>396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710</v>
      </c>
      <c r="B33" s="59" t="s">
        <v>396</v>
      </c>
      <c r="C33" s="59" t="s">
        <v>396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711</v>
      </c>
      <c r="B34" s="59" t="s">
        <v>396</v>
      </c>
      <c r="C34" s="59" t="s">
        <v>396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712</v>
      </c>
      <c r="B35" s="61" t="s">
        <v>396</v>
      </c>
      <c r="C35" s="61" t="s">
        <v>396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713</v>
      </c>
      <c r="B36" s="59" t="s">
        <v>396</v>
      </c>
      <c r="C36" s="59" t="s">
        <v>396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714</v>
      </c>
      <c r="B37" s="59" t="s">
        <v>396</v>
      </c>
      <c r="C37" s="59" t="s">
        <v>396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715</v>
      </c>
      <c r="B38" s="59" t="s">
        <v>396</v>
      </c>
      <c r="C38" s="59" t="s">
        <v>396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716</v>
      </c>
      <c r="B39" s="59" t="s">
        <v>396</v>
      </c>
      <c r="C39" s="59" t="s">
        <v>396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717</v>
      </c>
      <c r="B40" s="59" t="s">
        <v>396</v>
      </c>
      <c r="C40" s="59" t="s">
        <v>396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718</v>
      </c>
      <c r="B41" s="59" t="s">
        <v>396</v>
      </c>
      <c r="C41" s="59" t="s">
        <v>396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719</v>
      </c>
      <c r="B42" s="59" t="s">
        <v>396</v>
      </c>
      <c r="C42" s="59" t="s">
        <v>396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720</v>
      </c>
      <c r="B43" s="59" t="s">
        <v>396</v>
      </c>
      <c r="C43" s="59" t="s">
        <v>396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721</v>
      </c>
      <c r="B44" s="59" t="s">
        <v>396</v>
      </c>
      <c r="C44" s="59" t="s">
        <v>396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722</v>
      </c>
      <c r="B45" s="59" t="s">
        <v>396</v>
      </c>
      <c r="C45" s="59" t="s">
        <v>396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723</v>
      </c>
      <c r="B46" s="59" t="s">
        <v>396</v>
      </c>
      <c r="C46" s="59" t="s">
        <v>396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724</v>
      </c>
      <c r="B47" s="59" t="s">
        <v>396</v>
      </c>
      <c r="C47" s="59" t="s">
        <v>396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725</v>
      </c>
      <c r="B48" s="59" t="s">
        <v>396</v>
      </c>
      <c r="C48" s="59" t="s">
        <v>396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726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697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698</v>
      </c>
      <c r="B51" s="59" t="s">
        <v>396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699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700</v>
      </c>
      <c r="B53" s="59">
        <v>93.909924000000004</v>
      </c>
      <c r="C53" s="59" t="s">
        <v>396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701</v>
      </c>
      <c r="B54" s="59" t="s">
        <v>396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702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703</v>
      </c>
      <c r="B56" s="59">
        <v>4.8985560000000001</v>
      </c>
      <c r="C56" s="59" t="s">
        <v>396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704</v>
      </c>
      <c r="B57" s="59">
        <v>0</v>
      </c>
      <c r="C57" s="59" t="s">
        <v>396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705</v>
      </c>
      <c r="B58" s="59" t="s">
        <v>396</v>
      </c>
      <c r="C58" s="59" t="s">
        <v>396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706</v>
      </c>
      <c r="B59" s="59" t="s">
        <v>396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707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708</v>
      </c>
      <c r="B61" s="59" t="s">
        <v>396</v>
      </c>
      <c r="C61" s="59" t="s">
        <v>396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709</v>
      </c>
      <c r="B62" s="59" t="s">
        <v>396</v>
      </c>
      <c r="C62" s="59" t="s">
        <v>396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710</v>
      </c>
      <c r="B63" s="59" t="s">
        <v>396</v>
      </c>
      <c r="C63" s="59" t="s">
        <v>396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711</v>
      </c>
      <c r="B64" s="59" t="s">
        <v>396</v>
      </c>
      <c r="C64" s="59" t="s">
        <v>396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727</v>
      </c>
      <c r="B65" s="61" t="s">
        <v>396</v>
      </c>
      <c r="C65" s="61" t="s">
        <v>396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728</v>
      </c>
      <c r="B66" s="59" t="s">
        <v>396</v>
      </c>
      <c r="C66" s="59" t="s">
        <v>396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714</v>
      </c>
      <c r="B67" s="59" t="s">
        <v>396</v>
      </c>
      <c r="C67" s="59" t="s">
        <v>396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715</v>
      </c>
      <c r="B68" s="59" t="s">
        <v>396</v>
      </c>
      <c r="C68" s="59" t="s">
        <v>396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729</v>
      </c>
      <c r="B69" s="59" t="s">
        <v>396</v>
      </c>
      <c r="C69" s="59" t="s">
        <v>396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730</v>
      </c>
      <c r="B70" s="59" t="s">
        <v>396</v>
      </c>
      <c r="C70" s="59" t="s">
        <v>396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718</v>
      </c>
      <c r="B71" s="59" t="s">
        <v>396</v>
      </c>
      <c r="C71" s="59" t="s">
        <v>396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719</v>
      </c>
      <c r="B72" s="59" t="s">
        <v>396</v>
      </c>
      <c r="C72" s="59" t="s">
        <v>396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720</v>
      </c>
      <c r="B73" s="59" t="s">
        <v>396</v>
      </c>
      <c r="C73" s="59" t="s">
        <v>396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721</v>
      </c>
      <c r="B74" s="59" t="s">
        <v>396</v>
      </c>
      <c r="C74" s="59" t="s">
        <v>396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722</v>
      </c>
      <c r="B75" s="59" t="s">
        <v>396</v>
      </c>
      <c r="C75" s="59" t="s">
        <v>396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723</v>
      </c>
      <c r="B76" s="59" t="s">
        <v>396</v>
      </c>
      <c r="C76" s="59" t="s">
        <v>396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724</v>
      </c>
      <c r="B77" s="59" t="s">
        <v>396</v>
      </c>
      <c r="C77" s="59" t="s">
        <v>396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725</v>
      </c>
      <c r="B78" s="59" t="s">
        <v>396</v>
      </c>
      <c r="C78" s="59" t="s">
        <v>396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731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732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733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734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718</v>
      </c>
      <c r="B83" s="59" t="s">
        <v>396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708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719</v>
      </c>
      <c r="B85" s="59" t="s">
        <v>396</v>
      </c>
      <c r="C85" s="59" t="s">
        <v>396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710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709</v>
      </c>
      <c r="B87" s="59" t="s">
        <v>396</v>
      </c>
      <c r="C87" s="59" t="s">
        <v>396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735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736</v>
      </c>
      <c r="B89" s="59" t="s">
        <v>396</v>
      </c>
      <c r="C89" s="59" t="s">
        <v>396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720</v>
      </c>
      <c r="B90" s="59" t="s">
        <v>396</v>
      </c>
      <c r="C90" s="59" t="s">
        <v>396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737</v>
      </c>
      <c r="B91" s="59" t="s">
        <v>396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738</v>
      </c>
      <c r="B92" s="59" t="s">
        <v>396</v>
      </c>
      <c r="C92" s="59" t="s">
        <v>396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739</v>
      </c>
      <c r="B93" s="59" t="s">
        <v>396</v>
      </c>
      <c r="C93" s="59" t="s">
        <v>396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723</v>
      </c>
      <c r="B94" s="59" t="s">
        <v>396</v>
      </c>
      <c r="C94" s="59" t="s">
        <v>396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740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741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742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743</v>
      </c>
      <c r="B98" s="59" t="s">
        <v>396</v>
      </c>
      <c r="C98" s="59" t="s">
        <v>396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744</v>
      </c>
      <c r="B99" s="59" t="s">
        <v>396</v>
      </c>
      <c r="C99" s="59" t="s">
        <v>396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745</v>
      </c>
      <c r="B100" s="59" t="s">
        <v>396</v>
      </c>
      <c r="C100" s="59" t="s">
        <v>396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746</v>
      </c>
      <c r="B101" s="59" t="s">
        <v>396</v>
      </c>
      <c r="C101" s="59" t="s">
        <v>396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747</v>
      </c>
      <c r="B102" s="59" t="s">
        <v>396</v>
      </c>
      <c r="C102" s="59" t="s">
        <v>396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748</v>
      </c>
      <c r="B103" s="59" t="s">
        <v>396</v>
      </c>
      <c r="C103" s="59" t="s">
        <v>396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749</v>
      </c>
      <c r="B104" s="59" t="s">
        <v>396</v>
      </c>
      <c r="C104" s="59" t="s">
        <v>396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750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751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752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753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754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755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756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757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758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759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760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761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762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763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764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765</v>
      </c>
      <c r="B120" s="59" t="s">
        <v>396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766</v>
      </c>
      <c r="B121" s="59" t="s">
        <v>396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767</v>
      </c>
      <c r="B122" s="59" t="s">
        <v>396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768</v>
      </c>
      <c r="B123" s="59" t="s">
        <v>396</v>
      </c>
      <c r="C123" s="59" t="s">
        <v>396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769</v>
      </c>
      <c r="B124" s="59" t="s">
        <v>396</v>
      </c>
      <c r="C124" s="59" t="s">
        <v>396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770</v>
      </c>
      <c r="B125" s="59" t="s">
        <v>396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771</v>
      </c>
      <c r="B126" s="59" t="s">
        <v>396</v>
      </c>
      <c r="C126" s="59" t="s">
        <v>396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772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773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774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775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776</v>
      </c>
      <c r="B131" s="59" t="s">
        <v>396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777</v>
      </c>
      <c r="B132" s="59" t="s">
        <v>396</v>
      </c>
      <c r="C132" s="59" t="s">
        <v>396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778</v>
      </c>
      <c r="B133" s="59">
        <v>0</v>
      </c>
      <c r="C133" s="59" t="s">
        <v>396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36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3" t="s">
        <v>14</v>
      </c>
      <c r="C2" s="263"/>
      <c r="D2" s="264"/>
      <c r="E2" s="263"/>
      <c r="F2" s="263"/>
      <c r="G2" s="264"/>
      <c r="H2" s="263"/>
      <c r="I2" s="263"/>
      <c r="J2" s="263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31" t="s">
        <v>95</v>
      </c>
      <c r="C15" s="431" t="s">
        <v>34</v>
      </c>
      <c r="D15" s="258" t="s">
        <v>96</v>
      </c>
      <c r="E15" s="258" t="s">
        <v>54</v>
      </c>
      <c r="F15" s="258" t="s">
        <v>37</v>
      </c>
      <c r="G15" s="431"/>
      <c r="H15" s="431" t="s">
        <v>38</v>
      </c>
      <c r="I15" s="258"/>
      <c r="J15" s="258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60" t="s">
        <v>86</v>
      </c>
      <c r="E29" s="260" t="s">
        <v>87</v>
      </c>
      <c r="F29" s="260" t="s">
        <v>37</v>
      </c>
      <c r="G29" s="260"/>
      <c r="H29" s="260" t="s">
        <v>88</v>
      </c>
      <c r="I29" s="260"/>
      <c r="J29" s="260" t="s">
        <v>89</v>
      </c>
    </row>
    <row r="30" spans="2:10" ht="15.75" customHeight="1">
      <c r="B30" s="79" t="s">
        <v>90</v>
      </c>
      <c r="C30" s="258" t="s">
        <v>34</v>
      </c>
      <c r="D30" s="258" t="s">
        <v>91</v>
      </c>
      <c r="E30" s="258"/>
      <c r="F30" s="258" t="s">
        <v>37</v>
      </c>
      <c r="G30" s="258"/>
      <c r="H30" s="258" t="s">
        <v>88</v>
      </c>
      <c r="I30" s="258"/>
      <c r="J30" s="258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3" t="s">
        <v>33</v>
      </c>
      <c r="C32" s="203" t="s">
        <v>34</v>
      </c>
      <c r="D32" s="203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4" t="s">
        <v>94</v>
      </c>
      <c r="C33" s="235"/>
      <c r="D33" s="235"/>
      <c r="E33" s="235"/>
      <c r="F33" s="235"/>
      <c r="G33" s="235"/>
      <c r="H33" s="235"/>
      <c r="I33" s="235"/>
      <c r="J33" s="235"/>
    </row>
    <row r="34" spans="2:10" ht="15.95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5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5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5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5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5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5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5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5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5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5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5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5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5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5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5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5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5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5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5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5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5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5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5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5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5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5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5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5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5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5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5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5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5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5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5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5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5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5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5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5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5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5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5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5" customHeight="1" thickBot="1">
      <c r="B78" s="232" t="s">
        <v>90</v>
      </c>
      <c r="C78" s="232" t="s">
        <v>34</v>
      </c>
      <c r="D78" s="232" t="s">
        <v>161</v>
      </c>
      <c r="E78" s="232" t="s">
        <v>161</v>
      </c>
      <c r="F78" s="232" t="s">
        <v>69</v>
      </c>
      <c r="G78" s="232"/>
      <c r="H78" s="232" t="s">
        <v>38</v>
      </c>
      <c r="I78" s="232"/>
      <c r="J78" s="232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2.75"/>
  <cols>
    <col min="1" max="1" width="3.42578125" customWidth="1"/>
    <col min="2" max="2" width="28.42578125" bestFit="1" customWidth="1"/>
    <col min="3" max="3" width="24.85546875" bestFit="1" customWidth="1"/>
    <col min="4" max="4" width="31.42578125" customWidth="1"/>
    <col min="5" max="5" width="48.5703125" bestFit="1" customWidth="1"/>
    <col min="6" max="6" width="40.140625" customWidth="1"/>
    <col min="7" max="7" width="11.140625" bestFit="1" customWidth="1"/>
    <col min="8" max="8" width="11.140625" customWidth="1"/>
    <col min="10" max="10" width="9.5703125" customWidth="1"/>
    <col min="11" max="11" width="8.42578125" bestFit="1" customWidth="1"/>
    <col min="12" max="12" width="3.42578125" customWidth="1"/>
  </cols>
  <sheetData>
    <row r="2" spans="2:11" ht="18">
      <c r="B2" s="261" t="s">
        <v>379</v>
      </c>
      <c r="C2" s="63"/>
      <c r="D2" s="63"/>
      <c r="E2" s="63"/>
    </row>
    <row r="4" spans="2:11">
      <c r="E4" s="245" t="s">
        <v>380</v>
      </c>
      <c r="F4" s="236"/>
      <c r="G4" s="236"/>
      <c r="H4" s="236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339</v>
      </c>
      <c r="G5" s="71" t="s">
        <v>340</v>
      </c>
      <c r="H5" s="71" t="s">
        <v>341</v>
      </c>
      <c r="I5" s="73" t="s">
        <v>342</v>
      </c>
      <c r="J5" s="73" t="s">
        <v>343</v>
      </c>
      <c r="K5" s="73" t="s">
        <v>344</v>
      </c>
    </row>
    <row r="6" spans="2:11" ht="39" thickBot="1">
      <c r="B6" s="74" t="s">
        <v>349</v>
      </c>
      <c r="C6" s="74" t="s">
        <v>350</v>
      </c>
      <c r="D6" s="74" t="s">
        <v>351</v>
      </c>
      <c r="E6" s="74" t="s">
        <v>352</v>
      </c>
      <c r="F6" s="74"/>
      <c r="G6" s="74" t="s">
        <v>353</v>
      </c>
      <c r="H6" s="74" t="s">
        <v>353</v>
      </c>
      <c r="I6" s="74" t="s">
        <v>354</v>
      </c>
      <c r="J6" s="74" t="s">
        <v>355</v>
      </c>
      <c r="K6" s="74" t="s">
        <v>356</v>
      </c>
    </row>
    <row r="7" spans="2:11">
      <c r="B7" s="239" t="s">
        <v>253</v>
      </c>
      <c r="C7" s="239" t="s">
        <v>254</v>
      </c>
      <c r="D7" s="239" t="str">
        <f>AGR_Comm!$D$64</f>
        <v>AGR_DUMMY_NRG_CATTLE</v>
      </c>
      <c r="E7" s="239"/>
      <c r="F7" s="239"/>
      <c r="G7" s="239">
        <v>85.388000000000005</v>
      </c>
      <c r="H7" s="239">
        <v>85.388000000000005</v>
      </c>
      <c r="I7" s="239">
        <v>1</v>
      </c>
      <c r="J7" s="239"/>
      <c r="K7" s="239">
        <v>1</v>
      </c>
    </row>
    <row r="8" spans="2:11">
      <c r="B8" s="240"/>
      <c r="C8" s="240"/>
      <c r="D8" s="240"/>
      <c r="E8" s="240" t="s">
        <v>152</v>
      </c>
      <c r="F8" s="240"/>
      <c r="G8" s="240"/>
      <c r="H8" s="240"/>
      <c r="I8" s="240"/>
      <c r="J8" s="240"/>
      <c r="K8" s="240"/>
    </row>
    <row r="9" spans="2:11">
      <c r="B9" s="240"/>
      <c r="C9" s="240"/>
      <c r="D9" s="240"/>
      <c r="E9" s="240" t="s">
        <v>106</v>
      </c>
      <c r="F9" s="240"/>
      <c r="G9" s="240"/>
      <c r="H9" s="240"/>
      <c r="I9" s="240"/>
      <c r="J9" s="240">
        <v>1.752</v>
      </c>
      <c r="K9" s="240"/>
    </row>
    <row r="10" spans="2:11">
      <c r="B10" s="240"/>
      <c r="C10" s="240"/>
      <c r="D10" s="240"/>
      <c r="E10" s="240"/>
      <c r="F10" s="240" t="s">
        <v>100</v>
      </c>
      <c r="G10" s="240"/>
      <c r="H10" s="240"/>
      <c r="I10" s="240"/>
      <c r="J10" s="240">
        <v>0.12053185649596189</v>
      </c>
      <c r="K10" s="240"/>
    </row>
    <row r="11" spans="2:11">
      <c r="B11" s="240"/>
      <c r="C11" s="240"/>
      <c r="D11" s="240"/>
      <c r="E11" s="240"/>
      <c r="F11" s="240" t="s">
        <v>102</v>
      </c>
      <c r="G11" s="240"/>
      <c r="H11" s="240"/>
      <c r="I11" s="240"/>
      <c r="J11" s="240">
        <v>7.8432905396672095E-3</v>
      </c>
      <c r="K11" s="240"/>
    </row>
    <row r="12" spans="2:11">
      <c r="B12" s="240"/>
      <c r="C12" s="240"/>
      <c r="D12" s="240"/>
      <c r="E12" s="240"/>
      <c r="F12" s="240" t="s">
        <v>98</v>
      </c>
      <c r="G12" s="240"/>
      <c r="H12" s="240"/>
      <c r="I12" s="240"/>
      <c r="J12" s="240">
        <v>8.0732056231336464E-4</v>
      </c>
      <c r="K12" s="240"/>
    </row>
    <row r="13" spans="2:11">
      <c r="B13" s="241" t="s">
        <v>255</v>
      </c>
      <c r="C13" s="241" t="s">
        <v>256</v>
      </c>
      <c r="D13" s="241" t="str">
        <f>AGR_Comm!$D$64</f>
        <v>AGR_DUMMY_NRG_CATTLE</v>
      </c>
      <c r="E13" s="241"/>
      <c r="F13" s="241"/>
      <c r="G13" s="241">
        <v>93.212999999999994</v>
      </c>
      <c r="H13" s="241">
        <v>93.212999999999994</v>
      </c>
      <c r="I13" s="241">
        <v>1</v>
      </c>
      <c r="J13" s="241"/>
      <c r="K13" s="241">
        <v>1</v>
      </c>
    </row>
    <row r="14" spans="2:11">
      <c r="B14" s="241"/>
      <c r="C14" s="241"/>
      <c r="D14" s="241"/>
      <c r="E14" s="241" t="s">
        <v>153</v>
      </c>
      <c r="F14" s="241"/>
      <c r="G14" s="241"/>
      <c r="H14" s="241"/>
      <c r="I14" s="241"/>
      <c r="J14" s="241"/>
      <c r="K14" s="241"/>
    </row>
    <row r="15" spans="2:11">
      <c r="B15" s="241"/>
      <c r="C15" s="241"/>
      <c r="D15" s="241"/>
      <c r="E15" s="241" t="s">
        <v>108</v>
      </c>
      <c r="F15" s="241"/>
      <c r="G15" s="241"/>
      <c r="H15" s="241"/>
      <c r="I15" s="241"/>
      <c r="J15" s="241">
        <v>0.65700000000000003</v>
      </c>
      <c r="K15" s="241"/>
    </row>
    <row r="16" spans="2:11">
      <c r="B16" s="241"/>
      <c r="C16" s="241"/>
      <c r="D16" s="241"/>
      <c r="E16" s="241"/>
      <c r="F16" s="241" t="s">
        <v>100</v>
      </c>
      <c r="G16" s="241"/>
      <c r="H16" s="241"/>
      <c r="I16" s="241"/>
      <c r="J16" s="241">
        <v>4.9685741154640389E-2</v>
      </c>
      <c r="K16" s="241"/>
    </row>
    <row r="17" spans="2:11">
      <c r="B17" s="241"/>
      <c r="C17" s="241"/>
      <c r="D17" s="241"/>
      <c r="E17" s="241"/>
      <c r="F17" s="241" t="s">
        <v>102</v>
      </c>
      <c r="G17" s="241"/>
      <c r="H17" s="241"/>
      <c r="I17" s="241"/>
      <c r="J17" s="241">
        <v>1.7337189468587999E-3</v>
      </c>
      <c r="K17" s="241"/>
    </row>
    <row r="18" spans="2:11">
      <c r="B18" s="241"/>
      <c r="C18" s="241"/>
      <c r="D18" s="241"/>
      <c r="E18" s="241"/>
      <c r="F18" s="241" t="s">
        <v>98</v>
      </c>
      <c r="G18" s="241"/>
      <c r="H18" s="241"/>
      <c r="I18" s="241"/>
      <c r="J18" s="241">
        <v>3.5346248850639975E-4</v>
      </c>
      <c r="K18" s="241"/>
    </row>
    <row r="19" spans="2:11">
      <c r="B19" s="240" t="s">
        <v>257</v>
      </c>
      <c r="C19" s="240" t="s">
        <v>258</v>
      </c>
      <c r="D19" s="240" t="str">
        <f>AGR_Comm!$D$64</f>
        <v>AGR_DUMMY_NRG_CATTLE</v>
      </c>
      <c r="E19" s="240"/>
      <c r="F19" s="240"/>
      <c r="G19" s="240">
        <v>79.091999999999999</v>
      </c>
      <c r="H19" s="240">
        <v>79.091999999999999</v>
      </c>
      <c r="I19" s="240">
        <v>1</v>
      </c>
      <c r="J19" s="240"/>
      <c r="K19" s="240">
        <v>1</v>
      </c>
    </row>
    <row r="20" spans="2:11">
      <c r="B20" s="240"/>
      <c r="C20" s="240"/>
      <c r="D20" s="240"/>
      <c r="E20" s="240" t="s">
        <v>154</v>
      </c>
      <c r="F20" s="240"/>
      <c r="G20" s="240"/>
      <c r="H20" s="240"/>
      <c r="I20" s="240"/>
      <c r="J20" s="240"/>
      <c r="K20" s="240"/>
    </row>
    <row r="21" spans="2:11">
      <c r="B21" s="240"/>
      <c r="C21" s="240"/>
      <c r="D21" s="240"/>
      <c r="E21" s="240" t="s">
        <v>110</v>
      </c>
      <c r="F21" s="240"/>
      <c r="G21" s="240"/>
      <c r="H21" s="240"/>
      <c r="I21" s="240"/>
      <c r="J21" s="240">
        <v>3.066E-2</v>
      </c>
      <c r="K21" s="240"/>
    </row>
    <row r="22" spans="2:11">
      <c r="B22" s="240"/>
      <c r="C22" s="240"/>
      <c r="D22" s="240"/>
      <c r="E22" s="240"/>
      <c r="F22" s="240" t="s">
        <v>100</v>
      </c>
      <c r="G22" s="240"/>
      <c r="H22" s="240"/>
      <c r="I22" s="240"/>
      <c r="J22" s="240">
        <v>8.0000000000000002E-3</v>
      </c>
      <c r="K22" s="240"/>
    </row>
    <row r="23" spans="2:11">
      <c r="B23" s="240"/>
      <c r="C23" s="240"/>
      <c r="D23" s="240"/>
      <c r="E23" s="240"/>
      <c r="F23" s="240" t="s">
        <v>102</v>
      </c>
      <c r="G23" s="240"/>
      <c r="H23" s="240"/>
      <c r="I23" s="240"/>
      <c r="J23" s="240">
        <v>1.8999999999999998E-4</v>
      </c>
      <c r="K23" s="240"/>
    </row>
    <row r="24" spans="2:11">
      <c r="B24" s="240"/>
      <c r="C24" s="240"/>
      <c r="D24" s="240"/>
      <c r="E24" s="240"/>
      <c r="F24" s="240" t="s">
        <v>98</v>
      </c>
      <c r="G24" s="240"/>
      <c r="H24" s="240"/>
      <c r="I24" s="240"/>
      <c r="J24" s="240">
        <v>4.4422318016281294E-5</v>
      </c>
      <c r="K24" s="240"/>
    </row>
    <row r="25" spans="2:11">
      <c r="B25" s="241" t="s">
        <v>259</v>
      </c>
      <c r="C25" s="241" t="s">
        <v>260</v>
      </c>
      <c r="D25" s="241" t="str">
        <f>AGR_Comm!$D$64</f>
        <v>AGR_DUMMY_NRG_CATTLE</v>
      </c>
      <c r="E25" s="241"/>
      <c r="F25" s="241"/>
      <c r="G25" s="241">
        <v>141.44300000000001</v>
      </c>
      <c r="H25" s="241">
        <v>141.44300000000001</v>
      </c>
      <c r="I25" s="241">
        <v>1</v>
      </c>
      <c r="J25" s="241"/>
      <c r="K25" s="241">
        <v>1</v>
      </c>
    </row>
    <row r="26" spans="2:11">
      <c r="B26" s="241"/>
      <c r="C26" s="241"/>
      <c r="D26" s="241"/>
      <c r="E26" s="241" t="s">
        <v>155</v>
      </c>
      <c r="F26" s="241"/>
      <c r="G26" s="241"/>
      <c r="H26" s="241"/>
      <c r="I26" s="241"/>
      <c r="J26" s="241"/>
      <c r="K26" s="241"/>
    </row>
    <row r="27" spans="2:11">
      <c r="B27" s="241"/>
      <c r="C27" s="241"/>
      <c r="D27" s="241"/>
      <c r="E27" s="241" t="s">
        <v>112</v>
      </c>
      <c r="F27" s="241"/>
      <c r="G27" s="241"/>
      <c r="H27" s="241"/>
      <c r="I27" s="241"/>
      <c r="J27" s="241">
        <v>2.3186624999999999E-2</v>
      </c>
      <c r="K27" s="241"/>
    </row>
    <row r="28" spans="2:11">
      <c r="B28" s="241"/>
      <c r="C28" s="241"/>
      <c r="D28" s="241"/>
      <c r="E28" s="241"/>
      <c r="F28" s="241" t="s">
        <v>100</v>
      </c>
      <c r="G28" s="241"/>
      <c r="H28" s="241"/>
      <c r="I28" s="241"/>
      <c r="J28" s="241">
        <v>1.5E-3</v>
      </c>
      <c r="K28" s="241"/>
    </row>
    <row r="29" spans="2:11">
      <c r="B29" s="241"/>
      <c r="C29" s="241"/>
      <c r="D29" s="241"/>
      <c r="E29" s="241"/>
      <c r="F29" s="241" t="s">
        <v>102</v>
      </c>
      <c r="G29" s="241"/>
      <c r="H29" s="241"/>
      <c r="I29" s="241"/>
      <c r="J29" s="241">
        <v>1.3777228601968301E-3</v>
      </c>
      <c r="K29" s="241"/>
    </row>
    <row r="30" spans="2:11">
      <c r="B30" s="241"/>
      <c r="C30" s="241"/>
      <c r="D30" s="241"/>
      <c r="E30" s="241"/>
      <c r="F30" s="241" t="s">
        <v>98</v>
      </c>
      <c r="G30" s="241"/>
      <c r="H30" s="241"/>
      <c r="I30" s="241"/>
      <c r="J30" s="241">
        <v>8.574121747084128E-5</v>
      </c>
      <c r="K30" s="241"/>
    </row>
    <row r="31" spans="2:11">
      <c r="B31" s="240" t="s">
        <v>261</v>
      </c>
      <c r="C31" s="240" t="s">
        <v>262</v>
      </c>
      <c r="D31" s="240" t="str">
        <f>AGR_Comm!$D$64</f>
        <v>AGR_DUMMY_NRG_CATTLE</v>
      </c>
      <c r="E31" s="240"/>
      <c r="F31" s="240"/>
      <c r="G31" s="240">
        <v>4.9765253411344545</v>
      </c>
      <c r="H31" s="240">
        <v>4.9765253411344545</v>
      </c>
      <c r="I31" s="240">
        <v>1</v>
      </c>
      <c r="J31" s="240"/>
      <c r="K31" s="240">
        <v>1</v>
      </c>
    </row>
    <row r="32" spans="2:11">
      <c r="B32" s="240"/>
      <c r="C32" s="240"/>
      <c r="D32" s="240"/>
      <c r="E32" s="240" t="s">
        <v>156</v>
      </c>
      <c r="F32" s="240"/>
      <c r="G32" s="240"/>
      <c r="H32" s="240"/>
      <c r="I32" s="240"/>
      <c r="J32" s="240"/>
      <c r="K32" s="240"/>
    </row>
    <row r="33" spans="2:11">
      <c r="B33" s="240"/>
      <c r="C33" s="240"/>
      <c r="D33" s="240"/>
      <c r="E33" s="240" t="s">
        <v>114</v>
      </c>
      <c r="F33" s="240"/>
      <c r="G33" s="240"/>
      <c r="H33" s="240"/>
      <c r="I33" s="240"/>
      <c r="J33" s="240">
        <v>3.066E-2</v>
      </c>
      <c r="K33" s="240"/>
    </row>
    <row r="34" spans="2:11">
      <c r="B34" s="240"/>
      <c r="C34" s="240"/>
      <c r="D34" s="240"/>
      <c r="E34" s="240"/>
      <c r="F34" s="240" t="s">
        <v>100</v>
      </c>
      <c r="G34" s="240"/>
      <c r="H34" s="240"/>
      <c r="I34" s="240"/>
      <c r="J34" s="240">
        <v>5.00000000000004E-3</v>
      </c>
      <c r="K34" s="240"/>
    </row>
    <row r="35" spans="2:11">
      <c r="B35" s="240"/>
      <c r="C35" s="240"/>
      <c r="D35" s="240"/>
      <c r="E35" s="240"/>
      <c r="F35" s="240" t="s">
        <v>102</v>
      </c>
      <c r="G35" s="240"/>
      <c r="H35" s="240"/>
      <c r="I35" s="240"/>
      <c r="J35" s="240">
        <v>1.3000000000009E-4</v>
      </c>
      <c r="K35" s="240"/>
    </row>
    <row r="36" spans="2:11">
      <c r="B36" s="240"/>
      <c r="C36" s="240"/>
      <c r="D36" s="240"/>
      <c r="E36" s="240"/>
      <c r="F36" s="240" t="s">
        <v>98</v>
      </c>
      <c r="G36" s="240"/>
      <c r="H36" s="240"/>
      <c r="I36" s="240"/>
      <c r="J36" s="240">
        <v>3.4996311428315267E-5</v>
      </c>
      <c r="K36" s="240"/>
    </row>
    <row r="37" spans="2:11">
      <c r="B37" s="241" t="s">
        <v>263</v>
      </c>
      <c r="C37" s="241" t="s">
        <v>264</v>
      </c>
      <c r="D37" s="241" t="str">
        <f>AGR_Comm!$D$64</f>
        <v>AGR_DUMMY_NRG_CATTLE</v>
      </c>
      <c r="E37" s="241"/>
      <c r="F37" s="241"/>
      <c r="G37" s="241">
        <v>20.306000000000001</v>
      </c>
      <c r="H37" s="241">
        <v>20.306000000000001</v>
      </c>
      <c r="I37" s="241">
        <v>1</v>
      </c>
      <c r="J37" s="241"/>
      <c r="K37" s="241">
        <v>1</v>
      </c>
    </row>
    <row r="38" spans="2:11">
      <c r="B38" s="241"/>
      <c r="C38" s="241"/>
      <c r="D38" s="241"/>
      <c r="E38" s="241" t="s">
        <v>157</v>
      </c>
      <c r="F38" s="241"/>
      <c r="G38" s="241"/>
      <c r="H38" s="241"/>
      <c r="I38" s="241"/>
      <c r="J38" s="241"/>
      <c r="K38" s="241"/>
    </row>
    <row r="39" spans="2:11">
      <c r="B39" s="241"/>
      <c r="C39" s="241"/>
      <c r="D39" s="241"/>
      <c r="E39" s="241" t="s">
        <v>116</v>
      </c>
      <c r="F39" s="241"/>
      <c r="G39" s="241"/>
      <c r="H39" s="241"/>
      <c r="I39" s="241"/>
      <c r="J39" s="241">
        <v>1.752</v>
      </c>
      <c r="K39" s="241"/>
    </row>
    <row r="40" spans="2:11">
      <c r="B40" s="241"/>
      <c r="C40" s="241"/>
      <c r="D40" s="241"/>
      <c r="E40" s="241"/>
      <c r="F40" s="241" t="s">
        <v>100</v>
      </c>
      <c r="G40" s="241"/>
      <c r="H40" s="241"/>
      <c r="I40" s="241"/>
      <c r="J40" s="241">
        <v>1.8000000000000019E-2</v>
      </c>
      <c r="K40" s="241"/>
    </row>
    <row r="41" spans="2:11">
      <c r="B41" s="241"/>
      <c r="C41" s="241"/>
      <c r="D41" s="241"/>
      <c r="E41" s="241"/>
      <c r="F41" s="241" t="s">
        <v>102</v>
      </c>
      <c r="G41" s="241"/>
      <c r="H41" s="241"/>
      <c r="I41" s="241"/>
      <c r="J41" s="241">
        <v>1.5599999999999802E-3</v>
      </c>
      <c r="K41" s="241"/>
    </row>
    <row r="42" spans="2:11">
      <c r="B42" s="241"/>
      <c r="C42" s="241"/>
      <c r="D42" s="241"/>
      <c r="E42" s="241"/>
      <c r="F42" s="241" t="s">
        <v>98</v>
      </c>
      <c r="G42" s="241"/>
      <c r="H42" s="241"/>
      <c r="I42" s="241"/>
      <c r="J42" s="241">
        <v>3.3491071428571359E-4</v>
      </c>
      <c r="K42" s="241"/>
    </row>
    <row r="43" spans="2:11">
      <c r="B43" s="240" t="s">
        <v>265</v>
      </c>
      <c r="C43" s="240" t="s">
        <v>266</v>
      </c>
      <c r="D43" s="240" t="str">
        <f>AGR_Comm!$D$64</f>
        <v>AGR_DUMMY_NRG_CATTLE</v>
      </c>
      <c r="E43" s="240"/>
      <c r="F43" s="240"/>
      <c r="G43" s="240">
        <v>5170.067</v>
      </c>
      <c r="H43" s="240">
        <v>5170.067</v>
      </c>
      <c r="I43" s="240">
        <v>1</v>
      </c>
      <c r="J43" s="240"/>
      <c r="K43" s="240">
        <v>1</v>
      </c>
    </row>
    <row r="44" spans="2:11">
      <c r="B44" s="240"/>
      <c r="C44" s="240"/>
      <c r="D44" s="240"/>
      <c r="E44" s="240" t="s">
        <v>158</v>
      </c>
      <c r="F44" s="240"/>
      <c r="G44" s="240"/>
      <c r="H44" s="240"/>
      <c r="I44" s="240"/>
      <c r="J44" s="240"/>
      <c r="K44" s="240"/>
    </row>
    <row r="45" spans="2:11">
      <c r="B45" s="240"/>
      <c r="C45" s="240"/>
      <c r="D45" s="240"/>
      <c r="E45" s="240" t="s">
        <v>118</v>
      </c>
      <c r="F45" s="240"/>
      <c r="G45" s="240"/>
      <c r="H45" s="240"/>
      <c r="I45" s="240"/>
      <c r="J45" s="240">
        <v>5.6940000000000003E-3</v>
      </c>
      <c r="K45" s="240"/>
    </row>
    <row r="46" spans="2:11">
      <c r="B46" s="240"/>
      <c r="C46" s="240"/>
      <c r="D46" s="240"/>
      <c r="E46" s="240"/>
      <c r="F46" s="240" t="s">
        <v>102</v>
      </c>
      <c r="G46" s="240"/>
      <c r="H46" s="240"/>
      <c r="I46" s="240"/>
      <c r="J46" s="240">
        <v>2.7762587827240005E-5</v>
      </c>
      <c r="K46" s="240"/>
    </row>
    <row r="47" spans="2:11">
      <c r="B47" s="240"/>
      <c r="C47" s="240"/>
      <c r="D47" s="240"/>
      <c r="E47" s="240"/>
      <c r="F47" s="240" t="s">
        <v>98</v>
      </c>
      <c r="G47" s="240"/>
      <c r="H47" s="240"/>
      <c r="I47" s="240"/>
      <c r="J47" s="240">
        <v>1.1960521853592914E-6</v>
      </c>
      <c r="K47" s="240"/>
    </row>
    <row r="48" spans="2:11">
      <c r="B48" s="241" t="s">
        <v>267</v>
      </c>
      <c r="C48" s="241" t="s">
        <v>268</v>
      </c>
      <c r="D48" s="241" t="str">
        <f>AGR_Comm!$D$64</f>
        <v>AGR_DUMMY_NRG_CATTLE</v>
      </c>
      <c r="E48" s="241"/>
      <c r="F48" s="241"/>
      <c r="G48" s="241">
        <v>17.32</v>
      </c>
      <c r="H48" s="241">
        <v>17.32</v>
      </c>
      <c r="I48" s="241">
        <v>1</v>
      </c>
      <c r="J48" s="241"/>
      <c r="K48" s="241">
        <v>1</v>
      </c>
    </row>
    <row r="49" spans="2:11">
      <c r="B49" s="241"/>
      <c r="C49" s="241"/>
      <c r="D49" s="241"/>
      <c r="E49" s="241" t="s">
        <v>159</v>
      </c>
      <c r="F49" s="241"/>
      <c r="G49" s="241"/>
      <c r="H49" s="241"/>
      <c r="I49" s="241"/>
      <c r="J49" s="241"/>
      <c r="K49" s="241"/>
    </row>
    <row r="50" spans="2:11">
      <c r="B50" s="241"/>
      <c r="C50" s="241"/>
      <c r="D50" s="241"/>
      <c r="E50" s="241" t="s">
        <v>120</v>
      </c>
      <c r="F50" s="241"/>
      <c r="G50" s="241"/>
      <c r="H50" s="241"/>
      <c r="I50" s="241"/>
      <c r="J50" s="241">
        <v>5.6940000000000003E-3</v>
      </c>
      <c r="K50" s="241"/>
    </row>
    <row r="51" spans="2:11">
      <c r="B51" s="241"/>
      <c r="C51" s="241"/>
      <c r="D51" s="241"/>
      <c r="E51" s="241"/>
      <c r="F51" s="241" t="s">
        <v>102</v>
      </c>
      <c r="G51" s="241"/>
      <c r="H51" s="241"/>
      <c r="I51" s="241"/>
      <c r="J51" s="241">
        <v>7.9999999999999993E-5</v>
      </c>
      <c r="K51" s="241"/>
    </row>
    <row r="52" spans="2:11">
      <c r="B52" s="241"/>
      <c r="C52" s="241"/>
      <c r="D52" s="241"/>
      <c r="E52" s="241"/>
      <c r="F52" s="241" t="s">
        <v>98</v>
      </c>
      <c r="G52" s="241"/>
      <c r="H52" s="241"/>
      <c r="I52" s="241"/>
      <c r="J52" s="241">
        <v>2.5457142857134688E-5</v>
      </c>
      <c r="K52" s="241"/>
    </row>
    <row r="53" spans="2:11">
      <c r="B53" s="240" t="s">
        <v>269</v>
      </c>
      <c r="C53" s="240" t="s">
        <v>270</v>
      </c>
      <c r="D53" s="240" t="str">
        <f>AGR_Comm!$D$64</f>
        <v>AGR_DUMMY_NRG_CATTLE</v>
      </c>
      <c r="E53" s="240"/>
      <c r="F53" s="240"/>
      <c r="G53" s="240">
        <v>16.899000000000001</v>
      </c>
      <c r="H53" s="240">
        <v>16.899000000000001</v>
      </c>
      <c r="I53" s="240">
        <v>1</v>
      </c>
      <c r="J53" s="240"/>
      <c r="K53" s="240">
        <v>1</v>
      </c>
    </row>
    <row r="54" spans="2:11">
      <c r="B54" s="240"/>
      <c r="C54" s="240"/>
      <c r="D54" s="240"/>
      <c r="E54" s="240" t="s">
        <v>160</v>
      </c>
      <c r="F54" s="240"/>
      <c r="G54" s="240"/>
      <c r="H54" s="240"/>
      <c r="I54" s="240"/>
      <c r="J54" s="240"/>
      <c r="K54" s="240"/>
    </row>
    <row r="55" spans="2:11">
      <c r="B55" s="240"/>
      <c r="C55" s="240"/>
      <c r="D55" s="240"/>
      <c r="E55" s="240" t="s">
        <v>122</v>
      </c>
      <c r="F55" s="240"/>
      <c r="G55" s="240"/>
      <c r="H55" s="240"/>
      <c r="I55" s="240"/>
      <c r="J55" s="240">
        <v>5.6940000000000003E-3</v>
      </c>
      <c r="K55" s="240"/>
    </row>
    <row r="56" spans="2:11">
      <c r="B56" s="240"/>
      <c r="C56" s="240"/>
      <c r="D56" s="240"/>
      <c r="E56" s="240"/>
      <c r="F56" s="240" t="s">
        <v>102</v>
      </c>
      <c r="G56" s="240"/>
      <c r="H56" s="240"/>
      <c r="I56" s="240"/>
      <c r="J56" s="240">
        <v>6.8000000000000005E-4</v>
      </c>
      <c r="K56" s="240"/>
    </row>
    <row r="57" spans="2:11">
      <c r="B57" s="240"/>
      <c r="C57" s="240"/>
      <c r="D57" s="240"/>
      <c r="E57" s="240"/>
      <c r="F57" s="240" t="s">
        <v>98</v>
      </c>
      <c r="G57" s="240"/>
      <c r="H57" s="240"/>
      <c r="I57" s="240"/>
      <c r="J57" s="240">
        <v>2.0002178975221327E-5</v>
      </c>
      <c r="K57" s="240"/>
    </row>
    <row r="58" spans="2:11">
      <c r="B58" s="242" t="s">
        <v>271</v>
      </c>
      <c r="C58" s="242" t="s">
        <v>271</v>
      </c>
      <c r="D58" s="242" t="str">
        <f>AGR_Comm!$D$64</f>
        <v>AGR_DUMMY_NRG_CATTLE</v>
      </c>
      <c r="E58" s="242"/>
      <c r="F58" s="242"/>
      <c r="G58" s="242">
        <v>5628.7045253411343</v>
      </c>
      <c r="H58" s="242">
        <v>5628.7045253411343</v>
      </c>
      <c r="I58" s="242">
        <v>1</v>
      </c>
      <c r="J58" s="242"/>
      <c r="K58" s="242">
        <v>1</v>
      </c>
    </row>
    <row r="59" spans="2:11">
      <c r="B59" s="243"/>
      <c r="C59" s="243"/>
      <c r="D59" s="243"/>
      <c r="E59" s="243" t="s">
        <v>161</v>
      </c>
      <c r="F59" s="243"/>
      <c r="G59" s="243"/>
      <c r="H59" s="243"/>
      <c r="I59" s="243"/>
      <c r="J59" s="243"/>
      <c r="K59" s="243"/>
    </row>
    <row r="60" spans="2:11" ht="13.5" thickBot="1">
      <c r="B60" s="244"/>
      <c r="C60" s="244"/>
      <c r="D60" s="244"/>
      <c r="E60" s="244"/>
      <c r="F60" s="244" t="s">
        <v>98</v>
      </c>
      <c r="G60" s="244"/>
      <c r="H60" s="244"/>
      <c r="I60" s="244"/>
      <c r="J60" s="244">
        <v>2.5538809853867566E-5</v>
      </c>
      <c r="K60" s="244"/>
    </row>
    <row r="65" spans="2:5">
      <c r="B65" s="38"/>
      <c r="C65" s="38"/>
      <c r="D65" s="250" t="s">
        <v>381</v>
      </c>
      <c r="E65" s="42"/>
    </row>
    <row r="66" spans="2:5">
      <c r="B66" s="251" t="s">
        <v>179</v>
      </c>
      <c r="C66" s="252" t="s">
        <v>359</v>
      </c>
      <c r="D66" s="251" t="s">
        <v>306</v>
      </c>
      <c r="E66" s="253" t="s">
        <v>360</v>
      </c>
    </row>
    <row r="67" spans="2:5" ht="13.5" thickBot="1">
      <c r="B67" s="254" t="s">
        <v>349</v>
      </c>
      <c r="C67" s="254" t="s">
        <v>350</v>
      </c>
      <c r="D67" s="254" t="s">
        <v>352</v>
      </c>
      <c r="E67" s="254" t="s">
        <v>362</v>
      </c>
    </row>
    <row r="68" spans="2:5">
      <c r="B68" s="255" t="str">
        <f>AGR_Proc!D28</f>
        <v>AGR_IMP_DUMMY_NRG_LIV</v>
      </c>
      <c r="C68" s="255" t="str">
        <f>AGR_Proc!E28</f>
        <v>Dummy Energy Import</v>
      </c>
      <c r="D68" s="255" t="str">
        <f>AGR_Comm!$D$64</f>
        <v>AGR_DUMMY_NRG_CATTLE</v>
      </c>
      <c r="E68" s="255">
        <v>1E-3</v>
      </c>
    </row>
    <row r="69" spans="2:5" ht="13.5" thickBot="1">
      <c r="B69" s="256" t="str">
        <f>AGR_Proc!D29</f>
        <v>AGR_IMP_LAND_RESIDUE</v>
      </c>
      <c r="C69" s="256" t="str">
        <f>AGR_Proc!E29</f>
        <v>Dummy Import of Crop Residues for Biogas Production</v>
      </c>
      <c r="D69" s="256" t="str">
        <f>AGR_Comm!D67</f>
        <v>AGR_DUMMY_LAND_RESIDUES</v>
      </c>
      <c r="E69" s="256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2.75"/>
  <cols>
    <col min="1" max="1" width="3.42578125" customWidth="1"/>
    <col min="2" max="2" width="27.85546875" bestFit="1" customWidth="1"/>
    <col min="3" max="3" width="29.42578125" customWidth="1"/>
    <col min="4" max="4" width="26.85546875" customWidth="1"/>
    <col min="5" max="5" width="29.140625" customWidth="1"/>
    <col min="6" max="6" width="34" customWidth="1"/>
    <col min="7" max="7" width="6.42578125" customWidth="1"/>
    <col min="8" max="11" width="12.140625" bestFit="1" customWidth="1"/>
    <col min="12" max="12" width="8" bestFit="1" customWidth="1"/>
    <col min="13" max="13" width="7.5703125" bestFit="1" customWidth="1"/>
    <col min="14" max="14" width="5.140625" bestFit="1" customWidth="1"/>
  </cols>
  <sheetData>
    <row r="2" spans="2:12" ht="18">
      <c r="B2" s="261" t="s">
        <v>432</v>
      </c>
      <c r="C2" s="63"/>
      <c r="D2" s="63"/>
      <c r="E2" s="63"/>
    </row>
    <row r="4" spans="2:12">
      <c r="F4" s="245" t="s">
        <v>433</v>
      </c>
      <c r="G4" s="236"/>
    </row>
    <row r="5" spans="2:12" ht="38.25">
      <c r="B5" s="71" t="s">
        <v>179</v>
      </c>
      <c r="C5" s="72" t="s">
        <v>359</v>
      </c>
      <c r="D5" s="72" t="s">
        <v>305</v>
      </c>
      <c r="E5" s="71" t="s">
        <v>306</v>
      </c>
      <c r="F5" s="71" t="s">
        <v>339</v>
      </c>
      <c r="G5" s="73" t="s">
        <v>382</v>
      </c>
      <c r="H5" s="237" t="s">
        <v>383</v>
      </c>
      <c r="I5" s="237" t="s">
        <v>384</v>
      </c>
      <c r="J5" s="237" t="s">
        <v>344</v>
      </c>
      <c r="K5" s="237" t="s">
        <v>385</v>
      </c>
      <c r="L5" s="237" t="s">
        <v>342</v>
      </c>
    </row>
    <row r="6" spans="2:12" ht="13.5" thickBot="1">
      <c r="B6" s="74" t="s">
        <v>349</v>
      </c>
      <c r="C6" s="74" t="s">
        <v>350</v>
      </c>
      <c r="D6" s="74"/>
      <c r="E6" s="74" t="s">
        <v>352</v>
      </c>
      <c r="F6" s="74"/>
      <c r="G6" s="74" t="s">
        <v>386</v>
      </c>
      <c r="H6" s="238" t="s">
        <v>387</v>
      </c>
      <c r="I6" s="238"/>
      <c r="J6" s="238"/>
      <c r="K6" s="238"/>
      <c r="L6" s="238"/>
    </row>
    <row r="7" spans="2:12" ht="15.95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5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5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5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5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5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5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5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5" customHeight="1" thickBot="1">
      <c r="B15" s="232" t="str">
        <f>AGR_Proc!D51</f>
        <v>AGR_FERT_N_NITR-LEACH</v>
      </c>
      <c r="C15" s="232" t="str">
        <f>AGR_Proc!E51</f>
        <v>AGR_FERT_N_NITR-LEACH</v>
      </c>
      <c r="D15" s="232" t="str">
        <f>AGR_Comm!$D$65</f>
        <v>AGR_DUMMY_NRG_LAND</v>
      </c>
      <c r="E15" s="232" t="str">
        <f>AGR_Comm!$D$66</f>
        <v>AGR_DUMMY_DMD_LAND</v>
      </c>
      <c r="F15" s="232" t="str">
        <f>AGR_Comm!$D$34</f>
        <v>AGR_N2O</v>
      </c>
      <c r="G15" s="232">
        <v>100</v>
      </c>
      <c r="H15" s="232">
        <v>1.4128413827858835E-3</v>
      </c>
      <c r="I15" s="232">
        <v>1.4128413827858835E-3</v>
      </c>
      <c r="J15" s="232">
        <v>1</v>
      </c>
      <c r="K15" s="232">
        <v>1</v>
      </c>
      <c r="L15" s="232">
        <v>1</v>
      </c>
    </row>
    <row r="17" spans="2:14">
      <c r="F17" s="245" t="s">
        <v>433</v>
      </c>
      <c r="G17" s="236"/>
    </row>
    <row r="18" spans="2:14" ht="38.25">
      <c r="B18" s="71" t="s">
        <v>179</v>
      </c>
      <c r="C18" s="72" t="s">
        <v>359</v>
      </c>
      <c r="D18" s="72" t="s">
        <v>305</v>
      </c>
      <c r="E18" s="71" t="s">
        <v>306</v>
      </c>
      <c r="F18" s="71" t="s">
        <v>339</v>
      </c>
      <c r="G18" s="73" t="s">
        <v>382</v>
      </c>
      <c r="H18" s="237" t="s">
        <v>388</v>
      </c>
      <c r="I18" s="237" t="s">
        <v>389</v>
      </c>
      <c r="J18" s="237" t="s">
        <v>344</v>
      </c>
      <c r="K18" s="237" t="s">
        <v>385</v>
      </c>
      <c r="L18" s="237" t="s">
        <v>342</v>
      </c>
    </row>
    <row r="19" spans="2:14" ht="13.5" thickBot="1">
      <c r="B19" s="74" t="s">
        <v>349</v>
      </c>
      <c r="C19" s="74" t="s">
        <v>350</v>
      </c>
      <c r="D19" s="74"/>
      <c r="E19" s="74" t="s">
        <v>352</v>
      </c>
      <c r="F19" s="74"/>
      <c r="G19" s="74" t="s">
        <v>386</v>
      </c>
      <c r="H19" s="238" t="s">
        <v>387</v>
      </c>
      <c r="I19" s="238"/>
      <c r="J19" s="238"/>
      <c r="K19" s="238"/>
      <c r="L19" s="238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5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5" t="s">
        <v>433</v>
      </c>
      <c r="G26" s="236"/>
    </row>
    <row r="27" spans="2:14" ht="38.25">
      <c r="B27" s="71" t="s">
        <v>179</v>
      </c>
      <c r="C27" s="72" t="s">
        <v>359</v>
      </c>
      <c r="D27" s="72" t="s">
        <v>305</v>
      </c>
      <c r="E27" s="71" t="s">
        <v>306</v>
      </c>
      <c r="F27" s="71" t="s">
        <v>339</v>
      </c>
      <c r="G27" s="73" t="s">
        <v>382</v>
      </c>
      <c r="H27" s="237" t="s">
        <v>434</v>
      </c>
      <c r="I27" s="237" t="s">
        <v>435</v>
      </c>
      <c r="J27" s="237" t="s">
        <v>383</v>
      </c>
      <c r="K27" s="237" t="s">
        <v>384</v>
      </c>
      <c r="L27" s="237" t="s">
        <v>344</v>
      </c>
      <c r="M27" s="237" t="s">
        <v>385</v>
      </c>
      <c r="N27" s="237" t="s">
        <v>342</v>
      </c>
    </row>
    <row r="28" spans="2:14" ht="13.5" thickBot="1">
      <c r="B28" s="74" t="s">
        <v>349</v>
      </c>
      <c r="C28" s="74" t="s">
        <v>350</v>
      </c>
      <c r="D28" s="74"/>
      <c r="E28" s="74" t="s">
        <v>352</v>
      </c>
      <c r="F28" s="74"/>
      <c r="G28" s="74" t="s">
        <v>386</v>
      </c>
      <c r="H28" s="238" t="s">
        <v>387</v>
      </c>
      <c r="I28" s="238"/>
      <c r="J28" s="238" t="s">
        <v>387</v>
      </c>
      <c r="K28" s="238"/>
      <c r="L28" s="238"/>
      <c r="M28" s="238"/>
      <c r="N28" s="238"/>
    </row>
    <row r="29" spans="2:14" ht="15.95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5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5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5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5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5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5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5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5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5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5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5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5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5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5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5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5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5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5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5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5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5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5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5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5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5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5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5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5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5" customHeight="1" thickBot="1">
      <c r="B58" s="233"/>
      <c r="C58" s="233"/>
      <c r="D58" s="233"/>
      <c r="E58" s="233" t="str">
        <f>AGR_Comm!D61</f>
        <v>AGR_RESID_CROP_VEG</v>
      </c>
      <c r="F58" s="233"/>
      <c r="G58" s="233"/>
      <c r="H58" s="233"/>
      <c r="I58" s="233"/>
      <c r="J58" s="233"/>
      <c r="K58" s="233"/>
      <c r="L58" s="233"/>
      <c r="M58" s="233"/>
      <c r="N58" s="233"/>
    </row>
    <row r="61" spans="2:14">
      <c r="D61" s="245" t="s">
        <v>433</v>
      </c>
      <c r="E61" s="42"/>
    </row>
    <row r="62" spans="2:14">
      <c r="B62" s="71" t="s">
        <v>179</v>
      </c>
      <c r="C62" s="72" t="s">
        <v>359</v>
      </c>
      <c r="D62" s="71" t="s">
        <v>306</v>
      </c>
      <c r="E62" s="163" t="s">
        <v>360</v>
      </c>
    </row>
    <row r="63" spans="2:14" ht="13.5" thickBot="1">
      <c r="B63" s="74" t="s">
        <v>349</v>
      </c>
      <c r="C63" s="74" t="s">
        <v>350</v>
      </c>
      <c r="D63" s="74" t="s">
        <v>352</v>
      </c>
      <c r="E63" s="74" t="s">
        <v>362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5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708d6b01-37ca-4db4-bc7f-9b68f32c58b8"/>
    <ds:schemaRef ds:uri="8acd6055-54fc-4ce7-b3df-0a09834a0329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AA7AD2-955E-4B68-8CCA-354B26D7E5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2026-09-21T10:54:44Z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891725838184356</vt:r8>
  </property>
</Properties>
</file>