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aghedupl.sharepoint.com/sites/TIMES-PL-PSE/Shared Documents/General/MODELE/2026/AGR_wyizolowany/"/>
    </mc:Choice>
  </mc:AlternateContent>
  <xr:revisionPtr revIDLastSave="1072" documentId="13_ncr:1_{7DAD6907-FF2C-4C04-8170-EB4B769AE67D}" xr6:coauthVersionLast="47" xr6:coauthVersionMax="47" xr10:uidLastSave="{F8302B44-54B7-4675-A980-0A9BCEC895F4}"/>
  <bookViews>
    <workbookView xWindow="-120" yWindow="-120" windowWidth="38640" windowHeight="21120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52" i="155" l="1"/>
  <c r="BK52" i="155"/>
  <c r="BJ52" i="155"/>
  <c r="BI52" i="155"/>
  <c r="BF52" i="155"/>
  <c r="M126" i="155"/>
  <c r="M133" i="155" s="1"/>
  <c r="M127" i="155"/>
  <c r="M134" i="155" s="1"/>
  <c r="M128" i="155"/>
  <c r="M135" i="155" s="1"/>
  <c r="M129" i="155"/>
  <c r="M136" i="155" s="1"/>
  <c r="M130" i="155"/>
  <c r="M137" i="155" s="1"/>
  <c r="M125" i="155"/>
  <c r="M132" i="155" s="1"/>
  <c r="BL66" i="155"/>
  <c r="BK66" i="155"/>
  <c r="BJ66" i="155"/>
  <c r="BI66" i="155"/>
  <c r="BH66" i="155"/>
  <c r="BH44" i="155"/>
  <c r="BH46" i="155"/>
  <c r="BH48" i="155"/>
  <c r="BH50" i="155"/>
  <c r="BH52" i="155"/>
  <c r="BH54" i="155"/>
  <c r="BH56" i="155"/>
  <c r="BH58" i="155"/>
  <c r="BH60" i="155"/>
  <c r="BH62" i="155"/>
  <c r="BH64" i="155"/>
  <c r="BH42" i="155"/>
  <c r="BI42" i="155"/>
  <c r="BJ42" i="155" s="1"/>
  <c r="BK42" i="155" s="1"/>
  <c r="BL42" i="155" s="1"/>
  <c r="BG66" i="155"/>
  <c r="BG64" i="155"/>
  <c r="BG62" i="155"/>
  <c r="BG60" i="155"/>
  <c r="BG58" i="155"/>
  <c r="BG56" i="155"/>
  <c r="BG54" i="155"/>
  <c r="BG52" i="155"/>
  <c r="BG50" i="155"/>
  <c r="BG48" i="155"/>
  <c r="BG46" i="155"/>
  <c r="BG44" i="155"/>
  <c r="BG42" i="155"/>
  <c r="BE42" i="155"/>
  <c r="BQ56" i="155"/>
  <c r="BQ71" i="155" s="1"/>
  <c r="BB66" i="155"/>
  <c r="BC66" i="155"/>
  <c r="BD44" i="155"/>
  <c r="BE44" i="155" s="1"/>
  <c r="BF44" i="155" s="1"/>
  <c r="BD46" i="155"/>
  <c r="BE46" i="155" s="1"/>
  <c r="BF46" i="155" s="1"/>
  <c r="BD48" i="155"/>
  <c r="BE48" i="155" s="1"/>
  <c r="BF48" i="155" s="1"/>
  <c r="BD52" i="155"/>
  <c r="BE52" i="155" s="1"/>
  <c r="BD54" i="155"/>
  <c r="BE54" i="155" s="1"/>
  <c r="BF54" i="155" s="1"/>
  <c r="BD56" i="155"/>
  <c r="BE56" i="155" s="1"/>
  <c r="BF56" i="155" s="1"/>
  <c r="BD58" i="155"/>
  <c r="BE58" i="155" s="1"/>
  <c r="BF58" i="155" s="1"/>
  <c r="BD60" i="155"/>
  <c r="BE60" i="155" s="1"/>
  <c r="BF60" i="155" s="1"/>
  <c r="BD62" i="155"/>
  <c r="BE62" i="155" s="1"/>
  <c r="BF62" i="155" s="1"/>
  <c r="BD64" i="155"/>
  <c r="BE64" i="155" s="1"/>
  <c r="BF64" i="155" s="1"/>
  <c r="BD66" i="155"/>
  <c r="BE66" i="155" s="1"/>
  <c r="BF66" i="155" s="1"/>
  <c r="BD42" i="155"/>
  <c r="E13" i="155"/>
  <c r="E11" i="155"/>
  <c r="E10" i="155"/>
  <c r="E9" i="155"/>
  <c r="E8" i="155"/>
  <c r="H24" i="155"/>
  <c r="I24" i="155" s="1"/>
  <c r="H23" i="155"/>
  <c r="I23" i="155" s="1"/>
  <c r="G24" i="155"/>
  <c r="G23" i="155"/>
  <c r="L23" i="155"/>
  <c r="M23" i="155" s="1"/>
  <c r="L24" i="155"/>
  <c r="M24" i="155" s="1"/>
  <c r="J24" i="155"/>
  <c r="J23" i="155"/>
  <c r="AZ66" i="155"/>
  <c r="AZ64" i="155"/>
  <c r="G27" i="155"/>
  <c r="H27" i="155" s="1"/>
  <c r="I27" i="155" s="1"/>
  <c r="G28" i="155"/>
  <c r="H28" i="155" s="1"/>
  <c r="I28" i="155" s="1"/>
  <c r="H25" i="155"/>
  <c r="I25" i="155" s="1"/>
  <c r="H26" i="155"/>
  <c r="I26" i="155" s="1"/>
  <c r="H18" i="155"/>
  <c r="I18" i="155"/>
  <c r="H19" i="155"/>
  <c r="I19" i="155" s="1"/>
  <c r="H20" i="155"/>
  <c r="I20" i="155"/>
  <c r="H21" i="155"/>
  <c r="I21" i="155" s="1"/>
  <c r="H22" i="155"/>
  <c r="I22" i="155" s="1"/>
  <c r="H17" i="155"/>
  <c r="I17" i="155"/>
  <c r="H16" i="155"/>
  <c r="I16" i="155" s="1"/>
  <c r="G26" i="155"/>
  <c r="G25" i="155"/>
  <c r="G22" i="155"/>
  <c r="G21" i="155"/>
  <c r="G20" i="155"/>
  <c r="G19" i="155"/>
  <c r="G18" i="155"/>
  <c r="G17" i="155"/>
  <c r="G16" i="155"/>
  <c r="M16" i="155"/>
  <c r="M17" i="155"/>
  <c r="M18" i="155"/>
  <c r="M19" i="155"/>
  <c r="M20" i="155"/>
  <c r="M21" i="155"/>
  <c r="M22" i="155"/>
  <c r="M25" i="155"/>
  <c r="M26" i="155"/>
  <c r="L16" i="155"/>
  <c r="L17" i="155"/>
  <c r="L18" i="155"/>
  <c r="L19" i="155"/>
  <c r="L20" i="155"/>
  <c r="L21" i="155"/>
  <c r="L22" i="155"/>
  <c r="L25" i="155"/>
  <c r="L26" i="155"/>
  <c r="J15" i="155"/>
  <c r="J26" i="155"/>
  <c r="J25" i="155"/>
  <c r="J22" i="155"/>
  <c r="J21" i="155"/>
  <c r="J20" i="155"/>
  <c r="J19" i="155"/>
  <c r="J18" i="155"/>
  <c r="J17" i="155"/>
  <c r="J16" i="155"/>
  <c r="AZ62" i="155"/>
  <c r="AZ60" i="155"/>
  <c r="AZ58" i="155"/>
  <c r="AZ56" i="155"/>
  <c r="AZ54" i="155"/>
  <c r="AZ52" i="155"/>
  <c r="AZ50" i="155"/>
  <c r="AZ48" i="155"/>
  <c r="AZ46" i="155"/>
  <c r="AZ44" i="155"/>
  <c r="AZ42" i="155"/>
  <c r="F26" i="155"/>
  <c r="F25" i="155"/>
  <c r="F23" i="155"/>
  <c r="F22" i="155"/>
  <c r="F21" i="155"/>
  <c r="F20" i="155"/>
  <c r="E20" i="155"/>
  <c r="F19" i="155"/>
  <c r="F24" i="155"/>
  <c r="F27" i="155"/>
  <c r="F28" i="155"/>
  <c r="F18" i="155"/>
  <c r="F17" i="155"/>
  <c r="F16" i="155"/>
  <c r="F15" i="155"/>
  <c r="AW66" i="155"/>
  <c r="AX66" i="155" s="1"/>
  <c r="AW64" i="155"/>
  <c r="AX64" i="155" s="1"/>
  <c r="AW62" i="155"/>
  <c r="AX62" i="155" s="1"/>
  <c r="AW60" i="155"/>
  <c r="AX60" i="155" s="1"/>
  <c r="AW58" i="155"/>
  <c r="AX58" i="155" s="1"/>
  <c r="AW56" i="155"/>
  <c r="AW54" i="155"/>
  <c r="AX54" i="155" s="1"/>
  <c r="AX52" i="155"/>
  <c r="AW52" i="155"/>
  <c r="AW50" i="155"/>
  <c r="AX50" i="155" s="1"/>
  <c r="AW48" i="155"/>
  <c r="AX48" i="155" s="1"/>
  <c r="AW46" i="155"/>
  <c r="AX46" i="155" s="1"/>
  <c r="AW44" i="155"/>
  <c r="AX44" i="155" s="1"/>
  <c r="AW42" i="155"/>
  <c r="AX42" i="155" s="1"/>
  <c r="D16" i="155"/>
  <c r="T67" i="155"/>
  <c r="V67" i="155" s="1"/>
  <c r="W67" i="155" s="1"/>
  <c r="T68" i="155"/>
  <c r="V68" i="155" s="1"/>
  <c r="W68" i="155" s="1"/>
  <c r="T69" i="155"/>
  <c r="V69" i="155" s="1"/>
  <c r="W69" i="155" s="1"/>
  <c r="T70" i="155"/>
  <c r="V70" i="155" s="1"/>
  <c r="W70" i="155" s="1"/>
  <c r="T71" i="155"/>
  <c r="V71" i="155" s="1"/>
  <c r="W71" i="155" s="1"/>
  <c r="T72" i="155"/>
  <c r="V72" i="155" s="1"/>
  <c r="W72" i="155" s="1"/>
  <c r="T73" i="155"/>
  <c r="V73" i="155" s="1"/>
  <c r="W73" i="155" s="1"/>
  <c r="T66" i="155"/>
  <c r="V66" i="155" s="1"/>
  <c r="W66" i="155" s="1"/>
  <c r="E26" i="155"/>
  <c r="E25" i="155"/>
  <c r="D25" i="155"/>
  <c r="E24" i="155"/>
  <c r="E23" i="155"/>
  <c r="D22" i="155"/>
  <c r="E22" i="155"/>
  <c r="E21" i="155"/>
  <c r="E19" i="155"/>
  <c r="E18" i="155"/>
  <c r="E17" i="155"/>
  <c r="D17" i="155"/>
  <c r="E16" i="155"/>
  <c r="E15" i="155"/>
  <c r="O66" i="155"/>
  <c r="P66" i="155" s="1"/>
  <c r="O64" i="155"/>
  <c r="P64" i="155" s="1"/>
  <c r="O62" i="155"/>
  <c r="P62" i="155" s="1"/>
  <c r="O60" i="155"/>
  <c r="P60" i="155" s="1"/>
  <c r="O58" i="155"/>
  <c r="P58" i="155" s="1"/>
  <c r="O56" i="155"/>
  <c r="P56" i="155" s="1"/>
  <c r="O54" i="155"/>
  <c r="P54" i="155" s="1"/>
  <c r="O52" i="155"/>
  <c r="P52" i="155" s="1"/>
  <c r="O50" i="155"/>
  <c r="P50" i="155" s="1"/>
  <c r="O48" i="155"/>
  <c r="P48" i="155" s="1"/>
  <c r="O46" i="155"/>
  <c r="P46" i="155" s="1"/>
  <c r="O44" i="155"/>
  <c r="P44" i="155" s="1"/>
  <c r="O42" i="155"/>
  <c r="P42" i="155" s="1"/>
  <c r="R8" i="155"/>
  <c r="S8" i="155"/>
  <c r="R9" i="155"/>
  <c r="S9" i="155"/>
  <c r="R10" i="155"/>
  <c r="S10" i="155"/>
  <c r="R11" i="155"/>
  <c r="S11" i="155"/>
  <c r="S7" i="155"/>
  <c r="R7" i="155"/>
  <c r="G44" i="155"/>
  <c r="H44" i="155" s="1"/>
  <c r="D21" i="155" s="1"/>
  <c r="G46" i="155"/>
  <c r="H46" i="155" s="1"/>
  <c r="G48" i="155"/>
  <c r="H48" i="155" s="1"/>
  <c r="D20" i="155" s="1"/>
  <c r="G50" i="155"/>
  <c r="H50" i="155" s="1"/>
  <c r="D19" i="155" s="1"/>
  <c r="G52" i="155"/>
  <c r="H52" i="155" s="1"/>
  <c r="D18" i="155" s="1"/>
  <c r="G54" i="155"/>
  <c r="H54" i="155" s="1"/>
  <c r="G56" i="155"/>
  <c r="H56" i="155" s="1"/>
  <c r="G58" i="155"/>
  <c r="H58" i="155" s="1"/>
  <c r="G60" i="155"/>
  <c r="H60" i="155" s="1"/>
  <c r="G62" i="155"/>
  <c r="H62" i="155" s="1"/>
  <c r="D26" i="155" s="1"/>
  <c r="G64" i="155"/>
  <c r="H64" i="155" s="1"/>
  <c r="D24" i="155" s="1"/>
  <c r="G66" i="155"/>
  <c r="H66" i="155" s="1"/>
  <c r="D23" i="155" s="1"/>
  <c r="G42" i="155"/>
  <c r="H42" i="155" s="1"/>
  <c r="D15" i="155" s="1"/>
  <c r="E27" i="155"/>
  <c r="E28" i="155"/>
  <c r="D13" i="155"/>
  <c r="D12" i="155"/>
  <c r="E12" i="155" s="1"/>
  <c r="D11" i="155"/>
  <c r="D10" i="155"/>
  <c r="D9" i="155"/>
  <c r="D8" i="155"/>
  <c r="N133" i="155" l="1"/>
  <c r="N119" i="155" s="1"/>
  <c r="O133" i="155"/>
  <c r="O119" i="155" s="1"/>
  <c r="P133" i="155"/>
  <c r="P119" i="155" s="1"/>
  <c r="Q133" i="155"/>
  <c r="Q119" i="155" s="1"/>
  <c r="R133" i="155"/>
  <c r="R119" i="155" s="1"/>
  <c r="N134" i="155"/>
  <c r="N120" i="155" s="1"/>
  <c r="O134" i="155"/>
  <c r="O120" i="155" s="1"/>
  <c r="P134" i="155"/>
  <c r="P120" i="155" s="1"/>
  <c r="Q134" i="155"/>
  <c r="Q120" i="155" s="1"/>
  <c r="R134" i="155"/>
  <c r="R120" i="155" s="1"/>
  <c r="N135" i="155"/>
  <c r="N121" i="155" s="1"/>
  <c r="P135" i="155"/>
  <c r="P121" i="155" s="1"/>
  <c r="R135" i="155"/>
  <c r="R121" i="155" s="1"/>
  <c r="O135" i="155"/>
  <c r="O121" i="155" s="1"/>
  <c r="Q135" i="155"/>
  <c r="Q121" i="155" s="1"/>
  <c r="N136" i="155"/>
  <c r="N122" i="155" s="1"/>
  <c r="Q136" i="155"/>
  <c r="Q122" i="155" s="1"/>
  <c r="O136" i="155"/>
  <c r="O122" i="155" s="1"/>
  <c r="P136" i="155"/>
  <c r="P122" i="155" s="1"/>
  <c r="R136" i="155"/>
  <c r="R122" i="155" s="1"/>
  <c r="N137" i="155"/>
  <c r="N123" i="155" s="1"/>
  <c r="O137" i="155"/>
  <c r="O123" i="155" s="1"/>
  <c r="P137" i="155"/>
  <c r="P123" i="155" s="1"/>
  <c r="Q137" i="155"/>
  <c r="Q123" i="155" s="1"/>
  <c r="R137" i="155"/>
  <c r="R123" i="155" s="1"/>
  <c r="N132" i="155"/>
  <c r="N118" i="155" s="1"/>
  <c r="Q132" i="155"/>
  <c r="Q118" i="155" s="1"/>
  <c r="R132" i="155"/>
  <c r="R118" i="155" s="1"/>
  <c r="O132" i="155"/>
  <c r="O118" i="155" s="1"/>
  <c r="P132" i="155"/>
  <c r="P118" i="155" s="1"/>
  <c r="BF42" i="155"/>
  <c r="BI58" i="155"/>
  <c r="BJ58" i="155" s="1"/>
  <c r="BK58" i="155" s="1"/>
  <c r="BL58" i="155" s="1"/>
  <c r="BQ60" i="155"/>
  <c r="BQ75" i="155" s="1"/>
  <c r="BQ59" i="155"/>
  <c r="BQ74" i="155" s="1"/>
  <c r="BD50" i="155"/>
  <c r="BE50" i="155" s="1"/>
  <c r="BF50" i="155" s="1"/>
  <c r="BQ57" i="155"/>
  <c r="BQ72" i="155" s="1"/>
  <c r="BQ62" i="155"/>
  <c r="BQ77" i="155" s="1"/>
  <c r="BQ65" i="155"/>
  <c r="BQ80" i="155" s="1"/>
  <c r="BQ66" i="155"/>
  <c r="BQ81" i="155" s="1"/>
  <c r="BQ64" i="155"/>
  <c r="BQ79" i="155" s="1"/>
  <c r="BQ63" i="155"/>
  <c r="BQ78" i="155" s="1"/>
  <c r="BQ61" i="155"/>
  <c r="BQ76" i="155" s="1"/>
  <c r="BQ58" i="155"/>
  <c r="BQ73" i="155" s="1"/>
  <c r="BQ55" i="155"/>
  <c r="BQ70" i="155" s="1"/>
  <c r="BQ83" i="155" s="1"/>
  <c r="BQ85" i="155" s="1"/>
  <c r="AX56" i="155"/>
  <c r="J27" i="155"/>
  <c r="L27" i="155" s="1"/>
  <c r="M27" i="155" s="1"/>
  <c r="J28" i="155"/>
  <c r="L28" i="155" s="1"/>
  <c r="M28" i="155" s="1"/>
  <c r="B11" i="139"/>
  <c r="E11" i="139"/>
  <c r="BR60" i="155" l="1"/>
  <c r="BR75" i="155" s="1"/>
  <c r="BI48" i="155"/>
  <c r="BR56" i="155"/>
  <c r="BR71" i="155" s="1"/>
  <c r="BI46" i="155"/>
  <c r="BR59" i="155"/>
  <c r="BR74" i="155" s="1"/>
  <c r="BI50" i="155"/>
  <c r="BR57" i="155"/>
  <c r="BR72" i="155" s="1"/>
  <c r="BI54" i="155"/>
  <c r="BR62" i="155"/>
  <c r="BR77" i="155" s="1"/>
  <c r="BI56" i="155"/>
  <c r="BR65" i="155"/>
  <c r="BR80" i="155" s="1"/>
  <c r="BI60" i="155"/>
  <c r="BR66" i="155"/>
  <c r="BR81" i="155" s="1"/>
  <c r="BI62" i="155"/>
  <c r="BR64" i="155"/>
  <c r="BR79" i="155" s="1"/>
  <c r="BI64" i="155"/>
  <c r="BR63" i="155"/>
  <c r="BR78" i="155" s="1"/>
  <c r="BR58" i="155"/>
  <c r="BR73" i="155" s="1"/>
  <c r="BR55" i="155"/>
  <c r="BR70" i="155" s="1"/>
  <c r="BR61" i="155"/>
  <c r="BR76" i="155" s="1"/>
  <c r="BI44" i="155"/>
  <c r="B7" i="139"/>
  <c r="BR83" i="155" l="1"/>
  <c r="BR85" i="155" s="1"/>
  <c r="BJ48" i="155"/>
  <c r="BS60" i="155"/>
  <c r="BS75" i="155" s="1"/>
  <c r="BS55" i="155"/>
  <c r="BS70" i="155" s="1"/>
  <c r="BS56" i="155"/>
  <c r="BS71" i="155" s="1"/>
  <c r="BJ46" i="155"/>
  <c r="BT56" i="155" s="1"/>
  <c r="BT71" i="155" s="1"/>
  <c r="BS59" i="155"/>
  <c r="BS74" i="155" s="1"/>
  <c r="BJ50" i="155"/>
  <c r="BJ54" i="155"/>
  <c r="BS57" i="155"/>
  <c r="BS72" i="155" s="1"/>
  <c r="BS65" i="155"/>
  <c r="BS80" i="155" s="1"/>
  <c r="BJ60" i="155"/>
  <c r="BT65" i="155" s="1"/>
  <c r="BT80" i="155" s="1"/>
  <c r="BS66" i="155"/>
  <c r="BS81" i="155" s="1"/>
  <c r="BJ62" i="155"/>
  <c r="BS64" i="155"/>
  <c r="BS79" i="155" s="1"/>
  <c r="BJ64" i="155"/>
  <c r="BT64" i="155" s="1"/>
  <c r="BT79" i="155" s="1"/>
  <c r="BS63" i="155"/>
  <c r="BS78" i="155" s="1"/>
  <c r="BT63" i="155"/>
  <c r="BT78" i="155" s="1"/>
  <c r="BS58" i="155"/>
  <c r="BS73" i="155" s="1"/>
  <c r="BS62" i="155"/>
  <c r="BS77" i="155" s="1"/>
  <c r="BJ56" i="155"/>
  <c r="BS61" i="155"/>
  <c r="BS76" i="155" s="1"/>
  <c r="BJ44" i="155"/>
  <c r="BK46" i="155"/>
  <c r="BT59" i="155"/>
  <c r="BT74" i="155" s="1"/>
  <c r="BK50" i="155"/>
  <c r="BK60" i="155"/>
  <c r="BT66" i="155"/>
  <c r="BT81" i="155" s="1"/>
  <c r="BK62" i="155"/>
  <c r="BK64" i="155"/>
  <c r="BT58" i="155"/>
  <c r="BT73" i="155" s="1"/>
  <c r="E10" i="139"/>
  <c r="BT55" i="155" l="1"/>
  <c r="BT70" i="155" s="1"/>
  <c r="BT60" i="155"/>
  <c r="BT75" i="155" s="1"/>
  <c r="BK48" i="155"/>
  <c r="BS83" i="155"/>
  <c r="BS85" i="155" s="1"/>
  <c r="BT57" i="155"/>
  <c r="BT72" i="155" s="1"/>
  <c r="BK54" i="155"/>
  <c r="BT62" i="155"/>
  <c r="BT77" i="155" s="1"/>
  <c r="BK56" i="155"/>
  <c r="BT61" i="155"/>
  <c r="BT76" i="155" s="1"/>
  <c r="BK44" i="155"/>
  <c r="BU56" i="155"/>
  <c r="BU71" i="155" s="1"/>
  <c r="BL46" i="155"/>
  <c r="BV56" i="155" s="1"/>
  <c r="BV71" i="155" s="1"/>
  <c r="BU59" i="155"/>
  <c r="BU74" i="155" s="1"/>
  <c r="BL50" i="155"/>
  <c r="BV59" i="155" s="1"/>
  <c r="BV74" i="155" s="1"/>
  <c r="BU65" i="155"/>
  <c r="BU80" i="155" s="1"/>
  <c r="BL60" i="155"/>
  <c r="BV65" i="155" s="1"/>
  <c r="BV80" i="155" s="1"/>
  <c r="BU66" i="155"/>
  <c r="BU81" i="155" s="1"/>
  <c r="BL62" i="155"/>
  <c r="BV66" i="155" s="1"/>
  <c r="BV81" i="155" s="1"/>
  <c r="BU64" i="155"/>
  <c r="BU79" i="155" s="1"/>
  <c r="BL64" i="155"/>
  <c r="BV64" i="155" s="1"/>
  <c r="BV79" i="155" s="1"/>
  <c r="BU58" i="155"/>
  <c r="BU73" i="155" s="1"/>
  <c r="BV58" i="155"/>
  <c r="BV73" i="155" s="1"/>
  <c r="BU63" i="155"/>
  <c r="BU78" i="155" s="1"/>
  <c r="BV63" i="155"/>
  <c r="BV78" i="155" s="1"/>
  <c r="BU55" i="155" l="1"/>
  <c r="BU70" i="155" s="1"/>
  <c r="BV55" i="155"/>
  <c r="BV70" i="155" s="1"/>
  <c r="BT83" i="155"/>
  <c r="BT85" i="155" s="1"/>
  <c r="BU60" i="155"/>
  <c r="BU75" i="155" s="1"/>
  <c r="BL48" i="155"/>
  <c r="BV60" i="155" s="1"/>
  <c r="BV75" i="155" s="1"/>
  <c r="BU57" i="155"/>
  <c r="BU72" i="155" s="1"/>
  <c r="BL54" i="155"/>
  <c r="BV57" i="155" s="1"/>
  <c r="BV72" i="155" s="1"/>
  <c r="BU62" i="155"/>
  <c r="BU77" i="155" s="1"/>
  <c r="BL56" i="155"/>
  <c r="BV62" i="155" s="1"/>
  <c r="BV77" i="155" s="1"/>
  <c r="BU61" i="155"/>
  <c r="BU76" i="155" s="1"/>
  <c r="BL44" i="155"/>
  <c r="BV61" i="155" s="1"/>
  <c r="BV76" i="155" s="1"/>
  <c r="BU83" i="155" l="1"/>
  <c r="BU85" i="155" s="1"/>
  <c r="BV83" i="155"/>
  <c r="BV85" i="155" s="1"/>
  <c r="L15" i="155" l="1"/>
  <c r="M15" i="155"/>
  <c r="G15" i="155" s="1"/>
  <c r="H15" i="155" s="1"/>
  <c r="I15" i="15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Zapotrzebowanie zmienione z areału [kha] na plony [kt] 
21.09.2026</t>
        </r>
      </text>
    </comment>
    <comment ref="W65" authorId="0" shapeId="0" xr:uid="{09B4818D-03B4-4847-AA25-8FFD9B07E604}">
      <text>
        <r>
          <rPr>
            <b/>
            <sz val="9"/>
            <color indexed="81"/>
            <rFont val="Tahoma"/>
            <family val="2"/>
            <charset val="238"/>
          </rPr>
          <t>Patrycja Rzeszut:</t>
        </r>
        <r>
          <rPr>
            <sz val="9"/>
            <color indexed="81"/>
            <rFont val="Tahoma"/>
            <family val="2"/>
            <charset val="238"/>
          </rPr>
          <t xml:space="preserve">
https://bc.iung.pl/server/api/core/bitstreams/ca264fe6-dfcb-4007-ac5e-b0897bf70508/content</t>
        </r>
      </text>
    </comment>
  </commentList>
</comments>
</file>

<file path=xl/sharedStrings.xml><?xml version="1.0" encoding="utf-8"?>
<sst xmlns="http://schemas.openxmlformats.org/spreadsheetml/2006/main" count="434" uniqueCount="211">
  <si>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</si>
  <si>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</si>
  <si>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</si>
  <si>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</si>
  <si>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</si>
  <si>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</si>
  <si>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</si>
  <si>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</si>
  <si>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</si>
  <si>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</si>
  <si>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</si>
  <si>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</si>
  <si>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</si>
  <si>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</si>
  <si>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</si>
  <si>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</si>
  <si>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</si>
  <si>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</si>
  <si>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</si>
  <si>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</si>
  <si>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</si>
  <si>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</si>
  <si>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</si>
  <si>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</si>
  <si>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</si>
  <si>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</si>
  <si>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</si>
  <si>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</si>
  <si>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</si>
  <si>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</si>
  <si>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</si>
  <si>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</si>
  <si>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</si>
  <si>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</si>
  <si>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</si>
  <si>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</si>
  <si>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</si>
  <si>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</si>
  <si>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</si>
  <si>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</si>
  <si>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</si>
  <si>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</si>
  <si>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</si>
  <si>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</si>
  <si>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</si>
  <si>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</si>
  <si>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</si>
  <si>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</si>
  <si>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</si>
  <si>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</si>
  <si>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</si>
  <si>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</si>
  <si>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</si>
  <si>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</si>
  <si>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</si>
  <si>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</si>
  <si>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</si>
  <si>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</si>
  <si>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</si>
  <si>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</si>
  <si>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</si>
  <si>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</si>
  <si>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</si>
  <si>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</si>
  <si>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</si>
  <si>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</si>
  <si>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</si>
  <si>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</si>
  <si>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</si>
  <si>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</si>
  <si>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</si>
  <si>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</si>
  <si>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</si>
  <si>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</si>
  <si>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</si>
  <si>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</si>
  <si>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</si>
  <si>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</si>
  <si>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</si>
  <si>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</si>
  <si>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</si>
  <si>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</si>
  <si>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</si>
  <si>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</si>
  <si>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</si>
  <si>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</si>
  <si>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</si>
  <si>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</si>
  <si>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</si>
  <si>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</si>
  <si>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</si>
  <si>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</si>
  <si>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</si>
  <si>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</si>
  <si>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</si>
  <si>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</si>
  <si>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</si>
  <si>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</si>
  <si>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</si>
  <si>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</si>
  <si>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</si>
  <si>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</si>
  <si>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</si>
  <si>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</si>
  <si>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</si>
  <si>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</si>
  <si>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</si>
  <si>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</si>
  <si>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</si>
  <si>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</si>
  <si>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</si>
  <si>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</si>
  <si>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</si>
  <si>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</si>
  <si>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</si>
  <si>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</si>
  <si>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</si>
  <si>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</si>
  <si>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</si>
  <si>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</si>
  <si>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</si>
  <si>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</si>
  <si>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</si>
  <si>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</si>
  <si>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</si>
  <si>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</si>
  <si>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</si>
  <si>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</si>
  <si>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</si>
  <si>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</si>
  <si>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</si>
  <si>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</si>
  <si>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</si>
  <si>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</si>
  <si>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</si>
  <si>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</si>
  <si>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</si>
  <si>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</si>
  <si>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</si>
  <si>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</si>
  <si>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</si>
  <si>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</si>
  <si>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</si>
  <si>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</si>
  <si>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</si>
  <si>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</si>
  <si>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</si>
  <si>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</si>
  <si>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</si>
  <si>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</si>
  <si>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</si>
  <si>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</si>
  <si>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</si>
  <si>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</si>
  <si>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</si>
  <si>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</si>
  <si>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</si>
  <si>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</si>
  <si>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</si>
  <si>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</si>
  <si>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</si>
  <si>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</si>
  <si>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</si>
  <si>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</si>
  <si>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</si>
  <si>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</si>
  <si>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</si>
  <si>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</si>
  <si>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</si>
  <si>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</si>
  <si>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</si>
  <si>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</si>
  <si>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</si>
  <si>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</si>
  <si>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</si>
  <si>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</si>
  <si>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</si>
  <si>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</si>
  <si>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</si>
  <si>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</si>
  <si>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</si>
  <si>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Zwierzęta gospodarskie w 2024 r.</t>
  </si>
  <si>
    <t>kt/kha</t>
  </si>
  <si>
    <t>kt</t>
  </si>
  <si>
    <t>crop in kt</t>
  </si>
  <si>
    <t>PRI_BIOG_AGR</t>
  </si>
  <si>
    <t>PRI_BIO_CH4_AGR</t>
  </si>
  <si>
    <t>Rok</t>
  </si>
  <si>
    <t>Proponowany LO [mln m3]</t>
  </si>
  <si>
    <t>Odpowiednik [PJ]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</si>
  <si>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2024 r.</t>
    </r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</si>
  <si>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2025 r.</t>
    </r>
  </si>
  <si>
    <t>TABL. 37. POWIERZCHNIA, PLONY I ZBIORY STRĄCZKOWYCH JADALNYCH (konsumpcyjnych)</t>
  </si>
  <si>
    <t>Pszenica</t>
  </si>
  <si>
    <t>Jęczmień</t>
  </si>
  <si>
    <t>Żyto, pszenżyto, owies</t>
  </si>
  <si>
    <t>Kukurydza</t>
  </si>
  <si>
    <t>Rzepak</t>
  </si>
  <si>
    <t>Strączkowe</t>
  </si>
  <si>
    <t>Ziemniak</t>
  </si>
  <si>
    <t>Mieszanki zbożowe i poz.</t>
  </si>
  <si>
    <t>Zmiana</t>
  </si>
  <si>
    <r>
      <t xml:space="preserve">Produkcja upraw rolnych i ogrodniczych w </t>
    </r>
    <r>
      <rPr>
        <b/>
        <sz val="12"/>
        <color rgb="FFC00000"/>
        <rFont val="Arial"/>
        <family val="2"/>
        <charset val="238"/>
      </rPr>
      <t>2015 r.</t>
    </r>
  </si>
  <si>
    <t>Zwierzęta gospodarskie w 2025 r.</t>
  </si>
  <si>
    <t>Powierzchnia upraw</t>
  </si>
  <si>
    <t>Poprawa efektywności zbioru plonów 2015-2025</t>
  </si>
  <si>
    <t>Zmiana 5 lat</t>
  </si>
  <si>
    <t>Plony kt</t>
  </si>
  <si>
    <t>Plony z kha</t>
  </si>
  <si>
    <t>szt/ha</t>
  </si>
  <si>
    <t>\I: AGR_DEM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</si>
</sst>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4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b/>
      <sz val="9"/>
      <color indexed="81"/>
      <name val="Tahoma"/>
      <family val="2"/>
      <charset val="238"/>
    </font>
    <font>
      <b/>
      <sz val="7.5"/>
      <color rgb="FFFFFFFF"/>
      <name val="Arial"/>
      <family val="2"/>
      <charset val="238"/>
    </font>
    <font>
      <sz val="7.5"/>
      <color rgb="FF000000"/>
      <name val="Arial"/>
      <family val="2"/>
      <charset val="238"/>
    </font>
    <font>
      <b/>
      <sz val="12"/>
      <color rgb="FFC00000"/>
      <name val="Arial"/>
      <family val="2"/>
      <charset val="238"/>
    </font>
    <font>
      <sz val="9"/>
      <name val="Arial"/>
      <family val="2"/>
      <charset val="238"/>
    </font>
  </fonts>
  <fills count="57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81783D"/>
        <bgColor indexed="64"/>
      </patternFill>
    </fill>
    <fill>
      <patternFill patternType="solid">
        <fgColor rgb="FFF4F2E6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/>
      <bottom style="medium">
        <color rgb="FFD9D9D9"/>
      </bottom>
      <diagonal/>
    </border>
    <border>
      <left/>
      <right style="medium">
        <color rgb="FFD9D9D9"/>
      </right>
      <top/>
      <bottom style="medium">
        <color rgb="FFD9D9D9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96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14" fillId="3" borderId="23" xfId="14" applyFill="1" applyBorder="1"/>
    <xf numFmtId="0" fontId="14" fillId="3" borderId="24" xfId="14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  <xf numFmtId="0" fontId="140" fillId="55" borderId="55" xfId="0" applyFont="1" applyFill="1" applyBorder="1" applyAlignment="1">
      <alignment horizontal="center" vertical="center" wrapText="1"/>
    </xf>
    <xf numFmtId="0" fontId="140" fillId="55" borderId="56" xfId="0" applyFont="1" applyFill="1" applyBorder="1" applyAlignment="1">
      <alignment horizontal="center" vertical="center" wrapText="1"/>
    </xf>
    <xf numFmtId="0" fontId="141" fillId="0" borderId="57" xfId="0" applyFont="1" applyBorder="1" applyAlignment="1">
      <alignment horizontal="center" vertical="center" wrapText="1"/>
    </xf>
    <xf numFmtId="0" fontId="141" fillId="0" borderId="58" xfId="0" applyFont="1" applyBorder="1" applyAlignment="1">
      <alignment horizontal="center" vertical="center" wrapText="1"/>
    </xf>
    <xf numFmtId="0" fontId="141" fillId="56" borderId="57" xfId="0" applyFont="1" applyFill="1" applyBorder="1" applyAlignment="1">
      <alignment horizontal="center" vertical="center" wrapText="1"/>
    </xf>
    <xf numFmtId="0" fontId="141" fillId="56" borderId="58" xfId="0" applyFont="1" applyFill="1" applyBorder="1" applyAlignment="1">
      <alignment horizontal="center" vertical="center" wrapText="1"/>
    </xf>
    <xf numFmtId="4" fontId="141" fillId="0" borderId="58" xfId="0" applyNumberFormat="1" applyFont="1" applyBorder="1" applyAlignment="1">
      <alignment horizontal="center" vertical="center" wrapText="1"/>
    </xf>
    <xf numFmtId="4" fontId="141" fillId="56" borderId="58" xfId="0" applyNumberFormat="1" applyFont="1" applyFill="1" applyBorder="1" applyAlignment="1">
      <alignment horizontal="center" vertical="center" wrapText="1"/>
    </xf>
    <xf numFmtId="0" fontId="0" fillId="0" borderId="0" xfId="14" applyFont="1"/>
    <xf numFmtId="0" fontId="143" fillId="3" borderId="24" xfId="14" applyFont="1" applyFill="1" applyBorder="1" applyAlignment="1">
      <alignment wrapText="1"/>
    </xf>
    <xf numFmtId="10" fontId="14" fillId="0" borderId="0" xfId="14" applyNumberFormat="1"/>
    <xf numFmtId="0" fontId="27" fillId="3" borderId="59" xfId="14" applyFont="1" applyFill="1" applyBorder="1" applyAlignment="1">
      <alignment horizontal="center" wrapText="1"/>
    </xf>
    <xf numFmtId="0" fontId="27" fillId="3" borderId="60" xfId="14" applyFont="1" applyFill="1" applyBorder="1" applyAlignment="1">
      <alignment horizontal="center" wrapText="1"/>
    </xf>
    <xf numFmtId="0" fontId="27" fillId="3" borderId="61" xfId="14" applyFont="1" applyFill="1" applyBorder="1" applyAlignment="1">
      <alignment horizontal="center" wrapText="1"/>
    </xf>
    <xf numFmtId="4" fontId="14" fillId="0" borderId="0" xfId="14" applyNumberFormat="1"/>
    <xf numFmtId="0" fontId="14" fillId="0" borderId="62" xfId="14" applyBorder="1"/>
    <xf numFmtId="0" fontId="14" fillId="0" borderId="63" xfId="14" applyBorder="1"/>
    <xf numFmtId="0" fontId="14" fillId="0" borderId="64" xfId="14" applyBorder="1"/>
    <xf numFmtId="0" fontId="14" fillId="0" borderId="65" xfId="14" applyBorder="1"/>
    <xf numFmtId="0" fontId="14" fillId="0" borderId="0" xfId="14" applyBorder="1"/>
    <xf numFmtId="0" fontId="14" fillId="0" borderId="66" xfId="14" applyBorder="1"/>
    <xf numFmtId="0" fontId="14" fillId="0" borderId="67" xfId="14" applyBorder="1"/>
    <xf numFmtId="0" fontId="14" fillId="0" borderId="1" xfId="14" applyBorder="1"/>
    <xf numFmtId="0" fontId="14" fillId="0" borderId="68" xfId="14" applyBorder="1"/>
    <xf numFmtId="0" fontId="14" fillId="0" borderId="0" xfId="14" applyAlignment="1">
      <alignment horizontal="center"/>
    </xf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5990433928949056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AGR_DEMAND!$B$15</c:f>
              <c:strCache>
                <c:ptCount val="1"/>
                <c:pt idx="0">
                  <c:v>AGR_DEM_CROP_WHEAT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AGR_DEMAND!$D$15:$J$15</c:f>
              <c:numCache>
                <c:formatCode>#,##0.00</c:formatCode>
                <c:ptCount val="7"/>
                <c:pt idx="0">
                  <c:v>12405.603600000002</c:v>
                </c:pt>
                <c:pt idx="1">
                  <c:v>13494.88049</c:v>
                </c:pt>
                <c:pt idx="2">
                  <c:v>13696.233569097454</c:v>
                </c:pt>
                <c:pt idx="3">
                  <c:v>12461.61739082309</c:v>
                </c:pt>
                <c:pt idx="4">
                  <c:v>11227.001212548726</c:v>
                </c:pt>
                <c:pt idx="5">
                  <c:v>9992.3850342743626</c:v>
                </c:pt>
                <c:pt idx="6">
                  <c:v>8757.7688560000006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41-4C0D-BAAF-3D00EC58EDE9}"/>
            </c:ext>
          </c:extLst>
        </c:ser>
        <c:ser>
          <c:idx val="1"/>
          <c:order val="1"/>
          <c:tx>
            <c:strRef>
              <c:f>AGR_DEMAND!$B$16</c:f>
              <c:strCache>
                <c:ptCount val="1"/>
                <c:pt idx="0">
                  <c:v>AGR_DEM_CROP_BARLEY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AGR_DEMAND!$D$16:$J$16</c:f>
              <c:numCache>
                <c:formatCode>#,##0.00</c:formatCode>
                <c:ptCount val="7"/>
                <c:pt idx="0">
                  <c:v>3017.6627599999997</c:v>
                </c:pt>
                <c:pt idx="1">
                  <c:v>2991.41732</c:v>
                </c:pt>
                <c:pt idx="2">
                  <c:v>3279.0299302482513</c:v>
                </c:pt>
                <c:pt idx="3">
                  <c:v>2977.7284014361885</c:v>
                </c:pt>
                <c:pt idx="4">
                  <c:v>2676.4268726241257</c:v>
                </c:pt>
                <c:pt idx="5">
                  <c:v>2375.125343812063</c:v>
                </c:pt>
                <c:pt idx="6">
                  <c:v>2073.8238149999997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1-4C0D-BAAF-3D00EC58EDE9}"/>
            </c:ext>
          </c:extLst>
        </c:ser>
        <c:ser>
          <c:idx val="2"/>
          <c:order val="2"/>
          <c:tx>
            <c:strRef>
              <c:f>AGR_DEMAND!$B$17</c:f>
              <c:strCache>
                <c:ptCount val="1"/>
                <c:pt idx="0">
                  <c:v>AGR_DEM_CROP_MAIZE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AGR_DEMAND!$D$17:$J$17</c:f>
              <c:numCache>
                <c:formatCode>#,##0.00</c:formatCode>
                <c:ptCount val="7"/>
                <c:pt idx="0">
                  <c:v>9396.7107199999991</c:v>
                </c:pt>
                <c:pt idx="1">
                  <c:v>10533.224199999999</c:v>
                </c:pt>
                <c:pt idx="2">
                  <c:v>11028.193910440143</c:v>
                </c:pt>
                <c:pt idx="3">
                  <c:v>8823.6360865801071</c:v>
                </c:pt>
                <c:pt idx="4">
                  <c:v>6619.0782627200715</c:v>
                </c:pt>
                <c:pt idx="5">
                  <c:v>4414.5204388600359</c:v>
                </c:pt>
                <c:pt idx="6">
                  <c:v>2209.9626149999999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1-4C0D-BAAF-3D00EC58EDE9}"/>
            </c:ext>
          </c:extLst>
        </c:ser>
        <c:ser>
          <c:idx val="3"/>
          <c:order val="3"/>
          <c:tx>
            <c:strRef>
              <c:f>AGR_DEMAND!$B$18</c:f>
              <c:strCache>
                <c:ptCount val="1"/>
                <c:pt idx="0">
                  <c:v>AGR_DEM_CROP_CER-MIX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AGR_DEMAND!$D$18:$J$18</c:f>
              <c:numCache>
                <c:formatCode>#,##0.00</c:formatCode>
                <c:ptCount val="7"/>
                <c:pt idx="0">
                  <c:v>832.92</c:v>
                </c:pt>
                <c:pt idx="1">
                  <c:v>710.07839999999999</c:v>
                </c:pt>
                <c:pt idx="2">
                  <c:v>599.7098380420781</c:v>
                </c:pt>
                <c:pt idx="3">
                  <c:v>961.90244853155855</c:v>
                </c:pt>
                <c:pt idx="4">
                  <c:v>1324.0950590210391</c:v>
                </c:pt>
                <c:pt idx="5">
                  <c:v>1686.2876695105197</c:v>
                </c:pt>
                <c:pt idx="6">
                  <c:v>2048.4802799999998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1-4C0D-BAAF-3D00EC58EDE9}"/>
            </c:ext>
          </c:extLst>
        </c:ser>
        <c:ser>
          <c:idx val="4"/>
          <c:order val="4"/>
          <c:tx>
            <c:strRef>
              <c:f>AGR_DEMAND!$B$19</c:f>
              <c:strCache>
                <c:ptCount val="1"/>
                <c:pt idx="0">
                  <c:v>AGR_DEM_CROP_TRITICALE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AGR_DEMAND!$D$19:$J$19</c:f>
              <c:numCache>
                <c:formatCode>#,##0.00</c:formatCode>
                <c:ptCount val="7"/>
                <c:pt idx="0">
                  <c:v>5046.9496000000008</c:v>
                </c:pt>
                <c:pt idx="1">
                  <c:v>5265.1788800000004</c:v>
                </c:pt>
                <c:pt idx="2">
                  <c:v>4925.3324434833467</c:v>
                </c:pt>
                <c:pt idx="3">
                  <c:v>4627.95882061251</c:v>
                </c:pt>
                <c:pt idx="4">
                  <c:v>4330.5851977416733</c:v>
                </c:pt>
                <c:pt idx="5">
                  <c:v>4033.2115748708366</c:v>
                </c:pt>
                <c:pt idx="6">
                  <c:v>3735.8379519999999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C41-4C0D-BAAF-3D00EC58EDE9}"/>
            </c:ext>
          </c:extLst>
        </c:ser>
        <c:ser>
          <c:idx val="5"/>
          <c:order val="5"/>
          <c:tx>
            <c:strRef>
              <c:f>AGR_DEMAND!$B$20</c:f>
              <c:strCache>
                <c:ptCount val="1"/>
                <c:pt idx="0">
                  <c:v>AGR_DEM_CROP_OATS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AGR_DEMAND!$D$20:$J$20</c:f>
              <c:numCache>
                <c:formatCode>#,##0.00</c:formatCode>
                <c:ptCount val="7"/>
                <c:pt idx="0">
                  <c:v>1645.2395100000001</c:v>
                </c:pt>
                <c:pt idx="1">
                  <c:v>1844.9989699999999</c:v>
                </c:pt>
                <c:pt idx="2">
                  <c:v>1725.91159621425</c:v>
                </c:pt>
                <c:pt idx="3">
                  <c:v>1508.0810034106876</c:v>
                </c:pt>
                <c:pt idx="4">
                  <c:v>1290.2504106071251</c:v>
                </c:pt>
                <c:pt idx="5">
                  <c:v>1072.4198178035626</c:v>
                </c:pt>
                <c:pt idx="6">
                  <c:v>854.58922499999994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C41-4C0D-BAAF-3D00EC58EDE9}"/>
            </c:ext>
          </c:extLst>
        </c:ser>
        <c:ser>
          <c:idx val="6"/>
          <c:order val="6"/>
          <c:tx>
            <c:strRef>
              <c:f>AGR_DEMAND!$B$21</c:f>
              <c:strCache>
                <c:ptCount val="1"/>
                <c:pt idx="0">
                  <c:v>AGR_DEM_CROP_RYE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AGR_DEMAND!$D$21:$J$21</c:f>
              <c:numCache>
                <c:formatCode>#,##0.00</c:formatCode>
                <c:ptCount val="7"/>
                <c:pt idx="0">
                  <c:v>2435.3861700000002</c:v>
                </c:pt>
                <c:pt idx="1">
                  <c:v>2306.9591200000004</c:v>
                </c:pt>
                <c:pt idx="2">
                  <c:v>2158.0540487782614</c:v>
                </c:pt>
                <c:pt idx="3">
                  <c:v>1971.3780670836961</c:v>
                </c:pt>
                <c:pt idx="4">
                  <c:v>1784.7020853891308</c:v>
                </c:pt>
                <c:pt idx="5">
                  <c:v>1598.0261036945656</c:v>
                </c:pt>
                <c:pt idx="6">
                  <c:v>1411.3501220000001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C41-4C0D-BAAF-3D00EC58EDE9}"/>
            </c:ext>
          </c:extLst>
        </c:ser>
        <c:ser>
          <c:idx val="7"/>
          <c:order val="7"/>
          <c:tx>
            <c:strRef>
              <c:f>AGR_DEMAND!$B$22</c:f>
              <c:strCache>
                <c:ptCount val="1"/>
                <c:pt idx="0">
                  <c:v>AGR_DEM_CROP_MILL-BUCK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AGR_DEMAND!$D$22:$J$22</c:f>
              <c:numCache>
                <c:formatCode>#,##0.00</c:formatCode>
                <c:ptCount val="7"/>
                <c:pt idx="0">
                  <c:v>185.32583</c:v>
                </c:pt>
                <c:pt idx="1">
                  <c:v>156.99617000000001</c:v>
                </c:pt>
                <c:pt idx="2">
                  <c:v>132.59401734220697</c:v>
                </c:pt>
                <c:pt idx="3">
                  <c:v>116.88393575665523</c:v>
                </c:pt>
                <c:pt idx="4">
                  <c:v>101.1738541711035</c:v>
                </c:pt>
                <c:pt idx="5">
                  <c:v>85.463772585551766</c:v>
                </c:pt>
                <c:pt idx="6">
                  <c:v>69.753691000000003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C41-4C0D-BAAF-3D00EC58EDE9}"/>
            </c:ext>
          </c:extLst>
        </c:ser>
        <c:ser>
          <c:idx val="8"/>
          <c:order val="8"/>
          <c:tx>
            <c:strRef>
              <c:f>AGR_DEMAND!$B$23</c:f>
              <c:strCache>
                <c:ptCount val="1"/>
                <c:pt idx="0">
                  <c:v>AGR_DEM_CROP_PULS-FEED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AGR_DEMAND!$D$23:$J$23</c:f>
              <c:numCache>
                <c:formatCode>#,##0.00</c:formatCode>
                <c:ptCount val="7"/>
                <c:pt idx="0">
                  <c:v>779.12891000000002</c:v>
                </c:pt>
                <c:pt idx="1">
                  <c:v>703.32180000000005</c:v>
                </c:pt>
                <c:pt idx="2">
                  <c:v>772.7423964107677</c:v>
                </c:pt>
                <c:pt idx="3">
                  <c:v>622.34230730807576</c:v>
                </c:pt>
                <c:pt idx="4">
                  <c:v>471.94221820538382</c:v>
                </c:pt>
                <c:pt idx="5">
                  <c:v>321.54212910269189</c:v>
                </c:pt>
                <c:pt idx="6">
                  <c:v>171.14204000000001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C41-4C0D-BAAF-3D00EC58EDE9}"/>
            </c:ext>
          </c:extLst>
        </c:ser>
        <c:ser>
          <c:idx val="9"/>
          <c:order val="9"/>
          <c:tx>
            <c:strRef>
              <c:f>AGR_DEMAND!$B$24</c:f>
              <c:strCache>
                <c:ptCount val="1"/>
                <c:pt idx="0">
                  <c:v>AGR_DEM_CROP_PULS-EDIB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AGR_DEMAND!$D$24:$J$24</c:f>
              <c:numCache>
                <c:formatCode>#,##0.00</c:formatCode>
                <c:ptCount val="7"/>
                <c:pt idx="0">
                  <c:v>513.29357999999991</c:v>
                </c:pt>
                <c:pt idx="1">
                  <c:v>540.8052100000001</c:v>
                </c:pt>
                <c:pt idx="2">
                  <c:v>594.18478705882364</c:v>
                </c:pt>
                <c:pt idx="3">
                  <c:v>623.69459029411769</c:v>
                </c:pt>
                <c:pt idx="4">
                  <c:v>653.20439352941173</c:v>
                </c:pt>
                <c:pt idx="5">
                  <c:v>682.71419676470578</c:v>
                </c:pt>
                <c:pt idx="6">
                  <c:v>712.22399999999993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C41-4C0D-BAAF-3D00EC58EDE9}"/>
            </c:ext>
          </c:extLst>
        </c:ser>
        <c:ser>
          <c:idx val="10"/>
          <c:order val="10"/>
          <c:tx>
            <c:strRef>
              <c:f>AGR_DEMAND!$B$25</c:f>
              <c:strCache>
                <c:ptCount val="1"/>
                <c:pt idx="0">
                  <c:v>AGR_DEM_CROP_POTATO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AGR_DEMAND!$D$25:$J$25</c:f>
              <c:numCache>
                <c:formatCode>#,##0.00</c:formatCode>
                <c:ptCount val="7"/>
                <c:pt idx="0">
                  <c:v>5923.7602000000006</c:v>
                </c:pt>
                <c:pt idx="1">
                  <c:v>7004.0130000000008</c:v>
                </c:pt>
                <c:pt idx="2">
                  <c:v>5676.694237514519</c:v>
                </c:pt>
                <c:pt idx="3">
                  <c:v>6149.7571781358893</c:v>
                </c:pt>
                <c:pt idx="4">
                  <c:v>6622.8201187572595</c:v>
                </c:pt>
                <c:pt idx="5">
                  <c:v>7095.8830593786297</c:v>
                </c:pt>
                <c:pt idx="6">
                  <c:v>7568.9459999999999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C41-4C0D-BAAF-3D00EC58EDE9}"/>
            </c:ext>
          </c:extLst>
        </c:ser>
        <c:ser>
          <c:idx val="11"/>
          <c:order val="11"/>
          <c:tx>
            <c:strRef>
              <c:f>AGR_DEMAND!$B$26</c:f>
              <c:strCache>
                <c:ptCount val="1"/>
                <c:pt idx="0">
                  <c:v>AGR_DEM_CROP_OIL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AGR_DEMAND!$D$26:$J$26</c:f>
              <c:numCache>
                <c:formatCode>#,##0.00</c:formatCode>
                <c:ptCount val="7"/>
                <c:pt idx="0">
                  <c:v>3468.2807199999997</c:v>
                </c:pt>
                <c:pt idx="1">
                  <c:v>3862.9631600000007</c:v>
                </c:pt>
                <c:pt idx="2">
                  <c:v>4150.3860141666673</c:v>
                </c:pt>
                <c:pt idx="3">
                  <c:v>3803.7793606250007</c:v>
                </c:pt>
                <c:pt idx="4">
                  <c:v>3457.172707083334</c:v>
                </c:pt>
                <c:pt idx="5">
                  <c:v>3110.5660535416673</c:v>
                </c:pt>
                <c:pt idx="6">
                  <c:v>2763.9594000000002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C41-4C0D-BAAF-3D00EC58ED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0552281848E-2"/>
          <c:y val="0.75212116106382132"/>
          <c:w val="0.93818743195349397"/>
          <c:h val="0.178434275097325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647622657594969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AGR_DEMAND!$B$8</c:f>
              <c:strCache>
                <c:ptCount val="1"/>
                <c:pt idx="0">
                  <c:v>AGR_DEM_LIV_CAT_DAIRY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AGR_DEMAND!$D$8:$J$8</c:f>
              <c:numCache>
                <c:formatCode>#,##0.00</c:formatCode>
                <c:ptCount val="7"/>
                <c:pt idx="0">
                  <c:v>2101.1590000000001</c:v>
                </c:pt>
                <c:pt idx="1">
                  <c:v>2091.0349999999999</c:v>
                </c:pt>
                <c:pt idx="2">
                  <c:v>1970.9298986220986</c:v>
                </c:pt>
                <c:pt idx="3">
                  <c:v>1654.0253077510333</c:v>
                </c:pt>
                <c:pt idx="4">
                  <c:v>1426.6883593119505</c:v>
                </c:pt>
                <c:pt idx="5">
                  <c:v>1242.5277968086386</c:v>
                </c:pt>
                <c:pt idx="6">
                  <c:v>1080.14382844436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D7-4BEB-A118-2A640F0A1969}"/>
            </c:ext>
          </c:extLst>
        </c:ser>
        <c:ser>
          <c:idx val="1"/>
          <c:order val="1"/>
          <c:tx>
            <c:strRef>
              <c:f>AGR_DEMAND!$B$9</c:f>
              <c:strCache>
                <c:ptCount val="1"/>
                <c:pt idx="0">
                  <c:v>AGR_DEM_LIV_CAT_NON-DAIRY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AGR_DEMAND!$D$9:$J$9</c:f>
              <c:numCache>
                <c:formatCode>#,##0.00</c:formatCode>
                <c:ptCount val="7"/>
                <c:pt idx="0">
                  <c:v>4089.768</c:v>
                </c:pt>
                <c:pt idx="1">
                  <c:v>4052.27</c:v>
                </c:pt>
                <c:pt idx="2">
                  <c:v>3819.5152641105351</c:v>
                </c:pt>
                <c:pt idx="3">
                  <c:v>3205.3777836527279</c:v>
                </c:pt>
                <c:pt idx="4">
                  <c:v>2764.815719387308</c:v>
                </c:pt>
                <c:pt idx="5">
                  <c:v>2407.9262734357599</c:v>
                </c:pt>
                <c:pt idx="6">
                  <c:v>2093.2382440706288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D7-4BEB-A118-2A640F0A1969}"/>
            </c:ext>
          </c:extLst>
        </c:ser>
        <c:ser>
          <c:idx val="2"/>
          <c:order val="2"/>
          <c:tx>
            <c:strRef>
              <c:f>AGR_DEMAND!$B$10</c:f>
              <c:strCache>
                <c:ptCount val="1"/>
                <c:pt idx="0">
                  <c:v>AGR_DEM_LIV_SHEEP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AGR_DEMAND!$D$10:$J$10</c:f>
              <c:numCache>
                <c:formatCode>#,##0.00</c:formatCode>
                <c:ptCount val="7"/>
                <c:pt idx="0">
                  <c:v>269.53800000000001</c:v>
                </c:pt>
                <c:pt idx="1">
                  <c:v>267.89400000000001</c:v>
                </c:pt>
                <c:pt idx="2">
                  <c:v>252.50667457095099</c:v>
                </c:pt>
                <c:pt idx="3">
                  <c:v>211.90628363210342</c:v>
                </c:pt>
                <c:pt idx="4">
                  <c:v>182.78089622101771</c:v>
                </c:pt>
                <c:pt idx="5">
                  <c:v>159.18707319497449</c:v>
                </c:pt>
                <c:pt idx="6">
                  <c:v>138.38316947218644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D7-4BEB-A118-2A640F0A1969}"/>
            </c:ext>
          </c:extLst>
        </c:ser>
        <c:ser>
          <c:idx val="3"/>
          <c:order val="3"/>
          <c:tx>
            <c:strRef>
              <c:f>AGR_DEMAND!$B$11</c:f>
              <c:strCache>
                <c:ptCount val="1"/>
                <c:pt idx="0">
                  <c:v>AGR_DEM_LIV_SWINE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AGR_DEMAND!$D$11:$J$11</c:f>
              <c:numCache>
                <c:formatCode>#,##0.00</c:formatCode>
                <c:ptCount val="7"/>
                <c:pt idx="0">
                  <c:v>9078.25</c:v>
                </c:pt>
                <c:pt idx="1">
                  <c:v>9225.2209999999995</c:v>
                </c:pt>
                <c:pt idx="2">
                  <c:v>8695.3417280420745</c:v>
                </c:pt>
                <c:pt idx="3">
                  <c:v>7297.2231471956711</c:v>
                </c:pt>
                <c:pt idx="4">
                  <c:v>6294.2587822681853</c:v>
                </c:pt>
                <c:pt idx="5">
                  <c:v>5481.7798478757122</c:v>
                </c:pt>
                <c:pt idx="6">
                  <c:v>4765.3748163877262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D7-4BEB-A118-2A640F0A1969}"/>
            </c:ext>
          </c:extLst>
        </c:ser>
        <c:ser>
          <c:idx val="4"/>
          <c:order val="4"/>
          <c:tx>
            <c:strRef>
              <c:f>AGR_DEMAND!$B$12</c:f>
              <c:strCache>
                <c:ptCount val="1"/>
                <c:pt idx="0">
                  <c:v>AGR_DEM_LIV_GOAT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AGR_DEMAND!$D$12:$J$12</c:f>
              <c:numCache>
                <c:formatCode>#,##0.00</c:formatCode>
                <c:ptCount val="7"/>
                <c:pt idx="0">
                  <c:v>64.180000000000007</c:v>
                </c:pt>
                <c:pt idx="1">
                  <c:v>64.180000000000007</c:v>
                </c:pt>
                <c:pt idx="2">
                  <c:v>60.49362200707607</c:v>
                </c:pt>
                <c:pt idx="3">
                  <c:v>50.766890201006369</c:v>
                </c:pt>
                <c:pt idx="4">
                  <c:v>43.789252164904468</c:v>
                </c:pt>
                <c:pt idx="5">
                  <c:v>38.136824108242308</c:v>
                </c:pt>
                <c:pt idx="6">
                  <c:v>33.152783626079447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D7-4BEB-A118-2A640F0A1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4353676999E-2"/>
          <c:y val="0.83426957843258698"/>
          <c:w val="0.93818743195349397"/>
          <c:h val="0.12914522531170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8727034120735"/>
          <c:y val="5.9567303201241088E-2"/>
          <c:w val="0.82757174103237097"/>
          <c:h val="0.68113624353801083"/>
        </c:manualLayout>
      </c:layout>
      <c:lineChart>
        <c:grouping val="standard"/>
        <c:varyColors val="0"/>
        <c:ser>
          <c:idx val="0"/>
          <c:order val="0"/>
          <c:tx>
            <c:strRef>
              <c:f>AGR_DEMAND!$B$13</c:f>
              <c:strCache>
                <c:ptCount val="1"/>
                <c:pt idx="0">
                  <c:v>AGR_DEM_LIV_POULTRY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AGR_DEMAND!$D$4:$J$4</c:f>
              <c:numCache>
                <c:formatCode>General</c:formatCode>
                <c:ptCount val="7"/>
                <c:pt idx="0">
                  <c:v>2024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AGR_DEMAND!$D$13:$J$13</c:f>
              <c:numCache>
                <c:formatCode>#,##0.00</c:formatCode>
                <c:ptCount val="7"/>
                <c:pt idx="0">
                  <c:v>268862.57400000002</c:v>
                </c:pt>
                <c:pt idx="1">
                  <c:v>272993.99099999998</c:v>
                </c:pt>
                <c:pt idx="2">
                  <c:v>257313.73171949401</c:v>
                </c:pt>
                <c:pt idx="3">
                  <c:v>215940.41705564849</c:v>
                </c:pt>
                <c:pt idx="4">
                  <c:v>186260.55954195483</c:v>
                </c:pt>
                <c:pt idx="5">
                  <c:v>162217.57272318608</c:v>
                </c:pt>
                <c:pt idx="6">
                  <c:v>141017.61786916296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67-455B-91C6-913EC27BC7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4515040"/>
        <c:axId val="545435088"/>
      </c:lineChart>
      <c:catAx>
        <c:axId val="45451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45435088"/>
        <c:crosses val="autoZero"/>
        <c:auto val="1"/>
        <c:lblAlgn val="ctr"/>
        <c:lblOffset val="100"/>
        <c:noMultiLvlLbl val="0"/>
      </c:catAx>
      <c:valAx>
        <c:axId val="54543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454515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2321039886606805E-2"/>
          <c:y val="0.83010935487572135"/>
          <c:w val="0.93818743195349397"/>
          <c:h val="0.120969084259975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+mn-lt"/>
        </a:defRPr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7.png"/><Relationship Id="rId7" Type="http://schemas.openxmlformats.org/officeDocument/2006/relationships/chart" Target="../charts/chart2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9.png"/><Relationship Id="rId5" Type="http://schemas.openxmlformats.org/officeDocument/2006/relationships/chart" Target="../charts/chart1.xml"/><Relationship Id="rId4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470645</xdr:colOff>
      <xdr:row>33</xdr:row>
      <xdr:rowOff>159125</xdr:rowOff>
    </xdr:from>
    <xdr:to>
      <xdr:col>42</xdr:col>
      <xdr:colOff>331359</xdr:colOff>
      <xdr:row>63</xdr:row>
      <xdr:rowOff>97213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407B7DE3-F09D-886D-34E9-D42F814A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68527" y="6210301"/>
          <a:ext cx="7727244" cy="4855790"/>
        </a:xfrm>
        <a:prstGeom prst="rect">
          <a:avLst/>
        </a:prstGeom>
      </xdr:spPr>
    </xdr:pic>
    <xdr:clientData/>
  </xdr:twoCellAnchor>
  <xdr:twoCellAnchor editAs="oneCell">
    <xdr:from>
      <xdr:col>30</xdr:col>
      <xdr:colOff>57151</xdr:colOff>
      <xdr:row>64</xdr:row>
      <xdr:rowOff>127187</xdr:rowOff>
    </xdr:from>
    <xdr:to>
      <xdr:col>42</xdr:col>
      <xdr:colOff>152606</xdr:colOff>
      <xdr:row>93</xdr:row>
      <xdr:rowOff>153206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ED91211B-1725-E9DA-2CA9-16D007C2A9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1" y="11243422"/>
          <a:ext cx="7356868" cy="4655730"/>
        </a:xfrm>
        <a:prstGeom prst="rect">
          <a:avLst/>
        </a:prstGeom>
      </xdr:spPr>
    </xdr:pic>
    <xdr:clientData/>
  </xdr:twoCellAnchor>
  <xdr:twoCellAnchor editAs="oneCell">
    <xdr:from>
      <xdr:col>16</xdr:col>
      <xdr:colOff>582705</xdr:colOff>
      <xdr:row>34</xdr:row>
      <xdr:rowOff>139516</xdr:rowOff>
    </xdr:from>
    <xdr:to>
      <xdr:col>29</xdr:col>
      <xdr:colOff>300830</xdr:colOff>
      <xdr:row>63</xdr:row>
      <xdr:rowOff>156324</xdr:rowOff>
    </xdr:to>
    <xdr:pic>
      <xdr:nvPicPr>
        <xdr:cNvPr id="5" name="Obraz 4">
          <a:extLst>
            <a:ext uri="{FF2B5EF4-FFF2-40B4-BE49-F238E27FC236}">
              <a16:creationId xmlns:a16="http://schemas.microsoft.com/office/drawing/2014/main" id="{08565E85-CEF7-21EA-33A0-7CB4A8219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114058" y="6392398"/>
          <a:ext cx="7584655" cy="4727761"/>
        </a:xfrm>
        <a:prstGeom prst="rect">
          <a:avLst/>
        </a:prstGeom>
      </xdr:spPr>
    </xdr:pic>
    <xdr:clientData/>
  </xdr:twoCellAnchor>
  <xdr:twoCellAnchor editAs="oneCell">
    <xdr:from>
      <xdr:col>50</xdr:col>
      <xdr:colOff>45385</xdr:colOff>
      <xdr:row>9</xdr:row>
      <xdr:rowOff>76481</xdr:rowOff>
    </xdr:from>
    <xdr:to>
      <xdr:col>64</xdr:col>
      <xdr:colOff>481788</xdr:colOff>
      <xdr:row>34</xdr:row>
      <xdr:rowOff>102011</xdr:rowOff>
    </xdr:to>
    <xdr:pic>
      <xdr:nvPicPr>
        <xdr:cNvPr id="6" name="Obraz 5">
          <a:extLst>
            <a:ext uri="{FF2B5EF4-FFF2-40B4-BE49-F238E27FC236}">
              <a16:creationId xmlns:a16="http://schemas.microsoft.com/office/drawing/2014/main" id="{5E6891FC-8467-18F9-F236-84952BDEF7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7910061" y="1914246"/>
          <a:ext cx="8831023" cy="4440647"/>
        </a:xfrm>
        <a:prstGeom prst="rect">
          <a:avLst/>
        </a:prstGeom>
      </xdr:spPr>
    </xdr:pic>
    <xdr:clientData/>
  </xdr:twoCellAnchor>
  <xdr:twoCellAnchor>
    <xdr:from>
      <xdr:col>14</xdr:col>
      <xdr:colOff>4140</xdr:colOff>
      <xdr:row>12</xdr:row>
      <xdr:rowOff>8283</xdr:rowOff>
    </xdr:from>
    <xdr:to>
      <xdr:col>24</xdr:col>
      <xdr:colOff>49694</xdr:colOff>
      <xdr:row>32</xdr:row>
      <xdr:rowOff>16565</xdr:rowOff>
    </xdr:to>
    <xdr:graphicFrame macro="">
      <xdr:nvGraphicFramePr>
        <xdr:cNvPr id="7" name="Wykres 6">
          <a:extLst>
            <a:ext uri="{FF2B5EF4-FFF2-40B4-BE49-F238E27FC236}">
              <a16:creationId xmlns:a16="http://schemas.microsoft.com/office/drawing/2014/main" id="{B6C77413-164C-BB54-F675-E5D8D6CE8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201681</xdr:colOff>
      <xdr:row>80</xdr:row>
      <xdr:rowOff>1049</xdr:rowOff>
    </xdr:from>
    <xdr:to>
      <xdr:col>23</xdr:col>
      <xdr:colOff>381000</xdr:colOff>
      <xdr:row>114</xdr:row>
      <xdr:rowOff>14907</xdr:rowOff>
    </xdr:to>
    <xdr:pic>
      <xdr:nvPicPr>
        <xdr:cNvPr id="8" name="Obraz 7">
          <a:extLst>
            <a:ext uri="{FF2B5EF4-FFF2-40B4-BE49-F238E27FC236}">
              <a16:creationId xmlns:a16="http://schemas.microsoft.com/office/drawing/2014/main" id="{F03F2562-BBAE-DE2C-5476-9D886FBD4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4529" y="14122897"/>
          <a:ext cx="9546949" cy="5753706"/>
        </a:xfrm>
        <a:prstGeom prst="rect">
          <a:avLst/>
        </a:prstGeom>
      </xdr:spPr>
    </xdr:pic>
    <xdr:clientData/>
  </xdr:twoCellAnchor>
  <xdr:twoCellAnchor>
    <xdr:from>
      <xdr:col>13</xdr:col>
      <xdr:colOff>742293</xdr:colOff>
      <xdr:row>90</xdr:row>
      <xdr:rowOff>72258</xdr:rowOff>
    </xdr:from>
    <xdr:to>
      <xdr:col>13</xdr:col>
      <xdr:colOff>742293</xdr:colOff>
      <xdr:row>103</xdr:row>
      <xdr:rowOff>118242</xdr:rowOff>
    </xdr:to>
    <xdr:cxnSp macro="">
      <xdr:nvCxnSpPr>
        <xdr:cNvPr id="10" name="Łącznik prosty 9">
          <a:extLst>
            <a:ext uri="{FF2B5EF4-FFF2-40B4-BE49-F238E27FC236}">
              <a16:creationId xmlns:a16="http://schemas.microsoft.com/office/drawing/2014/main" id="{8C6CF375-A6CD-F995-E855-58E2EA9AA7E4}"/>
            </a:ext>
          </a:extLst>
        </xdr:cNvPr>
        <xdr:cNvCxnSpPr/>
      </xdr:nvCxnSpPr>
      <xdr:spPr bwMode="auto">
        <a:xfrm flipV="1">
          <a:off x="13880224" y="15745810"/>
          <a:ext cx="0" cy="2226880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13</xdr:col>
      <xdr:colOff>237226</xdr:colOff>
      <xdr:row>92</xdr:row>
      <xdr:rowOff>117779</xdr:rowOff>
    </xdr:from>
    <xdr:to>
      <xdr:col>20</xdr:col>
      <xdr:colOff>380094</xdr:colOff>
      <xdr:row>92</xdr:row>
      <xdr:rowOff>140054</xdr:rowOff>
    </xdr:to>
    <xdr:cxnSp macro="">
      <xdr:nvCxnSpPr>
        <xdr:cNvPr id="12" name="Łącznik prosty 11">
          <a:extLst>
            <a:ext uri="{FF2B5EF4-FFF2-40B4-BE49-F238E27FC236}">
              <a16:creationId xmlns:a16="http://schemas.microsoft.com/office/drawing/2014/main" id="{E8637DC6-3FAD-4BD0-4F4E-8182CFC3EE88}"/>
            </a:ext>
          </a:extLst>
        </xdr:cNvPr>
        <xdr:cNvCxnSpPr/>
      </xdr:nvCxnSpPr>
      <xdr:spPr bwMode="auto">
        <a:xfrm flipH="1" flipV="1">
          <a:off x="13604575" y="16051487"/>
          <a:ext cx="4980849" cy="2227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15</xdr:col>
      <xdr:colOff>32349</xdr:colOff>
      <xdr:row>91</xdr:row>
      <xdr:rowOff>21566</xdr:rowOff>
    </xdr:from>
    <xdr:to>
      <xdr:col>15</xdr:col>
      <xdr:colOff>38546</xdr:colOff>
      <xdr:row>103</xdr:row>
      <xdr:rowOff>157532</xdr:rowOff>
    </xdr:to>
    <xdr:cxnSp macro="">
      <xdr:nvCxnSpPr>
        <xdr:cNvPr id="14" name="Łącznik prosty 13">
          <a:extLst>
            <a:ext uri="{FF2B5EF4-FFF2-40B4-BE49-F238E27FC236}">
              <a16:creationId xmlns:a16="http://schemas.microsoft.com/office/drawing/2014/main" id="{C2FF5F72-A4FA-4F71-B819-7DB910B2F552}"/>
            </a:ext>
          </a:extLst>
        </xdr:cNvPr>
        <xdr:cNvCxnSpPr/>
      </xdr:nvCxnSpPr>
      <xdr:spPr bwMode="auto">
        <a:xfrm flipH="1" flipV="1">
          <a:off x="14963236" y="15793528"/>
          <a:ext cx="6197" cy="213801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16</xdr:col>
      <xdr:colOff>104236</xdr:colOff>
      <xdr:row>92</xdr:row>
      <xdr:rowOff>46727</xdr:rowOff>
    </xdr:from>
    <xdr:to>
      <xdr:col>16</xdr:col>
      <xdr:colOff>118936</xdr:colOff>
      <xdr:row>103</xdr:row>
      <xdr:rowOff>154261</xdr:rowOff>
    </xdr:to>
    <xdr:cxnSp macro="">
      <xdr:nvCxnSpPr>
        <xdr:cNvPr id="16" name="Łącznik prosty 15">
          <a:extLst>
            <a:ext uri="{FF2B5EF4-FFF2-40B4-BE49-F238E27FC236}">
              <a16:creationId xmlns:a16="http://schemas.microsoft.com/office/drawing/2014/main" id="{DCCFCAE6-44BA-43D0-8445-356E6BDFDFB9}"/>
            </a:ext>
          </a:extLst>
        </xdr:cNvPr>
        <xdr:cNvCxnSpPr/>
      </xdr:nvCxnSpPr>
      <xdr:spPr bwMode="auto">
        <a:xfrm flipH="1" flipV="1">
          <a:off x="15865415" y="15980435"/>
          <a:ext cx="14700" cy="1947835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17</xdr:col>
      <xdr:colOff>388189</xdr:colOff>
      <xdr:row>92</xdr:row>
      <xdr:rowOff>118613</xdr:rowOff>
    </xdr:from>
    <xdr:to>
      <xdr:col>17</xdr:col>
      <xdr:colOff>404326</xdr:colOff>
      <xdr:row>103</xdr:row>
      <xdr:rowOff>148510</xdr:rowOff>
    </xdr:to>
    <xdr:cxnSp macro="">
      <xdr:nvCxnSpPr>
        <xdr:cNvPr id="18" name="Łącznik prosty 17">
          <a:extLst>
            <a:ext uri="{FF2B5EF4-FFF2-40B4-BE49-F238E27FC236}">
              <a16:creationId xmlns:a16="http://schemas.microsoft.com/office/drawing/2014/main" id="{98FF4258-B80A-455E-B636-F23B85C7A467}"/>
            </a:ext>
          </a:extLst>
        </xdr:cNvPr>
        <xdr:cNvCxnSpPr/>
      </xdr:nvCxnSpPr>
      <xdr:spPr bwMode="auto">
        <a:xfrm flipH="1" flipV="1">
          <a:off x="16760406" y="16052321"/>
          <a:ext cx="16137" cy="1870198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19</xdr:col>
      <xdr:colOff>82669</xdr:colOff>
      <xdr:row>92</xdr:row>
      <xdr:rowOff>154556</xdr:rowOff>
    </xdr:from>
    <xdr:to>
      <xdr:col>19</xdr:col>
      <xdr:colOff>86586</xdr:colOff>
      <xdr:row>103</xdr:row>
      <xdr:rowOff>161448</xdr:rowOff>
    </xdr:to>
    <xdr:cxnSp macro="">
      <xdr:nvCxnSpPr>
        <xdr:cNvPr id="20" name="Łącznik prosty 19">
          <a:extLst>
            <a:ext uri="{FF2B5EF4-FFF2-40B4-BE49-F238E27FC236}">
              <a16:creationId xmlns:a16="http://schemas.microsoft.com/office/drawing/2014/main" id="{EF99F296-05FE-4147-90C0-49DFF64238D0}"/>
            </a:ext>
          </a:extLst>
        </xdr:cNvPr>
        <xdr:cNvCxnSpPr/>
      </xdr:nvCxnSpPr>
      <xdr:spPr bwMode="auto">
        <a:xfrm flipH="1" flipV="1">
          <a:off x="17676961" y="16088264"/>
          <a:ext cx="3917" cy="1847193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20</xdr:col>
      <xdr:colOff>373812</xdr:colOff>
      <xdr:row>92</xdr:row>
      <xdr:rowOff>158151</xdr:rowOff>
    </xdr:from>
    <xdr:to>
      <xdr:col>20</xdr:col>
      <xdr:colOff>381323</xdr:colOff>
      <xdr:row>103</xdr:row>
      <xdr:rowOff>150666</xdr:rowOff>
    </xdr:to>
    <xdr:cxnSp macro="">
      <xdr:nvCxnSpPr>
        <xdr:cNvPr id="22" name="Łącznik prosty 21">
          <a:extLst>
            <a:ext uri="{FF2B5EF4-FFF2-40B4-BE49-F238E27FC236}">
              <a16:creationId xmlns:a16="http://schemas.microsoft.com/office/drawing/2014/main" id="{0DD9969C-08AE-47FA-95AD-276CB8AC6F75}"/>
            </a:ext>
          </a:extLst>
        </xdr:cNvPr>
        <xdr:cNvCxnSpPr/>
      </xdr:nvCxnSpPr>
      <xdr:spPr bwMode="auto">
        <a:xfrm flipH="1" flipV="1">
          <a:off x="18579142" y="16091859"/>
          <a:ext cx="7511" cy="1832816"/>
        </a:xfrm>
        <a:prstGeom prst="line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</xdr:cxnSp>
    <xdr:clientData/>
  </xdr:twoCellAnchor>
  <xdr:twoCellAnchor>
    <xdr:from>
      <xdr:col>25</xdr:col>
      <xdr:colOff>102054</xdr:colOff>
      <xdr:row>1</xdr:row>
      <xdr:rowOff>47624</xdr:rowOff>
    </xdr:from>
    <xdr:to>
      <xdr:col>35</xdr:col>
      <xdr:colOff>429955</xdr:colOff>
      <xdr:row>17</xdr:row>
      <xdr:rowOff>98913</xdr:rowOff>
    </xdr:to>
    <xdr:graphicFrame macro="">
      <xdr:nvGraphicFramePr>
        <xdr:cNvPr id="29" name="Wykres 28">
          <a:extLst>
            <a:ext uri="{FF2B5EF4-FFF2-40B4-BE49-F238E27FC236}">
              <a16:creationId xmlns:a16="http://schemas.microsoft.com/office/drawing/2014/main" id="{0852EACB-474F-46CB-87AC-149017FB54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29048</xdr:colOff>
      <xdr:row>14</xdr:row>
      <xdr:rowOff>171920</xdr:rowOff>
    </xdr:from>
    <xdr:to>
      <xdr:col>35</xdr:col>
      <xdr:colOff>418443</xdr:colOff>
      <xdr:row>33</xdr:row>
      <xdr:rowOff>58615</xdr:rowOff>
    </xdr:to>
    <xdr:graphicFrame macro="">
      <xdr:nvGraphicFramePr>
        <xdr:cNvPr id="30" name="Wykres 29">
          <a:extLst>
            <a:ext uri="{FF2B5EF4-FFF2-40B4-BE49-F238E27FC236}">
              <a16:creationId xmlns:a16="http://schemas.microsoft.com/office/drawing/2014/main" id="{464C6E2B-3A95-4314-83DB-BF7D1C9A5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68" t="s">
        <v>0</v>
      </c>
      <c r="E14" s="168"/>
      <c r="F14" s="169" t="s">
        <v>1</v>
      </c>
      <c r="G14" s="169"/>
      <c r="H14" s="169"/>
      <c r="J14" s="41"/>
      <c r="K14" s="43"/>
      <c r="L14" s="52"/>
    </row>
    <row r="15" spans="1:15">
      <c r="A15" s="52"/>
      <c r="B15" s="47"/>
      <c r="C15" s="42"/>
      <c r="D15" s="39"/>
      <c r="E15" s="39"/>
      <c r="F15" s="169"/>
      <c r="G15" s="169"/>
      <c r="H15" s="169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68" t="s">
        <v>2</v>
      </c>
      <c r="E18" s="168"/>
      <c r="F18" s="169" t="s">
        <v>3</v>
      </c>
      <c r="G18" s="169"/>
      <c r="H18" s="169"/>
      <c r="I18" s="169"/>
      <c r="J18" s="41"/>
      <c r="K18" s="43"/>
      <c r="L18" s="52"/>
    </row>
    <row r="19" spans="1:12">
      <c r="A19" s="52"/>
      <c r="B19" s="47"/>
      <c r="C19" s="42"/>
      <c r="D19" s="39"/>
      <c r="E19" s="39"/>
      <c r="F19" s="169"/>
      <c r="G19" s="169"/>
      <c r="H19" s="169"/>
      <c r="I19" s="169"/>
      <c r="J19" s="41"/>
      <c r="K19" s="43"/>
      <c r="L19" s="52"/>
    </row>
    <row r="20" spans="1:12">
      <c r="A20" s="52"/>
      <c r="B20" s="47"/>
      <c r="C20" s="42"/>
      <c r="D20" s="39"/>
      <c r="E20" s="39"/>
      <c r="F20" s="169"/>
      <c r="G20" s="169"/>
      <c r="H20" s="169"/>
      <c r="I20" s="169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68" t="s">
        <v>4</v>
      </c>
      <c r="E22" s="168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68" t="s">
        <v>6</v>
      </c>
      <c r="E28" s="168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68" t="s">
        <v>9</v>
      </c>
      <c r="E32" s="168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70" t="s">
        <v>11</v>
      </c>
      <c r="E4" s="170"/>
      <c r="F4" s="170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0" t="s">
        <v>144</v>
      </c>
      <c r="E6" s="139"/>
      <c r="F6" s="139"/>
      <c r="G6" s="41"/>
      <c r="H6" s="43"/>
      <c r="I6" s="52"/>
    </row>
    <row r="7" spans="1:9" ht="18.75">
      <c r="A7" s="52"/>
      <c r="B7" s="47"/>
      <c r="C7" s="42"/>
      <c r="D7" s="138"/>
      <c r="E7" s="137"/>
      <c r="F7" s="137"/>
      <c r="G7" s="41"/>
      <c r="H7" s="43"/>
      <c r="I7" s="52"/>
    </row>
    <row r="8" spans="1:9" ht="18.75">
      <c r="A8" s="52"/>
      <c r="B8" s="47"/>
      <c r="C8" s="42"/>
      <c r="D8" s="141" t="s">
        <v>145</v>
      </c>
      <c r="E8" s="141" t="s">
        <v>146</v>
      </c>
      <c r="F8" s="141" t="s">
        <v>147</v>
      </c>
      <c r="G8" s="41"/>
      <c r="H8" s="43"/>
      <c r="I8" s="52"/>
    </row>
    <row r="9" spans="1:9" ht="18.75">
      <c r="A9" s="52"/>
      <c r="B9" s="47"/>
      <c r="C9" s="42"/>
      <c r="D9" s="136" t="s">
        <v>151</v>
      </c>
      <c r="E9" s="142" t="s">
        <v>148</v>
      </c>
      <c r="F9" s="136" t="s">
        <v>149</v>
      </c>
      <c r="G9" s="41"/>
      <c r="H9" s="43"/>
      <c r="I9" s="52"/>
    </row>
    <row r="10" spans="1:9" ht="18.75">
      <c r="A10" s="52"/>
      <c r="B10" s="47"/>
      <c r="C10" s="42"/>
      <c r="D10" s="136" t="s">
        <v>152</v>
      </c>
      <c r="E10" s="142" t="s">
        <v>148</v>
      </c>
      <c r="F10" s="136" t="s">
        <v>150</v>
      </c>
      <c r="G10" s="41"/>
      <c r="H10" s="43"/>
      <c r="I10" s="52"/>
    </row>
    <row r="11" spans="1:9" ht="18.75">
      <c r="A11" s="52"/>
      <c r="B11" s="47"/>
      <c r="C11" s="42"/>
      <c r="D11" s="136" t="s">
        <v>153</v>
      </c>
      <c r="E11" s="142" t="s">
        <v>148</v>
      </c>
      <c r="F11" s="136" t="s">
        <v>161</v>
      </c>
      <c r="G11" s="41"/>
      <c r="H11" s="43"/>
      <c r="I11" s="52"/>
    </row>
    <row r="12" spans="1:9" ht="18.75">
      <c r="A12" s="52"/>
      <c r="B12" s="47"/>
      <c r="C12" s="42"/>
      <c r="D12" s="136" t="s">
        <v>154</v>
      </c>
      <c r="E12" s="142" t="s">
        <v>148</v>
      </c>
      <c r="F12" s="136" t="s">
        <v>161</v>
      </c>
      <c r="G12" s="41"/>
      <c r="H12" s="43"/>
      <c r="I12" s="52"/>
    </row>
    <row r="13" spans="1:9" ht="18.75">
      <c r="A13" s="52"/>
      <c r="B13" s="47"/>
      <c r="C13" s="42"/>
      <c r="D13" s="136" t="s">
        <v>155</v>
      </c>
      <c r="E13" s="142" t="s">
        <v>148</v>
      </c>
      <c r="F13" s="136" t="s">
        <v>161</v>
      </c>
      <c r="G13" s="41"/>
      <c r="H13" s="43"/>
      <c r="I13" s="52"/>
    </row>
    <row r="14" spans="1:9" ht="18.75">
      <c r="A14" s="52"/>
      <c r="B14" s="47"/>
      <c r="C14" s="42"/>
      <c r="D14" s="136" t="s">
        <v>156</v>
      </c>
      <c r="E14" s="27" t="s">
        <v>148</v>
      </c>
      <c r="F14" s="136" t="s">
        <v>161</v>
      </c>
      <c r="G14" s="41"/>
      <c r="H14" s="43"/>
      <c r="I14" s="52"/>
    </row>
    <row r="15" spans="1:9" ht="18.75">
      <c r="A15" s="52"/>
      <c r="B15" s="47"/>
      <c r="C15" s="42"/>
      <c r="D15" s="136" t="s">
        <v>157</v>
      </c>
      <c r="E15" s="27" t="s">
        <v>162</v>
      </c>
      <c r="F15" s="26"/>
      <c r="G15" s="41"/>
      <c r="H15" s="43"/>
      <c r="I15" s="52"/>
    </row>
    <row r="16" spans="1:9" ht="18.75">
      <c r="A16" s="52"/>
      <c r="B16" s="47"/>
      <c r="C16" s="42"/>
      <c r="D16" s="136" t="s">
        <v>158</v>
      </c>
      <c r="E16" s="27" t="s">
        <v>162</v>
      </c>
      <c r="F16" s="26"/>
      <c r="G16" s="41"/>
      <c r="H16" s="43"/>
      <c r="I16" s="52"/>
    </row>
    <row r="17" spans="1:9" ht="18.75">
      <c r="A17" s="52"/>
      <c r="B17" s="47"/>
      <c r="C17" s="42"/>
      <c r="D17" s="136" t="s">
        <v>159</v>
      </c>
      <c r="E17" s="27" t="s">
        <v>162</v>
      </c>
      <c r="F17" s="26"/>
      <c r="G17" s="41"/>
      <c r="H17" s="43"/>
      <c r="I17" s="52"/>
    </row>
    <row r="18" spans="1:9" ht="18.75">
      <c r="A18" s="52"/>
      <c r="B18" s="47"/>
      <c r="C18" s="42"/>
      <c r="D18" s="136" t="s">
        <v>160</v>
      </c>
      <c r="E18" s="27" t="s">
        <v>148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164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171</v>
      </c>
      <c r="E7" s="14" t="s">
        <v>173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172</v>
      </c>
      <c r="E8" s="21" t="s">
        <v>166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174</v>
      </c>
      <c r="E9" s="18" t="s">
        <v>177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175</v>
      </c>
      <c r="E10" s="16" t="s">
        <v>179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176</v>
      </c>
      <c r="E11" s="144" t="s">
        <v>178</v>
      </c>
      <c r="F11" s="144" t="s">
        <v>34</v>
      </c>
      <c r="G11" s="145"/>
      <c r="H11" s="145"/>
      <c r="I11" s="146"/>
      <c r="J11" s="146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163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167</v>
      </c>
      <c r="E7" s="14" t="s">
        <v>169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168</v>
      </c>
      <c r="E8" s="10" t="s">
        <v>170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180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BV137"/>
  <sheetViews>
    <sheetView tabSelected="1" zoomScale="115" zoomScaleNormal="115" zoomScaleSheetLayoutView="50" workbookViewId="0">
      <selection activeCell="M32" sqref="M32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2.140625" style="72" customWidth="1"/>
    <col min="11" max="11" width="11" style="72" customWidth="1"/>
    <col min="12" max="12" width="11.5703125" style="72" customWidth="1"/>
    <col min="13" max="13" width="17.7109375" style="72" bestFit="1" customWidth="1"/>
    <col min="14" max="14" width="11.5703125" style="72" customWidth="1"/>
    <col min="15" max="15" width="11.85546875" style="72" customWidth="1"/>
    <col min="16" max="16" width="12.42578125" style="72" customWidth="1"/>
    <col min="17" max="45" width="9.140625" style="72"/>
    <col min="46" max="46" width="12.5703125" style="72" customWidth="1"/>
    <col min="47" max="47" width="11.7109375" style="72" bestFit="1" customWidth="1"/>
    <col min="48" max="48" width="11.140625" style="72" customWidth="1"/>
    <col min="49" max="49" width="23.42578125" style="72" bestFit="1" customWidth="1"/>
    <col min="50" max="50" width="13" style="72" customWidth="1"/>
    <col min="51" max="51" width="9.140625" style="72" customWidth="1"/>
    <col min="52" max="56" width="9.140625" style="72"/>
    <col min="57" max="57" width="6" style="72" bestFit="1" customWidth="1"/>
    <col min="58" max="58" width="11.140625" style="72" bestFit="1" customWidth="1"/>
    <col min="59" max="65" width="9.140625" style="72"/>
    <col min="66" max="66" width="28.42578125" style="72" bestFit="1" customWidth="1"/>
    <col min="67" max="16384" width="9.140625" style="72"/>
  </cols>
  <sheetData>
    <row r="2" spans="1:19">
      <c r="A2" s="63"/>
      <c r="B2" s="63"/>
      <c r="C2" s="63"/>
      <c r="D2" s="63"/>
      <c r="E2" s="63"/>
    </row>
    <row r="3" spans="1:19" ht="13.5" thickBot="1">
      <c r="B3" s="65" t="s">
        <v>76</v>
      </c>
      <c r="C3" s="65"/>
      <c r="D3" s="63"/>
    </row>
    <row r="4" spans="1:19" ht="30" thickBot="1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  <c r="O4" s="171" t="s">
        <v>187</v>
      </c>
      <c r="P4" s="172" t="s">
        <v>188</v>
      </c>
      <c r="Q4" s="172" t="s">
        <v>189</v>
      </c>
    </row>
    <row r="5" spans="1:19" ht="13.5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  <c r="O5" s="173">
        <v>2024</v>
      </c>
      <c r="P5" s="174">
        <v>25.3</v>
      </c>
      <c r="Q5" s="174">
        <v>1</v>
      </c>
    </row>
    <row r="6" spans="1:19" ht="16.149999999999999" customHeight="1" thickBot="1">
      <c r="B6" s="67" t="s">
        <v>210</v>
      </c>
      <c r="C6" s="67" t="s">
        <v>31</v>
      </c>
      <c r="D6" s="68"/>
      <c r="E6" s="135"/>
      <c r="F6" s="135"/>
      <c r="G6" s="135"/>
      <c r="H6" s="135"/>
      <c r="I6" s="135"/>
      <c r="J6" s="135"/>
      <c r="O6" s="175">
        <v>2025</v>
      </c>
      <c r="P6" s="176">
        <v>50</v>
      </c>
      <c r="Q6" s="176">
        <v>1.98</v>
      </c>
    </row>
    <row r="7" spans="1:19" ht="16.149999999999999" customHeight="1" thickBot="1">
      <c r="B7" s="69" t="s">
        <v>75</v>
      </c>
      <c r="C7" s="69"/>
      <c r="D7" s="128" t="s">
        <v>78</v>
      </c>
      <c r="E7" s="69"/>
      <c r="F7" s="69"/>
      <c r="G7" s="69"/>
      <c r="H7" s="69"/>
      <c r="I7" s="69"/>
      <c r="J7" s="69"/>
      <c r="O7" s="173">
        <v>2030</v>
      </c>
      <c r="P7" s="177">
        <v>1500</v>
      </c>
      <c r="Q7" s="174">
        <v>59.25</v>
      </c>
      <c r="R7" s="72">
        <f>0.7*P7</f>
        <v>1050</v>
      </c>
      <c r="S7" s="72">
        <f>0.7*Q7</f>
        <v>41.474999999999994</v>
      </c>
    </row>
    <row r="8" spans="1:19" ht="16.149999999999999" customHeight="1" thickBot="1">
      <c r="B8" s="131" t="s">
        <v>79</v>
      </c>
      <c r="C8" s="71" t="s">
        <v>31</v>
      </c>
      <c r="D8" s="129">
        <f>D88/1000</f>
        <v>2101.1590000000001</v>
      </c>
      <c r="E8" s="157">
        <f>D105/1000</f>
        <v>2091.0349999999999</v>
      </c>
      <c r="F8" s="129">
        <v>1970.9298986220986</v>
      </c>
      <c r="G8" s="129">
        <v>1654.0253077510333</v>
      </c>
      <c r="H8" s="157">
        <v>1426.6883593119505</v>
      </c>
      <c r="I8" s="129">
        <v>1242.5277968086386</v>
      </c>
      <c r="J8" s="129">
        <v>1080.14382844436</v>
      </c>
      <c r="O8" s="175">
        <v>2035</v>
      </c>
      <c r="P8" s="178">
        <v>2700</v>
      </c>
      <c r="Q8" s="176">
        <v>106.65</v>
      </c>
      <c r="R8" s="72">
        <f>0.7*P8</f>
        <v>1889.9999999999998</v>
      </c>
      <c r="S8" s="72">
        <f>0.7*Q8</f>
        <v>74.655000000000001</v>
      </c>
    </row>
    <row r="9" spans="1:19" ht="16.149999999999999" customHeight="1" thickBot="1">
      <c r="B9" s="130" t="s">
        <v>80</v>
      </c>
      <c r="C9" s="70" t="s">
        <v>31</v>
      </c>
      <c r="D9" s="158">
        <f>(C88-D88)/1000</f>
        <v>4089.768</v>
      </c>
      <c r="E9" s="159">
        <f>(C105-D105)/1000</f>
        <v>4052.27</v>
      </c>
      <c r="F9" s="158">
        <v>3819.5152641105351</v>
      </c>
      <c r="G9" s="158">
        <v>3205.3777836527279</v>
      </c>
      <c r="H9" s="159">
        <v>2764.815719387308</v>
      </c>
      <c r="I9" s="158">
        <v>2407.9262734357599</v>
      </c>
      <c r="J9" s="158">
        <v>2093.2382440706288</v>
      </c>
      <c r="N9" s="179"/>
      <c r="O9" s="173">
        <v>2040</v>
      </c>
      <c r="P9" s="177">
        <v>3900</v>
      </c>
      <c r="Q9" s="174">
        <v>154.05000000000001</v>
      </c>
      <c r="R9" s="72">
        <f>0.7*P9</f>
        <v>2730</v>
      </c>
      <c r="S9" s="72">
        <f>0.7*Q9</f>
        <v>107.83500000000001</v>
      </c>
    </row>
    <row r="10" spans="1:19" ht="16.149999999999999" customHeight="1" thickBot="1">
      <c r="B10" s="160" t="s">
        <v>81</v>
      </c>
      <c r="C10" s="161" t="s">
        <v>31</v>
      </c>
      <c r="D10" s="162">
        <f>G88/1000</f>
        <v>269.53800000000001</v>
      </c>
      <c r="E10" s="163">
        <f>G105/1000</f>
        <v>267.89400000000001</v>
      </c>
      <c r="F10" s="163">
        <v>252.50667457095099</v>
      </c>
      <c r="G10" s="163">
        <v>211.90628363210342</v>
      </c>
      <c r="H10" s="163">
        <v>182.78089622101771</v>
      </c>
      <c r="I10" s="163">
        <v>159.18707319497449</v>
      </c>
      <c r="J10" s="163">
        <v>138.38316947218644</v>
      </c>
      <c r="N10" s="179"/>
      <c r="O10" s="175">
        <v>2045</v>
      </c>
      <c r="P10" s="178">
        <v>4300</v>
      </c>
      <c r="Q10" s="176">
        <v>169.85</v>
      </c>
      <c r="R10" s="72">
        <f>0.7*P10</f>
        <v>3010</v>
      </c>
      <c r="S10" s="72">
        <f>0.7*Q10</f>
        <v>118.89499999999998</v>
      </c>
    </row>
    <row r="11" spans="1:19" ht="16.149999999999999" customHeight="1" thickBot="1">
      <c r="B11" s="130" t="s">
        <v>82</v>
      </c>
      <c r="C11" s="70" t="s">
        <v>31</v>
      </c>
      <c r="D11" s="158">
        <f>E88/1000</f>
        <v>9078.25</v>
      </c>
      <c r="E11" s="159">
        <f>E105/1000</f>
        <v>9225.2209999999995</v>
      </c>
      <c r="F11" s="158">
        <v>8695.3417280420745</v>
      </c>
      <c r="G11" s="158">
        <v>7297.2231471956711</v>
      </c>
      <c r="H11" s="159">
        <v>6294.2587822681853</v>
      </c>
      <c r="I11" s="158">
        <v>5481.7798478757122</v>
      </c>
      <c r="J11" s="158">
        <v>4765.3748163877262</v>
      </c>
      <c r="N11" s="179"/>
      <c r="O11" s="173">
        <v>2050</v>
      </c>
      <c r="P11" s="177">
        <v>4700</v>
      </c>
      <c r="Q11" s="174">
        <v>185.65</v>
      </c>
      <c r="R11" s="72">
        <f>0.7*P11</f>
        <v>3290</v>
      </c>
      <c r="S11" s="72">
        <f>0.7*Q11</f>
        <v>129.95499999999998</v>
      </c>
    </row>
    <row r="12" spans="1:19" ht="16.149999999999999" customHeight="1">
      <c r="B12" s="160" t="s">
        <v>83</v>
      </c>
      <c r="C12" s="161" t="s">
        <v>31</v>
      </c>
      <c r="D12" s="162">
        <f>I88/1000</f>
        <v>64.180000000000007</v>
      </c>
      <c r="E12" s="163">
        <f t="shared" ref="E9:J28" si="0">D12</f>
        <v>64.180000000000007</v>
      </c>
      <c r="F12" s="163">
        <v>60.49362200707607</v>
      </c>
      <c r="G12" s="163">
        <v>50.766890201006369</v>
      </c>
      <c r="H12" s="163">
        <v>43.789252164904468</v>
      </c>
      <c r="I12" s="163">
        <v>38.136824108242308</v>
      </c>
      <c r="J12" s="163">
        <v>33.152783626079447</v>
      </c>
      <c r="N12" s="179"/>
      <c r="O12" s="179"/>
      <c r="P12" s="179"/>
    </row>
    <row r="13" spans="1:19" ht="16.149999999999999" customHeight="1">
      <c r="B13" s="130" t="s">
        <v>84</v>
      </c>
      <c r="C13" s="70" t="s">
        <v>31</v>
      </c>
      <c r="D13" s="158">
        <f>D94/1000</f>
        <v>268862.57400000002</v>
      </c>
      <c r="E13" s="159">
        <f>C111/1000</f>
        <v>272993.99099999998</v>
      </c>
      <c r="F13" s="158">
        <v>257313.73171949401</v>
      </c>
      <c r="G13" s="158">
        <v>215940.41705564849</v>
      </c>
      <c r="H13" s="159">
        <v>186260.55954195483</v>
      </c>
      <c r="I13" s="158">
        <v>162217.57272318608</v>
      </c>
      <c r="J13" s="158">
        <v>141017.61786916296</v>
      </c>
      <c r="N13" s="179"/>
      <c r="O13" s="179"/>
      <c r="P13" s="179"/>
    </row>
    <row r="14" spans="1:19" ht="16.149999999999999" customHeight="1">
      <c r="B14" s="69" t="s">
        <v>75</v>
      </c>
      <c r="C14" s="69"/>
      <c r="D14" s="128" t="s">
        <v>184</v>
      </c>
      <c r="E14" s="69"/>
      <c r="F14" s="69"/>
      <c r="G14" s="69"/>
      <c r="H14" s="69"/>
      <c r="I14" s="69"/>
      <c r="J14" s="69"/>
      <c r="N14" s="179"/>
      <c r="O14" s="179"/>
      <c r="P14" s="179"/>
    </row>
    <row r="15" spans="1:19" ht="16.149999999999999" customHeight="1">
      <c r="B15" s="131" t="s">
        <v>85</v>
      </c>
      <c r="C15" s="71" t="s">
        <v>31</v>
      </c>
      <c r="D15" s="129">
        <f>H42</f>
        <v>12405.603600000002</v>
      </c>
      <c r="E15" s="157">
        <f>P42</f>
        <v>13494.88049</v>
      </c>
      <c r="F15" s="129">
        <f>E15+(E15*$W$66)</f>
        <v>13696.233569097454</v>
      </c>
      <c r="G15" s="129">
        <f>F15+$M$15</f>
        <v>12461.61739082309</v>
      </c>
      <c r="H15" s="129">
        <f>G15+$M$15</f>
        <v>11227.001212548726</v>
      </c>
      <c r="I15" s="129">
        <f>H15+$M$15</f>
        <v>9992.3850342743626</v>
      </c>
      <c r="J15" s="129">
        <f>AZ42</f>
        <v>8757.7688560000006</v>
      </c>
      <c r="L15" s="185">
        <f>J15-F15</f>
        <v>-4938.4647130974536</v>
      </c>
      <c r="M15" s="72">
        <f>L15/4</f>
        <v>-1234.6161782743634</v>
      </c>
      <c r="N15" s="179"/>
      <c r="O15" s="179"/>
      <c r="P15" s="179"/>
    </row>
    <row r="16" spans="1:19">
      <c r="B16" s="130" t="s">
        <v>86</v>
      </c>
      <c r="C16" s="70" t="s">
        <v>31</v>
      </c>
      <c r="D16" s="158">
        <f>H46</f>
        <v>3017.6627599999997</v>
      </c>
      <c r="E16" s="159">
        <f>P46</f>
        <v>2991.41732</v>
      </c>
      <c r="F16" s="158">
        <f>E16+(E16*$W$67)</f>
        <v>3279.0299302482513</v>
      </c>
      <c r="G16" s="158">
        <f>F16+$M$16</f>
        <v>2977.7284014361885</v>
      </c>
      <c r="H16" s="158">
        <f t="shared" ref="H16:I16" si="1">G16+$M$16</f>
        <v>2676.4268726241257</v>
      </c>
      <c r="I16" s="158">
        <f t="shared" si="1"/>
        <v>2375.125343812063</v>
      </c>
      <c r="J16" s="158">
        <f>AZ46</f>
        <v>2073.8238149999997</v>
      </c>
      <c r="L16" s="185">
        <f t="shared" ref="L16:L28" si="2">J16-F16</f>
        <v>-1205.2061152482515</v>
      </c>
      <c r="M16" s="72">
        <f t="shared" ref="M16:M28" si="3">L16/4</f>
        <v>-301.30152881206288</v>
      </c>
      <c r="N16" s="179"/>
      <c r="O16" s="179"/>
      <c r="P16" s="179"/>
    </row>
    <row r="17" spans="2:19">
      <c r="B17" s="160" t="s">
        <v>87</v>
      </c>
      <c r="C17" s="161" t="s">
        <v>31</v>
      </c>
      <c r="D17" s="162">
        <f>H54</f>
        <v>9396.7107199999991</v>
      </c>
      <c r="E17" s="163">
        <f>P54</f>
        <v>10533.224199999999</v>
      </c>
      <c r="F17" s="129">
        <f>E17+(E17*$W$69)</f>
        <v>11028.193910440143</v>
      </c>
      <c r="G17" s="129">
        <f>F17+$M$17</f>
        <v>8823.6360865801071</v>
      </c>
      <c r="H17" s="129">
        <f t="shared" ref="H17:I17" si="4">G17+$M$17</f>
        <v>6619.0782627200715</v>
      </c>
      <c r="I17" s="129">
        <f t="shared" si="4"/>
        <v>4414.5204388600359</v>
      </c>
      <c r="J17" s="129">
        <f>AZ54</f>
        <v>2209.9626149999999</v>
      </c>
      <c r="L17" s="185">
        <f t="shared" si="2"/>
        <v>-8818.2312954401423</v>
      </c>
      <c r="M17" s="72">
        <f t="shared" si="3"/>
        <v>-2204.5578238600356</v>
      </c>
    </row>
    <row r="18" spans="2:19">
      <c r="B18" s="130" t="s">
        <v>88</v>
      </c>
      <c r="C18" s="70" t="s">
        <v>31</v>
      </c>
      <c r="D18" s="158">
        <f>H52</f>
        <v>832.92</v>
      </c>
      <c r="E18" s="159">
        <f>P52</f>
        <v>710.07839999999999</v>
      </c>
      <c r="F18" s="158">
        <f>E18+(E18*$W$70)</f>
        <v>599.7098380420781</v>
      </c>
      <c r="G18" s="158">
        <f>F18+$M$18</f>
        <v>961.90244853155855</v>
      </c>
      <c r="H18" s="158">
        <f t="shared" ref="H18:I18" si="5">G18+$M$18</f>
        <v>1324.0950590210391</v>
      </c>
      <c r="I18" s="158">
        <f t="shared" si="5"/>
        <v>1686.2876695105197</v>
      </c>
      <c r="J18" s="158">
        <f>AZ52</f>
        <v>2048.4802799999998</v>
      </c>
      <c r="L18" s="185">
        <f t="shared" si="2"/>
        <v>1448.7704419579218</v>
      </c>
      <c r="M18" s="72">
        <f t="shared" si="3"/>
        <v>362.19261048948044</v>
      </c>
    </row>
    <row r="19" spans="2:19">
      <c r="B19" s="160" t="s">
        <v>89</v>
      </c>
      <c r="C19" s="161" t="s">
        <v>31</v>
      </c>
      <c r="D19" s="162">
        <f>H50</f>
        <v>5046.9496000000008</v>
      </c>
      <c r="E19" s="163">
        <f>P50</f>
        <v>5265.1788800000004</v>
      </c>
      <c r="F19" s="129">
        <f>E19+(E19*$W$68)</f>
        <v>4925.3324434833467</v>
      </c>
      <c r="G19" s="129">
        <f>F19+$M$19</f>
        <v>4627.95882061251</v>
      </c>
      <c r="H19" s="129">
        <f t="shared" ref="H19:I19" si="6">G19+$M$19</f>
        <v>4330.5851977416733</v>
      </c>
      <c r="I19" s="129">
        <f t="shared" si="6"/>
        <v>4033.2115748708366</v>
      </c>
      <c r="J19" s="129">
        <f>AZ50</f>
        <v>3735.8379519999999</v>
      </c>
      <c r="L19" s="185">
        <f t="shared" si="2"/>
        <v>-1189.4944914833468</v>
      </c>
      <c r="M19" s="72">
        <f t="shared" si="3"/>
        <v>-297.3736228708367</v>
      </c>
      <c r="S19" s="63"/>
    </row>
    <row r="20" spans="2:19">
      <c r="B20" s="130" t="s">
        <v>90</v>
      </c>
      <c r="C20" s="70" t="s">
        <v>31</v>
      </c>
      <c r="D20" s="158">
        <f>H48</f>
        <v>1645.2395100000001</v>
      </c>
      <c r="E20" s="159">
        <f>P48</f>
        <v>1844.9989699999999</v>
      </c>
      <c r="F20" s="158">
        <f>E20+(E20*$W$68)</f>
        <v>1725.91159621425</v>
      </c>
      <c r="G20" s="158">
        <f>F20+$M$20</f>
        <v>1508.0810034106876</v>
      </c>
      <c r="H20" s="158">
        <f t="shared" ref="H20:I20" si="7">G20+$M$20</f>
        <v>1290.2504106071251</v>
      </c>
      <c r="I20" s="158">
        <f t="shared" si="7"/>
        <v>1072.4198178035626</v>
      </c>
      <c r="J20" s="158">
        <f>AZ48</f>
        <v>854.58922499999994</v>
      </c>
      <c r="L20" s="185">
        <f t="shared" si="2"/>
        <v>-871.3223712142501</v>
      </c>
      <c r="M20" s="72">
        <f t="shared" si="3"/>
        <v>-217.83059280356252</v>
      </c>
      <c r="S20" s="63"/>
    </row>
    <row r="21" spans="2:19">
      <c r="B21" s="160" t="s">
        <v>91</v>
      </c>
      <c r="C21" s="161" t="s">
        <v>31</v>
      </c>
      <c r="D21" s="162">
        <f>H44</f>
        <v>2435.3861700000002</v>
      </c>
      <c r="E21" s="163">
        <f>P44</f>
        <v>2306.9591200000004</v>
      </c>
      <c r="F21" s="129">
        <f>E21+(E21*$W$68)</f>
        <v>2158.0540487782614</v>
      </c>
      <c r="G21" s="129">
        <f>F21+$M$21</f>
        <v>1971.3780670836961</v>
      </c>
      <c r="H21" s="129">
        <f t="shared" ref="H21:I21" si="8">G21+$M$21</f>
        <v>1784.7020853891308</v>
      </c>
      <c r="I21" s="129">
        <f t="shared" si="8"/>
        <v>1598.0261036945656</v>
      </c>
      <c r="J21" s="129">
        <f>AZ44</f>
        <v>1411.3501220000001</v>
      </c>
      <c r="L21" s="185">
        <f t="shared" si="2"/>
        <v>-746.70392677826135</v>
      </c>
      <c r="M21" s="72">
        <f t="shared" si="3"/>
        <v>-186.67598169456534</v>
      </c>
      <c r="S21" s="63"/>
    </row>
    <row r="22" spans="2:19">
      <c r="B22" s="130" t="s">
        <v>92</v>
      </c>
      <c r="C22" s="70" t="s">
        <v>31</v>
      </c>
      <c r="D22" s="158">
        <f>H56+H58</f>
        <v>185.32583</v>
      </c>
      <c r="E22" s="159">
        <f>P56+P58</f>
        <v>156.99617000000001</v>
      </c>
      <c r="F22" s="158">
        <f>E22+(E22*$W$70)</f>
        <v>132.59401734220697</v>
      </c>
      <c r="G22" s="158">
        <f>F22+$M$22</f>
        <v>116.88393575665523</v>
      </c>
      <c r="H22" s="158">
        <f t="shared" ref="H22:I22" si="9">G22+$M$22</f>
        <v>101.1738541711035</v>
      </c>
      <c r="I22" s="158">
        <f t="shared" si="9"/>
        <v>85.463772585551766</v>
      </c>
      <c r="J22" s="158">
        <f>AZ56+AZ58</f>
        <v>69.753691000000003</v>
      </c>
      <c r="L22" s="185">
        <f t="shared" si="2"/>
        <v>-62.840326342206964</v>
      </c>
      <c r="M22" s="72">
        <f t="shared" si="3"/>
        <v>-15.710081585551741</v>
      </c>
      <c r="S22" s="63"/>
    </row>
    <row r="23" spans="2:19">
      <c r="B23" s="160" t="s">
        <v>93</v>
      </c>
      <c r="C23" s="161" t="s">
        <v>31</v>
      </c>
      <c r="D23" s="162">
        <f>H66</f>
        <v>779.12891000000002</v>
      </c>
      <c r="E23" s="163">
        <f>P66</f>
        <v>703.32180000000005</v>
      </c>
      <c r="F23" s="129">
        <f>E23+(E23*$W$72)</f>
        <v>772.7423964107677</v>
      </c>
      <c r="G23" s="129">
        <f>F23+$M$23</f>
        <v>622.34230730807576</v>
      </c>
      <c r="H23" s="129">
        <f t="shared" ref="H23:I23" si="10">G23+$M$23</f>
        <v>471.94221820538382</v>
      </c>
      <c r="I23" s="129">
        <f t="shared" si="10"/>
        <v>321.54212910269189</v>
      </c>
      <c r="J23" s="129">
        <f>AX64</f>
        <v>171.14204000000001</v>
      </c>
      <c r="L23" s="185">
        <f t="shared" si="2"/>
        <v>-601.60035641076774</v>
      </c>
      <c r="M23" s="72">
        <f t="shared" si="3"/>
        <v>-150.40008910269194</v>
      </c>
      <c r="S23" s="63"/>
    </row>
    <row r="24" spans="2:19">
      <c r="B24" s="130" t="s">
        <v>94</v>
      </c>
      <c r="C24" s="70" t="s">
        <v>31</v>
      </c>
      <c r="D24" s="158">
        <f>H64</f>
        <v>513.29357999999991</v>
      </c>
      <c r="E24" s="159">
        <f>P64</f>
        <v>540.8052100000001</v>
      </c>
      <c r="F24" s="158">
        <f>E24+(E24*W72)</f>
        <v>594.18478705882364</v>
      </c>
      <c r="G24" s="158">
        <f>F24+$M$24</f>
        <v>623.69459029411769</v>
      </c>
      <c r="H24" s="158">
        <f t="shared" ref="H24:I24" si="11">G24+$M$24</f>
        <v>653.20439352941173</v>
      </c>
      <c r="I24" s="158">
        <f t="shared" si="11"/>
        <v>682.71419676470578</v>
      </c>
      <c r="J24" s="158">
        <f>AZ66</f>
        <v>712.22399999999993</v>
      </c>
      <c r="L24" s="185">
        <f t="shared" si="2"/>
        <v>118.03921294117629</v>
      </c>
      <c r="M24" s="72">
        <f t="shared" si="3"/>
        <v>29.509803235294072</v>
      </c>
    </row>
    <row r="25" spans="2:19">
      <c r="B25" s="160" t="s">
        <v>95</v>
      </c>
      <c r="C25" s="161" t="s">
        <v>31</v>
      </c>
      <c r="D25" s="162">
        <f>H60</f>
        <v>5923.7602000000006</v>
      </c>
      <c r="E25" s="163">
        <f>P60</f>
        <v>7004.0130000000008</v>
      </c>
      <c r="F25" s="129">
        <f>E25+(E25*$W$73)</f>
        <v>5676.694237514519</v>
      </c>
      <c r="G25" s="129">
        <f>F25+$M$25</f>
        <v>6149.7571781358893</v>
      </c>
      <c r="H25" s="129">
        <f t="shared" ref="H25:I25" si="12">G25+$M$25</f>
        <v>6622.8201187572595</v>
      </c>
      <c r="I25" s="129">
        <f t="shared" si="12"/>
        <v>7095.8830593786297</v>
      </c>
      <c r="J25" s="129">
        <f>AZ60</f>
        <v>7568.9459999999999</v>
      </c>
      <c r="L25" s="185">
        <f t="shared" si="2"/>
        <v>1892.2517624854809</v>
      </c>
      <c r="M25" s="72">
        <f t="shared" si="3"/>
        <v>473.06294062137022</v>
      </c>
    </row>
    <row r="26" spans="2:19">
      <c r="B26" s="130" t="s">
        <v>96</v>
      </c>
      <c r="C26" s="70" t="s">
        <v>31</v>
      </c>
      <c r="D26" s="158">
        <f>H62</f>
        <v>3468.2807199999997</v>
      </c>
      <c r="E26" s="159">
        <f>P62</f>
        <v>3862.9631600000007</v>
      </c>
      <c r="F26" s="158">
        <f>E26+(E26*$W$71)</f>
        <v>4150.3860141666673</v>
      </c>
      <c r="G26" s="158">
        <f>F26+$M$26</f>
        <v>3803.7793606250007</v>
      </c>
      <c r="H26" s="158">
        <f t="shared" ref="H26:I26" si="13">G26+$M$26</f>
        <v>3457.172707083334</v>
      </c>
      <c r="I26" s="158">
        <f t="shared" si="13"/>
        <v>3110.5660535416673</v>
      </c>
      <c r="J26" s="158">
        <f>AZ62</f>
        <v>2763.9594000000002</v>
      </c>
      <c r="L26" s="185">
        <f t="shared" si="2"/>
        <v>-1386.4266141666672</v>
      </c>
      <c r="M26" s="72">
        <f t="shared" si="3"/>
        <v>-346.60665354166679</v>
      </c>
    </row>
    <row r="27" spans="2:19">
      <c r="B27" s="160" t="s">
        <v>97</v>
      </c>
      <c r="C27" s="161" t="s">
        <v>31</v>
      </c>
      <c r="D27" s="162">
        <v>0</v>
      </c>
      <c r="E27" s="163">
        <f t="shared" si="0"/>
        <v>0</v>
      </c>
      <c r="F27" s="129">
        <f t="shared" ref="F27:F28" si="14">E27+(E27*W78)</f>
        <v>0</v>
      </c>
      <c r="G27" s="129">
        <f t="shared" ref="G27:G28" si="15">F27+(F27*X78)</f>
        <v>0</v>
      </c>
      <c r="H27" s="129">
        <f t="shared" ref="H27:H28" si="16">G27+(G27*Y78)</f>
        <v>0</v>
      </c>
      <c r="I27" s="129">
        <f t="shared" ref="I27:I28" si="17">H27+(H27*Z78)</f>
        <v>0</v>
      </c>
      <c r="J27" s="163">
        <f t="shared" si="0"/>
        <v>0</v>
      </c>
      <c r="L27" s="185">
        <f t="shared" si="2"/>
        <v>0</v>
      </c>
      <c r="M27" s="72">
        <f t="shared" si="3"/>
        <v>0</v>
      </c>
    </row>
    <row r="28" spans="2:19">
      <c r="B28" s="130" t="s">
        <v>98</v>
      </c>
      <c r="C28" s="70" t="s">
        <v>31</v>
      </c>
      <c r="D28" s="158">
        <v>0</v>
      </c>
      <c r="E28" s="159">
        <f t="shared" si="0"/>
        <v>0</v>
      </c>
      <c r="F28" s="158">
        <f t="shared" si="14"/>
        <v>0</v>
      </c>
      <c r="G28" s="158">
        <f t="shared" si="15"/>
        <v>0</v>
      </c>
      <c r="H28" s="158">
        <f t="shared" si="16"/>
        <v>0</v>
      </c>
      <c r="I28" s="158">
        <f t="shared" si="17"/>
        <v>0</v>
      </c>
      <c r="J28" s="158">
        <f t="shared" si="0"/>
        <v>0</v>
      </c>
      <c r="L28" s="185">
        <f t="shared" si="2"/>
        <v>0</v>
      </c>
      <c r="M28" s="72">
        <f t="shared" si="3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0" t="s">
        <v>165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149999999999999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149999999999999" customHeight="1">
      <c r="B32" s="160" t="s">
        <v>185</v>
      </c>
      <c r="C32" s="161" t="s">
        <v>31</v>
      </c>
      <c r="D32" s="160">
        <v>1</v>
      </c>
      <c r="E32" s="160">
        <v>1</v>
      </c>
      <c r="F32" s="160">
        <v>1</v>
      </c>
      <c r="G32" s="160">
        <v>1</v>
      </c>
      <c r="H32" s="160">
        <v>1</v>
      </c>
      <c r="I32" s="160">
        <v>1</v>
      </c>
      <c r="J32" s="160">
        <v>1</v>
      </c>
    </row>
    <row r="33" spans="2:74" ht="16.149999999999999" customHeight="1">
      <c r="B33" s="130" t="s">
        <v>186</v>
      </c>
      <c r="C33" s="70" t="s">
        <v>31</v>
      </c>
      <c r="D33" s="130">
        <v>1</v>
      </c>
      <c r="E33" s="130">
        <v>1.5</v>
      </c>
      <c r="F33" s="130">
        <v>15</v>
      </c>
      <c r="G33" s="130">
        <v>30</v>
      </c>
      <c r="H33" s="130">
        <v>50</v>
      </c>
      <c r="I33" s="130">
        <v>70</v>
      </c>
      <c r="J33" s="130">
        <v>100</v>
      </c>
    </row>
    <row r="34" spans="2:74" ht="16.149999999999999" customHeight="1"/>
    <row r="35" spans="2:74" ht="16.149999999999999" customHeight="1" thickBot="1">
      <c r="B35" s="72" t="s">
        <v>99</v>
      </c>
      <c r="J35" s="72" t="s">
        <v>99</v>
      </c>
      <c r="AR35" s="72" t="s">
        <v>99</v>
      </c>
    </row>
    <row r="36" spans="2:74">
      <c r="B36" s="105"/>
      <c r="C36" s="106"/>
      <c r="D36" s="106"/>
      <c r="E36" s="106"/>
      <c r="F36" s="106"/>
      <c r="G36" s="106"/>
      <c r="H36" s="107"/>
      <c r="J36" s="105"/>
      <c r="K36" s="106"/>
      <c r="L36" s="106"/>
      <c r="M36" s="106"/>
      <c r="N36" s="106"/>
      <c r="O36" s="106"/>
      <c r="P36" s="107"/>
      <c r="AR36" s="105"/>
      <c r="AS36" s="106"/>
      <c r="AT36" s="106"/>
      <c r="AU36" s="106"/>
      <c r="AV36" s="106"/>
      <c r="AW36" s="106"/>
      <c r="AX36" s="107"/>
      <c r="BB36" s="72" t="s">
        <v>205</v>
      </c>
    </row>
    <row r="37" spans="2:74" ht="15.75" customHeight="1">
      <c r="B37" s="164" t="s">
        <v>190</v>
      </c>
      <c r="C37" s="165"/>
      <c r="D37" s="165"/>
      <c r="E37" s="165"/>
      <c r="F37" s="165"/>
      <c r="G37" s="108"/>
      <c r="H37" s="109" t="s">
        <v>100</v>
      </c>
      <c r="J37" s="164" t="s">
        <v>191</v>
      </c>
      <c r="K37" s="165"/>
      <c r="L37" s="165"/>
      <c r="M37" s="165"/>
      <c r="N37" s="165"/>
      <c r="O37" s="108"/>
      <c r="P37" s="109" t="s">
        <v>100</v>
      </c>
      <c r="AR37" s="182" t="s">
        <v>202</v>
      </c>
      <c r="AS37" s="183"/>
      <c r="AT37" s="183"/>
      <c r="AU37" s="183"/>
      <c r="AV37" s="183"/>
      <c r="AW37" s="184"/>
      <c r="AX37" s="109" t="s">
        <v>100</v>
      </c>
    </row>
    <row r="38" spans="2:74">
      <c r="B38" s="110"/>
      <c r="C38" s="108"/>
      <c r="D38" s="108"/>
      <c r="E38" s="108"/>
      <c r="F38" s="108"/>
      <c r="G38" s="108"/>
      <c r="H38" s="111"/>
      <c r="J38" s="110"/>
      <c r="K38" s="108"/>
      <c r="L38" s="108"/>
      <c r="M38" s="108"/>
      <c r="N38" s="108"/>
      <c r="O38" s="108"/>
      <c r="P38" s="111"/>
      <c r="AR38" s="110"/>
      <c r="AS38" s="108"/>
      <c r="AT38" s="108"/>
      <c r="AU38" s="108"/>
      <c r="AV38" s="108"/>
      <c r="AW38" s="108"/>
      <c r="AX38" s="111"/>
      <c r="BP38" s="195" t="s">
        <v>207</v>
      </c>
      <c r="BQ38" s="195"/>
      <c r="BR38" s="195"/>
      <c r="BS38" s="195"/>
      <c r="BT38" s="195"/>
      <c r="BU38" s="195"/>
      <c r="BV38" s="195"/>
    </row>
    <row r="39" spans="2:74" ht="13.5" thickBot="1">
      <c r="B39" s="166" t="s">
        <v>101</v>
      </c>
      <c r="C39" s="167" t="s">
        <v>102</v>
      </c>
      <c r="D39" s="167" t="s">
        <v>103</v>
      </c>
      <c r="E39" s="167" t="s">
        <v>104</v>
      </c>
      <c r="F39" s="108"/>
      <c r="G39" s="108" t="s">
        <v>105</v>
      </c>
      <c r="H39" s="111" t="s">
        <v>105</v>
      </c>
      <c r="J39" s="166" t="s">
        <v>101</v>
      </c>
      <c r="K39" s="180" t="s">
        <v>102</v>
      </c>
      <c r="L39" s="167" t="s">
        <v>103</v>
      </c>
      <c r="M39" s="167" t="s">
        <v>104</v>
      </c>
      <c r="N39" s="108"/>
      <c r="O39" s="108" t="s">
        <v>105</v>
      </c>
      <c r="P39" s="111" t="s">
        <v>105</v>
      </c>
      <c r="AR39" s="166" t="s">
        <v>101</v>
      </c>
      <c r="AS39" s="180" t="s">
        <v>102</v>
      </c>
      <c r="AT39" s="167" t="s">
        <v>103</v>
      </c>
      <c r="AU39" s="167" t="s">
        <v>104</v>
      </c>
      <c r="AV39" s="108"/>
      <c r="AW39" s="108" t="s">
        <v>105</v>
      </c>
      <c r="AX39" s="111" t="s">
        <v>105</v>
      </c>
      <c r="BP39" s="72">
        <v>2024</v>
      </c>
      <c r="BQ39" s="72">
        <v>2025</v>
      </c>
      <c r="BR39" s="72">
        <v>2030</v>
      </c>
      <c r="BS39" s="72">
        <v>2035</v>
      </c>
      <c r="BT39" s="72">
        <v>2040</v>
      </c>
      <c r="BU39" s="72">
        <v>2045</v>
      </c>
      <c r="BV39" s="72">
        <v>2050</v>
      </c>
    </row>
    <row r="40" spans="2:74" ht="13.7" customHeight="1">
      <c r="B40" s="166"/>
      <c r="C40" s="167"/>
      <c r="D40" s="167"/>
      <c r="E40" s="167"/>
      <c r="F40" s="108"/>
      <c r="G40" s="108" t="s">
        <v>182</v>
      </c>
      <c r="H40" s="111" t="s">
        <v>183</v>
      </c>
      <c r="J40" s="166"/>
      <c r="K40" s="180"/>
      <c r="L40" s="167"/>
      <c r="M40" s="167"/>
      <c r="N40" s="108"/>
      <c r="O40" s="108" t="s">
        <v>182</v>
      </c>
      <c r="P40" s="111" t="s">
        <v>183</v>
      </c>
      <c r="AR40" s="166"/>
      <c r="AS40" s="180"/>
      <c r="AT40" s="167"/>
      <c r="AU40" s="167"/>
      <c r="AV40" s="108"/>
      <c r="AW40" s="108" t="s">
        <v>182</v>
      </c>
      <c r="AX40" s="111" t="s">
        <v>183</v>
      </c>
      <c r="BB40" s="72">
        <v>2015</v>
      </c>
      <c r="BC40" s="72">
        <v>2030</v>
      </c>
      <c r="BF40" s="72" t="s">
        <v>206</v>
      </c>
      <c r="BG40" s="186">
        <v>2025</v>
      </c>
      <c r="BH40" s="187">
        <v>2030</v>
      </c>
      <c r="BI40" s="187">
        <v>2035</v>
      </c>
      <c r="BJ40" s="187">
        <v>2040</v>
      </c>
      <c r="BK40" s="187">
        <v>2045</v>
      </c>
      <c r="BL40" s="188">
        <v>2050</v>
      </c>
      <c r="BN40" s="72" t="s">
        <v>85</v>
      </c>
      <c r="BP40" s="72">
        <v>12405.603600000002</v>
      </c>
      <c r="BQ40" s="72">
        <v>13494.88049</v>
      </c>
      <c r="BR40" s="72">
        <v>13696.233569097454</v>
      </c>
      <c r="BS40" s="72">
        <v>12461.61739082309</v>
      </c>
      <c r="BT40" s="72">
        <v>11227.001212548726</v>
      </c>
      <c r="BU40" s="72">
        <v>9992.3850342743626</v>
      </c>
      <c r="BV40" s="72">
        <v>8757.7688560000006</v>
      </c>
    </row>
    <row r="41" spans="2:74">
      <c r="B41" s="112" t="s">
        <v>106</v>
      </c>
      <c r="C41" s="108"/>
      <c r="D41" s="108"/>
      <c r="E41" s="108"/>
      <c r="F41" s="108"/>
      <c r="G41" s="108"/>
      <c r="H41" s="111"/>
      <c r="J41" s="112" t="s">
        <v>106</v>
      </c>
      <c r="K41" s="108"/>
      <c r="L41" s="108"/>
      <c r="M41" s="108"/>
      <c r="N41" s="108"/>
      <c r="O41" s="108"/>
      <c r="P41" s="111"/>
      <c r="AR41" s="112" t="s">
        <v>106</v>
      </c>
      <c r="AS41" s="108"/>
      <c r="AT41" s="108"/>
      <c r="AU41" s="108"/>
      <c r="AV41" s="108"/>
      <c r="AW41" s="108"/>
      <c r="AX41" s="111"/>
      <c r="BG41" s="189"/>
      <c r="BH41" s="190"/>
      <c r="BI41" s="190"/>
      <c r="BJ41" s="190"/>
      <c r="BK41" s="190"/>
      <c r="BL41" s="191"/>
      <c r="BN41" s="72" t="s">
        <v>86</v>
      </c>
      <c r="BP41" s="72">
        <v>3017.6627599999997</v>
      </c>
      <c r="BQ41" s="72">
        <v>2991.41732</v>
      </c>
      <c r="BR41" s="72">
        <v>3279.0299302482513</v>
      </c>
      <c r="BS41" s="72">
        <v>2977.7284014361885</v>
      </c>
      <c r="BT41" s="72">
        <v>2676.4268726241257</v>
      </c>
      <c r="BU41" s="72">
        <v>2375.125343812063</v>
      </c>
      <c r="BV41" s="72">
        <v>2073.8238149999997</v>
      </c>
    </row>
    <row r="42" spans="2:74">
      <c r="B42" s="110" t="s">
        <v>107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  <c r="J42" s="110" t="s">
        <v>107</v>
      </c>
      <c r="K42" s="113">
        <v>2414.1109999999999</v>
      </c>
      <c r="L42" s="108">
        <v>55.9</v>
      </c>
      <c r="M42" s="114">
        <v>135052952</v>
      </c>
      <c r="N42" s="108"/>
      <c r="O42" s="108">
        <f>L42/10</f>
        <v>5.59</v>
      </c>
      <c r="P42" s="155">
        <f>O42*K42</f>
        <v>13494.88049</v>
      </c>
      <c r="AR42" s="110" t="s">
        <v>107</v>
      </c>
      <c r="AS42" s="113">
        <v>2395.451</v>
      </c>
      <c r="AT42" s="108">
        <v>45.7</v>
      </c>
      <c r="AU42" s="114">
        <v>109577872</v>
      </c>
      <c r="AV42" s="108"/>
      <c r="AW42" s="108">
        <f>AT42/10</f>
        <v>4.57</v>
      </c>
      <c r="AX42" s="155">
        <f>AW42*AS42</f>
        <v>10947.211070000001</v>
      </c>
      <c r="AZ42" s="72">
        <f>AX42*0.8</f>
        <v>8757.7688560000006</v>
      </c>
      <c r="BB42" s="72">
        <v>4.38</v>
      </c>
      <c r="BC42" s="72">
        <v>4.96</v>
      </c>
      <c r="BD42" s="72">
        <f>BC42-BB42</f>
        <v>0.58000000000000007</v>
      </c>
      <c r="BE42" s="72">
        <f>BD42/3</f>
        <v>0.19333333333333336</v>
      </c>
      <c r="BF42" s="181">
        <f>BE42/BB42/5</f>
        <v>8.8280060882800614E-3</v>
      </c>
      <c r="BG42" s="189">
        <f>O42</f>
        <v>5.59</v>
      </c>
      <c r="BH42" s="190">
        <f>BG42+(BG42*BF42)</f>
        <v>5.6393485540334858</v>
      </c>
      <c r="BI42" s="190">
        <f t="shared" ref="BI42:BL42" si="18">BH42+(BH42*$BF$42)</f>
        <v>5.6891327574024269</v>
      </c>
      <c r="BJ42" s="190">
        <f t="shared" si="18"/>
        <v>5.7393564560218087</v>
      </c>
      <c r="BK42" s="190">
        <f t="shared" si="18"/>
        <v>5.7900235297583791</v>
      </c>
      <c r="BL42" s="191">
        <f t="shared" si="18"/>
        <v>5.8411378927303712</v>
      </c>
      <c r="BN42" s="72" t="s">
        <v>87</v>
      </c>
      <c r="BP42" s="72">
        <v>9396.7107199999991</v>
      </c>
      <c r="BQ42" s="72">
        <v>10533.224199999999</v>
      </c>
      <c r="BR42" s="72">
        <v>11028.193910440143</v>
      </c>
      <c r="BS42" s="72">
        <v>8823.6360865801071</v>
      </c>
      <c r="BT42" s="72">
        <v>6619.0782627200715</v>
      </c>
      <c r="BU42" s="72">
        <v>4414.5204388600359</v>
      </c>
      <c r="BV42" s="72">
        <v>2209.9626149999999</v>
      </c>
    </row>
    <row r="43" spans="2:74">
      <c r="B43" s="112" t="s">
        <v>108</v>
      </c>
      <c r="C43" s="108"/>
      <c r="D43" s="108"/>
      <c r="E43" s="108"/>
      <c r="F43" s="108"/>
      <c r="G43" s="108"/>
      <c r="H43" s="155"/>
      <c r="J43" s="112" t="s">
        <v>108</v>
      </c>
      <c r="K43" s="108"/>
      <c r="L43" s="108"/>
      <c r="M43" s="108"/>
      <c r="N43" s="108"/>
      <c r="O43" s="108"/>
      <c r="P43" s="155"/>
      <c r="AR43" s="112" t="s">
        <v>108</v>
      </c>
      <c r="AS43" s="108"/>
      <c r="AT43" s="108"/>
      <c r="AU43" s="108"/>
      <c r="AV43" s="108"/>
      <c r="AW43" s="108"/>
      <c r="AX43" s="155"/>
      <c r="BF43" s="181"/>
      <c r="BG43" s="189"/>
      <c r="BH43" s="190"/>
      <c r="BI43" s="190"/>
      <c r="BJ43" s="190"/>
      <c r="BK43" s="190"/>
      <c r="BL43" s="191"/>
      <c r="BN43" s="72" t="s">
        <v>88</v>
      </c>
      <c r="BP43" s="72">
        <v>832.92</v>
      </c>
      <c r="BQ43" s="72">
        <v>710.07839999999999</v>
      </c>
      <c r="BR43" s="72">
        <v>599.7098380420781</v>
      </c>
      <c r="BS43" s="72">
        <v>961.90244853155855</v>
      </c>
      <c r="BT43" s="72">
        <v>1324.0950590210391</v>
      </c>
      <c r="BU43" s="72">
        <v>1686.2876695105197</v>
      </c>
      <c r="BV43" s="72">
        <v>2048.4802799999998</v>
      </c>
    </row>
    <row r="44" spans="2:74">
      <c r="B44" s="110" t="s">
        <v>109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19">D44/10</f>
        <v>3.5700000000000003</v>
      </c>
      <c r="H44" s="155">
        <f t="shared" ref="H44:H66" si="20">G44*C44</f>
        <v>2435.3861700000002</v>
      </c>
      <c r="J44" s="110" t="s">
        <v>109</v>
      </c>
      <c r="K44" s="108">
        <v>603.91600000000005</v>
      </c>
      <c r="L44" s="108">
        <v>38.200000000000003</v>
      </c>
      <c r="M44" s="114">
        <v>23076109</v>
      </c>
      <c r="N44" s="108"/>
      <c r="O44" s="108">
        <f t="shared" ref="O44:O66" si="21">L44/10</f>
        <v>3.8200000000000003</v>
      </c>
      <c r="P44" s="155">
        <f t="shared" ref="P44:P66" si="22">O44*K44</f>
        <v>2306.9591200000004</v>
      </c>
      <c r="AR44" s="110" t="s">
        <v>109</v>
      </c>
      <c r="AS44" s="108">
        <v>725.25699999999995</v>
      </c>
      <c r="AT44" s="108">
        <v>27.8</v>
      </c>
      <c r="AU44" s="114">
        <v>20131476</v>
      </c>
      <c r="AV44" s="108"/>
      <c r="AW44" s="108">
        <f t="shared" ref="AW44:AW66" si="23">AT44/10</f>
        <v>2.7800000000000002</v>
      </c>
      <c r="AX44" s="155">
        <f t="shared" ref="AX44:AX66" si="24">AW44*AS44</f>
        <v>2016.2144600000001</v>
      </c>
      <c r="AZ44" s="72">
        <f>AX44*0.7</f>
        <v>1411.3501220000001</v>
      </c>
      <c r="BB44" s="72">
        <v>2.91</v>
      </c>
      <c r="BC44" s="72">
        <v>3.12</v>
      </c>
      <c r="BD44" s="72">
        <f t="shared" ref="BD43:BD66" si="25">BC44-BB44</f>
        <v>0.20999999999999996</v>
      </c>
      <c r="BE44" s="72">
        <f t="shared" ref="BE43:BE66" si="26">BD44/2</f>
        <v>0.10499999999999998</v>
      </c>
      <c r="BF44" s="181">
        <f t="shared" ref="BF43:BF66" si="27">BE44/BB44/5</f>
        <v>7.2164948453608225E-3</v>
      </c>
      <c r="BG44" s="189">
        <f>O44</f>
        <v>3.8200000000000003</v>
      </c>
      <c r="BH44" s="190">
        <f t="shared" ref="BH43:BH66" si="28">BG44+(BG44*BF44)</f>
        <v>3.8475670103092785</v>
      </c>
      <c r="BI44" s="190">
        <f>BH44+(BH44*BF44)</f>
        <v>3.8753329578063558</v>
      </c>
      <c r="BJ44" s="190">
        <f>BI44+(BI44*BF44)</f>
        <v>3.9032992781204223</v>
      </c>
      <c r="BK44" s="190">
        <f>BJ44+(BJ44*BF44)</f>
        <v>3.9314674172408788</v>
      </c>
      <c r="BL44" s="191">
        <f>BK44+(BK44*BF44)</f>
        <v>3.9598388315921018</v>
      </c>
      <c r="BN44" s="72" t="s">
        <v>89</v>
      </c>
      <c r="BP44" s="72">
        <v>5046.9496000000008</v>
      </c>
      <c r="BQ44" s="72">
        <v>5265.1788800000004</v>
      </c>
      <c r="BR44" s="72">
        <v>4925.3324434833467</v>
      </c>
      <c r="BS44" s="72">
        <v>4627.95882061251</v>
      </c>
      <c r="BT44" s="72">
        <v>4330.5851977416733</v>
      </c>
      <c r="BU44" s="72">
        <v>4033.2115748708366</v>
      </c>
      <c r="BV44" s="72">
        <v>3735.8379519999999</v>
      </c>
    </row>
    <row r="45" spans="2:74">
      <c r="B45" s="112" t="s">
        <v>110</v>
      </c>
      <c r="C45" s="108"/>
      <c r="D45" s="108"/>
      <c r="E45" s="108"/>
      <c r="F45" s="108"/>
      <c r="G45" s="108"/>
      <c r="H45" s="155"/>
      <c r="J45" s="112" t="s">
        <v>110</v>
      </c>
      <c r="K45" s="108"/>
      <c r="L45" s="108"/>
      <c r="M45" s="108"/>
      <c r="N45" s="108"/>
      <c r="O45" s="108"/>
      <c r="P45" s="155"/>
      <c r="AR45" s="112" t="s">
        <v>110</v>
      </c>
      <c r="AS45" s="108"/>
      <c r="AT45" s="108"/>
      <c r="AU45" s="108"/>
      <c r="AV45" s="108"/>
      <c r="AW45" s="108"/>
      <c r="AX45" s="155"/>
      <c r="BF45" s="181"/>
      <c r="BG45" s="189"/>
      <c r="BH45" s="190"/>
      <c r="BI45" s="190"/>
      <c r="BJ45" s="190"/>
      <c r="BK45" s="190"/>
      <c r="BL45" s="191"/>
      <c r="BN45" s="72" t="s">
        <v>90</v>
      </c>
      <c r="BP45" s="72">
        <v>1645.2395100000001</v>
      </c>
      <c r="BQ45" s="72">
        <v>1844.9989699999999</v>
      </c>
      <c r="BR45" s="72">
        <v>1725.91159621425</v>
      </c>
      <c r="BS45" s="72">
        <v>1508.0810034106876</v>
      </c>
      <c r="BT45" s="72">
        <v>1290.2504106071251</v>
      </c>
      <c r="BU45" s="72">
        <v>1072.4198178035626</v>
      </c>
      <c r="BV45" s="72">
        <v>854.58922499999994</v>
      </c>
    </row>
    <row r="46" spans="2:74">
      <c r="B46" s="110" t="s">
        <v>109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19"/>
        <v>4.34</v>
      </c>
      <c r="H46" s="155">
        <f t="shared" si="20"/>
        <v>3017.6627599999997</v>
      </c>
      <c r="J46" s="110" t="s">
        <v>109</v>
      </c>
      <c r="K46" s="108">
        <v>620.62599999999998</v>
      </c>
      <c r="L46" s="108">
        <v>48.2</v>
      </c>
      <c r="M46" s="114">
        <v>29910140</v>
      </c>
      <c r="N46" s="108"/>
      <c r="O46" s="108">
        <f t="shared" ref="O46:O66" si="29">L46/10</f>
        <v>4.82</v>
      </c>
      <c r="P46" s="155">
        <f t="shared" ref="P46:P66" si="30">O46*K46</f>
        <v>2991.41732</v>
      </c>
      <c r="AR46" s="110" t="s">
        <v>109</v>
      </c>
      <c r="AS46" s="108">
        <v>839.26499999999999</v>
      </c>
      <c r="AT46" s="108">
        <v>35.299999999999997</v>
      </c>
      <c r="AU46" s="114">
        <v>29606619</v>
      </c>
      <c r="AV46" s="108"/>
      <c r="AW46" s="108">
        <f t="shared" ref="AW46:AW66" si="31">AT46/10</f>
        <v>3.53</v>
      </c>
      <c r="AX46" s="155">
        <f t="shared" ref="AX46:AX66" si="32">AW46*AS46</f>
        <v>2962.6054499999996</v>
      </c>
      <c r="AZ46" s="72">
        <f>AX46*0.7</f>
        <v>2073.8238149999997</v>
      </c>
      <c r="BB46" s="72">
        <v>3.53</v>
      </c>
      <c r="BC46" s="72">
        <v>4</v>
      </c>
      <c r="BD46" s="72">
        <f t="shared" si="25"/>
        <v>0.4700000000000002</v>
      </c>
      <c r="BE46" s="72">
        <f t="shared" si="26"/>
        <v>0.2350000000000001</v>
      </c>
      <c r="BF46" s="181">
        <f t="shared" si="27"/>
        <v>1.3314447592067995E-2</v>
      </c>
      <c r="BG46" s="189">
        <f>O46</f>
        <v>4.82</v>
      </c>
      <c r="BH46" s="190">
        <f t="shared" si="28"/>
        <v>4.8841756373937679</v>
      </c>
      <c r="BI46" s="190">
        <f>BH46+(BH46*BF46)</f>
        <v>4.9492057379483025</v>
      </c>
      <c r="BJ46" s="190">
        <f>BI46+(BI46*BF46)</f>
        <v>5.0151016783685778</v>
      </c>
      <c r="BK46" s="190">
        <f>BJ46+(BJ46*BF46)</f>
        <v>5.0818749868341087</v>
      </c>
      <c r="BL46" s="191">
        <f>BK46+(BK46*BF46)</f>
        <v>5.1495373450157524</v>
      </c>
      <c r="BN46" s="72" t="s">
        <v>91</v>
      </c>
      <c r="BP46" s="72">
        <v>2435.3861700000002</v>
      </c>
      <c r="BQ46" s="72">
        <v>2306.9591200000004</v>
      </c>
      <c r="BR46" s="72">
        <v>2158.0540487782614</v>
      </c>
      <c r="BS46" s="72">
        <v>1971.3780670836961</v>
      </c>
      <c r="BT46" s="72">
        <v>1784.7020853891308</v>
      </c>
      <c r="BU46" s="72">
        <v>1598.0261036945656</v>
      </c>
      <c r="BV46" s="72">
        <v>1411.3501220000001</v>
      </c>
    </row>
    <row r="47" spans="2:74">
      <c r="B47" s="112" t="s">
        <v>111</v>
      </c>
      <c r="C47" s="108"/>
      <c r="D47" s="108"/>
      <c r="E47" s="108"/>
      <c r="F47" s="108"/>
      <c r="G47" s="108"/>
      <c r="H47" s="155"/>
      <c r="J47" s="112" t="s">
        <v>111</v>
      </c>
      <c r="K47" s="108"/>
      <c r="L47" s="108"/>
      <c r="M47" s="108"/>
      <c r="N47" s="108"/>
      <c r="O47" s="108"/>
      <c r="P47" s="155"/>
      <c r="AR47" s="112" t="s">
        <v>111</v>
      </c>
      <c r="AS47" s="108"/>
      <c r="AT47" s="108"/>
      <c r="AU47" s="108"/>
      <c r="AV47" s="108"/>
      <c r="AW47" s="108"/>
      <c r="AX47" s="155"/>
      <c r="BF47" s="181"/>
      <c r="BG47" s="189"/>
      <c r="BH47" s="190"/>
      <c r="BI47" s="190"/>
      <c r="BJ47" s="190"/>
      <c r="BK47" s="190"/>
      <c r="BL47" s="191"/>
      <c r="BN47" s="72" t="s">
        <v>92</v>
      </c>
      <c r="BP47" s="72">
        <v>185.32583</v>
      </c>
      <c r="BQ47" s="72">
        <v>156.99617000000001</v>
      </c>
      <c r="BR47" s="72">
        <v>132.59401734220697</v>
      </c>
      <c r="BS47" s="72">
        <v>116.88393575665523</v>
      </c>
      <c r="BT47" s="72">
        <v>101.1738541711035</v>
      </c>
      <c r="BU47" s="72">
        <v>85.463772585551766</v>
      </c>
      <c r="BV47" s="72">
        <v>69.753691000000003</v>
      </c>
    </row>
    <row r="48" spans="2:74">
      <c r="B48" s="110" t="s">
        <v>107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19"/>
        <v>3.17</v>
      </c>
      <c r="H48" s="155">
        <f t="shared" si="20"/>
        <v>1645.2395100000001</v>
      </c>
      <c r="J48" s="110" t="s">
        <v>107</v>
      </c>
      <c r="K48" s="108">
        <v>528.65300000000002</v>
      </c>
      <c r="L48" s="108">
        <v>34.9</v>
      </c>
      <c r="M48" s="114">
        <v>18457759</v>
      </c>
      <c r="N48" s="108"/>
      <c r="O48" s="108">
        <f t="shared" ref="O48:O66" si="33">L48/10</f>
        <v>3.4899999999999998</v>
      </c>
      <c r="P48" s="155">
        <f t="shared" ref="P48:P66" si="34">O48*K48</f>
        <v>1844.9989699999999</v>
      </c>
      <c r="AR48" s="110" t="s">
        <v>107</v>
      </c>
      <c r="AS48" s="108">
        <v>460.69499999999999</v>
      </c>
      <c r="AT48" s="108">
        <v>26.5</v>
      </c>
      <c r="AU48" s="114">
        <v>12196200</v>
      </c>
      <c r="AV48" s="108"/>
      <c r="AW48" s="108">
        <f t="shared" ref="AW48:AW66" si="35">AT48/10</f>
        <v>2.65</v>
      </c>
      <c r="AX48" s="155">
        <f t="shared" ref="AX48:AX66" si="36">AW48*AS48</f>
        <v>1220.84175</v>
      </c>
      <c r="AZ48" s="72">
        <f>AX48*0.7</f>
        <v>854.58922499999994</v>
      </c>
      <c r="BB48" s="72">
        <v>2.91</v>
      </c>
      <c r="BC48" s="72">
        <v>3.12</v>
      </c>
      <c r="BD48" s="72">
        <f t="shared" si="25"/>
        <v>0.20999999999999996</v>
      </c>
      <c r="BE48" s="72">
        <f t="shared" si="26"/>
        <v>0.10499999999999998</v>
      </c>
      <c r="BF48" s="181">
        <f t="shared" si="27"/>
        <v>7.2164948453608225E-3</v>
      </c>
      <c r="BG48" s="189">
        <f>O48</f>
        <v>3.4899999999999998</v>
      </c>
      <c r="BH48" s="190">
        <f t="shared" si="28"/>
        <v>3.5151855670103092</v>
      </c>
      <c r="BI48" s="190">
        <f>BH48+(BH48*BF48)</f>
        <v>3.5405528855351256</v>
      </c>
      <c r="BJ48" s="190">
        <f>BI48+(BI48*BF48)</f>
        <v>3.5661032671833173</v>
      </c>
      <c r="BK48" s="190">
        <f>BJ48+(BJ48*BF48)</f>
        <v>3.5918380330289699</v>
      </c>
      <c r="BL48" s="191">
        <f>BK48+(BK48*BF48)</f>
        <v>3.6177585136796946</v>
      </c>
      <c r="BN48" s="72" t="s">
        <v>93</v>
      </c>
      <c r="BP48" s="72">
        <v>779.12891000000002</v>
      </c>
      <c r="BQ48" s="72">
        <v>703.32180000000005</v>
      </c>
      <c r="BR48" s="72">
        <v>772.7423964107677</v>
      </c>
      <c r="BS48" s="72">
        <v>622.34230730807576</v>
      </c>
      <c r="BT48" s="72">
        <v>471.94221820538382</v>
      </c>
      <c r="BU48" s="72">
        <v>321.54212910269189</v>
      </c>
      <c r="BV48" s="72">
        <v>171.14204000000001</v>
      </c>
    </row>
    <row r="49" spans="2:74">
      <c r="B49" s="112" t="s">
        <v>112</v>
      </c>
      <c r="C49" s="108"/>
      <c r="D49" s="108"/>
      <c r="E49" s="108"/>
      <c r="F49" s="108"/>
      <c r="G49" s="108"/>
      <c r="H49" s="155"/>
      <c r="J49" s="112" t="s">
        <v>112</v>
      </c>
      <c r="K49" s="108"/>
      <c r="L49" s="108"/>
      <c r="M49" s="108"/>
      <c r="N49" s="108"/>
      <c r="O49" s="108"/>
      <c r="P49" s="155"/>
      <c r="AR49" s="112" t="s">
        <v>112</v>
      </c>
      <c r="AS49" s="108"/>
      <c r="AT49" s="108"/>
      <c r="AU49" s="108"/>
      <c r="AV49" s="108"/>
      <c r="AW49" s="108"/>
      <c r="AX49" s="155"/>
      <c r="BF49" s="181"/>
      <c r="BG49" s="189"/>
      <c r="BH49" s="190"/>
      <c r="BI49" s="190"/>
      <c r="BJ49" s="190"/>
      <c r="BK49" s="190"/>
      <c r="BL49" s="191"/>
      <c r="BN49" s="72" t="s">
        <v>94</v>
      </c>
      <c r="BP49" s="72">
        <v>513.29357999999991</v>
      </c>
      <c r="BQ49" s="72">
        <v>540.8052100000001</v>
      </c>
      <c r="BR49" s="72">
        <v>594.18478705882364</v>
      </c>
      <c r="BS49" s="72">
        <v>623.69459029411769</v>
      </c>
      <c r="BT49" s="72">
        <v>653.20439352941173</v>
      </c>
      <c r="BU49" s="72">
        <v>682.71419676470578</v>
      </c>
      <c r="BV49" s="72">
        <v>712.22399999999993</v>
      </c>
    </row>
    <row r="50" spans="2:74">
      <c r="B50" s="110" t="s">
        <v>109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19"/>
        <v>4.4000000000000004</v>
      </c>
      <c r="H50" s="155">
        <f t="shared" si="20"/>
        <v>5046.9496000000008</v>
      </c>
      <c r="J50" s="110" t="s">
        <v>109</v>
      </c>
      <c r="K50" s="113">
        <v>1115.5039999999999</v>
      </c>
      <c r="L50" s="108">
        <v>47.2</v>
      </c>
      <c r="M50" s="114">
        <v>52677376</v>
      </c>
      <c r="N50" s="108"/>
      <c r="O50" s="108">
        <f t="shared" ref="O50:O66" si="37">L50/10</f>
        <v>4.7200000000000006</v>
      </c>
      <c r="P50" s="155">
        <f t="shared" ref="P50:P66" si="38">O50*K50</f>
        <v>5265.1788800000004</v>
      </c>
      <c r="AR50" s="110" t="s">
        <v>109</v>
      </c>
      <c r="AS50" s="113">
        <v>1516.1679999999999</v>
      </c>
      <c r="AT50" s="108">
        <v>35.200000000000003</v>
      </c>
      <c r="AU50" s="114">
        <v>53394367</v>
      </c>
      <c r="AV50" s="108"/>
      <c r="AW50" s="108">
        <f t="shared" ref="AW50:AW66" si="39">AT50/10</f>
        <v>3.5200000000000005</v>
      </c>
      <c r="AX50" s="155">
        <f t="shared" ref="AX50:AX66" si="40">AW50*AS50</f>
        <v>5336.9113600000001</v>
      </c>
      <c r="AZ50" s="72">
        <f>AX50*0.7</f>
        <v>3735.8379519999999</v>
      </c>
      <c r="BB50" s="72">
        <v>2.91</v>
      </c>
      <c r="BC50" s="72">
        <v>3.12</v>
      </c>
      <c r="BD50" s="72">
        <f t="shared" si="25"/>
        <v>0.20999999999999996</v>
      </c>
      <c r="BE50" s="72">
        <f t="shared" si="26"/>
        <v>0.10499999999999998</v>
      </c>
      <c r="BF50" s="181">
        <f t="shared" si="27"/>
        <v>7.2164948453608225E-3</v>
      </c>
      <c r="BG50" s="189">
        <f>O50</f>
        <v>4.7200000000000006</v>
      </c>
      <c r="BH50" s="190">
        <f t="shared" si="28"/>
        <v>4.7540618556701038</v>
      </c>
      <c r="BI50" s="190">
        <f>BH50+(BH50*BF50)</f>
        <v>4.788369518546074</v>
      </c>
      <c r="BJ50" s="190">
        <f>BI50+(BI50*BF50)</f>
        <v>4.8229247624943445</v>
      </c>
      <c r="BK50" s="190">
        <f>BJ50+(BJ50*BF50)</f>
        <v>4.8577293741824477</v>
      </c>
      <c r="BL50" s="191">
        <f>BK50+(BK50*BF50)</f>
        <v>4.8927851531713928</v>
      </c>
      <c r="BN50" s="72" t="s">
        <v>95</v>
      </c>
      <c r="BP50" s="72">
        <v>5923.7602000000006</v>
      </c>
      <c r="BQ50" s="72">
        <v>7004.0130000000008</v>
      </c>
      <c r="BR50" s="72">
        <v>5676.694237514519</v>
      </c>
      <c r="BS50" s="72">
        <v>6149.7571781358893</v>
      </c>
      <c r="BT50" s="72">
        <v>6622.8201187572595</v>
      </c>
      <c r="BU50" s="72">
        <v>7095.8830593786297</v>
      </c>
      <c r="BV50" s="72">
        <v>7568.9459999999999</v>
      </c>
    </row>
    <row r="51" spans="2:74">
      <c r="B51" s="112" t="s">
        <v>113</v>
      </c>
      <c r="C51" s="108"/>
      <c r="D51" s="108"/>
      <c r="E51" s="108"/>
      <c r="F51" s="108"/>
      <c r="G51" s="108"/>
      <c r="H51" s="155"/>
      <c r="J51" s="112" t="s">
        <v>113</v>
      </c>
      <c r="K51" s="108"/>
      <c r="L51" s="108"/>
      <c r="M51" s="108"/>
      <c r="N51" s="108"/>
      <c r="O51" s="108"/>
      <c r="P51" s="155"/>
      <c r="AR51" s="112" t="s">
        <v>113</v>
      </c>
      <c r="AS51" s="108"/>
      <c r="AT51" s="108"/>
      <c r="AU51" s="108"/>
      <c r="AV51" s="108"/>
      <c r="AW51" s="108"/>
      <c r="AX51" s="155"/>
      <c r="BF51" s="181"/>
      <c r="BG51" s="189"/>
      <c r="BH51" s="190"/>
      <c r="BI51" s="190"/>
      <c r="BJ51" s="190"/>
      <c r="BK51" s="190"/>
      <c r="BL51" s="191"/>
      <c r="BN51" s="72" t="s">
        <v>96</v>
      </c>
      <c r="BP51" s="72">
        <v>3468.2807199999997</v>
      </c>
      <c r="BQ51" s="72">
        <v>3862.9631600000007</v>
      </c>
      <c r="BR51" s="72">
        <v>4150.3860141666673</v>
      </c>
      <c r="BS51" s="72">
        <v>3803.7793606250007</v>
      </c>
      <c r="BT51" s="72">
        <v>3457.172707083334</v>
      </c>
      <c r="BU51" s="72">
        <v>3110.5660535416673</v>
      </c>
      <c r="BV51" s="72">
        <v>2763.9594000000002</v>
      </c>
    </row>
    <row r="52" spans="2:74">
      <c r="B52" s="110" t="s">
        <v>109</v>
      </c>
      <c r="C52" s="108">
        <v>252.4</v>
      </c>
      <c r="D52" s="108">
        <v>33</v>
      </c>
      <c r="E52" s="114">
        <v>8334447</v>
      </c>
      <c r="F52" s="108"/>
      <c r="G52" s="108">
        <f t="shared" si="19"/>
        <v>3.3</v>
      </c>
      <c r="H52" s="155">
        <f t="shared" si="20"/>
        <v>832.92</v>
      </c>
      <c r="J52" s="110" t="s">
        <v>109</v>
      </c>
      <c r="K52" s="108">
        <v>197.244</v>
      </c>
      <c r="L52" s="108">
        <v>36</v>
      </c>
      <c r="M52" s="114">
        <v>7093278</v>
      </c>
      <c r="N52" s="108"/>
      <c r="O52" s="108">
        <f t="shared" ref="O52:O66" si="41">L52/10</f>
        <v>3.6</v>
      </c>
      <c r="P52" s="155">
        <f t="shared" ref="P52:P66" si="42">O52*K52</f>
        <v>710.07839999999999</v>
      </c>
      <c r="AR52" s="110" t="s">
        <v>109</v>
      </c>
      <c r="AS52" s="108">
        <v>812.88900000000001</v>
      </c>
      <c r="AT52" s="108">
        <v>36</v>
      </c>
      <c r="AU52" s="114">
        <v>7093278</v>
      </c>
      <c r="AV52" s="108"/>
      <c r="AW52" s="108">
        <f t="shared" ref="AW52:AW66" si="43">AT52/10</f>
        <v>3.6</v>
      </c>
      <c r="AX52" s="155">
        <f t="shared" ref="AX52:AX66" si="44">AW52*AS52</f>
        <v>2926.4004</v>
      </c>
      <c r="AZ52" s="72">
        <f>AX52*0.7</f>
        <v>2048.4802799999998</v>
      </c>
      <c r="BB52" s="72">
        <v>2.83</v>
      </c>
      <c r="BC52" s="72">
        <v>3.03</v>
      </c>
      <c r="BD52" s="72">
        <f t="shared" si="25"/>
        <v>0.19999999999999973</v>
      </c>
      <c r="BE52" s="72">
        <f t="shared" si="26"/>
        <v>9.9999999999999867E-2</v>
      </c>
      <c r="BF52" s="181">
        <f t="shared" si="27"/>
        <v>7.0671378091872695E-3</v>
      </c>
      <c r="BG52" s="189">
        <f>O52</f>
        <v>3.6</v>
      </c>
      <c r="BH52" s="190">
        <f t="shared" si="28"/>
        <v>3.6254416961130742</v>
      </c>
      <c r="BI52" s="190">
        <f>BH52+(BH52*BF52)</f>
        <v>3.6510631921986789</v>
      </c>
      <c r="BJ52" s="190">
        <f>BI52+(BI52*BF52)</f>
        <v>3.6768657589279981</v>
      </c>
      <c r="BK52" s="190">
        <f>BJ52+(BJ52*BF52)</f>
        <v>3.7028506759522242</v>
      </c>
      <c r="BL52" s="191">
        <f>BK52+(BK52*BF52)</f>
        <v>3.7290192319660207</v>
      </c>
    </row>
    <row r="53" spans="2:74">
      <c r="B53" s="112" t="s">
        <v>114</v>
      </c>
      <c r="C53" s="108"/>
      <c r="D53" s="108"/>
      <c r="E53" s="108"/>
      <c r="F53" s="108"/>
      <c r="G53" s="108"/>
      <c r="H53" s="155"/>
      <c r="J53" s="112" t="s">
        <v>114</v>
      </c>
      <c r="K53" s="108"/>
      <c r="L53" s="108"/>
      <c r="M53" s="108"/>
      <c r="N53" s="108"/>
      <c r="O53" s="108"/>
      <c r="P53" s="155"/>
      <c r="AR53" s="112" t="s">
        <v>114</v>
      </c>
      <c r="AS53" s="108"/>
      <c r="AT53" s="108"/>
      <c r="AU53" s="108"/>
      <c r="AV53" s="108"/>
      <c r="AW53" s="108"/>
      <c r="AX53" s="155"/>
      <c r="BF53" s="181"/>
      <c r="BG53" s="189"/>
      <c r="BH53" s="190"/>
      <c r="BI53" s="190"/>
      <c r="BJ53" s="190"/>
      <c r="BK53" s="190"/>
      <c r="BL53" s="191"/>
      <c r="BP53" s="195" t="s">
        <v>208</v>
      </c>
      <c r="BQ53" s="195"/>
      <c r="BR53" s="195"/>
      <c r="BS53" s="195"/>
      <c r="BT53" s="195"/>
      <c r="BU53" s="195"/>
      <c r="BV53" s="195"/>
    </row>
    <row r="54" spans="2:74" ht="15">
      <c r="B54" s="110" t="s">
        <v>109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19"/>
        <v>7.3599999999999994</v>
      </c>
      <c r="H54" s="155">
        <f t="shared" si="20"/>
        <v>9396.7107199999991</v>
      </c>
      <c r="J54" s="110" t="s">
        <v>109</v>
      </c>
      <c r="K54" s="108">
        <v>1341.8119999999999</v>
      </c>
      <c r="L54" s="108">
        <v>78.5</v>
      </c>
      <c r="M54" s="114">
        <v>105351577</v>
      </c>
      <c r="N54" s="115"/>
      <c r="O54" s="108">
        <f t="shared" ref="O54:O66" si="45">L54/10</f>
        <v>7.85</v>
      </c>
      <c r="P54" s="155">
        <f t="shared" ref="P54:P66" si="46">O54*K54</f>
        <v>10533.224199999999</v>
      </c>
      <c r="AR54" s="110" t="s">
        <v>109</v>
      </c>
      <c r="AS54" s="108">
        <v>670.29499999999996</v>
      </c>
      <c r="AT54" s="108">
        <v>47.1</v>
      </c>
      <c r="AU54" s="114">
        <v>31562119</v>
      </c>
      <c r="AV54" s="115"/>
      <c r="AW54" s="108">
        <f t="shared" ref="AW54:AW66" si="47">AT54/10</f>
        <v>4.71</v>
      </c>
      <c r="AX54" s="155">
        <f t="shared" ref="AX54:AX66" si="48">AW54*AS54</f>
        <v>3157.0894499999999</v>
      </c>
      <c r="AZ54" s="72">
        <f>AX54*0.7</f>
        <v>2209.9626149999999</v>
      </c>
      <c r="BB54" s="72">
        <v>6.95</v>
      </c>
      <c r="BC54" s="72">
        <v>8.2100000000000009</v>
      </c>
      <c r="BD54" s="72">
        <f t="shared" si="25"/>
        <v>1.2600000000000007</v>
      </c>
      <c r="BE54" s="72">
        <f t="shared" si="26"/>
        <v>0.63000000000000034</v>
      </c>
      <c r="BF54" s="181">
        <f t="shared" si="27"/>
        <v>1.8129496402877705E-2</v>
      </c>
      <c r="BG54" s="189">
        <f>O54</f>
        <v>7.85</v>
      </c>
      <c r="BH54" s="190">
        <f t="shared" si="28"/>
        <v>7.9923165467625896</v>
      </c>
      <c r="BI54" s="190">
        <f>BH54+(BH54*BF54)</f>
        <v>8.1372132208477819</v>
      </c>
      <c r="BJ54" s="190">
        <f>BI54+(BI54*BF54)</f>
        <v>8.284736798664591</v>
      </c>
      <c r="BK54" s="190">
        <f>BJ54+(BJ54*BF54)</f>
        <v>8.434934904654769</v>
      </c>
      <c r="BL54" s="191">
        <f>BK54+(BK54*BF54)</f>
        <v>8.5878560266672146</v>
      </c>
      <c r="BP54" s="72">
        <v>2024</v>
      </c>
      <c r="BQ54" s="72">
        <v>2025</v>
      </c>
      <c r="BR54" s="72">
        <v>2030</v>
      </c>
      <c r="BS54" s="72">
        <v>2035</v>
      </c>
      <c r="BT54" s="72">
        <v>2040</v>
      </c>
      <c r="BU54" s="72">
        <v>2045</v>
      </c>
      <c r="BV54" s="72">
        <v>2050</v>
      </c>
    </row>
    <row r="55" spans="2:74">
      <c r="B55" s="112" t="s">
        <v>115</v>
      </c>
      <c r="C55" s="108"/>
      <c r="D55" s="108"/>
      <c r="E55" s="108"/>
      <c r="F55" s="108"/>
      <c r="G55" s="108"/>
      <c r="H55" s="155"/>
      <c r="J55" s="112" t="s">
        <v>115</v>
      </c>
      <c r="K55" s="108"/>
      <c r="L55" s="108"/>
      <c r="M55" s="108"/>
      <c r="N55" s="108"/>
      <c r="O55" s="108"/>
      <c r="P55" s="155"/>
      <c r="AR55" s="112" t="s">
        <v>115</v>
      </c>
      <c r="AS55" s="108"/>
      <c r="AT55" s="108"/>
      <c r="AU55" s="108"/>
      <c r="AV55" s="108"/>
      <c r="AW55" s="108"/>
      <c r="AX55" s="155"/>
      <c r="BF55" s="181"/>
      <c r="BG55" s="189"/>
      <c r="BH55" s="190"/>
      <c r="BI55" s="190"/>
      <c r="BJ55" s="190"/>
      <c r="BK55" s="190"/>
      <c r="BL55" s="191"/>
      <c r="BN55" s="72" t="s">
        <v>85</v>
      </c>
      <c r="BQ55" s="72">
        <f>BG42</f>
        <v>5.59</v>
      </c>
      <c r="BR55" s="72">
        <f t="shared" ref="BR55:BV55" si="49">BH42</f>
        <v>5.6393485540334858</v>
      </c>
      <c r="BS55" s="72">
        <f t="shared" si="49"/>
        <v>5.6891327574024269</v>
      </c>
      <c r="BT55" s="72">
        <f t="shared" si="49"/>
        <v>5.7393564560218087</v>
      </c>
      <c r="BU55" s="72">
        <f t="shared" si="49"/>
        <v>5.7900235297583791</v>
      </c>
      <c r="BV55" s="72">
        <f t="shared" si="49"/>
        <v>5.8411378927303712</v>
      </c>
    </row>
    <row r="56" spans="2:74">
      <c r="B56" s="110" t="s">
        <v>109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19"/>
        <v>1.52</v>
      </c>
      <c r="H56" s="155">
        <f t="shared" si="20"/>
        <v>142.27351999999999</v>
      </c>
      <c r="J56" s="110" t="s">
        <v>109</v>
      </c>
      <c r="K56" s="108">
        <v>77.016999999999996</v>
      </c>
      <c r="L56" s="108">
        <v>15.5</v>
      </c>
      <c r="M56" s="114">
        <v>1190355</v>
      </c>
      <c r="N56" s="108"/>
      <c r="O56" s="108">
        <f t="shared" ref="O56:O66" si="50">L56/10</f>
        <v>1.55</v>
      </c>
      <c r="P56" s="155">
        <f t="shared" ref="P56:P66" si="51">O56*K56</f>
        <v>119.37635</v>
      </c>
      <c r="AR56" s="110" t="s">
        <v>109</v>
      </c>
      <c r="AS56" s="108">
        <v>58.529000000000003</v>
      </c>
      <c r="AT56" s="108">
        <v>10.9</v>
      </c>
      <c r="AU56" s="114">
        <v>635241</v>
      </c>
      <c r="AV56" s="108"/>
      <c r="AW56" s="108">
        <f t="shared" ref="AW56:AW66" si="52">AT56/10</f>
        <v>1.0900000000000001</v>
      </c>
      <c r="AX56" s="155">
        <f t="shared" ref="AX56:AX66" si="53">AW56*AS56</f>
        <v>63.796610000000008</v>
      </c>
      <c r="AZ56" s="72">
        <f>AX56*0.7</f>
        <v>44.657627000000005</v>
      </c>
      <c r="BB56" s="72">
        <v>2.83</v>
      </c>
      <c r="BC56" s="72">
        <v>3.03</v>
      </c>
      <c r="BD56" s="72">
        <f t="shared" si="25"/>
        <v>0.19999999999999973</v>
      </c>
      <c r="BE56" s="72">
        <f t="shared" si="26"/>
        <v>9.9999999999999867E-2</v>
      </c>
      <c r="BF56" s="181">
        <f t="shared" si="27"/>
        <v>7.0671378091872695E-3</v>
      </c>
      <c r="BG56" s="189">
        <f>O56</f>
        <v>1.55</v>
      </c>
      <c r="BH56" s="190">
        <f t="shared" si="28"/>
        <v>1.5609540636042403</v>
      </c>
      <c r="BI56" s="190">
        <f>BH56+(BH56*BF56)</f>
        <v>1.5719855410855423</v>
      </c>
      <c r="BJ56" s="190">
        <f>BI56+(BI56*BF56)</f>
        <v>1.5830949795384437</v>
      </c>
      <c r="BK56" s="190">
        <f>BJ56+(BJ56*BF56)</f>
        <v>1.5942829299238743</v>
      </c>
      <c r="BL56" s="191">
        <f>BK56+(BK56*BF56)</f>
        <v>1.6055499470964811</v>
      </c>
      <c r="BN56" s="72" t="s">
        <v>86</v>
      </c>
      <c r="BQ56" s="72">
        <f>BG46</f>
        <v>4.82</v>
      </c>
      <c r="BR56" s="72">
        <f t="shared" ref="BR56:BV56" si="54">BH46</f>
        <v>4.8841756373937679</v>
      </c>
      <c r="BS56" s="72">
        <f t="shared" si="54"/>
        <v>4.9492057379483025</v>
      </c>
      <c r="BT56" s="72">
        <f t="shared" si="54"/>
        <v>5.0151016783685778</v>
      </c>
      <c r="BU56" s="72">
        <f t="shared" si="54"/>
        <v>5.0818749868341087</v>
      </c>
      <c r="BV56" s="72">
        <f t="shared" si="54"/>
        <v>5.1495373450157524</v>
      </c>
    </row>
    <row r="57" spans="2:74">
      <c r="B57" s="112" t="s">
        <v>116</v>
      </c>
      <c r="C57" s="108"/>
      <c r="D57" s="108"/>
      <c r="E57" s="108"/>
      <c r="F57" s="108"/>
      <c r="G57" s="108"/>
      <c r="H57" s="155"/>
      <c r="J57" s="112" t="s">
        <v>116</v>
      </c>
      <c r="K57" s="108"/>
      <c r="L57" s="108"/>
      <c r="M57" s="108"/>
      <c r="N57" s="108"/>
      <c r="O57" s="108"/>
      <c r="P57" s="155"/>
      <c r="AR57" s="112" t="s">
        <v>116</v>
      </c>
      <c r="AS57" s="108"/>
      <c r="AT57" s="108"/>
      <c r="AU57" s="108"/>
      <c r="AV57" s="108"/>
      <c r="AW57" s="108"/>
      <c r="AX57" s="155"/>
      <c r="BF57" s="181"/>
      <c r="BG57" s="189"/>
      <c r="BH57" s="190"/>
      <c r="BI57" s="190"/>
      <c r="BJ57" s="190"/>
      <c r="BK57" s="190"/>
      <c r="BL57" s="191"/>
      <c r="BN57" s="72" t="s">
        <v>87</v>
      </c>
      <c r="BQ57" s="72">
        <f>BG54</f>
        <v>7.85</v>
      </c>
      <c r="BR57" s="72">
        <f t="shared" ref="BR57:BV57" si="55">BH54</f>
        <v>7.9923165467625896</v>
      </c>
      <c r="BS57" s="72">
        <f t="shared" si="55"/>
        <v>8.1372132208477819</v>
      </c>
      <c r="BT57" s="72">
        <f t="shared" si="55"/>
        <v>8.284736798664591</v>
      </c>
      <c r="BU57" s="72">
        <f t="shared" si="55"/>
        <v>8.434934904654769</v>
      </c>
      <c r="BV57" s="72">
        <f t="shared" si="55"/>
        <v>8.5878560266672146</v>
      </c>
    </row>
    <row r="58" spans="2:74">
      <c r="B58" s="110" t="s">
        <v>109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19"/>
        <v>1.89</v>
      </c>
      <c r="H58" s="155">
        <f t="shared" si="20"/>
        <v>43.052309999999999</v>
      </c>
      <c r="J58" s="110" t="s">
        <v>109</v>
      </c>
      <c r="K58" s="108">
        <v>17.178000000000001</v>
      </c>
      <c r="L58" s="108">
        <v>21.9</v>
      </c>
      <c r="M58" s="114">
        <v>375928</v>
      </c>
      <c r="N58" s="108"/>
      <c r="O58" s="108">
        <f t="shared" ref="O58:O66" si="56">L58/10</f>
        <v>2.19</v>
      </c>
      <c r="P58" s="155">
        <f t="shared" ref="P58:P66" si="57">O58*K58</f>
        <v>37.619820000000004</v>
      </c>
      <c r="AR58" s="110" t="s">
        <v>109</v>
      </c>
      <c r="AS58" s="108">
        <v>28.009</v>
      </c>
      <c r="AT58" s="108">
        <v>12.8</v>
      </c>
      <c r="AU58" s="114">
        <v>357719</v>
      </c>
      <c r="AV58" s="108"/>
      <c r="AW58" s="108">
        <f t="shared" ref="AW58:AW66" si="58">AT58/10</f>
        <v>1.28</v>
      </c>
      <c r="AX58" s="155">
        <f t="shared" ref="AX58:AX66" si="59">AW58*AS58</f>
        <v>35.851520000000001</v>
      </c>
      <c r="AZ58" s="72">
        <f>AX58*0.7</f>
        <v>25.096063999999998</v>
      </c>
      <c r="BB58" s="72">
        <v>2.83</v>
      </c>
      <c r="BC58" s="72">
        <v>3.03</v>
      </c>
      <c r="BD58" s="72">
        <f t="shared" si="25"/>
        <v>0.19999999999999973</v>
      </c>
      <c r="BE58" s="72">
        <f t="shared" si="26"/>
        <v>9.9999999999999867E-2</v>
      </c>
      <c r="BF58" s="181">
        <f t="shared" si="27"/>
        <v>7.0671378091872695E-3</v>
      </c>
      <c r="BG58" s="189">
        <f>O58</f>
        <v>2.19</v>
      </c>
      <c r="BH58" s="190">
        <f t="shared" si="28"/>
        <v>2.2054770318021202</v>
      </c>
      <c r="BI58" s="190">
        <f>BH58+(BH58*BF58)</f>
        <v>2.221063441920863</v>
      </c>
      <c r="BJ58" s="190">
        <f>BI58+(BI58*BF58)</f>
        <v>2.2367600033478654</v>
      </c>
      <c r="BK58" s="190">
        <f>BJ58+(BJ58*BF58)</f>
        <v>2.2525674945376029</v>
      </c>
      <c r="BL58" s="191">
        <f>BK58+(BK58*BF58)</f>
        <v>2.2684866994459956</v>
      </c>
      <c r="BN58" s="72" t="s">
        <v>88</v>
      </c>
      <c r="BQ58" s="72">
        <f>BG52</f>
        <v>3.6</v>
      </c>
      <c r="BR58" s="72">
        <f t="shared" ref="BR58:BV58" si="60">BH52</f>
        <v>3.6254416961130742</v>
      </c>
      <c r="BS58" s="72">
        <f t="shared" si="60"/>
        <v>3.6510631921986789</v>
      </c>
      <c r="BT58" s="72">
        <f t="shared" si="60"/>
        <v>3.6768657589279981</v>
      </c>
      <c r="BU58" s="72">
        <f t="shared" si="60"/>
        <v>3.7028506759522242</v>
      </c>
      <c r="BV58" s="72">
        <f t="shared" si="60"/>
        <v>3.7290192319660207</v>
      </c>
    </row>
    <row r="59" spans="2:74" ht="14.25">
      <c r="B59" s="112" t="s">
        <v>117</v>
      </c>
      <c r="C59" s="108"/>
      <c r="D59" s="108"/>
      <c r="E59" s="108"/>
      <c r="F59" s="108"/>
      <c r="G59" s="108"/>
      <c r="H59" s="155"/>
      <c r="J59" s="112" t="s">
        <v>117</v>
      </c>
      <c r="K59" s="108"/>
      <c r="L59" s="108"/>
      <c r="M59" s="108"/>
      <c r="N59" s="108"/>
      <c r="O59" s="108"/>
      <c r="P59" s="155"/>
      <c r="AR59" s="112" t="s">
        <v>117</v>
      </c>
      <c r="AS59" s="108"/>
      <c r="AT59" s="108"/>
      <c r="AU59" s="108"/>
      <c r="AV59" s="108"/>
      <c r="AW59" s="108"/>
      <c r="AX59" s="155"/>
      <c r="BF59" s="181"/>
      <c r="BG59" s="189"/>
      <c r="BH59" s="190"/>
      <c r="BI59" s="190"/>
      <c r="BJ59" s="190"/>
      <c r="BK59" s="190"/>
      <c r="BL59" s="191"/>
      <c r="BN59" s="72" t="s">
        <v>89</v>
      </c>
      <c r="BQ59" s="72">
        <f>BG50</f>
        <v>4.7200000000000006</v>
      </c>
      <c r="BR59" s="72">
        <f t="shared" ref="BR59:BV59" si="61">BH50</f>
        <v>4.7540618556701038</v>
      </c>
      <c r="BS59" s="72">
        <f t="shared" si="61"/>
        <v>4.788369518546074</v>
      </c>
      <c r="BT59" s="72">
        <f t="shared" si="61"/>
        <v>4.8229247624943445</v>
      </c>
      <c r="BU59" s="72">
        <f t="shared" si="61"/>
        <v>4.8577293741824477</v>
      </c>
      <c r="BV59" s="72">
        <f t="shared" si="61"/>
        <v>4.8927851531713928</v>
      </c>
    </row>
    <row r="60" spans="2:74">
      <c r="B60" s="116" t="s">
        <v>107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19"/>
        <v>30.2</v>
      </c>
      <c r="H60" s="155">
        <f t="shared" si="20"/>
        <v>5923.7602000000006</v>
      </c>
      <c r="J60" s="116" t="s">
        <v>107</v>
      </c>
      <c r="K60" s="117">
        <v>214.19</v>
      </c>
      <c r="L60" s="118">
        <v>327</v>
      </c>
      <c r="M60" s="119">
        <v>70120504</v>
      </c>
      <c r="N60" s="118"/>
      <c r="O60" s="108">
        <f t="shared" ref="O60:O66" si="62">L60/10</f>
        <v>32.700000000000003</v>
      </c>
      <c r="P60" s="155">
        <f t="shared" ref="P60:P66" si="63">O60*K60</f>
        <v>7004.0130000000008</v>
      </c>
      <c r="AR60" s="116" t="s">
        <v>107</v>
      </c>
      <c r="AS60" s="117">
        <v>300.35500000000002</v>
      </c>
      <c r="AT60" s="118">
        <v>210</v>
      </c>
      <c r="AU60" s="119">
        <v>63136692</v>
      </c>
      <c r="AV60" s="118"/>
      <c r="AW60" s="108">
        <f t="shared" ref="AW60:AW66" si="64">AT60/10</f>
        <v>21</v>
      </c>
      <c r="AX60" s="155">
        <f t="shared" ref="AX60:AX66" si="65">AW60*AS60</f>
        <v>6307.4549999999999</v>
      </c>
      <c r="AZ60" s="72">
        <f>AX60*1.2</f>
        <v>7568.9459999999999</v>
      </c>
      <c r="BB60" s="72">
        <v>22.04</v>
      </c>
      <c r="BC60" s="72">
        <v>24.63</v>
      </c>
      <c r="BD60" s="72">
        <f t="shared" si="25"/>
        <v>2.59</v>
      </c>
      <c r="BE60" s="72">
        <f t="shared" si="26"/>
        <v>1.2949999999999999</v>
      </c>
      <c r="BF60" s="181">
        <f t="shared" si="27"/>
        <v>1.17513611615245E-2</v>
      </c>
      <c r="BG60" s="189">
        <f>O60</f>
        <v>32.700000000000003</v>
      </c>
      <c r="BH60" s="190">
        <f t="shared" si="28"/>
        <v>33.084269509981851</v>
      </c>
      <c r="BI60" s="190">
        <f>BH60+(BH60*BF60)</f>
        <v>33.473054709758863</v>
      </c>
      <c r="BJ60" s="190">
        <f>BI60+(BI60*BF60)</f>
        <v>33.866408664832704</v>
      </c>
      <c r="BK60" s="190">
        <f>BJ60+(BJ60*BF60)</f>
        <v>34.264385064296938</v>
      </c>
      <c r="BL60" s="191">
        <f>BK60+(BK60*BF60)</f>
        <v>34.66703822816504</v>
      </c>
      <c r="BN60" s="72" t="s">
        <v>90</v>
      </c>
      <c r="BQ60" s="72">
        <f>BG48</f>
        <v>3.4899999999999998</v>
      </c>
      <c r="BR60" s="72">
        <f t="shared" ref="BR60:BV60" si="66">BH48</f>
        <v>3.5151855670103092</v>
      </c>
      <c r="BS60" s="72">
        <f t="shared" si="66"/>
        <v>3.5405528855351256</v>
      </c>
      <c r="BT60" s="72">
        <f t="shared" si="66"/>
        <v>3.5661032671833173</v>
      </c>
      <c r="BU60" s="72">
        <f t="shared" si="66"/>
        <v>3.5918380330289699</v>
      </c>
      <c r="BV60" s="72">
        <f t="shared" si="66"/>
        <v>3.6177585136796946</v>
      </c>
    </row>
    <row r="61" spans="2:74">
      <c r="B61" s="112" t="s">
        <v>118</v>
      </c>
      <c r="C61" s="108"/>
      <c r="D61" s="108"/>
      <c r="E61" s="108"/>
      <c r="F61" s="108"/>
      <c r="G61" s="108"/>
      <c r="H61" s="155"/>
      <c r="J61" s="112" t="s">
        <v>118</v>
      </c>
      <c r="K61" s="108"/>
      <c r="L61" s="108"/>
      <c r="M61" s="108"/>
      <c r="N61" s="108"/>
      <c r="O61" s="108"/>
      <c r="P61" s="155"/>
      <c r="AR61" s="112" t="s">
        <v>118</v>
      </c>
      <c r="AS61" s="108"/>
      <c r="AT61" s="108"/>
      <c r="AU61" s="108"/>
      <c r="AV61" s="108"/>
      <c r="AW61" s="108"/>
      <c r="AX61" s="155"/>
      <c r="BF61" s="181"/>
      <c r="BG61" s="189"/>
      <c r="BH61" s="190"/>
      <c r="BI61" s="190"/>
      <c r="BJ61" s="190"/>
      <c r="BK61" s="190"/>
      <c r="BL61" s="191"/>
      <c r="BN61" s="72" t="s">
        <v>91</v>
      </c>
      <c r="BQ61" s="72">
        <f>BG44</f>
        <v>3.8200000000000003</v>
      </c>
      <c r="BR61" s="72">
        <f t="shared" ref="BR61:BV61" si="67">BH44</f>
        <v>3.8475670103092785</v>
      </c>
      <c r="BS61" s="72">
        <f t="shared" si="67"/>
        <v>3.8753329578063558</v>
      </c>
      <c r="BT61" s="72">
        <f t="shared" si="67"/>
        <v>3.9032992781204223</v>
      </c>
      <c r="BU61" s="72">
        <f t="shared" si="67"/>
        <v>3.9314674172408788</v>
      </c>
      <c r="BV61" s="72">
        <f t="shared" si="67"/>
        <v>3.9598388315921018</v>
      </c>
    </row>
    <row r="62" spans="2:74">
      <c r="B62" s="110" t="s">
        <v>109</v>
      </c>
      <c r="C62" s="113">
        <v>1104.548</v>
      </c>
      <c r="D62" s="108">
        <v>31.4</v>
      </c>
      <c r="E62" s="114">
        <v>34713263</v>
      </c>
      <c r="F62" s="108"/>
      <c r="G62" s="108">
        <f t="shared" si="19"/>
        <v>3.1399999999999997</v>
      </c>
      <c r="H62" s="155">
        <f t="shared" si="20"/>
        <v>3468.2807199999997</v>
      </c>
      <c r="J62" s="110" t="s">
        <v>109</v>
      </c>
      <c r="K62" s="113">
        <v>1199.6780000000001</v>
      </c>
      <c r="L62" s="108">
        <v>32.200000000000003</v>
      </c>
      <c r="M62" s="114">
        <v>38590267</v>
      </c>
      <c r="N62" s="108"/>
      <c r="O62" s="108">
        <f t="shared" ref="O62:O66" si="68">L62/10</f>
        <v>3.22</v>
      </c>
      <c r="P62" s="155">
        <f t="shared" ref="P62:P66" si="69">O62*K62</f>
        <v>3862.9631600000007</v>
      </c>
      <c r="AR62" s="110" t="s">
        <v>109</v>
      </c>
      <c r="AS62" s="113">
        <v>994.23</v>
      </c>
      <c r="AT62" s="108">
        <v>27.8</v>
      </c>
      <c r="AU62" s="114">
        <v>27627364</v>
      </c>
      <c r="AV62" s="108"/>
      <c r="AW62" s="108">
        <f t="shared" ref="AW62:AW66" si="70">AT62/10</f>
        <v>2.7800000000000002</v>
      </c>
      <c r="AX62" s="155">
        <f t="shared" ref="AX62:AX66" si="71">AW62*AS62</f>
        <v>2763.9594000000002</v>
      </c>
      <c r="AZ62" s="72">
        <f>AX62*1</f>
        <v>2763.9594000000002</v>
      </c>
      <c r="BB62" s="72">
        <v>2.77</v>
      </c>
      <c r="BC62" s="72">
        <v>3.1</v>
      </c>
      <c r="BD62" s="72">
        <f t="shared" si="25"/>
        <v>0.33000000000000007</v>
      </c>
      <c r="BE62" s="72">
        <f t="shared" si="26"/>
        <v>0.16500000000000004</v>
      </c>
      <c r="BF62" s="181">
        <f t="shared" si="27"/>
        <v>1.1913357400722024E-2</v>
      </c>
      <c r="BG62" s="189">
        <f>O62</f>
        <v>3.22</v>
      </c>
      <c r="BH62" s="190">
        <f t="shared" si="28"/>
        <v>3.2583610108303249</v>
      </c>
      <c r="BI62" s="190">
        <f>BH62+(BH62*BF62)</f>
        <v>3.2971790300929245</v>
      </c>
      <c r="BJ62" s="190">
        <f>BI62+(BI62*BF62)</f>
        <v>3.3364595022925876</v>
      </c>
      <c r="BK62" s="190">
        <f>BJ62+(BJ62*BF62)</f>
        <v>3.3762079367964342</v>
      </c>
      <c r="BL62" s="191">
        <f>BK62+(BK62*BF62)</f>
        <v>3.4164299086066445</v>
      </c>
      <c r="BN62" s="72" t="s">
        <v>92</v>
      </c>
      <c r="BQ62" s="72">
        <f>(BG56+BG58)/2</f>
        <v>1.87</v>
      </c>
      <c r="BR62" s="72">
        <f t="shared" ref="BR62:BV62" si="72">(BH56+BH58)/2</f>
        <v>1.8832155477031802</v>
      </c>
      <c r="BS62" s="72">
        <f t="shared" si="72"/>
        <v>1.8965244915032027</v>
      </c>
      <c r="BT62" s="72">
        <f t="shared" si="72"/>
        <v>1.9099274914431545</v>
      </c>
      <c r="BU62" s="72">
        <f t="shared" si="72"/>
        <v>1.9234252122307387</v>
      </c>
      <c r="BV62" s="72">
        <f t="shared" si="72"/>
        <v>1.9370183232712384</v>
      </c>
    </row>
    <row r="63" spans="2:74">
      <c r="B63" s="120" t="s">
        <v>119</v>
      </c>
      <c r="C63" s="121"/>
      <c r="D63" s="121"/>
      <c r="E63" s="121"/>
      <c r="F63" s="121"/>
      <c r="G63" s="108"/>
      <c r="H63" s="155"/>
      <c r="J63" s="120" t="s">
        <v>192</v>
      </c>
      <c r="K63" s="121"/>
      <c r="L63" s="121"/>
      <c r="M63" s="121"/>
      <c r="N63" s="121"/>
      <c r="O63" s="108"/>
      <c r="P63" s="155"/>
      <c r="AR63" s="120" t="s">
        <v>192</v>
      </c>
      <c r="AS63" s="121"/>
      <c r="AT63" s="121"/>
      <c r="AU63" s="121"/>
      <c r="AV63" s="121"/>
      <c r="AW63" s="108"/>
      <c r="AX63" s="155"/>
      <c r="BF63" s="181"/>
      <c r="BG63" s="189"/>
      <c r="BH63" s="190"/>
      <c r="BI63" s="190"/>
      <c r="BJ63" s="190"/>
      <c r="BK63" s="190"/>
      <c r="BL63" s="191"/>
      <c r="BN63" s="72" t="s">
        <v>93</v>
      </c>
      <c r="BQ63" s="72">
        <f>BG66</f>
        <v>18.600000000000001</v>
      </c>
      <c r="BR63" s="72">
        <f t="shared" ref="BR63:BV63" si="73">BH66</f>
        <v>18.962337662337664</v>
      </c>
      <c r="BS63" s="72">
        <f t="shared" si="73"/>
        <v>19.331733850565019</v>
      </c>
      <c r="BT63" s="72">
        <f t="shared" si="73"/>
        <v>19.70832606843317</v>
      </c>
      <c r="BU63" s="72">
        <f t="shared" si="73"/>
        <v>20.092254498337713</v>
      </c>
      <c r="BV63" s="72">
        <f t="shared" si="73"/>
        <v>20.483662053500137</v>
      </c>
    </row>
    <row r="64" spans="2:74">
      <c r="B64" s="122" t="s">
        <v>109</v>
      </c>
      <c r="C64" s="121">
        <v>206.142</v>
      </c>
      <c r="D64" s="121">
        <v>24.9</v>
      </c>
      <c r="E64" s="123">
        <v>5138244</v>
      </c>
      <c r="F64" s="121"/>
      <c r="G64" s="108">
        <f t="shared" si="19"/>
        <v>2.4899999999999998</v>
      </c>
      <c r="H64" s="155">
        <f t="shared" si="20"/>
        <v>513.29357999999991</v>
      </c>
      <c r="J64" s="122" t="s">
        <v>109</v>
      </c>
      <c r="K64" s="121">
        <v>213.75700000000001</v>
      </c>
      <c r="L64" s="121">
        <v>25.3</v>
      </c>
      <c r="M64" s="123">
        <v>5414287</v>
      </c>
      <c r="N64" s="121"/>
      <c r="O64" s="108">
        <f t="shared" ref="O64:O66" si="74">L64/10</f>
        <v>2.5300000000000002</v>
      </c>
      <c r="P64" s="155">
        <f t="shared" ref="P64:P66" si="75">O64*K64</f>
        <v>540.8052100000001</v>
      </c>
      <c r="AR64" s="122" t="s">
        <v>109</v>
      </c>
      <c r="AS64" s="121">
        <v>91.033000000000001</v>
      </c>
      <c r="AT64" s="121">
        <v>18.8</v>
      </c>
      <c r="AU64" s="123">
        <v>1715237</v>
      </c>
      <c r="AV64" s="121"/>
      <c r="AW64" s="108">
        <f t="shared" ref="AW64:AW66" si="76">AT64/10</f>
        <v>1.8800000000000001</v>
      </c>
      <c r="AX64" s="155">
        <f t="shared" ref="AX64:AX66" si="77">AW64*AS64</f>
        <v>171.14204000000001</v>
      </c>
      <c r="AZ64" s="72">
        <f>AX64*1.2</f>
        <v>205.37044800000001</v>
      </c>
      <c r="BB64" s="72">
        <v>2.31</v>
      </c>
      <c r="BC64" s="72">
        <v>2.76</v>
      </c>
      <c r="BD64" s="72">
        <f t="shared" si="25"/>
        <v>0.44999999999999973</v>
      </c>
      <c r="BE64" s="72">
        <f t="shared" si="26"/>
        <v>0.22499999999999987</v>
      </c>
      <c r="BF64" s="181">
        <f t="shared" si="27"/>
        <v>1.9480519480519466E-2</v>
      </c>
      <c r="BG64" s="189">
        <f>O64</f>
        <v>2.5300000000000002</v>
      </c>
      <c r="BH64" s="190">
        <f t="shared" si="28"/>
        <v>2.5792857142857146</v>
      </c>
      <c r="BI64" s="190">
        <f>BH64+(BH64*BF64)</f>
        <v>2.6295315398886832</v>
      </c>
      <c r="BJ64" s="190">
        <f>BI64+(BI64*BF64)</f>
        <v>2.6807561802761248</v>
      </c>
      <c r="BK64" s="190">
        <f>BJ64+(BJ64*BF64)</f>
        <v>2.7329787032685169</v>
      </c>
      <c r="BL64" s="191">
        <f>BK64+(BK64*BF64)</f>
        <v>2.7862185481373842</v>
      </c>
      <c r="BN64" s="72" t="s">
        <v>94</v>
      </c>
      <c r="BQ64" s="72">
        <f>BG64</f>
        <v>2.5300000000000002</v>
      </c>
      <c r="BR64" s="72">
        <f t="shared" ref="BR64:BV64" si="78">BH64</f>
        <v>2.5792857142857146</v>
      </c>
      <c r="BS64" s="72">
        <f t="shared" si="78"/>
        <v>2.6295315398886832</v>
      </c>
      <c r="BT64" s="72">
        <f t="shared" si="78"/>
        <v>2.6807561802761248</v>
      </c>
      <c r="BU64" s="72">
        <f t="shared" si="78"/>
        <v>2.7329787032685169</v>
      </c>
      <c r="BV64" s="72">
        <f t="shared" si="78"/>
        <v>2.7862185481373842</v>
      </c>
    </row>
    <row r="65" spans="2:74">
      <c r="B65" s="120" t="s">
        <v>120</v>
      </c>
      <c r="C65" s="121"/>
      <c r="D65" s="121"/>
      <c r="E65" s="121"/>
      <c r="F65" s="121"/>
      <c r="G65" s="108"/>
      <c r="H65" s="155"/>
      <c r="J65" s="120" t="s">
        <v>120</v>
      </c>
      <c r="K65" s="121"/>
      <c r="L65" s="121"/>
      <c r="M65" s="121"/>
      <c r="N65" s="121"/>
      <c r="O65" s="108"/>
      <c r="P65" s="155"/>
      <c r="S65" s="72">
        <v>2020</v>
      </c>
      <c r="T65" s="72">
        <v>2025</v>
      </c>
      <c r="U65" s="72">
        <v>2030</v>
      </c>
      <c r="W65" s="72" t="s">
        <v>201</v>
      </c>
      <c r="AR65" s="120" t="s">
        <v>120</v>
      </c>
      <c r="AS65" s="121"/>
      <c r="AT65" s="121"/>
      <c r="AU65" s="121"/>
      <c r="AV65" s="121"/>
      <c r="AW65" s="108"/>
      <c r="AX65" s="155"/>
      <c r="BF65" s="181"/>
      <c r="BG65" s="189"/>
      <c r="BH65" s="190"/>
      <c r="BI65" s="190"/>
      <c r="BJ65" s="190"/>
      <c r="BK65" s="190"/>
      <c r="BL65" s="191"/>
      <c r="BN65" s="72" t="s">
        <v>95</v>
      </c>
      <c r="BQ65" s="72">
        <f>BG60</f>
        <v>32.700000000000003</v>
      </c>
      <c r="BR65" s="72">
        <f t="shared" ref="BR65:BV65" si="79">BH60</f>
        <v>33.084269509981851</v>
      </c>
      <c r="BS65" s="72">
        <f t="shared" si="79"/>
        <v>33.473054709758863</v>
      </c>
      <c r="BT65" s="72">
        <f t="shared" si="79"/>
        <v>33.866408664832704</v>
      </c>
      <c r="BU65" s="72">
        <f t="shared" si="79"/>
        <v>34.264385064296938</v>
      </c>
      <c r="BV65" s="72">
        <f t="shared" si="79"/>
        <v>34.66703822816504</v>
      </c>
    </row>
    <row r="66" spans="2:74" ht="13.5" thickBot="1">
      <c r="B66" s="124" t="s">
        <v>121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19"/>
        <v>17.990000000000002</v>
      </c>
      <c r="H66" s="156">
        <f t="shared" si="20"/>
        <v>779.12891000000002</v>
      </c>
      <c r="J66" s="124" t="s">
        <v>121</v>
      </c>
      <c r="K66" s="125">
        <v>37.813000000000002</v>
      </c>
      <c r="L66" s="125">
        <v>186</v>
      </c>
      <c r="M66" s="126">
        <v>7027690</v>
      </c>
      <c r="N66" s="127"/>
      <c r="O66" s="154">
        <f t="shared" ref="O66" si="80">L66/10</f>
        <v>18.600000000000001</v>
      </c>
      <c r="P66" s="156">
        <f t="shared" ref="P66" si="81">O66*K66</f>
        <v>703.32180000000005</v>
      </c>
      <c r="R66" s="72" t="s">
        <v>193</v>
      </c>
      <c r="S66" s="72">
        <v>9441</v>
      </c>
      <c r="T66" s="72">
        <f>(S66+U66)/2</f>
        <v>9584</v>
      </c>
      <c r="U66" s="72">
        <v>9727</v>
      </c>
      <c r="V66" s="72">
        <f>U66-T66</f>
        <v>143</v>
      </c>
      <c r="W66" s="181">
        <f>V66/T66</f>
        <v>1.4920701168614357E-2</v>
      </c>
      <c r="AR66" s="124" t="s">
        <v>121</v>
      </c>
      <c r="AS66" s="125">
        <v>37.094999999999999</v>
      </c>
      <c r="AT66" s="125">
        <v>160</v>
      </c>
      <c r="AU66" s="126">
        <v>5919084</v>
      </c>
      <c r="AV66" s="127"/>
      <c r="AW66" s="154">
        <f t="shared" ref="AW66" si="82">AT66/10</f>
        <v>16</v>
      </c>
      <c r="AX66" s="156">
        <f t="shared" ref="AX66" si="83">AW66*AS66</f>
        <v>593.52</v>
      </c>
      <c r="AZ66" s="72">
        <f>AX66*1.2</f>
        <v>712.22399999999993</v>
      </c>
      <c r="BB66" s="72">
        <f>AW66</f>
        <v>16</v>
      </c>
      <c r="BC66" s="72">
        <f>O66</f>
        <v>18.600000000000001</v>
      </c>
      <c r="BD66" s="72">
        <f t="shared" si="25"/>
        <v>2.6000000000000014</v>
      </c>
      <c r="BE66" s="72">
        <f t="shared" si="26"/>
        <v>1.3000000000000007</v>
      </c>
      <c r="BF66" s="181">
        <f t="shared" si="27"/>
        <v>1.6250000000000007E-2</v>
      </c>
      <c r="BG66" s="192">
        <f>O66</f>
        <v>18.600000000000001</v>
      </c>
      <c r="BH66" s="193">
        <f>BG66+(BG66*BF64)</f>
        <v>18.962337662337664</v>
      </c>
      <c r="BI66" s="193">
        <f>BH66+(BH66*BF64)</f>
        <v>19.331733850565019</v>
      </c>
      <c r="BJ66" s="193">
        <f>BI66+(BI66*BF64)</f>
        <v>19.70832606843317</v>
      </c>
      <c r="BK66" s="193">
        <f>BJ66+(BJ66*BF64)</f>
        <v>20.092254498337713</v>
      </c>
      <c r="BL66" s="194">
        <f>BK66+(BK66*BF64)</f>
        <v>20.483662053500137</v>
      </c>
      <c r="BN66" s="72" t="s">
        <v>96</v>
      </c>
      <c r="BQ66" s="72">
        <f>BG62</f>
        <v>3.22</v>
      </c>
      <c r="BR66" s="72">
        <f t="shared" ref="BR66:BV66" si="84">BH62</f>
        <v>3.2583610108303249</v>
      </c>
      <c r="BS66" s="72">
        <f t="shared" si="84"/>
        <v>3.2971790300929245</v>
      </c>
      <c r="BT66" s="72">
        <f t="shared" si="84"/>
        <v>3.3364595022925876</v>
      </c>
      <c r="BU66" s="72">
        <f t="shared" si="84"/>
        <v>3.3762079367964342</v>
      </c>
      <c r="BV66" s="72">
        <f t="shared" si="84"/>
        <v>3.4164299086066445</v>
      </c>
    </row>
    <row r="67" spans="2:74">
      <c r="R67" s="72" t="s">
        <v>194</v>
      </c>
      <c r="S67" s="72">
        <v>3295</v>
      </c>
      <c r="T67" s="72">
        <f t="shared" ref="T67:T73" si="85">(S67+U67)/2</f>
        <v>3645.5</v>
      </c>
      <c r="U67" s="72">
        <v>3996</v>
      </c>
      <c r="V67" s="72">
        <f t="shared" ref="V67:V73" si="86">U67-T67</f>
        <v>350.5</v>
      </c>
      <c r="W67" s="181">
        <f t="shared" ref="W67:W73" si="87">V67/T67</f>
        <v>9.6145933342477022E-2</v>
      </c>
      <c r="BF67" s="181"/>
    </row>
    <row r="68" spans="2:74">
      <c r="R68" s="72" t="s">
        <v>195</v>
      </c>
      <c r="S68" s="72">
        <v>7463</v>
      </c>
      <c r="T68" s="72">
        <f t="shared" si="85"/>
        <v>7010.5</v>
      </c>
      <c r="U68" s="72">
        <v>6558</v>
      </c>
      <c r="V68" s="72">
        <f t="shared" si="86"/>
        <v>-452.5</v>
      </c>
      <c r="W68" s="181">
        <f t="shared" si="87"/>
        <v>-6.4546038085728549E-2</v>
      </c>
      <c r="BP68" s="195" t="s">
        <v>204</v>
      </c>
      <c r="BQ68" s="195"/>
      <c r="BR68" s="195"/>
      <c r="BS68" s="195"/>
      <c r="BT68" s="195"/>
      <c r="BU68" s="195"/>
      <c r="BV68" s="195"/>
    </row>
    <row r="69" spans="2:74">
      <c r="R69" s="72" t="s">
        <v>196</v>
      </c>
      <c r="S69" s="72">
        <v>4482</v>
      </c>
      <c r="T69" s="72">
        <f t="shared" si="85"/>
        <v>4703</v>
      </c>
      <c r="U69" s="72">
        <v>4924</v>
      </c>
      <c r="V69" s="72">
        <f t="shared" si="86"/>
        <v>221</v>
      </c>
      <c r="W69" s="181">
        <f t="shared" si="87"/>
        <v>4.6991282160323194E-2</v>
      </c>
      <c r="BP69" s="72">
        <v>2024</v>
      </c>
      <c r="BQ69" s="72">
        <v>2025</v>
      </c>
      <c r="BR69" s="72">
        <v>2030</v>
      </c>
      <c r="BS69" s="72">
        <v>2035</v>
      </c>
      <c r="BT69" s="72">
        <v>2040</v>
      </c>
      <c r="BU69" s="72">
        <v>2045</v>
      </c>
      <c r="BV69" s="72">
        <v>2050</v>
      </c>
    </row>
    <row r="70" spans="2:74">
      <c r="R70" s="72" t="s">
        <v>200</v>
      </c>
      <c r="S70" s="72">
        <v>2691</v>
      </c>
      <c r="T70" s="72">
        <f t="shared" si="85"/>
        <v>2329</v>
      </c>
      <c r="U70" s="72">
        <v>1967</v>
      </c>
      <c r="V70" s="72">
        <f t="shared" si="86"/>
        <v>-362</v>
      </c>
      <c r="W70" s="181">
        <f t="shared" si="87"/>
        <v>-0.15543151567196223</v>
      </c>
      <c r="BN70" s="72" t="s">
        <v>85</v>
      </c>
      <c r="BQ70" s="72">
        <f>BQ40/BQ55</f>
        <v>2414.1109999999999</v>
      </c>
      <c r="BR70" s="72">
        <f t="shared" ref="BR70:BV70" si="88">BR40/BR55</f>
        <v>2428.6907322480297</v>
      </c>
      <c r="BS70" s="72">
        <f t="shared" si="88"/>
        <v>2190.4247839195932</v>
      </c>
      <c r="BT70" s="72">
        <f t="shared" si="88"/>
        <v>1956.1428704727355</v>
      </c>
      <c r="BU70" s="72">
        <f t="shared" si="88"/>
        <v>1725.7935106684015</v>
      </c>
      <c r="BV70" s="72">
        <f t="shared" si="88"/>
        <v>1499.325819186625</v>
      </c>
    </row>
    <row r="71" spans="2:74">
      <c r="R71" s="72" t="s">
        <v>197</v>
      </c>
      <c r="S71" s="72">
        <v>2799</v>
      </c>
      <c r="T71" s="72">
        <f t="shared" si="85"/>
        <v>3024</v>
      </c>
      <c r="U71" s="72">
        <v>3249</v>
      </c>
      <c r="V71" s="72">
        <f t="shared" si="86"/>
        <v>225</v>
      </c>
      <c r="W71" s="181">
        <f t="shared" si="87"/>
        <v>7.4404761904761904E-2</v>
      </c>
      <c r="BN71" s="72" t="s">
        <v>86</v>
      </c>
      <c r="BQ71" s="72">
        <f t="shared" ref="BQ71:BV71" si="89">BQ41/BQ56</f>
        <v>620.62599999999998</v>
      </c>
      <c r="BR71" s="72">
        <f t="shared" si="89"/>
        <v>671.35790636676734</v>
      </c>
      <c r="BS71" s="72">
        <f t="shared" si="89"/>
        <v>601.65783341846043</v>
      </c>
      <c r="BT71" s="72">
        <f t="shared" si="89"/>
        <v>533.67350141039867</v>
      </c>
      <c r="BU71" s="72">
        <f t="shared" si="89"/>
        <v>467.37185585348521</v>
      </c>
      <c r="BV71" s="72">
        <f t="shared" si="89"/>
        <v>402.72041468099223</v>
      </c>
    </row>
    <row r="72" spans="2:74">
      <c r="R72" s="72" t="s">
        <v>198</v>
      </c>
      <c r="S72" s="72">
        <v>452</v>
      </c>
      <c r="T72" s="72">
        <f t="shared" si="85"/>
        <v>501.5</v>
      </c>
      <c r="U72" s="72">
        <v>551</v>
      </c>
      <c r="V72" s="72">
        <f t="shared" si="86"/>
        <v>49.5</v>
      </c>
      <c r="W72" s="181">
        <f t="shared" si="87"/>
        <v>9.8703888334995021E-2</v>
      </c>
      <c r="BN72" s="72" t="s">
        <v>87</v>
      </c>
      <c r="BQ72" s="72">
        <f t="shared" ref="BQ72:BV72" si="90">BQ42/BQ57</f>
        <v>1341.8119999999999</v>
      </c>
      <c r="BR72" s="72">
        <f t="shared" si="90"/>
        <v>1379.8494899338393</v>
      </c>
      <c r="BS72" s="72">
        <f t="shared" si="90"/>
        <v>1084.3560131831975</v>
      </c>
      <c r="BT72" s="72">
        <f t="shared" si="90"/>
        <v>798.94852710191037</v>
      </c>
      <c r="BU72" s="72">
        <f t="shared" si="90"/>
        <v>523.36153020267045</v>
      </c>
      <c r="BV72" s="72">
        <f t="shared" si="90"/>
        <v>257.33577835231188</v>
      </c>
    </row>
    <row r="73" spans="2:74">
      <c r="R73" s="72" t="s">
        <v>199</v>
      </c>
      <c r="S73" s="72">
        <v>6145</v>
      </c>
      <c r="T73" s="72">
        <f t="shared" si="85"/>
        <v>5166</v>
      </c>
      <c r="U73" s="72">
        <v>4187</v>
      </c>
      <c r="V73" s="72">
        <f t="shared" si="86"/>
        <v>-979</v>
      </c>
      <c r="W73" s="181">
        <f t="shared" si="87"/>
        <v>-0.18950832365466511</v>
      </c>
      <c r="BN73" s="72" t="s">
        <v>88</v>
      </c>
      <c r="BQ73" s="72">
        <f t="shared" ref="BQ73:BV73" si="91">BQ43/BQ58</f>
        <v>197.244</v>
      </c>
      <c r="BR73" s="72">
        <f t="shared" si="91"/>
        <v>165.41704109737631</v>
      </c>
      <c r="BS73" s="72">
        <f t="shared" si="91"/>
        <v>263.45817585049758</v>
      </c>
      <c r="BT73" s="72">
        <f t="shared" si="91"/>
        <v>360.11514856258532</v>
      </c>
      <c r="BU73" s="72">
        <f t="shared" si="91"/>
        <v>455.40255794324582</v>
      </c>
      <c r="BV73" s="72">
        <f t="shared" si="91"/>
        <v>549.3348659722509</v>
      </c>
    </row>
    <row r="74" spans="2:74">
      <c r="BN74" s="72" t="s">
        <v>89</v>
      </c>
      <c r="BQ74" s="72">
        <f t="shared" ref="BQ74:BV74" si="92">BQ44/BQ59</f>
        <v>1115.5039999999999</v>
      </c>
      <c r="BR74" s="72">
        <f t="shared" si="92"/>
        <v>1036.0261588958863</v>
      </c>
      <c r="BS74" s="72">
        <f t="shared" si="92"/>
        <v>966.49993336724128</v>
      </c>
      <c r="BT74" s="72">
        <f t="shared" si="92"/>
        <v>897.9168058806622</v>
      </c>
      <c r="BU74" s="72">
        <f t="shared" si="92"/>
        <v>830.26683131141351</v>
      </c>
      <c r="BV74" s="72">
        <f t="shared" si="92"/>
        <v>763.54015863102313</v>
      </c>
    </row>
    <row r="75" spans="2:74">
      <c r="BN75" s="72" t="s">
        <v>90</v>
      </c>
      <c r="BQ75" s="72">
        <f t="shared" ref="BQ75:BV75" si="93">BQ45/BQ60</f>
        <v>528.65300000000002</v>
      </c>
      <c r="BR75" s="72">
        <f t="shared" si="93"/>
        <v>490.98733575028598</v>
      </c>
      <c r="BS75" s="72">
        <f t="shared" si="93"/>
        <v>425.9450577823394</v>
      </c>
      <c r="BT75" s="72">
        <f t="shared" si="93"/>
        <v>361.80960391150643</v>
      </c>
      <c r="BU75" s="72">
        <f t="shared" si="93"/>
        <v>298.57131862351798</v>
      </c>
      <c r="BV75" s="72">
        <f t="shared" si="93"/>
        <v>236.22063821246601</v>
      </c>
    </row>
    <row r="76" spans="2:74">
      <c r="BN76" s="72" t="s">
        <v>91</v>
      </c>
      <c r="BQ76" s="72">
        <f t="shared" ref="BQ76:BV76" si="94">BQ46/BQ61</f>
        <v>603.91600000000005</v>
      </c>
      <c r="BR76" s="72">
        <f t="shared" si="94"/>
        <v>560.88796972110197</v>
      </c>
      <c r="BS76" s="72">
        <f t="shared" si="94"/>
        <v>508.69901723221244</v>
      </c>
      <c r="BT76" s="72">
        <f t="shared" si="94"/>
        <v>457.22911778584614</v>
      </c>
      <c r="BU76" s="72">
        <f t="shared" si="94"/>
        <v>406.47064673273252</v>
      </c>
      <c r="BV76" s="72">
        <f t="shared" si="94"/>
        <v>356.41605176959928</v>
      </c>
    </row>
    <row r="77" spans="2:74">
      <c r="BN77" s="72" t="s">
        <v>92</v>
      </c>
      <c r="BQ77" s="72">
        <f t="shared" ref="BQ77:BV77" si="95">BQ47/BQ62</f>
        <v>83.955171122994656</v>
      </c>
      <c r="BR77" s="72">
        <f t="shared" si="95"/>
        <v>70.408306422449712</v>
      </c>
      <c r="BS77" s="72">
        <f t="shared" si="95"/>
        <v>61.630596536094274</v>
      </c>
      <c r="BT77" s="72">
        <f t="shared" si="95"/>
        <v>52.972615256014684</v>
      </c>
      <c r="BU77" s="72">
        <f t="shared" si="95"/>
        <v>44.43311444713418</v>
      </c>
      <c r="BV77" s="72">
        <f t="shared" si="95"/>
        <v>36.010857595915716</v>
      </c>
    </row>
    <row r="78" spans="2:74">
      <c r="BN78" s="72" t="s">
        <v>93</v>
      </c>
      <c r="BQ78" s="72">
        <f t="shared" ref="BQ78:BV78" si="96">BQ48/BQ63</f>
        <v>37.813000000000002</v>
      </c>
      <c r="BR78" s="72">
        <f t="shared" si="96"/>
        <v>40.751431082548528</v>
      </c>
      <c r="BS78" s="72">
        <f t="shared" si="96"/>
        <v>32.192782712549409</v>
      </c>
      <c r="BT78" s="72">
        <f t="shared" si="96"/>
        <v>23.946337023583844</v>
      </c>
      <c r="BU78" s="72">
        <f t="shared" si="96"/>
        <v>16.003287691249081</v>
      </c>
      <c r="BV78" s="72">
        <f t="shared" si="96"/>
        <v>8.355050945138796</v>
      </c>
    </row>
    <row r="79" spans="2:74">
      <c r="BN79" s="72" t="s">
        <v>94</v>
      </c>
      <c r="BQ79" s="72">
        <f t="shared" ref="BQ79:BV79" si="97">BQ49/BQ64</f>
        <v>213.75700000000003</v>
      </c>
      <c r="BR79" s="72">
        <f t="shared" si="97"/>
        <v>230.36795953540653</v>
      </c>
      <c r="BS79" s="72">
        <f t="shared" si="97"/>
        <v>237.18848046999307</v>
      </c>
      <c r="BT79" s="72">
        <f t="shared" si="97"/>
        <v>243.66423113575738</v>
      </c>
      <c r="BU79" s="72">
        <f t="shared" si="97"/>
        <v>249.80589711446012</v>
      </c>
      <c r="BV79" s="72">
        <f t="shared" si="97"/>
        <v>255.62388150639833</v>
      </c>
    </row>
    <row r="80" spans="2:74" ht="13.5" thickBot="1">
      <c r="B80" s="72" t="s">
        <v>122</v>
      </c>
      <c r="BN80" s="72" t="s">
        <v>95</v>
      </c>
      <c r="BQ80" s="72">
        <f t="shared" ref="BQ80:BV80" si="98">BQ50/BQ65</f>
        <v>214.19</v>
      </c>
      <c r="BR80" s="72">
        <f t="shared" si="98"/>
        <v>171.58287976712933</v>
      </c>
      <c r="BS80" s="72">
        <f t="shared" si="98"/>
        <v>183.72261604026733</v>
      </c>
      <c r="BT80" s="72">
        <f t="shared" si="98"/>
        <v>195.55720195494121</v>
      </c>
      <c r="BU80" s="72">
        <f t="shared" si="98"/>
        <v>207.09208836123113</v>
      </c>
      <c r="BV80" s="72">
        <f t="shared" si="98"/>
        <v>218.33264065375658</v>
      </c>
    </row>
    <row r="81" spans="2:74" ht="15.75">
      <c r="B81" s="73" t="s">
        <v>181</v>
      </c>
      <c r="C81" s="74"/>
      <c r="D81" s="74"/>
      <c r="E81" s="74"/>
      <c r="F81" s="74"/>
      <c r="G81" s="75" t="s">
        <v>100</v>
      </c>
      <c r="H81" s="76"/>
      <c r="I81" s="77"/>
      <c r="BN81" s="72" t="s">
        <v>96</v>
      </c>
      <c r="BQ81" s="72">
        <f t="shared" ref="BQ81:BV81" si="99">BQ51/BQ66</f>
        <v>1199.6780000000001</v>
      </c>
      <c r="BR81" s="72">
        <f t="shared" si="99"/>
        <v>1273.7649389896881</v>
      </c>
      <c r="BS81" s="72">
        <f t="shared" si="99"/>
        <v>1153.646594834069</v>
      </c>
      <c r="BT81" s="72">
        <f t="shared" si="99"/>
        <v>1036.1800299712315</v>
      </c>
      <c r="BU81" s="72">
        <f t="shared" si="99"/>
        <v>921.31945418420378</v>
      </c>
      <c r="BV81" s="72">
        <f t="shared" si="99"/>
        <v>809.01978788941472</v>
      </c>
    </row>
    <row r="82" spans="2:74">
      <c r="B82" s="78"/>
      <c r="C82" s="79"/>
      <c r="D82" s="79"/>
      <c r="E82" s="79"/>
      <c r="F82" s="79"/>
      <c r="G82" s="79"/>
      <c r="H82" s="79"/>
      <c r="I82" s="80"/>
    </row>
    <row r="83" spans="2:74">
      <c r="B83" s="81" t="s">
        <v>123</v>
      </c>
      <c r="C83" s="82"/>
      <c r="D83" s="82"/>
      <c r="E83" s="82"/>
      <c r="F83" s="82"/>
      <c r="G83" s="82"/>
      <c r="H83" s="82"/>
      <c r="I83" s="83"/>
      <c r="BQ83" s="72">
        <f>SUM(BQ70:BQ81)</f>
        <v>8571.2591711229943</v>
      </c>
      <c r="BR83" s="72">
        <f t="shared" ref="BR83:BV83" si="100">SUM(BR70:BR81)</f>
        <v>8520.092149810509</v>
      </c>
      <c r="BS83" s="72">
        <f t="shared" si="100"/>
        <v>7709.4218853465136</v>
      </c>
      <c r="BT83" s="72">
        <f t="shared" si="100"/>
        <v>6918.1559904671713</v>
      </c>
      <c r="BU83" s="72">
        <f t="shared" si="100"/>
        <v>6145.8920931337461</v>
      </c>
      <c r="BV83" s="72">
        <f t="shared" si="100"/>
        <v>5392.2359453958925</v>
      </c>
    </row>
    <row r="84" spans="2:74">
      <c r="B84" s="84"/>
      <c r="C84" s="85"/>
      <c r="D84" s="85"/>
      <c r="E84" s="85"/>
      <c r="F84" s="85"/>
      <c r="G84" s="85"/>
      <c r="H84" s="85"/>
      <c r="I84" s="86"/>
    </row>
    <row r="85" spans="2:74">
      <c r="B85" s="87" t="s">
        <v>124</v>
      </c>
      <c r="C85" s="88" t="s">
        <v>125</v>
      </c>
      <c r="D85" s="88"/>
      <c r="E85" s="88" t="s">
        <v>126</v>
      </c>
      <c r="F85" s="88"/>
      <c r="G85" s="88" t="s">
        <v>127</v>
      </c>
      <c r="H85" s="89" t="s">
        <v>128</v>
      </c>
      <c r="I85" s="90" t="s">
        <v>129</v>
      </c>
      <c r="BQ85" s="181">
        <f>BQ83/$BQ$83</f>
        <v>1</v>
      </c>
      <c r="BR85" s="181">
        <f t="shared" ref="BR85:BV85" si="101">BR83/$BQ$83</f>
        <v>0.99403039620072753</v>
      </c>
      <c r="BS85" s="181">
        <f t="shared" si="101"/>
        <v>0.89945032945917047</v>
      </c>
      <c r="BT85" s="181">
        <f t="shared" si="101"/>
        <v>0.80713415057787408</v>
      </c>
      <c r="BU85" s="181">
        <f t="shared" si="101"/>
        <v>0.71703491522454099</v>
      </c>
      <c r="BV85" s="181">
        <f t="shared" si="101"/>
        <v>0.62910662689591845</v>
      </c>
    </row>
    <row r="86" spans="2:74">
      <c r="B86" s="87"/>
      <c r="C86" s="88" t="s">
        <v>130</v>
      </c>
      <c r="D86" s="89" t="s">
        <v>131</v>
      </c>
      <c r="E86" s="88" t="s">
        <v>130</v>
      </c>
      <c r="F86" s="89" t="s">
        <v>132</v>
      </c>
      <c r="G86" s="88"/>
      <c r="H86" s="89"/>
      <c r="I86" s="90"/>
    </row>
    <row r="87" spans="2:74">
      <c r="B87" s="87"/>
      <c r="C87" s="88" t="s">
        <v>133</v>
      </c>
      <c r="D87" s="88"/>
      <c r="E87" s="88"/>
      <c r="F87" s="88"/>
      <c r="G87" s="88"/>
      <c r="H87" s="88"/>
      <c r="I87" s="91" t="s">
        <v>134</v>
      </c>
    </row>
    <row r="88" spans="2:74" ht="13.5" thickBot="1">
      <c r="B88" s="92" t="s">
        <v>135</v>
      </c>
      <c r="C88" s="93">
        <v>6190927</v>
      </c>
      <c r="D88" s="93">
        <v>2101159</v>
      </c>
      <c r="E88" s="93">
        <v>9078250</v>
      </c>
      <c r="F88" s="93">
        <v>599707</v>
      </c>
      <c r="G88" s="93">
        <v>269538</v>
      </c>
      <c r="H88" s="93">
        <v>244679548</v>
      </c>
      <c r="I88" s="94">
        <v>64180</v>
      </c>
    </row>
    <row r="89" spans="2:74">
      <c r="B89" s="95" t="s">
        <v>136</v>
      </c>
      <c r="C89" s="96"/>
      <c r="D89" s="96"/>
      <c r="E89" s="96"/>
      <c r="F89" s="96"/>
      <c r="G89" s="97"/>
      <c r="H89" s="98"/>
      <c r="I89" s="99"/>
    </row>
    <row r="90" spans="2:74">
      <c r="B90" s="87" t="s">
        <v>137</v>
      </c>
      <c r="C90" s="88" t="s">
        <v>138</v>
      </c>
      <c r="D90" s="88"/>
      <c r="E90" s="88" t="s">
        <v>139</v>
      </c>
      <c r="F90" s="88"/>
      <c r="I90" s="100"/>
    </row>
    <row r="91" spans="2:74">
      <c r="B91" s="87"/>
      <c r="C91" s="88" t="s">
        <v>140</v>
      </c>
      <c r="D91" s="88"/>
      <c r="E91" s="88"/>
      <c r="F91" s="88"/>
      <c r="I91" s="100"/>
    </row>
    <row r="92" spans="2:74">
      <c r="B92" s="87"/>
      <c r="C92" s="88" t="s">
        <v>141</v>
      </c>
      <c r="D92" s="88" t="s">
        <v>142</v>
      </c>
      <c r="E92" s="88" t="s">
        <v>141</v>
      </c>
      <c r="F92" s="88" t="s">
        <v>142</v>
      </c>
      <c r="I92" s="100"/>
    </row>
    <row r="93" spans="2:74">
      <c r="B93" s="87"/>
      <c r="C93" s="88" t="s">
        <v>133</v>
      </c>
      <c r="D93" s="88"/>
      <c r="E93" s="88"/>
      <c r="F93" s="88"/>
      <c r="I93" s="100"/>
    </row>
    <row r="94" spans="2:74" ht="13.5" thickBot="1">
      <c r="B94" s="101" t="s">
        <v>143</v>
      </c>
      <c r="C94" s="102">
        <v>214987216</v>
      </c>
      <c r="D94" s="102">
        <v>268862574</v>
      </c>
      <c r="E94" s="102">
        <v>185713737</v>
      </c>
      <c r="F94" s="102">
        <v>244679548</v>
      </c>
      <c r="G94" s="103"/>
      <c r="H94" s="103"/>
      <c r="I94" s="104"/>
    </row>
    <row r="97" spans="2:9" ht="13.5" thickBot="1">
      <c r="B97" s="72" t="s">
        <v>122</v>
      </c>
    </row>
    <row r="98" spans="2:9" ht="15.75">
      <c r="B98" s="73" t="s">
        <v>203</v>
      </c>
      <c r="C98" s="74"/>
      <c r="D98" s="74"/>
      <c r="E98" s="74"/>
      <c r="F98" s="74"/>
      <c r="G98" s="75" t="s">
        <v>100</v>
      </c>
      <c r="H98" s="76"/>
      <c r="I98" s="77"/>
    </row>
    <row r="99" spans="2:9">
      <c r="B99" s="78"/>
      <c r="C99" s="79"/>
      <c r="D99" s="79"/>
      <c r="E99" s="79"/>
      <c r="F99" s="79"/>
      <c r="G99" s="79"/>
      <c r="H99" s="79"/>
      <c r="I99" s="80"/>
    </row>
    <row r="100" spans="2:9">
      <c r="B100" s="81" t="s">
        <v>123</v>
      </c>
      <c r="C100" s="82"/>
      <c r="D100" s="82"/>
      <c r="E100" s="82"/>
      <c r="F100" s="82"/>
      <c r="G100" s="82"/>
      <c r="H100" s="82"/>
      <c r="I100" s="83"/>
    </row>
    <row r="101" spans="2:9">
      <c r="B101" s="84"/>
      <c r="C101" s="85"/>
      <c r="D101" s="85"/>
      <c r="E101" s="85"/>
      <c r="F101" s="85"/>
      <c r="G101" s="85"/>
      <c r="H101" s="85"/>
      <c r="I101" s="86"/>
    </row>
    <row r="102" spans="2:9">
      <c r="B102" s="87" t="s">
        <v>124</v>
      </c>
      <c r="C102" s="88" t="s">
        <v>125</v>
      </c>
      <c r="D102" s="88"/>
      <c r="E102" s="88" t="s">
        <v>126</v>
      </c>
      <c r="F102" s="88"/>
      <c r="G102" s="88" t="s">
        <v>127</v>
      </c>
      <c r="H102" s="89" t="s">
        <v>128</v>
      </c>
      <c r="I102" s="90" t="s">
        <v>129</v>
      </c>
    </row>
    <row r="103" spans="2:9">
      <c r="B103" s="87"/>
      <c r="C103" s="88" t="s">
        <v>130</v>
      </c>
      <c r="D103" s="89" t="s">
        <v>131</v>
      </c>
      <c r="E103" s="88" t="s">
        <v>130</v>
      </c>
      <c r="F103" s="89" t="s">
        <v>132</v>
      </c>
      <c r="G103" s="88"/>
      <c r="H103" s="89"/>
      <c r="I103" s="90"/>
    </row>
    <row r="104" spans="2:9">
      <c r="B104" s="87"/>
      <c r="C104" s="88" t="s">
        <v>133</v>
      </c>
      <c r="D104" s="88"/>
      <c r="E104" s="88"/>
      <c r="F104" s="88"/>
      <c r="G104" s="88"/>
      <c r="H104" s="88"/>
      <c r="I104" s="91" t="s">
        <v>134</v>
      </c>
    </row>
    <row r="105" spans="2:9" ht="13.5" thickBot="1">
      <c r="B105" s="92" t="s">
        <v>135</v>
      </c>
      <c r="C105" s="93">
        <v>6143305</v>
      </c>
      <c r="D105" s="93">
        <v>2091035</v>
      </c>
      <c r="E105" s="93">
        <v>9225221</v>
      </c>
      <c r="F105" s="93">
        <v>618197</v>
      </c>
      <c r="G105" s="93">
        <v>267894</v>
      </c>
      <c r="H105" s="93">
        <v>244679548</v>
      </c>
      <c r="I105" s="94">
        <v>64314</v>
      </c>
    </row>
    <row r="106" spans="2:9">
      <c r="B106" s="95" t="s">
        <v>136</v>
      </c>
      <c r="C106" s="96"/>
      <c r="D106" s="96"/>
      <c r="E106" s="96"/>
      <c r="F106" s="96"/>
      <c r="G106" s="97"/>
      <c r="H106" s="98"/>
      <c r="I106" s="99"/>
    </row>
    <row r="107" spans="2:9">
      <c r="B107" s="87" t="s">
        <v>137</v>
      </c>
      <c r="C107" s="88" t="s">
        <v>138</v>
      </c>
      <c r="D107" s="88"/>
      <c r="E107" s="88" t="s">
        <v>139</v>
      </c>
      <c r="F107" s="88"/>
      <c r="I107" s="100"/>
    </row>
    <row r="108" spans="2:9">
      <c r="B108" s="87"/>
      <c r="C108" s="88" t="s">
        <v>140</v>
      </c>
      <c r="D108" s="88"/>
      <c r="E108" s="88"/>
      <c r="I108" s="100"/>
    </row>
    <row r="109" spans="2:9">
      <c r="B109" s="87"/>
      <c r="C109" s="88" t="s">
        <v>142</v>
      </c>
      <c r="E109" s="88" t="s">
        <v>142</v>
      </c>
      <c r="I109" s="100"/>
    </row>
    <row r="110" spans="2:9">
      <c r="B110" s="87"/>
      <c r="C110" s="88" t="s">
        <v>133</v>
      </c>
      <c r="D110" s="88"/>
      <c r="E110" s="88"/>
      <c r="I110" s="100"/>
    </row>
    <row r="111" spans="2:9" ht="13.5" thickBot="1">
      <c r="B111" s="101" t="s">
        <v>143</v>
      </c>
      <c r="C111" s="102">
        <v>272993991</v>
      </c>
      <c r="D111" s="102"/>
      <c r="E111" s="102">
        <v>247525639</v>
      </c>
      <c r="F111" s="103"/>
      <c r="G111" s="103"/>
      <c r="H111" s="103"/>
      <c r="I111" s="104"/>
    </row>
    <row r="115" spans="11:18">
      <c r="M115" s="72" t="s">
        <v>204</v>
      </c>
    </row>
    <row r="116" spans="11:18">
      <c r="M116" s="72">
        <v>8571.2591711229943</v>
      </c>
      <c r="N116" s="72">
        <v>8519.6118078446179</v>
      </c>
      <c r="O116" s="72">
        <v>7710.5133378050259</v>
      </c>
      <c r="P116" s="72">
        <v>6922.20339939112</v>
      </c>
      <c r="Q116" s="72">
        <v>6154.2650218545596</v>
      </c>
      <c r="R116" s="72">
        <v>5406.289495265225</v>
      </c>
    </row>
    <row r="118" spans="11:18">
      <c r="K118" s="72">
        <v>2025</v>
      </c>
      <c r="L118" s="72">
        <v>0.57999999999999996</v>
      </c>
      <c r="M118" s="72">
        <v>2091.0349999999999</v>
      </c>
      <c r="N118" s="72">
        <f>N116*N132</f>
        <v>1970.9298986220986</v>
      </c>
      <c r="O118" s="72">
        <f>$O$116*O132</f>
        <v>1654.0253077510333</v>
      </c>
      <c r="P118" s="72">
        <f>$P$116*P132</f>
        <v>1426.6883593119505</v>
      </c>
      <c r="Q118" s="72">
        <f>$Q$116*Q132</f>
        <v>1242.5277968086386</v>
      </c>
      <c r="R118" s="72">
        <f>$R$116*R132</f>
        <v>1080.14382844436</v>
      </c>
    </row>
    <row r="119" spans="11:18">
      <c r="K119" s="72">
        <v>2030</v>
      </c>
      <c r="L119" s="72">
        <v>0.55000000000000004</v>
      </c>
      <c r="M119" s="72">
        <v>4052.27</v>
      </c>
      <c r="N119" s="72">
        <f t="shared" ref="N119:N123" si="102">$N$116*N133</f>
        <v>3819.5152641105351</v>
      </c>
      <c r="O119" s="72">
        <f t="shared" ref="O119:O123" si="103">$O$116*O133</f>
        <v>3205.3777836527279</v>
      </c>
      <c r="P119" s="72">
        <f t="shared" ref="P119:P123" si="104">$P$116*P133</f>
        <v>2764.815719387308</v>
      </c>
      <c r="Q119" s="72">
        <f t="shared" ref="Q119:Q123" si="105">$Q$116*Q133</f>
        <v>2407.9262734357599</v>
      </c>
      <c r="R119" s="72">
        <f t="shared" ref="R119:R124" si="106">$R$116*R133</f>
        <v>2093.2382440706288</v>
      </c>
    </row>
    <row r="120" spans="11:18">
      <c r="K120" s="72">
        <v>2035</v>
      </c>
      <c r="L120" s="72">
        <v>0.51</v>
      </c>
      <c r="M120" s="72">
        <v>267.89400000000001</v>
      </c>
      <c r="N120" s="72">
        <f t="shared" si="102"/>
        <v>252.50667457095099</v>
      </c>
      <c r="O120" s="72">
        <f t="shared" si="103"/>
        <v>211.90628363210342</v>
      </c>
      <c r="P120" s="72">
        <f t="shared" si="104"/>
        <v>182.78089622101771</v>
      </c>
      <c r="Q120" s="72">
        <f t="shared" si="105"/>
        <v>159.18707319497449</v>
      </c>
      <c r="R120" s="72">
        <f t="shared" si="106"/>
        <v>138.38316947218644</v>
      </c>
    </row>
    <row r="121" spans="11:18">
      <c r="K121" s="72">
        <v>2040</v>
      </c>
      <c r="L121" s="72">
        <v>0.49</v>
      </c>
      <c r="M121" s="72">
        <v>9225.2209999999995</v>
      </c>
      <c r="N121" s="72">
        <f t="shared" si="102"/>
        <v>8695.3417280420745</v>
      </c>
      <c r="O121" s="72">
        <f t="shared" si="103"/>
        <v>7297.2231471956711</v>
      </c>
      <c r="P121" s="72">
        <f t="shared" si="104"/>
        <v>6294.2587822681853</v>
      </c>
      <c r="Q121" s="72">
        <f t="shared" si="105"/>
        <v>5481.7798478757122</v>
      </c>
      <c r="R121" s="72">
        <f t="shared" si="106"/>
        <v>4765.3748163877262</v>
      </c>
    </row>
    <row r="122" spans="11:18">
      <c r="K122" s="72">
        <v>2045</v>
      </c>
      <c r="L122" s="72">
        <v>0.48</v>
      </c>
      <c r="M122" s="72">
        <v>64.180000000000007</v>
      </c>
      <c r="N122" s="72">
        <f t="shared" si="102"/>
        <v>60.49362200707607</v>
      </c>
      <c r="O122" s="72">
        <f t="shared" si="103"/>
        <v>50.766890201006369</v>
      </c>
      <c r="P122" s="72">
        <f t="shared" si="104"/>
        <v>43.789252164904468</v>
      </c>
      <c r="Q122" s="72">
        <f t="shared" si="105"/>
        <v>38.136824108242308</v>
      </c>
      <c r="R122" s="72">
        <f t="shared" si="106"/>
        <v>33.152783626079447</v>
      </c>
    </row>
    <row r="123" spans="11:18">
      <c r="K123" s="72">
        <v>2050</v>
      </c>
      <c r="L123" s="72">
        <v>0.47499999999999998</v>
      </c>
      <c r="M123" s="72">
        <v>272993.99099999998</v>
      </c>
      <c r="N123" s="72">
        <f t="shared" si="102"/>
        <v>257313.73171949401</v>
      </c>
      <c r="O123" s="72">
        <f t="shared" si="103"/>
        <v>215940.41705564849</v>
      </c>
      <c r="P123" s="72">
        <f t="shared" si="104"/>
        <v>186260.55954195483</v>
      </c>
      <c r="Q123" s="72">
        <f t="shared" si="105"/>
        <v>162217.57272318608</v>
      </c>
      <c r="R123" s="72">
        <f t="shared" si="106"/>
        <v>141017.61786916296</v>
      </c>
    </row>
    <row r="124" spans="11:18">
      <c r="M124" s="72" t="s">
        <v>209</v>
      </c>
    </row>
    <row r="125" spans="11:18">
      <c r="M125" s="72">
        <f>M118/$M$116</f>
        <v>0.24395890478318547</v>
      </c>
    </row>
    <row r="126" spans="11:18">
      <c r="M126" s="72">
        <f t="shared" ref="M126:M130" si="107">M119/$M$116</f>
        <v>0.47277417694383839</v>
      </c>
    </row>
    <row r="127" spans="11:18">
      <c r="M127" s="72">
        <f t="shared" si="107"/>
        <v>3.1254917702471116E-2</v>
      </c>
    </row>
    <row r="128" spans="11:18">
      <c r="M128" s="72">
        <f t="shared" si="107"/>
        <v>1.0762970545891595</v>
      </c>
    </row>
    <row r="129" spans="13:18">
      <c r="M129" s="72">
        <f t="shared" si="107"/>
        <v>7.4878146511105012E-3</v>
      </c>
    </row>
    <row r="130" spans="13:18">
      <c r="M130" s="72">
        <f t="shared" si="107"/>
        <v>31.849928411887316</v>
      </c>
    </row>
    <row r="132" spans="13:18">
      <c r="M132" s="72">
        <f>M125/58</f>
        <v>4.2061880135031973E-3</v>
      </c>
      <c r="N132" s="72">
        <f>M132*55</f>
        <v>0.23134034074267584</v>
      </c>
      <c r="O132" s="72">
        <f>M132*51</f>
        <v>0.21451558868866305</v>
      </c>
      <c r="P132" s="72">
        <f>M132*49</f>
        <v>0.20610321266165665</v>
      </c>
      <c r="Q132" s="72">
        <f>M132*48</f>
        <v>0.20189702464815346</v>
      </c>
      <c r="R132" s="72">
        <f>M132*47.5</f>
        <v>0.19979393064140188</v>
      </c>
    </row>
    <row r="133" spans="13:18">
      <c r="M133" s="72">
        <f t="shared" ref="M133:M137" si="108">M126/58</f>
        <v>8.1512789128247998E-3</v>
      </c>
      <c r="N133" s="72">
        <f t="shared" ref="N133:N137" si="109">M133*55</f>
        <v>0.44832034020536399</v>
      </c>
      <c r="O133" s="72">
        <f t="shared" ref="O133:O137" si="110">M133*51</f>
        <v>0.41571522455406479</v>
      </c>
      <c r="P133" s="72">
        <f t="shared" ref="P133:P137" si="111">M133*49</f>
        <v>0.39941266672841519</v>
      </c>
      <c r="Q133" s="72">
        <f t="shared" ref="Q133:Q137" si="112">M133*48</f>
        <v>0.39126138781559039</v>
      </c>
      <c r="R133" s="72">
        <f t="shared" ref="R133:R137" si="113">M133*47.5</f>
        <v>0.38718574835917796</v>
      </c>
    </row>
    <row r="134" spans="13:18">
      <c r="M134" s="72">
        <f t="shared" si="108"/>
        <v>5.3887789142191577E-4</v>
      </c>
      <c r="N134" s="72">
        <f t="shared" si="109"/>
        <v>2.9638284028205366E-2</v>
      </c>
      <c r="O134" s="72">
        <f t="shared" si="110"/>
        <v>2.7482772462517704E-2</v>
      </c>
      <c r="P134" s="72">
        <f t="shared" si="111"/>
        <v>2.6405016679673873E-2</v>
      </c>
      <c r="Q134" s="72">
        <f t="shared" si="112"/>
        <v>2.5866138788251957E-2</v>
      </c>
      <c r="R134" s="72">
        <f t="shared" si="113"/>
        <v>2.5596699842540999E-2</v>
      </c>
    </row>
    <row r="135" spans="13:18">
      <c r="M135" s="72">
        <f t="shared" si="108"/>
        <v>1.8556845768778613E-2</v>
      </c>
      <c r="N135" s="72">
        <f t="shared" si="109"/>
        <v>1.0206265172828237</v>
      </c>
      <c r="O135" s="72">
        <f t="shared" si="110"/>
        <v>0.94639913420770927</v>
      </c>
      <c r="P135" s="72">
        <f t="shared" si="111"/>
        <v>0.90928544267015199</v>
      </c>
      <c r="Q135" s="72">
        <f t="shared" si="112"/>
        <v>0.8907285969013734</v>
      </c>
      <c r="R135" s="72">
        <f t="shared" si="113"/>
        <v>0.88145017401698411</v>
      </c>
    </row>
    <row r="136" spans="13:18">
      <c r="M136" s="72">
        <f t="shared" si="108"/>
        <v>1.2910025260535346E-4</v>
      </c>
      <c r="N136" s="72">
        <f t="shared" si="109"/>
        <v>7.1005138932944403E-3</v>
      </c>
      <c r="O136" s="72">
        <f t="shared" si="110"/>
        <v>6.584112882873026E-3</v>
      </c>
      <c r="P136" s="72">
        <f t="shared" si="111"/>
        <v>6.3259123776623193E-3</v>
      </c>
      <c r="Q136" s="72">
        <f t="shared" si="112"/>
        <v>6.196812125056966E-3</v>
      </c>
      <c r="R136" s="72">
        <f t="shared" si="113"/>
        <v>6.1322619987542893E-3</v>
      </c>
    </row>
    <row r="137" spans="13:18">
      <c r="M137" s="72">
        <f t="shared" si="108"/>
        <v>0.54913669675667787</v>
      </c>
      <c r="N137" s="72">
        <f t="shared" si="109"/>
        <v>30.202518321617283</v>
      </c>
      <c r="O137" s="72">
        <f t="shared" si="110"/>
        <v>28.005971534590572</v>
      </c>
      <c r="P137" s="72">
        <f t="shared" si="111"/>
        <v>26.907698141077216</v>
      </c>
      <c r="Q137" s="72">
        <f t="shared" si="112"/>
        <v>26.358561444320536</v>
      </c>
      <c r="R137" s="72">
        <f t="shared" si="113"/>
        <v>26.083993095942198</v>
      </c>
    </row>
  </sheetData>
  <mergeCells count="18">
    <mergeCell ref="BP38:BV38"/>
    <mergeCell ref="BP53:BV53"/>
    <mergeCell ref="BP68:BV68"/>
    <mergeCell ref="AR39:AR40"/>
    <mergeCell ref="AS39:AS40"/>
    <mergeCell ref="AT39:AT40"/>
    <mergeCell ref="AU39:AU40"/>
    <mergeCell ref="AR37:AW37"/>
    <mergeCell ref="J37:N37"/>
    <mergeCell ref="J39:J40"/>
    <mergeCell ref="K39:K40"/>
    <mergeCell ref="L39:L40"/>
    <mergeCell ref="M39:M40"/>
    <mergeCell ref="B37:F37"/>
    <mergeCell ref="B39:B40"/>
    <mergeCell ref="C39:C40"/>
    <mergeCell ref="D39:D40"/>
    <mergeCell ref="E39:E40"/>
  </mergeCells>
  <pageMargins left="0.7" right="0.7" top="0.75" bottom="0.75" header="0.3" footer="0.3"/>
  <pageSetup paperSize="9" orientation="portrait" r:id="rId1"/>
  <ignoredErrors>
    <ignoredError sqref="F24 F27:F28" formula="1"/>
  </ignoredErrors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7D98A4600D5044F9F854C890D6CC50E" ma:contentTypeVersion="16" ma:contentTypeDescription="Utwórz nowy dokument." ma:contentTypeScope="" ma:versionID="d5167bf0dd55feede3e29f1a430471b5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24bde18039da748f015df48b5e1e3648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Tagi obrazów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http://purl.org/dc/dcmitype/"/>
    <ds:schemaRef ds:uri="http://purl.org/dc/terms/"/>
    <ds:schemaRef ds:uri="http://schemas.microsoft.com/office/infopath/2007/PartnerControls"/>
    <ds:schemaRef ds:uri="708d6b01-37ca-4db4-bc7f-9b68f32c58b8"/>
    <ds:schemaRef ds:uri="http://schemas.microsoft.com/office/2006/metadata/properties"/>
    <ds:schemaRef ds:uri="8acd6055-54fc-4ce7-b3df-0a09834a0329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B5E23FA-4CBB-4638-8409-464A8CA396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2026-10-02T13:11:24Z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